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igination Summary" sheetId="1" state="visible" r:id="rId3"/>
    <sheet name="International Origin Summary" sheetId="2" state="visible" r:id="rId4"/>
    <sheet name="Sheet3" sheetId="3" state="visible" r:id="rId5"/>
  </sheets>
  <externalReferences>
    <externalReference r:id="rId6"/>
    <externalReference r:id="rId7"/>
    <externalReference r:id="rId8"/>
  </externalReferenc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<sst xmlns="http://schemas.openxmlformats.org/spreadsheetml/2006/main" count="1578" uniqueCount="849">
  <si>
    <t xml:space="preserve">EES - Risk Analysis</t>
  </si>
  <si>
    <t xml:space="preserve"> 3Q/2001 MTM Origination Summary</t>
  </si>
  <si>
    <t xml:space="preserve">As of 09/28/01</t>
  </si>
  <si>
    <t xml:space="preserve">Deals</t>
  </si>
  <si>
    <t xml:space="preserve">Origination</t>
  </si>
  <si>
    <t xml:space="preserve">Week Closed</t>
  </si>
  <si>
    <t xml:space="preserve">Channel</t>
  </si>
  <si>
    <t xml:space="preserve">TCV*</t>
  </si>
  <si>
    <r>
      <rPr>
        <b val="true"/>
        <sz val="12"/>
        <rFont val="Arial"/>
        <family val="2"/>
      </rPr>
      <t xml:space="preserve">Sales Orig. O-K </t>
    </r>
    <r>
      <rPr>
        <sz val="8"/>
        <rFont val="Arial"/>
        <family val="2"/>
      </rPr>
      <t xml:space="preserve">(Net of Consumption Premium)</t>
    </r>
  </si>
  <si>
    <t xml:space="preserve">Credit Reserve</t>
  </si>
  <si>
    <t xml:space="preserve">Implementation Premium</t>
  </si>
  <si>
    <t xml:space="preserve">Consumption Premium</t>
  </si>
  <si>
    <r>
      <rPr>
        <b val="true"/>
        <sz val="12"/>
        <rFont val="Arial"/>
        <family val="2"/>
      </rPr>
      <t xml:space="preserve">Net Orig. Value O-K </t>
    </r>
    <r>
      <rPr>
        <b val="true"/>
        <sz val="8"/>
        <rFont val="Arial"/>
        <family val="2"/>
      </rPr>
      <t xml:space="preserve">(MTM @ offer)</t>
    </r>
  </si>
  <si>
    <t xml:space="preserve">Product
Grouping</t>
  </si>
  <si>
    <t xml:space="preserve">Energy Services</t>
  </si>
  <si>
    <t xml:space="preserve">Industrial Energy Services</t>
  </si>
  <si>
    <t xml:space="preserve">Harrah's Power EAM</t>
  </si>
  <si>
    <t xml:space="preserve">Harrah's Gas EAM</t>
  </si>
  <si>
    <t xml:space="preserve">Gas</t>
  </si>
  <si>
    <t xml:space="preserve">Harrah's - Gas </t>
  </si>
  <si>
    <t xml:space="preserve">HSBC Financial Swap</t>
  </si>
  <si>
    <t xml:space="preserve">NYPP</t>
  </si>
  <si>
    <t xml:space="preserve">Total Industrial Energy Services</t>
  </si>
  <si>
    <t xml:space="preserve">Manufacturing Energy Services</t>
  </si>
  <si>
    <t xml:space="preserve">Metaldyne</t>
  </si>
  <si>
    <t xml:space="preserve">CA</t>
  </si>
  <si>
    <t xml:space="preserve">Northrop</t>
  </si>
  <si>
    <t xml:space="preserve">BallCorp</t>
  </si>
  <si>
    <t xml:space="preserve">Raytheon</t>
  </si>
  <si>
    <t xml:space="preserve">Quaker Oats Co. - Gas</t>
  </si>
  <si>
    <t xml:space="preserve">Quaker Oats Adj - Power****</t>
  </si>
  <si>
    <t xml:space="preserve">Other</t>
  </si>
  <si>
    <t xml:space="preserve">Quaker Oats Adj - Gas ****</t>
  </si>
  <si>
    <t xml:space="preserve">Sonoco - Gas</t>
  </si>
  <si>
    <t xml:space="preserve">CES</t>
  </si>
  <si>
    <t xml:space="preserve">Sysco</t>
  </si>
  <si>
    <t xml:space="preserve">MES</t>
  </si>
  <si>
    <t xml:space="preserve">Sysco Credit Adjustment</t>
  </si>
  <si>
    <t xml:space="preserve">Pepsi Bottling Group Credit Revision</t>
  </si>
  <si>
    <t xml:space="preserve">Pepsi Bottling Group Credit prior day adj.</t>
  </si>
  <si>
    <t xml:space="preserve">Pepsi Bottling Group</t>
  </si>
  <si>
    <t xml:space="preserve">Total Manufacturing Energy Services</t>
  </si>
  <si>
    <t xml:space="preserve">Industrial/Manaufacturing Portfolio Origination</t>
  </si>
  <si>
    <t xml:space="preserve">Owens Corning Power EAM (9/01)</t>
  </si>
  <si>
    <t xml:space="preserve">DSM</t>
  </si>
  <si>
    <t xml:space="preserve">Owens Corning Gas EAM (9/01)</t>
  </si>
  <si>
    <t xml:space="preserve">Quebecor Power EAM (9/01)</t>
  </si>
  <si>
    <t xml:space="preserve">Quebecor Gas EAM (9/01)</t>
  </si>
  <si>
    <t xml:space="preserve">Partial Unwind Tyco West</t>
  </si>
  <si>
    <t xml:space="preserve">Port. Mgmt. - Springs Industries</t>
  </si>
  <si>
    <t xml:space="preserve">Port Mgmt - Rexam Beverage Can Co</t>
  </si>
  <si>
    <t xml:space="preserve">Port Mgmt - Quaker </t>
  </si>
  <si>
    <t xml:space="preserve">Port Mgmt - ECT</t>
  </si>
  <si>
    <t xml:space="preserve">Rexam East - unwind and rebook</t>
  </si>
  <si>
    <t xml:space="preserve">Reg Comm</t>
  </si>
  <si>
    <t xml:space="preserve">Port Mgmt - Owens Corning</t>
  </si>
  <si>
    <t xml:space="preserve">Partial Unwind Tyco East *</t>
  </si>
  <si>
    <t xml:space="preserve">Port. Mgmt - DESC</t>
  </si>
  <si>
    <t xml:space="preserve">impo</t>
  </si>
  <si>
    <t xml:space="preserve">Owens Corning Fiberglass - Gas</t>
  </si>
  <si>
    <t xml:space="preserve">IMPO</t>
  </si>
  <si>
    <t xml:space="preserve">Quebecor Printing USA Corp - Gas</t>
  </si>
  <si>
    <t xml:space="preserve">Springs Industries</t>
  </si>
  <si>
    <t xml:space="preserve">Tyco - Gas</t>
  </si>
  <si>
    <t xml:space="preserve">Tyco - Gas 9/5/01</t>
  </si>
  <si>
    <t xml:space="preserve">Total Industrial/Manufacturing Port. Origination</t>
  </si>
  <si>
    <t xml:space="preserve">Commercial Energy Services</t>
  </si>
  <si>
    <t xml:space="preserve">Unwind Wendy's Partial</t>
  </si>
  <si>
    <t xml:space="preserve">Wendy's</t>
  </si>
  <si>
    <t xml:space="preserve">Wendys_TX_Corp_092601</t>
  </si>
  <si>
    <t xml:space="preserve">TX</t>
  </si>
  <si>
    <t xml:space="preserve">Wendys_TX_Franchise_092601</t>
  </si>
  <si>
    <t xml:space="preserve">Wendy's_TX_Franchise_Additional_092601</t>
  </si>
  <si>
    <t xml:space="preserve">Walmart</t>
  </si>
  <si>
    <t xml:space="preserve">Limited</t>
  </si>
  <si>
    <t xml:space="preserve">Toys R us</t>
  </si>
  <si>
    <t xml:space="preserve">Darden Restaurants, Inc.</t>
  </si>
  <si>
    <t xml:space="preserve">Hyatt Hotels - Gas</t>
  </si>
  <si>
    <t xml:space="preserve">Walmart_Maine 08-07</t>
  </si>
  <si>
    <t xml:space="preserve">Maine</t>
  </si>
  <si>
    <t xml:space="preserve">Home Depot Additional Sites</t>
  </si>
  <si>
    <t xml:space="preserve">Equity Office Properties - California</t>
  </si>
  <si>
    <t xml:space="preserve">Equity Office Properties MA</t>
  </si>
  <si>
    <t xml:space="preserve">Mass</t>
  </si>
  <si>
    <t xml:space="preserve">Speiker - California</t>
  </si>
  <si>
    <t xml:space="preserve">Ca</t>
  </si>
  <si>
    <t xml:space="preserve">Simon JV III Remaining Sites - Unwind</t>
  </si>
  <si>
    <t xml:space="preserve">Simon JV III OA - Unwind</t>
  </si>
  <si>
    <t xml:space="preserve">The Limited - CA Revision</t>
  </si>
  <si>
    <t xml:space="preserve">The Limited - CA</t>
  </si>
  <si>
    <t xml:space="preserve">Total Commercial Energy Services</t>
  </si>
  <si>
    <t xml:space="preserve">Commercial Portfolio Origination</t>
  </si>
  <si>
    <t xml:space="preserve">Starwood</t>
  </si>
  <si>
    <t xml:space="preserve">Starwood Option unwind</t>
  </si>
  <si>
    <t xml:space="preserve">Total Commercial Portfolio Origination</t>
  </si>
  <si>
    <t xml:space="preserve">Regional Market Services</t>
  </si>
  <si>
    <t xml:space="preserve">Northeast</t>
  </si>
  <si>
    <t xml:space="preserve">CHE_Darby 073101 adj-opt premium</t>
  </si>
  <si>
    <t xml:space="preserve">Sage1</t>
  </si>
  <si>
    <t xml:space="preserve">Sage2</t>
  </si>
  <si>
    <t xml:space="preserve">Sage3</t>
  </si>
  <si>
    <t xml:space="preserve">Sage4</t>
  </si>
  <si>
    <t xml:space="preserve">Sage5</t>
  </si>
  <si>
    <t xml:space="preserve">American Express Credit Adjustment</t>
  </si>
  <si>
    <t xml:space="preserve">Robert Wood Johnson (Additional Sites)</t>
  </si>
  <si>
    <t xml:space="preserve">PJM</t>
  </si>
  <si>
    <t xml:space="preserve">CHE_Darby 073101*</t>
  </si>
  <si>
    <t xml:space="preserve">ED- East NE</t>
  </si>
  <si>
    <t xml:space="preserve">Verizon</t>
  </si>
  <si>
    <t xml:space="preserve">RMS-NE/ILL</t>
  </si>
  <si>
    <t xml:space="preserve">MG Industries</t>
  </si>
  <si>
    <t xml:space="preserve">Total Northeast</t>
  </si>
  <si>
    <t xml:space="preserve">Illinois</t>
  </si>
  <si>
    <t xml:space="preserve">City of Chicago</t>
  </si>
  <si>
    <t xml:space="preserve">IL</t>
  </si>
  <si>
    <t xml:space="preserve">Total Illinois</t>
  </si>
  <si>
    <t xml:space="preserve">Texas</t>
  </si>
  <si>
    <t xml:space="preserve">Lowes Home Centers 071201</t>
  </si>
  <si>
    <t xml:space="preserve">RMS-TX</t>
  </si>
  <si>
    <t xml:space="preserve">Total Texas</t>
  </si>
  <si>
    <t xml:space="preserve">California</t>
  </si>
  <si>
    <t xml:space="preserve">TABC</t>
  </si>
  <si>
    <t xml:space="preserve">Jack in the Box 082901</t>
  </si>
  <si>
    <t xml:space="preserve">Balta Food Group</t>
  </si>
  <si>
    <t xml:space="preserve">Balta Resturant</t>
  </si>
  <si>
    <t xml:space="preserve">BD BioSciences - PGE Secondary</t>
  </si>
  <si>
    <t xml:space="preserve">BK Fountain Valley Resturant</t>
  </si>
  <si>
    <t xml:space="preserve">Credit Write Off (Komag)</t>
  </si>
  <si>
    <t xml:space="preserve">Deal Mgmt  Mid Mkt Orig (Komag)</t>
  </si>
  <si>
    <t xml:space="preserve">American Stores (Albertson's)</t>
  </si>
  <si>
    <t xml:space="preserve">RMS-Cali</t>
  </si>
  <si>
    <t xml:space="preserve">Unisil and Tri Valley unwind</t>
  </si>
  <si>
    <t xml:space="preserve">Golden Bear</t>
  </si>
  <si>
    <t xml:space="preserve">Unwind American Stores (Albertson's)**</t>
  </si>
  <si>
    <t xml:space="preserve">Total California</t>
  </si>
  <si>
    <t xml:space="preserve">Total Regional Market Services</t>
  </si>
  <si>
    <t xml:space="preserve">Sourcing</t>
  </si>
  <si>
    <t xml:space="preserve">Origination adjustment on recision rights</t>
  </si>
  <si>
    <t xml:space="preserve">Total Energy Services</t>
  </si>
  <si>
    <t xml:space="preserve">Enron Direct USA</t>
  </si>
  <si>
    <t xml:space="preserve">Direct Sales:</t>
  </si>
  <si>
    <t xml:space="preserve">West:</t>
  </si>
  <si>
    <t xml:space="preserve">Lowes_092801</t>
  </si>
  <si>
    <t xml:space="preserve">GoodeCompany_092001</t>
  </si>
  <si>
    <t xml:space="preserve">Tricon</t>
  </si>
  <si>
    <t xml:space="preserve">Tricon_MissingSites_092101</t>
  </si>
  <si>
    <t xml:space="preserve">TX_MidMkt_092801</t>
  </si>
  <si>
    <t xml:space="preserve">HelfmanFord_Batch02</t>
  </si>
  <si>
    <t xml:space="preserve">HomeWoodSuites_092801</t>
  </si>
  <si>
    <t xml:space="preserve">LeadershipFord_091901</t>
  </si>
  <si>
    <t xml:space="preserve">MarsMusic_092401</t>
  </si>
  <si>
    <t xml:space="preserve">RiverOaks_Batch02</t>
  </si>
  <si>
    <t xml:space="preserve">SecondBaptistChurch_092401</t>
  </si>
  <si>
    <t xml:space="preserve">SouthernMultifoods_Additional_092001</t>
  </si>
  <si>
    <t xml:space="preserve">TravisAveBaptistChurch_091801</t>
  </si>
  <si>
    <t xml:space="preserve">Intuit</t>
  </si>
  <si>
    <t xml:space="preserve">Eagle Electronics</t>
  </si>
  <si>
    <t xml:space="preserve">PrestonwoodBaptistChurch_Additional_091301</t>
  </si>
  <si>
    <t xml:space="preserve">IL_MidMkt_AdvancedArenas_090701</t>
  </si>
  <si>
    <t xml:space="preserve">TX_MidMkt_Auchan_091701</t>
  </si>
  <si>
    <t xml:space="preserve">TX_MidMkt_DePelchin_091701</t>
  </si>
  <si>
    <t xml:space="preserve">TX_MidMkt_Goldberg Towers_091101</t>
  </si>
  <si>
    <t xml:space="preserve">TX_MidMkt_BallIndustries_090701</t>
  </si>
  <si>
    <t xml:space="preserve">TX_MidMkt_Breadwinners_090701</t>
  </si>
  <si>
    <t xml:space="preserve">TX_MidMkt_Chucks_090601</t>
  </si>
  <si>
    <t xml:space="preserve">TX_MidMkt_RansomManagement_090701</t>
  </si>
  <si>
    <t xml:space="preserve">KeheFoods_083001</t>
  </si>
  <si>
    <t xml:space="preserve">TX MidMkt_KRTS 082401</t>
  </si>
  <si>
    <t xml:space="preserve">TX MidMkt_Leiserve_082701</t>
  </si>
  <si>
    <t xml:space="preserve">TX MidMkt_Austaco 083001</t>
  </si>
  <si>
    <t xml:space="preserve">TX MidMkt_Home&amp;Hearth 083101</t>
  </si>
  <si>
    <t xml:space="preserve">TX MidMkt_Noel Furniture_Late82801</t>
  </si>
  <si>
    <t xml:space="preserve">TX MidMkt_Timberland_082901 (Timber Blind)</t>
  </si>
  <si>
    <t xml:space="preserve">Texas MidMkt_Oak Condiminiums 082101</t>
  </si>
  <si>
    <t xml:space="preserve">Gulf Pacific (Amendment)</t>
  </si>
  <si>
    <t xml:space="preserve">JohnSoules 081501 (Additional Sites)</t>
  </si>
  <si>
    <t xml:space="preserve">TX Mid Market - U.S. Contractors</t>
  </si>
  <si>
    <t xml:space="preserve">TX Mid Market - GreenAcres 081301</t>
  </si>
  <si>
    <t xml:space="preserve">Texas Mid Mkt Oak Street Apartments 080901</t>
  </si>
  <si>
    <t xml:space="preserve">Texas Mid Mkt 11211South Post Oak 080801</t>
  </si>
  <si>
    <t xml:space="preserve">Texas Mid Mkt _6922 South Loop East Apartments</t>
  </si>
  <si>
    <t xml:space="preserve">Gulf Pacific</t>
  </si>
  <si>
    <t xml:space="preserve">ED - West CA</t>
  </si>
  <si>
    <t xml:space="preserve">Universal Form Clamp</t>
  </si>
  <si>
    <t xml:space="preserve">ED - West IL</t>
  </si>
  <si>
    <t xml:space="preserve">Campbell Motel Prop</t>
  </si>
  <si>
    <t xml:space="preserve">ED - West TX</t>
  </si>
  <si>
    <t xml:space="preserve">Tricon TX</t>
  </si>
  <si>
    <t xml:space="preserve">Tricon CA</t>
  </si>
  <si>
    <t xml:space="preserve">Hyatt Regency (Houston)</t>
  </si>
  <si>
    <t xml:space="preserve">Hyatt Airport</t>
  </si>
  <si>
    <t xml:space="preserve">Numerical Precision</t>
  </si>
  <si>
    <t xml:space="preserve">Prestonwood Baptist Church (TXU)</t>
  </si>
  <si>
    <t xml:space="preserve">Studewood Management (Reliant)</t>
  </si>
  <si>
    <t xml:space="preserve">Unwind Studewood Management</t>
  </si>
  <si>
    <t xml:space="preserve">Lenore Properties Inc. (Reliant)</t>
  </si>
  <si>
    <t xml:space="preserve">OSI Group/Nation Pizza - IL</t>
  </si>
  <si>
    <t xml:space="preserve">St. James Council Credit Revision</t>
  </si>
  <si>
    <t xml:space="preserve">Partial Unwind Lenore Properties</t>
  </si>
  <si>
    <t xml:space="preserve">Belfort Villa Apartments L.P. (Reliant)</t>
  </si>
  <si>
    <t xml:space="preserve">Komet of America</t>
  </si>
  <si>
    <t xml:space="preserve">Five Star Laundry</t>
  </si>
  <si>
    <t xml:space="preserve">Large Commodity Gas - West</t>
  </si>
  <si>
    <t xml:space="preserve">California Gas Deals (See Unwind Detail)***</t>
  </si>
  <si>
    <t xml:space="preserve">Origination Release Nooter Fabricators - Gas</t>
  </si>
  <si>
    <t xml:space="preserve">Agency Fees - Gas</t>
  </si>
  <si>
    <t xml:space="preserve">Mid-Market Gas - Illinios</t>
  </si>
  <si>
    <t xml:space="preserve">Mid-Market Gas - California</t>
  </si>
  <si>
    <t xml:space="preserve">Total West </t>
  </si>
  <si>
    <t xml:space="preserve">East:</t>
  </si>
  <si>
    <t xml:space="preserve">GSCorp_091901</t>
  </si>
  <si>
    <t xml:space="preserve">Leiserv_092001</t>
  </si>
  <si>
    <t xml:space="preserve">Leiserve_092101</t>
  </si>
  <si>
    <t xml:space="preserve">RamAssociates_092401</t>
  </si>
  <si>
    <t xml:space="preserve">RiverTerminal_092801</t>
  </si>
  <si>
    <t xml:space="preserve">Cypriania_092101</t>
  </si>
  <si>
    <t xml:space="preserve">Leiserv_092101</t>
  </si>
  <si>
    <t xml:space="preserve">OakwoodLanes_092601</t>
  </si>
  <si>
    <t xml:space="preserve">Speedwash_091801</t>
  </si>
  <si>
    <t xml:space="preserve">Brunswick</t>
  </si>
  <si>
    <t xml:space="preserve">Childrens Medical</t>
  </si>
  <si>
    <t xml:space="preserve">Morris</t>
  </si>
  <si>
    <t xml:space="preserve">Peerless_092001</t>
  </si>
  <si>
    <t xml:space="preserve">A&amp;A_092601</t>
  </si>
  <si>
    <t xml:space="preserve">Cersosimo Lumber</t>
  </si>
  <si>
    <t xml:space="preserve">John Lane</t>
  </si>
  <si>
    <t xml:space="preserve">NEPOOL</t>
  </si>
  <si>
    <t xml:space="preserve">RodneyHunt_Batch02</t>
  </si>
  <si>
    <t xml:space="preserve">Beninson_091301</t>
  </si>
  <si>
    <t xml:space="preserve">NHE</t>
  </si>
  <si>
    <t xml:space="preserve">RomaFoods_091301</t>
  </si>
  <si>
    <t xml:space="preserve">AM_Properties_083101</t>
  </si>
  <si>
    <t xml:space="preserve">BridgewaterIceArena 082201</t>
  </si>
  <si>
    <t xml:space="preserve">ClearviewNursingHome</t>
  </si>
  <si>
    <t xml:space="preserve">Engelside 083101</t>
  </si>
  <si>
    <t xml:space="preserve">Hebrew Hospital 082901</t>
  </si>
  <si>
    <t xml:space="preserve">SilverBarn</t>
  </si>
  <si>
    <t xml:space="preserve">Howland Hook</t>
  </si>
  <si>
    <t xml:space="preserve">Bob Evans Farms - Gas</t>
  </si>
  <si>
    <t xml:space="preserve">ED - East MA</t>
  </si>
  <si>
    <t xml:space="preserve">Hyatt Residence Center</t>
  </si>
  <si>
    <t xml:space="preserve">Boston Properties 2</t>
  </si>
  <si>
    <t xml:space="preserve">ED- East MA</t>
  </si>
  <si>
    <t xml:space="preserve">NEPOOL (MA)</t>
  </si>
  <si>
    <t xml:space="preserve">Town of Sturbridge</t>
  </si>
  <si>
    <t xml:space="preserve">Beech Hills (MidMkt) 07/27/01</t>
  </si>
  <si>
    <t xml:space="preserve">Classic Residence by Hyatt 072301</t>
  </si>
  <si>
    <t xml:space="preserve">Large Commodity Gas - East</t>
  </si>
  <si>
    <t xml:space="preserve">Mid-Market Gas - Mid-Atlantic</t>
  </si>
  <si>
    <t xml:space="preserve">Mid-Market Gas - Northeast</t>
  </si>
  <si>
    <t xml:space="preserve">Total East </t>
  </si>
  <si>
    <t xml:space="preserve">Agent Network Channel</t>
  </si>
  <si>
    <t xml:space="preserve">Tricon TXU</t>
  </si>
  <si>
    <t xml:space="preserve">TX MidMkt_B&amp;G_082401</t>
  </si>
  <si>
    <t xml:space="preserve">TX MidMkt_Espinosa Pizza 082401</t>
  </si>
  <si>
    <t xml:space="preserve">TX MidMkt_Fields_082401</t>
  </si>
  <si>
    <t xml:space="preserve">TX MidMkt_Hospitality_082401</t>
  </si>
  <si>
    <t xml:space="preserve">TX MidMkt_Mallen_082401</t>
  </si>
  <si>
    <t xml:space="preserve">TX MidMkt_RGV_082401</t>
  </si>
  <si>
    <t xml:space="preserve">TX MidMkt_AmericasPizzaCompany 082401</t>
  </si>
  <si>
    <t xml:space="preserve">TX MidMkt_AmericasPizzaPartners 082401</t>
  </si>
  <si>
    <t xml:space="preserve">TX MidMkt_DaisyFoods_082401</t>
  </si>
  <si>
    <t xml:space="preserve">TX MidMkt_KormexFoods 082401</t>
  </si>
  <si>
    <t xml:space="preserve">TX MidMkt_ProgressivePizzaPartners 082401</t>
  </si>
  <si>
    <t xml:space="preserve">TX MidMkt_RestaurantSystems 082401</t>
  </si>
  <si>
    <t xml:space="preserve">TX MidMkt_SouthernMultifoods 082801</t>
  </si>
  <si>
    <t xml:space="preserve">TX MidMkt_TenKil 082401</t>
  </si>
  <si>
    <t xml:space="preserve">NY_FIA_Bivco 082901</t>
  </si>
  <si>
    <t xml:space="preserve">MECC 12 Month - B &amp; E (LaValley, Hardwood, Pratt &amp; Whitney) </t>
  </si>
  <si>
    <t xml:space="preserve">MECC_R&amp;V Industries 072701</t>
  </si>
  <si>
    <t xml:space="preserve">3rd Party</t>
  </si>
  <si>
    <t xml:space="preserve">Rich Tool &amp; Dye</t>
  </si>
  <si>
    <t xml:space="preserve">FIA - Fast Break Food Stores Unwind</t>
  </si>
  <si>
    <t xml:space="preserve">Aggregation</t>
  </si>
  <si>
    <t xml:space="preserve">FIA - 9530 Food Corp Unwind</t>
  </si>
  <si>
    <t xml:space="preserve">Pola_082001</t>
  </si>
  <si>
    <t xml:space="preserve">Haverhill Site Unwind (Daniel Chansky)</t>
  </si>
  <si>
    <t xml:space="preserve">Unwind NSA - Teofilo de Jesus</t>
  </si>
  <si>
    <t xml:space="preserve">Unwind NSA - Edwin Sanchez</t>
  </si>
  <si>
    <t xml:space="preserve">Unwind NSA - Fernando Diaz</t>
  </si>
  <si>
    <t xml:space="preserve">Unwind NSA - Hector Bueno</t>
  </si>
  <si>
    <t xml:space="preserve">Unwind NSA - Juan Bautista</t>
  </si>
  <si>
    <t xml:space="preserve">Unwind NSA - Juan Y. Diaz</t>
  </si>
  <si>
    <t xml:space="preserve">Unwind NSA - Nelson Diaz - 1</t>
  </si>
  <si>
    <t xml:space="preserve">Unwind NSA - Nicolas Lopez</t>
  </si>
  <si>
    <t xml:space="preserve">Unwind NSA - Paul Fernandez</t>
  </si>
  <si>
    <t xml:space="preserve">Unwind NSA - Rafael Roca</t>
  </si>
  <si>
    <t xml:space="preserve">Unwind NSA - Shana Benoit</t>
  </si>
  <si>
    <t xml:space="preserve">Unwind NSA - Danilo Espinal</t>
  </si>
  <si>
    <t xml:space="preserve">Total CES</t>
  </si>
  <si>
    <t xml:space="preserve">Unwind CES55_Chancellor Garden of Cape Elizabeth</t>
  </si>
  <si>
    <t xml:space="preserve">Unwind CES58_BJ's Market</t>
  </si>
  <si>
    <t xml:space="preserve">CES60_Lo&amp;To_BHE_091801</t>
  </si>
  <si>
    <t xml:space="preserve">CES64_Super8_NEPOOL_092601</t>
  </si>
  <si>
    <t xml:space="preserve">CES64_YorkCommunityActionGroup_CMP_092701</t>
  </si>
  <si>
    <t xml:space="preserve">CES65_bangorTruck&amp;Trailer_CMP_092801</t>
  </si>
  <si>
    <t xml:space="preserve">CES65_HighChevroletBuick_CMP_092801</t>
  </si>
  <si>
    <t xml:space="preserve">CES65_NortheastWoodTurning_CMP_092801</t>
  </si>
  <si>
    <t xml:space="preserve">CES65_Sowbrookcondo_NEPOOL_092601</t>
  </si>
  <si>
    <t xml:space="preserve">CES59_LisbonRestaurants_BHE_091201</t>
  </si>
  <si>
    <t xml:space="preserve">CES59_Romeos_CMP_091201</t>
  </si>
  <si>
    <t xml:space="preserve">CES_54_Maine State Retirement Systems_CMP 082401</t>
  </si>
  <si>
    <t xml:space="preserve">CES54_RHFosterEnergy_BHE 082401</t>
  </si>
  <si>
    <t xml:space="preserve">CES54_RHFosterEnergy_CMP 082401</t>
  </si>
  <si>
    <t xml:space="preserve">CES55_ChancellorGardens 082801</t>
  </si>
  <si>
    <t xml:space="preserve">CES56_MorrisYachts_BHE 082901</t>
  </si>
  <si>
    <t xml:space="preserve">CES57_DaigleOil_BHE 083001</t>
  </si>
  <si>
    <t xml:space="preserve">CES57_REHemondFarm_CMP_083001</t>
  </si>
  <si>
    <t xml:space="preserve">CES58_BJWinner_BHE 083101</t>
  </si>
  <si>
    <t xml:space="preserve">CES58_SureWinner_CMP 083101</t>
  </si>
  <si>
    <t xml:space="preserve">Unwind CES46 Extra Term</t>
  </si>
  <si>
    <t xml:space="preserve">Unwind CES49 Kinsley Bond Extra Term</t>
  </si>
  <si>
    <t xml:space="preserve">CES49_Kingsley Pond_CMP</t>
  </si>
  <si>
    <t xml:space="preserve">CES49_Kingsley Pond_BHE_September 03 Addition</t>
  </si>
  <si>
    <t xml:space="preserve">CES51_Walls Electric_BHE</t>
  </si>
  <si>
    <t xml:space="preserve">CES51_BarharborQualityInn_BHE 082001</t>
  </si>
  <si>
    <t xml:space="preserve">CES52_BarberFoods 081501</t>
  </si>
  <si>
    <t xml:space="preserve">CES53_GrowTechInc(DivisionofRynel,Inc) 082201</t>
  </si>
  <si>
    <t xml:space="preserve">CES46_MaineMidMkt_September01</t>
  </si>
  <si>
    <t xml:space="preserve">CES53_Zbrothers Inc 082201</t>
  </si>
  <si>
    <t xml:space="preserve">CES48_Custom Banner and Graphics</t>
  </si>
  <si>
    <t xml:space="preserve">CES49_KinsleyPond_BHE 081501</t>
  </si>
  <si>
    <t xml:space="preserve">CES49_KinsleyPond_CMP 081501</t>
  </si>
  <si>
    <t xml:space="preserve">CES_50_James Newspaper 081701</t>
  </si>
  <si>
    <t xml:space="preserve">CES46_Falcon Rule_080101</t>
  </si>
  <si>
    <t xml:space="preserve">CES46_Hotel Equities Days Inn 080101</t>
  </si>
  <si>
    <t xml:space="preserve">CES46_Howell's Travel Shop 080101</t>
  </si>
  <si>
    <t xml:space="preserve">CES46_Lodging Comfort Inn 080101</t>
  </si>
  <si>
    <t xml:space="preserve">CES46_Lodging Inequities Econo Lodge 080101</t>
  </si>
  <si>
    <t xml:space="preserve">CES46_Megquire Hill Farm 080101</t>
  </si>
  <si>
    <t xml:space="preserve">CES46_Saco (Scarborough) Sport and Fitness 080101</t>
  </si>
  <si>
    <t xml:space="preserve">CES46_Saco Sport and Fitness 080101</t>
  </si>
  <si>
    <t xml:space="preserve">CES46_Sam's Italian Foods 080101</t>
  </si>
  <si>
    <t xml:space="preserve">CES46_Dunlop Corporation 080101</t>
  </si>
  <si>
    <t xml:space="preserve">CES47_York Harbor Inn 080601</t>
  </si>
  <si>
    <t xml:space="preserve">CES 38 - Transparent Audio Inc.</t>
  </si>
  <si>
    <t xml:space="preserve">Agent</t>
  </si>
  <si>
    <t xml:space="preserve">CES 38 - Lafayette Waterville</t>
  </si>
  <si>
    <t xml:space="preserve">CES 38 - Clean Harbors Environment</t>
  </si>
  <si>
    <t xml:space="preserve">Unwind CES38 - Clean Harbor Environment</t>
  </si>
  <si>
    <t xml:space="preserve">Unwind CES38 - Blue Star Grille</t>
  </si>
  <si>
    <t xml:space="preserve">Unwind CES41 - High Partners</t>
  </si>
  <si>
    <t xml:space="preserve">CES 42 - Maine Recycling Corp 072401</t>
  </si>
  <si>
    <t xml:space="preserve">CES 42 - Oriental Jade Restaurant 072401</t>
  </si>
  <si>
    <t xml:space="preserve">CES 42 - WLBZ 072401</t>
  </si>
  <si>
    <t xml:space="preserve">CES 42 - Anchoragelnn 072401</t>
  </si>
  <si>
    <t xml:space="preserve">CES 42 - Inn at Long Sands</t>
  </si>
  <si>
    <t xml:space="preserve">CES42_Gagne Precast Concrete Products_072401</t>
  </si>
  <si>
    <t xml:space="preserve">CES42_Best Western Manor_072401</t>
  </si>
  <si>
    <t xml:space="preserve">CES44_BernsteinShurSawyer and Nelson_072601</t>
  </si>
  <si>
    <t xml:space="preserve">CES44_Returnable Services_072601</t>
  </si>
  <si>
    <t xml:space="preserve">CES43 - Colette Donut Shoppe</t>
  </si>
  <si>
    <t xml:space="preserve">CES43 - Acadia Insurance Company</t>
  </si>
  <si>
    <t xml:space="preserve">CES45-St. Andre Health Care Facility</t>
  </si>
  <si>
    <t xml:space="preserve">CES45-Auburn Manufacturing</t>
  </si>
  <si>
    <t xml:space="preserve">CES45-GreenMill Corp.</t>
  </si>
  <si>
    <t xml:space="preserve">CES45-Port Harbor Marine Inc</t>
  </si>
  <si>
    <t xml:space="preserve">CES45-Pat's Pizza of Auburn</t>
  </si>
  <si>
    <t xml:space="preserve">CES 38 - Set Blue Star Grille</t>
  </si>
  <si>
    <t xml:space="preserve">Unwind CES21 - Pat's Pizza of Scarborough</t>
  </si>
  <si>
    <t xml:space="preserve">CES_Greene IGA</t>
  </si>
  <si>
    <t xml:space="preserve">CES_Sabago</t>
  </si>
  <si>
    <t xml:space="preserve">CES_Bessey Motor Sales</t>
  </si>
  <si>
    <t xml:space="preserve">CES_Northgate</t>
  </si>
  <si>
    <t xml:space="preserve">CES_Clean Harbors Environment Rebook</t>
  </si>
  <si>
    <t xml:space="preserve">CES_Lafayette Waterville Rebook</t>
  </si>
  <si>
    <t xml:space="preserve">CES_Transparent Audio Rebook</t>
  </si>
  <si>
    <t xml:space="preserve">CES 40th Set - High Chevrolet Pontiac</t>
  </si>
  <si>
    <t xml:space="preserve">CES 40th Set - High Chevrolet Buick</t>
  </si>
  <si>
    <t xml:space="preserve">Unwind CES38 - Lafayette Waterville, Inc.</t>
  </si>
  <si>
    <t xml:space="preserve">Unwind CES38 - Transparent Audio, Inc.</t>
  </si>
  <si>
    <t xml:space="preserve">CES_Greene IGA Reversal</t>
  </si>
  <si>
    <t xml:space="preserve">CES_Greene IGA Revision</t>
  </si>
  <si>
    <t xml:space="preserve">Unwind CES - Clean Harbor Environment</t>
  </si>
  <si>
    <t xml:space="preserve">Total NSA 7/19/01</t>
  </si>
  <si>
    <t xml:space="preserve">Unwind FIA - Empire Supermarket</t>
  </si>
  <si>
    <t xml:space="preserve">Unwind FIA - Jason Ferreira</t>
  </si>
  <si>
    <t xml:space="preserve">Unwind FIA - Blue Giant Food Corp</t>
  </si>
  <si>
    <t xml:space="preserve">Unwind FIA - 8772 Meat Corp</t>
  </si>
  <si>
    <t xml:space="preserve">Unwind FIA - Zakat Food Corp</t>
  </si>
  <si>
    <t xml:space="preserve">Unwind FIA - 597 Food Corp</t>
  </si>
  <si>
    <t xml:space="preserve">Unwind FIA - Baychester Supermarket</t>
  </si>
  <si>
    <t xml:space="preserve">Unwind FIA - C Town 108-30 Meat Corp</t>
  </si>
  <si>
    <t xml:space="preserve">Unwind FIA - C Town </t>
  </si>
  <si>
    <t xml:space="preserve">Unwind FIA - JD 145 Meat Corp/Fine Fare </t>
  </si>
  <si>
    <t xml:space="preserve">Unwind FIA - JD Washington Food Corp</t>
  </si>
  <si>
    <t xml:space="preserve">Unwind FIA - Lucky Spot Food Corp</t>
  </si>
  <si>
    <t xml:space="preserve">Unwind FIA - P J Meat &amp; Produce</t>
  </si>
  <si>
    <t xml:space="preserve">Unwind FIA - Reisi Food Market, Inc.</t>
  </si>
  <si>
    <t xml:space="preserve">Unwind FIA -S&amp;S Food LLC</t>
  </si>
  <si>
    <t xml:space="preserve">Unwind FIA - Sea Gate Food</t>
  </si>
  <si>
    <t xml:space="preserve">Unwind FIA - Shapla of Ridgewood</t>
  </si>
  <si>
    <t xml:space="preserve">Unwind FIA - T&amp;C Food Corp</t>
  </si>
  <si>
    <t xml:space="preserve">Unwind FIA - 56X Grocery Inc.</t>
  </si>
  <si>
    <t xml:space="preserve">Total FIA 7/19/01</t>
  </si>
  <si>
    <r>
      <rPr>
        <sz val="12"/>
        <color rgb="FF000000"/>
        <rFont val="Arial"/>
        <family val="2"/>
      </rPr>
      <t xml:space="preserve">Agent Gas </t>
    </r>
    <r>
      <rPr>
        <sz val="10"/>
        <color rgb="FF000000"/>
        <rFont val="Arial"/>
        <family val="2"/>
      </rPr>
      <t xml:space="preserve">(combined with E-Channel Gas)</t>
    </r>
  </si>
  <si>
    <t xml:space="preserve">Aggregation Gas</t>
  </si>
  <si>
    <t xml:space="preserve">Total Agent Network Channel</t>
  </si>
  <si>
    <t xml:space="preserve">E-Channel (Lowney):</t>
  </si>
  <si>
    <t xml:space="preserve">E-Channel Gas</t>
  </si>
  <si>
    <t xml:space="preserve">Interpolymer Corporation 082401</t>
  </si>
  <si>
    <t xml:space="preserve">Lantor MA 082701</t>
  </si>
  <si>
    <t xml:space="preserve">Axcel Photonics_072701</t>
  </si>
  <si>
    <t xml:space="preserve">   Total E-Channel</t>
  </si>
  <si>
    <t xml:space="preserve">Third Party Sales (Bertasi):</t>
  </si>
  <si>
    <t xml:space="preserve">Total Mass Market West</t>
  </si>
  <si>
    <t xml:space="preserve">TX_MassMkt_CAD_092401</t>
  </si>
  <si>
    <t xml:space="preserve">Tx_MassMkt_HLP_091401</t>
  </si>
  <si>
    <t xml:space="preserve">TX_MassMkt_HLP_091801</t>
  </si>
  <si>
    <t xml:space="preserve">TX_MassMkt_HLP_091901</t>
  </si>
  <si>
    <t xml:space="preserve">TX_MassMkt_HLP_092101</t>
  </si>
  <si>
    <t xml:space="preserve">TX_MassMkt_HLP_092401</t>
  </si>
  <si>
    <t xml:space="preserve">TX_MassMkt_HLP_092501</t>
  </si>
  <si>
    <t xml:space="preserve">TX_MassMkt_HLP_092601</t>
  </si>
  <si>
    <t xml:space="preserve">TX_MassMkt_HLP_092701</t>
  </si>
  <si>
    <t xml:space="preserve">TX_MassMkt_TNP_092001</t>
  </si>
  <si>
    <t xml:space="preserve">TX_MassMkt_TNP_092101</t>
  </si>
  <si>
    <t xml:space="preserve">Tx_MassMkt_TNPNorth_092601</t>
  </si>
  <si>
    <t xml:space="preserve">TX_MassMkt_TNPNorth_092701</t>
  </si>
  <si>
    <t xml:space="preserve">TX_MassMkt_TNPNorth_092801</t>
  </si>
  <si>
    <t xml:space="preserve">TX_MassMkt_TNPSouth_092701</t>
  </si>
  <si>
    <t xml:space="preserve">Tx_MassMkt_TXU_091701</t>
  </si>
  <si>
    <t xml:space="preserve">Tx_MassMkt_TXU_091801</t>
  </si>
  <si>
    <t xml:space="preserve">Tx_MassMkt_TXU_091901</t>
  </si>
  <si>
    <t xml:space="preserve">TX_MassMkt_TXU_092001</t>
  </si>
  <si>
    <t xml:space="preserve">TX_MassMkt_TXU_092101</t>
  </si>
  <si>
    <t xml:space="preserve">TX_MassMkt_TXU_092401</t>
  </si>
  <si>
    <t xml:space="preserve">TX_MassMkt_TXU_092501</t>
  </si>
  <si>
    <t xml:space="preserve">TX_MassMkt_TXU_092601</t>
  </si>
  <si>
    <t xml:space="preserve">TX_MassMkt_TXU_092701</t>
  </si>
  <si>
    <t xml:space="preserve">Tx_MassMlt_TNPSouth_092601</t>
  </si>
  <si>
    <t xml:space="preserve">TX_MassMkt_091001</t>
  </si>
  <si>
    <t xml:space="preserve">TX_MassMkt_091201</t>
  </si>
  <si>
    <t xml:space="preserve">TX_MassMkt_091301</t>
  </si>
  <si>
    <t xml:space="preserve">TX_MassMkt_HLP_091701</t>
  </si>
  <si>
    <t xml:space="preserve">Tx_MassMkt_Txu_091301</t>
  </si>
  <si>
    <t xml:space="preserve">TX_MassMkt_Txu_091401</t>
  </si>
  <si>
    <t xml:space="preserve">TX_MassMkt_090401</t>
  </si>
  <si>
    <t xml:space="preserve">TX_MassMkt_090501</t>
  </si>
  <si>
    <t xml:space="preserve">TX_MassMkt_090601</t>
  </si>
  <si>
    <t xml:space="preserve">TX_MassMkt_090701</t>
  </si>
  <si>
    <t xml:space="preserve">TX_MassMkt 083001</t>
  </si>
  <si>
    <t xml:space="preserve">TX_MassMkt 083101</t>
  </si>
  <si>
    <t xml:space="preserve">Total Mass Market East</t>
  </si>
  <si>
    <t xml:space="preserve">MA_MassMkt_BECO_091801</t>
  </si>
  <si>
    <t xml:space="preserve">MA_MassMkt_BECO_091801_1</t>
  </si>
  <si>
    <t xml:space="preserve">MA_MassMkt_BECO_091801_2</t>
  </si>
  <si>
    <t xml:space="preserve">MA_MassMkt_BECO_091801_3</t>
  </si>
  <si>
    <t xml:space="preserve">MA_MassMkt_BECO_091801_4</t>
  </si>
  <si>
    <t xml:space="preserve">MA_MassMkt_BECO_091801_5</t>
  </si>
  <si>
    <t xml:space="preserve">MA_MassMkt_BECO_091901</t>
  </si>
  <si>
    <t xml:space="preserve">MA_MassMkt_BECO_092001</t>
  </si>
  <si>
    <t xml:space="preserve">MA_MassMkt_BECO_092101</t>
  </si>
  <si>
    <t xml:space="preserve">MA_MassMkt_BECO_092401_Agg</t>
  </si>
  <si>
    <t xml:space="preserve">MA_MassMkt_BECO_092501</t>
  </si>
  <si>
    <t xml:space="preserve">MA_MassMkt_BECO_092601</t>
  </si>
  <si>
    <t xml:space="preserve">MA_MassMkt_BECO_092701</t>
  </si>
  <si>
    <t xml:space="preserve">MA_MassMkt_BECO_092801</t>
  </si>
  <si>
    <t xml:space="preserve">MA_MassMkt_MECO_091801-1</t>
  </si>
  <si>
    <t xml:space="preserve">MA_MassMkt_MECO_091801-2</t>
  </si>
  <si>
    <t xml:space="preserve">MA_MassMkt_MECO_091801-3</t>
  </si>
  <si>
    <t xml:space="preserve">MA_MassMkt_MECO_091801-4</t>
  </si>
  <si>
    <t xml:space="preserve">MA_MassMkt_MECO_091801-5</t>
  </si>
  <si>
    <t xml:space="preserve">MA_MassMkt_MECO_092001</t>
  </si>
  <si>
    <t xml:space="preserve">MA_MassMkt_MECO_092101</t>
  </si>
  <si>
    <t xml:space="preserve">MA_MassMkt_MECO_092401</t>
  </si>
  <si>
    <t xml:space="preserve">MA_MassMkt_MECO_092401_1</t>
  </si>
  <si>
    <t xml:space="preserve">MA_MassMkt_MECO_092501</t>
  </si>
  <si>
    <t xml:space="preserve">MA_MassMkt_MECO_092601</t>
  </si>
  <si>
    <t xml:space="preserve">MA_MassMkt_MECO_092701</t>
  </si>
  <si>
    <t xml:space="preserve">MA_MassMkt_MECO_092801</t>
  </si>
  <si>
    <t xml:space="preserve">MA_MassMkt_MECO_1_092001</t>
  </si>
  <si>
    <t xml:space="preserve">MassMkt_MECO_091801</t>
  </si>
  <si>
    <t xml:space="preserve">MassMkt_MECO_091901</t>
  </si>
  <si>
    <t xml:space="preserve">NY_MassMkt_09_19_01</t>
  </si>
  <si>
    <t xml:space="preserve">NY_MassMkt_091201(from 091101)</t>
  </si>
  <si>
    <t xml:space="preserve">Ny_MassMkt_091701_b2nd</t>
  </si>
  <si>
    <t xml:space="preserve">NY_MassMkt_092001</t>
  </si>
  <si>
    <t xml:space="preserve">NY_MassMkt_092101</t>
  </si>
  <si>
    <t xml:space="preserve">Ny_MassMkt_092401</t>
  </si>
  <si>
    <t xml:space="preserve">NY_MassMkt_092401</t>
  </si>
  <si>
    <t xml:space="preserve">NY_MassMkt_092501_b</t>
  </si>
  <si>
    <t xml:space="preserve">NY_MassMkt_092601</t>
  </si>
  <si>
    <t xml:space="preserve">NY_MassMkt_092801</t>
  </si>
  <si>
    <t xml:space="preserve">NY_MassMkt_b</t>
  </si>
  <si>
    <t xml:space="preserve">NY_MassMkt_Salience_091801</t>
  </si>
  <si>
    <t xml:space="preserve">Ny_MassMkt_Talent Tree_091801</t>
  </si>
  <si>
    <t xml:space="preserve">Partial Unwind MA_MassMkt_MECO_081501</t>
  </si>
  <si>
    <t xml:space="preserve">Unwind MA_MassMkt_Term Adj</t>
  </si>
  <si>
    <t xml:space="preserve">Ny_MassMkt_091001</t>
  </si>
  <si>
    <t xml:space="preserve">Ny_massMkt_091201</t>
  </si>
  <si>
    <t xml:space="preserve">NY_MassMkt_091301</t>
  </si>
  <si>
    <t xml:space="preserve">NY_MassMkt_091401</t>
  </si>
  <si>
    <t xml:space="preserve">NY_MassMkt_OldDeals_091701</t>
  </si>
  <si>
    <t xml:space="preserve">MA_Mass Mkt_Beco_082901_October</t>
  </si>
  <si>
    <t xml:space="preserve">MA_Mass Mkt_Beco_083001_October</t>
  </si>
  <si>
    <t xml:space="preserve">MA_Mass Mkt_Beco_083101_October</t>
  </si>
  <si>
    <t xml:space="preserve">MA_Mass Mkt_Beco_090401_October</t>
  </si>
  <si>
    <t xml:space="preserve">MA_Mass Mkt_Beco_090501_October</t>
  </si>
  <si>
    <t xml:space="preserve">MA_Mass Mkt_Beco_090601_October</t>
  </si>
  <si>
    <t xml:space="preserve">MA_Mass Mkt_Meco_082901_October</t>
  </si>
  <si>
    <t xml:space="preserve">MA_Mass Mkt_Meco_083101_October</t>
  </si>
  <si>
    <t xml:space="preserve">MA_Mass Mkt_Meco_084101_October</t>
  </si>
  <si>
    <t xml:space="preserve">MA_Mass Mkt_Meco_090401_October</t>
  </si>
  <si>
    <t xml:space="preserve">MA_Mass Mkt_Meco_090501_October</t>
  </si>
  <si>
    <t xml:space="preserve">MA_Mass Mkt_Meco_090601_October</t>
  </si>
  <si>
    <t xml:space="preserve">MA_MassMkt_BECO_091001</t>
  </si>
  <si>
    <t xml:space="preserve">MA_MassMkt_BECO_091401</t>
  </si>
  <si>
    <t xml:space="preserve">MA_MassMkt_MECO_082301 - Dynawave Incop. Adj.</t>
  </si>
  <si>
    <t xml:space="preserve">MA_MassMkt_MECO_091001</t>
  </si>
  <si>
    <t xml:space="preserve">MA_MassMkt_MECO_091401</t>
  </si>
  <si>
    <t xml:space="preserve">MA_MassMkt_090701 (MECO)</t>
  </si>
  <si>
    <t xml:space="preserve">MA_MassMkt_BECO_090401</t>
  </si>
  <si>
    <t xml:space="preserve">MA_MassMkt_BECO_090501</t>
  </si>
  <si>
    <t xml:space="preserve">MA_MassMkt_BECO_09061</t>
  </si>
  <si>
    <t xml:space="preserve">MA_MassMkt_MECO_090401</t>
  </si>
  <si>
    <t xml:space="preserve">MA_MassMkt_MECO_090501</t>
  </si>
  <si>
    <t xml:space="preserve">MA_MassMkt_MECO_090601</t>
  </si>
  <si>
    <t xml:space="preserve">NY_MassMkt__090501</t>
  </si>
  <si>
    <t xml:space="preserve">NY_MassMkt_090401</t>
  </si>
  <si>
    <t xml:space="preserve">NY_MassMkt_090601</t>
  </si>
  <si>
    <t xml:space="preserve">NY_MassMkt_090701</t>
  </si>
  <si>
    <t xml:space="preserve">NY_MassMkt_AdditionalSites_090401</t>
  </si>
  <si>
    <t xml:space="preserve">NY_MassMkt_CAD_090401</t>
  </si>
  <si>
    <t xml:space="preserve">MA MassMkt_BECO_Late 82301</t>
  </si>
  <si>
    <t xml:space="preserve">MA_MassMkt_BECO 080801</t>
  </si>
  <si>
    <t xml:space="preserve">MA_MassMkt_BECO 082001_data from bill</t>
  </si>
  <si>
    <t xml:space="preserve">MA_MassMkt_BECO 082901</t>
  </si>
  <si>
    <t xml:space="preserve">MA_MassMkt_BECO 083001</t>
  </si>
  <si>
    <t xml:space="preserve">MA_MassMkt_BECO 083101</t>
  </si>
  <si>
    <t xml:space="preserve">MA_MassMkt_BECO 81301_EDI</t>
  </si>
  <si>
    <t xml:space="preserve">MA_MassMkt_BECO 82401</t>
  </si>
  <si>
    <t xml:space="preserve">MA_MassMKt_BECO 82701</t>
  </si>
  <si>
    <t xml:space="preserve">MA_MassMkt_BECO_080901.edi</t>
  </si>
  <si>
    <t xml:space="preserve">MA_MassMkt_BECO_DATA from Bill_081601</t>
  </si>
  <si>
    <t xml:space="preserve">MA_MassMkt_BECO_Late 081701_EDI</t>
  </si>
  <si>
    <t xml:space="preserve">MA_MassMkt_BECO_Late_081401_EDI</t>
  </si>
  <si>
    <t xml:space="preserve">MA_MassMkt_BECO_Late82801</t>
  </si>
  <si>
    <t xml:space="preserve">MA_MassMKt_Late 081501_EDI</t>
  </si>
  <si>
    <t xml:space="preserve">MA_MassMkt_MECO 082401</t>
  </si>
  <si>
    <t xml:space="preserve">MA_MassMkt_MECO 082701</t>
  </si>
  <si>
    <t xml:space="preserve">MA_MassMkt_MECO 082801</t>
  </si>
  <si>
    <t xml:space="preserve">MA_MassMkt_MECO 082901</t>
  </si>
  <si>
    <t xml:space="preserve">MA_MassMkt_MECO 083001</t>
  </si>
  <si>
    <t xml:space="preserve">MA_MassMkt_MECO 083101</t>
  </si>
  <si>
    <t xml:space="preserve">MA_MassMkt_MECO_082301</t>
  </si>
  <si>
    <t xml:space="preserve">NY_MassMkt 082101</t>
  </si>
  <si>
    <t xml:space="preserve">NY_MassMkt 082301</t>
  </si>
  <si>
    <t xml:space="preserve">NY_MassMkt 082801</t>
  </si>
  <si>
    <t xml:space="preserve">NY_MassMkt 082901</t>
  </si>
  <si>
    <t xml:space="preserve">NY_MassMkt 083001</t>
  </si>
  <si>
    <t xml:space="preserve">NY_MassMkt 82201</t>
  </si>
  <si>
    <t xml:space="preserve">NY_MassMkt_082401</t>
  </si>
  <si>
    <t xml:space="preserve">NY_MassMkt_82701</t>
  </si>
  <si>
    <t xml:space="preserve">NY_MassMkt_Additional 082901</t>
  </si>
  <si>
    <t xml:space="preserve">MA_MassMkt_Meco 081401</t>
  </si>
  <si>
    <t xml:space="preserve">MA_Mass Mkt_MECO_082001</t>
  </si>
  <si>
    <t xml:space="preserve">MA_Mass Mkt_BECO 081701_ Late 81001</t>
  </si>
  <si>
    <t xml:space="preserve">MA_MassMkt_MECO 082201 </t>
  </si>
  <si>
    <t xml:space="preserve">MA_MassMkt_MECO 082201Late</t>
  </si>
  <si>
    <t xml:space="preserve">MA_MassMkt_BECO 081501</t>
  </si>
  <si>
    <t xml:space="preserve">MA_MassMkt_MECO_082101</t>
  </si>
  <si>
    <t xml:space="preserve">MA_MassMkt_BECO 082201</t>
  </si>
  <si>
    <t xml:space="preserve">MA_MassMkt_BECO_Late 081401</t>
  </si>
  <si>
    <t xml:space="preserve">MA_MassMkt_BECO 081701</t>
  </si>
  <si>
    <t xml:space="preserve">NY_MassMkt 081501</t>
  </si>
  <si>
    <t xml:space="preserve">MA_MassMkt 081701</t>
  </si>
  <si>
    <t xml:space="preserve">NY_MassMkt 081601</t>
  </si>
  <si>
    <t xml:space="preserve">NY_MassMkt 082001</t>
  </si>
  <si>
    <t xml:space="preserve">NY_MassMkt 081701</t>
  </si>
  <si>
    <t xml:space="preserve">MA_MassMkt_Meco 081601</t>
  </si>
  <si>
    <t xml:space="preserve">MA_MassMkt_Meco 081501</t>
  </si>
  <si>
    <t xml:space="preserve">MassMkt 073101</t>
  </si>
  <si>
    <t xml:space="preserve">mass</t>
  </si>
  <si>
    <t xml:space="preserve">NY_MassMkt 081401</t>
  </si>
  <si>
    <t xml:space="preserve">NY_MassMkt 081301</t>
  </si>
  <si>
    <t xml:space="preserve">NY_MassMkt 081001</t>
  </si>
  <si>
    <t xml:space="preserve">NY_MassMkt 080901</t>
  </si>
  <si>
    <t xml:space="preserve">MassMkt_NY 080801</t>
  </si>
  <si>
    <t xml:space="preserve">MassMkt_NY 080701</t>
  </si>
  <si>
    <t xml:space="preserve">MassMkt 080701 - Meriam Sales dba Shore Acres Dry Cleaners Unwind</t>
  </si>
  <si>
    <t xml:space="preserve">MA_MassMkt_Meco 081301</t>
  </si>
  <si>
    <t xml:space="preserve">MA_MassMkt_Meco 080901</t>
  </si>
  <si>
    <t xml:space="preserve">MA_MassMkt_Beco 080901</t>
  </si>
  <si>
    <t xml:space="preserve">MA_MassMkt Meco_Late080201</t>
  </si>
  <si>
    <t xml:space="preserve">MA_MassMkt 081301</t>
  </si>
  <si>
    <t xml:space="preserve">MA_MassMkt 081001</t>
  </si>
  <si>
    <t xml:space="preserve">MA_MassMkt 080801</t>
  </si>
  <si>
    <t xml:space="preserve">MA Mass Mkt 073101_1859 House Restaurant</t>
  </si>
  <si>
    <t xml:space="preserve">MassMkt 073001</t>
  </si>
  <si>
    <t xml:space="preserve">MA_MassMkt 073101</t>
  </si>
  <si>
    <t xml:space="preserve">MassMkt 070901Credit adjustment</t>
  </si>
  <si>
    <t xml:space="preserve">MassMkt 071001Credit adjustment</t>
  </si>
  <si>
    <t xml:space="preserve">MassMkt 071101Credit adjustment</t>
  </si>
  <si>
    <t xml:space="preserve">MassMkt 071201Credit adjustment</t>
  </si>
  <si>
    <t xml:space="preserve">Unwind Capricorn Pizza MassMkt 070901</t>
  </si>
  <si>
    <t xml:space="preserve">Unwind Roland Super Food MassMkt 071601</t>
  </si>
  <si>
    <t xml:space="preserve">MassMkt 080201</t>
  </si>
  <si>
    <t xml:space="preserve">MassMkt 080301</t>
  </si>
  <si>
    <t xml:space="preserve">NY_MassMkt 080601</t>
  </si>
  <si>
    <t xml:space="preserve">MA_MassMkt 080101</t>
  </si>
  <si>
    <t xml:space="preserve">MA_MassMkt 080301</t>
  </si>
  <si>
    <t xml:space="preserve">MA_MassMkt 080601</t>
  </si>
  <si>
    <t xml:space="preserve">MA_MassMky 080701</t>
  </si>
  <si>
    <t xml:space="preserve">Mass Market - Chae Chong Hue unwind</t>
  </si>
  <si>
    <t xml:space="preserve">Mass Market</t>
  </si>
  <si>
    <t xml:space="preserve">Mass Market - TJ Brothers Corp Unwind</t>
  </si>
  <si>
    <t xml:space="preserve">Mass Market - City Line Fruit Store Unwind</t>
  </si>
  <si>
    <t xml:space="preserve">Mass Market - Son Happy Farm Unwind</t>
  </si>
  <si>
    <t xml:space="preserve">Mass Market - YH Vegetable Store Unwind</t>
  </si>
  <si>
    <t xml:space="preserve">Mass Market - Yonkers African Mkt Unwind</t>
  </si>
  <si>
    <t xml:space="preserve">Mass Market - Gem Star Furniture Unwind</t>
  </si>
  <si>
    <t xml:space="preserve">Mass Market - Empire Bedding Unwind</t>
  </si>
  <si>
    <t xml:space="preserve">Mass Market - Jim Stationary Unwind</t>
  </si>
  <si>
    <t xml:space="preserve">Mass Market - Nan Young Cho Unwind</t>
  </si>
  <si>
    <t xml:space="preserve">Mass Market - Catherine Thaila Hair Spa Unwind</t>
  </si>
  <si>
    <t xml:space="preserve">Mass Market - Kellys Pub Unwind</t>
  </si>
  <si>
    <t xml:space="preserve">Mass Market - JG Deli &amp; Food Corp Unwind</t>
  </si>
  <si>
    <t xml:space="preserve">Mass Market - Getty Square Hero Unwind</t>
  </si>
  <si>
    <t xml:space="preserve">Mass Market - New Main Discount Unwind</t>
  </si>
  <si>
    <t xml:space="preserve">Mass Market - K Bolan, D Dixon Unwind</t>
  </si>
  <si>
    <t xml:space="preserve">Mass Mkt 7/2</t>
  </si>
  <si>
    <t xml:space="preserve">Mass Mkt 7/3</t>
  </si>
  <si>
    <t xml:space="preserve">Mass Mkt 7/5</t>
  </si>
  <si>
    <t xml:space="preserve">Mass Market 07/06/01</t>
  </si>
  <si>
    <t xml:space="preserve">Mass Market 07/09/01</t>
  </si>
  <si>
    <t xml:space="preserve">Mass Market 07/10/01</t>
  </si>
  <si>
    <t xml:space="preserve">Mass Market 07/11/01</t>
  </si>
  <si>
    <t xml:space="preserve">MassMkt 07_12_01</t>
  </si>
  <si>
    <t xml:space="preserve">MassMkt 07_13_01</t>
  </si>
  <si>
    <t xml:space="preserve">MassMkt 07_16_01</t>
  </si>
  <si>
    <t xml:space="preserve">Unwind MassMkt - Café El Dorado</t>
  </si>
  <si>
    <t xml:space="preserve">Unwind MassMkt - Deli &amp; Grocery</t>
  </si>
  <si>
    <t xml:space="preserve">Unwind MassMkt - 1545 Pizza Corporation</t>
  </si>
  <si>
    <t xml:space="preserve">Unwind MassMkt - Patricia Pizza &amp; Pasta II</t>
  </si>
  <si>
    <t xml:space="preserve">Unwind MassMkt - Café Guatemala_044</t>
  </si>
  <si>
    <t xml:space="preserve">Unwind MassMkt - Café Guatemala_065</t>
  </si>
  <si>
    <t xml:space="preserve">Unwind MassMkt - Sany's Varieties Store</t>
  </si>
  <si>
    <t xml:space="preserve">Unwind MassMkt - Main St. Supermarket Corp.</t>
  </si>
  <si>
    <t xml:space="preserve">Unwind MassMkt - 99 Cents Value Inc.</t>
  </si>
  <si>
    <t xml:space="preserve">MassMkt07_19_01</t>
  </si>
  <si>
    <t xml:space="preserve">Unwind MassMkt - Richmond County Donut Inc.</t>
  </si>
  <si>
    <t xml:space="preserve">Unwind MassMkt - Williams Bridge Discount</t>
  </si>
  <si>
    <t xml:space="preserve">Mass Mkt 07_17_01</t>
  </si>
  <si>
    <t xml:space="preserve">Mass Mkt 07_23_01</t>
  </si>
  <si>
    <t xml:space="preserve">Mass Mkt 7/20/01</t>
  </si>
  <si>
    <t xml:space="preserve">MassMkt 07_24_01</t>
  </si>
  <si>
    <t xml:space="preserve">Mass Mkt 07_25_01</t>
  </si>
  <si>
    <t xml:space="preserve">MassMkt_072601</t>
  </si>
  <si>
    <t xml:space="preserve">MassMkt_072701</t>
  </si>
  <si>
    <t xml:space="preserve">Mass Mkt 07_18_01</t>
  </si>
  <si>
    <t xml:space="preserve">   Total Third Party Sales</t>
  </si>
  <si>
    <t xml:space="preserve">CAD Sales:</t>
  </si>
  <si>
    <t xml:space="preserve">Jerome Industries</t>
  </si>
  <si>
    <t xml:space="preserve">CAD</t>
  </si>
  <si>
    <t xml:space="preserve">Credit Reserve Adjustment</t>
  </si>
  <si>
    <t xml:space="preserve">CAD - Gas Deals</t>
  </si>
  <si>
    <t xml:space="preserve">   Total CAD Sales</t>
  </si>
  <si>
    <t xml:space="preserve">Clinton Gas Sales:</t>
  </si>
  <si>
    <t xml:space="preserve">Clinton Gas Sales</t>
  </si>
  <si>
    <t xml:space="preserve">Agency Fees</t>
  </si>
  <si>
    <t xml:space="preserve">Total Clinton Gas Sales</t>
  </si>
  <si>
    <t xml:space="preserve">Other Transactions:</t>
  </si>
  <si>
    <t xml:space="preserve">Gas - Other</t>
  </si>
  <si>
    <t xml:space="preserve">Bico Dayton, Inc. (Orig =Major Accts, Weidinger)</t>
  </si>
  <si>
    <t xml:space="preserve">DESC-NETC Great Lakes (Orig=Major Accts, Weinreich)</t>
  </si>
  <si>
    <t xml:space="preserve">Credit Write Off (Aerocraft)</t>
  </si>
  <si>
    <t xml:space="preserve">Credit Mid Mkt Orig (Aerocraft)</t>
  </si>
  <si>
    <t xml:space="preserve">Deal Mgmt  Mid Mkt Orig (Roma Foods)</t>
  </si>
  <si>
    <t xml:space="preserve">Deal Mgmt  Mid Mkt Orig (Stonehurst)</t>
  </si>
  <si>
    <t xml:space="preserve">Deal Mgmt  Mid Mkt Orig (Milso)</t>
  </si>
  <si>
    <t xml:space="preserve">Deal Mgmt  Mid Mkt Orig (WHB Corp/Millenium Bilmore Hotel)</t>
  </si>
  <si>
    <t xml:space="preserve">Deal Mgmt  Mid Mkt Orig (South Valley Gins Inc.)</t>
  </si>
  <si>
    <t xml:space="preserve">Deal Mgmt  Mid Mkt Orig (Victoria Nurseries)</t>
  </si>
  <si>
    <t xml:space="preserve">Deal Mgmt  Mid Mkt Orig (Ponds Pembroke LP/Brookdale Holdings)</t>
  </si>
  <si>
    <t xml:space="preserve">Total Enron Direct USA</t>
  </si>
  <si>
    <t xml:space="preserve">   Total Margin Adjustments:</t>
  </si>
  <si>
    <t xml:space="preserve">Other Businesses</t>
  </si>
  <si>
    <t xml:space="preserve">Golden Bear:</t>
  </si>
  <si>
    <t xml:space="preserve">Total Golden Bear</t>
  </si>
  <si>
    <t xml:space="preserve">Utility Representation Services:</t>
  </si>
  <si>
    <t xml:space="preserve">ANC-Phoenix</t>
  </si>
  <si>
    <t xml:space="preserve">Portfolio </t>
  </si>
  <si>
    <t xml:space="preserve">Tyco-Commerce TX</t>
  </si>
  <si>
    <t xml:space="preserve">Total Utility Representation Services</t>
  </si>
  <si>
    <t xml:space="preserve">Total Other Businesses</t>
  </si>
  <si>
    <t xml:space="preserve">Other Items Affecting TCV or MTM</t>
  </si>
  <si>
    <t xml:space="preserve">ICAP recalculation grant from EWS</t>
  </si>
  <si>
    <t xml:space="preserve">Gas Mid Mkt</t>
  </si>
  <si>
    <t xml:space="preserve">Total for Other Items </t>
  </si>
  <si>
    <t xml:space="preserve">Total 3Q 2001</t>
  </si>
  <si>
    <t xml:space="preserve">1Q 2001</t>
  </si>
  <si>
    <t xml:space="preserve">2Q 2001</t>
  </si>
  <si>
    <t xml:space="preserve">3Q 2001</t>
  </si>
  <si>
    <t xml:space="preserve">4Q 2001</t>
  </si>
  <si>
    <t xml:space="preserve">YTD 2001</t>
  </si>
  <si>
    <t xml:space="preserve">Europe TCV</t>
  </si>
  <si>
    <t xml:space="preserve">Current Week Newly Booked Deals</t>
  </si>
  <si>
    <t xml:space="preserve">* Variance from underwriting value to booking value under review.</t>
  </si>
  <si>
    <t xml:space="preserve">TCV Reconciliation</t>
  </si>
  <si>
    <t xml:space="preserve">Domestic TCV - Booked</t>
  </si>
  <si>
    <t xml:space="preserve">European TCV - Booked</t>
  </si>
  <si>
    <t xml:space="preserve">Canadian TCV - Booked</t>
  </si>
  <si>
    <t xml:space="preserve">Domestic TCV - Unbooked</t>
  </si>
  <si>
    <t xml:space="preserve">TOTAL Q3 TCV</t>
  </si>
  <si>
    <t xml:space="preserve">New Closed Deals not on DPR**</t>
  </si>
  <si>
    <t xml:space="preserve">Total New Deals:</t>
  </si>
  <si>
    <t xml:space="preserve">**Deal Economics are estimated </t>
  </si>
  <si>
    <t xml:space="preserve">**** Will be offset by corresponding accrual revesral</t>
  </si>
  <si>
    <t xml:space="preserve">Deal Unwind Detail***</t>
  </si>
  <si>
    <t xml:space="preserve">Unwinds Booked Q3</t>
  </si>
  <si>
    <t xml:space="preserve">Ablestik  </t>
  </si>
  <si>
    <t xml:space="preserve">Buddy Bar Casting</t>
  </si>
  <si>
    <t xml:space="preserve">Castaic Clay</t>
  </si>
  <si>
    <t xml:space="preserve">Delimex</t>
  </si>
  <si>
    <t xml:space="preserve">Expo Dyeing &amp; Finishing</t>
  </si>
  <si>
    <t xml:space="preserve">Huron Ginning</t>
  </si>
  <si>
    <t xml:space="preserve">Pacific Tube</t>
  </si>
  <si>
    <t xml:space="preserve">Radiant</t>
  </si>
  <si>
    <t xml:space="preserve">San Antonio Hospital</t>
  </si>
  <si>
    <t xml:space="preserve">Sodexo Mariott Management Services</t>
  </si>
  <si>
    <t xml:space="preserve">Temperform USA</t>
  </si>
  <si>
    <t xml:space="preserve">Treasure Chest (Vertis, Inc.)</t>
  </si>
  <si>
    <t xml:space="preserve">Universal Dyeing and Printing</t>
  </si>
  <si>
    <t xml:space="preserve">Legally Pursuing **</t>
  </si>
  <si>
    <t xml:space="preserve">Brown Pacific**</t>
  </si>
  <si>
    <t xml:space="preserve">Crown City Plating Co., Inc.**</t>
  </si>
  <si>
    <t xml:space="preserve">Koos Manufacturing**</t>
  </si>
  <si>
    <t xml:space="preserve">KUA Textile Inc.**</t>
  </si>
  <si>
    <t xml:space="preserve">Matchmaster Dyeing &amp; Finishing, Inc**</t>
  </si>
  <si>
    <t xml:space="preserve">Paradise Textile**</t>
  </si>
  <si>
    <t xml:space="preserve">Regent Beverly Wilshire**  Legally Pursuing</t>
  </si>
  <si>
    <t xml:space="preserve">Total Unwinds Booked as of 8/29/01</t>
  </si>
  <si>
    <t xml:space="preserve">Unwinds Not Booked</t>
  </si>
  <si>
    <t xml:space="preserve">Stylex (Morris Industries)**  Legally Pursuing</t>
  </si>
  <si>
    <t xml:space="preserve">Total Unwinds Not Booked as of 8/29/01</t>
  </si>
  <si>
    <t xml:space="preserve">Unwinds Booked Q2</t>
  </si>
  <si>
    <t xml:space="preserve">Holiday Rock Co.</t>
  </si>
  <si>
    <t xml:space="preserve">Grand Total</t>
  </si>
  <si>
    <t xml:space="preserve">**Receivables Acct. established to offset total unwind exposure.</t>
  </si>
  <si>
    <t xml:space="preserve">(Appears on Forecast Report)</t>
  </si>
  <si>
    <t xml:space="preserve">EES Canada - Risk Analysis</t>
  </si>
  <si>
    <t xml:space="preserve">Risk Management</t>
  </si>
  <si>
    <t xml:space="preserve">Silo</t>
  </si>
  <si>
    <t xml:space="preserve">State</t>
  </si>
  <si>
    <t xml:space="preserve">Region</t>
  </si>
  <si>
    <t xml:space="preserve">Type</t>
  </si>
  <si>
    <t xml:space="preserve">TCV</t>
  </si>
  <si>
    <t xml:space="preserve">Sales Orig. O-K</t>
  </si>
  <si>
    <t xml:space="preserve">Implementation Premium / Misc.</t>
  </si>
  <si>
    <r>
      <rPr>
        <b val="true"/>
        <sz val="12"/>
        <rFont val="Arial"/>
        <family val="2"/>
      </rPr>
      <t xml:space="preserve">Net Orig. Value O-K               </t>
    </r>
    <r>
      <rPr>
        <b val="true"/>
        <sz val="8"/>
        <rFont val="Arial"/>
        <family val="2"/>
      </rPr>
      <t xml:space="preserve">(MTM @ Offer)</t>
    </r>
  </si>
  <si>
    <t xml:space="preserve">Hedge Mngmt</t>
  </si>
  <si>
    <t xml:space="preserve">Valuation Prudencies</t>
  </si>
  <si>
    <t xml:space="preserve">NET RM</t>
  </si>
  <si>
    <t xml:space="preserve">Total Value</t>
  </si>
  <si>
    <t xml:space="preserve">Thousands of US Dollars (FX Rate 1.54)</t>
  </si>
  <si>
    <t xml:space="preserve">M-O</t>
  </si>
  <si>
    <t xml:space="preserve">RM</t>
  </si>
  <si>
    <t xml:space="preserve">(MTM)</t>
  </si>
  <si>
    <t xml:space="preserve">ENRON DIRECT CANADA</t>
  </si>
  <si>
    <t xml:space="preserve">DIRECT SALES:</t>
  </si>
  <si>
    <t xml:space="preserve"> ALBERTA GAS DEALS</t>
  </si>
  <si>
    <t xml:space="preserve">Boardwalk Equities Inc. - 2.5%</t>
  </si>
  <si>
    <t xml:space="preserve">Boardwalk 2.5% Hedge </t>
  </si>
  <si>
    <t xml:space="preserve">Calgary Winter Club</t>
  </si>
  <si>
    <t xml:space="preserve">Point on the Bow Condo</t>
  </si>
  <si>
    <t xml:space="preserve">Telus Convention Center</t>
  </si>
  <si>
    <t xml:space="preserve">Lindsay Park</t>
  </si>
  <si>
    <t xml:space="preserve">C.E.P Automotive Ltd.</t>
  </si>
  <si>
    <t xml:space="preserve">Calgary Olympic Development Association</t>
  </si>
  <si>
    <t xml:space="preserve">Frank Sissons Casino</t>
  </si>
  <si>
    <t xml:space="preserve">The Owners Condo Plan #971-2250</t>
  </si>
  <si>
    <t xml:space="preserve">Condominimum Plan 9310722</t>
  </si>
  <si>
    <t xml:space="preserve">Haul-All Equipment</t>
  </si>
  <si>
    <t xml:space="preserve">Soundsaround Inc.</t>
  </si>
  <si>
    <t xml:space="preserve">903734 Alberta Ltd.</t>
  </si>
  <si>
    <t xml:space="preserve">SMED International Inc.</t>
  </si>
  <si>
    <t xml:space="preserve">Calgary Managers Rinks</t>
  </si>
  <si>
    <t xml:space="preserve">The Calgary Science Centre Society</t>
  </si>
  <si>
    <t xml:space="preserve">East Calgary Twin Arena Society</t>
  </si>
  <si>
    <t xml:space="preserve">Crowfoot Minor Hockey</t>
  </si>
  <si>
    <t xml:space="preserve">London-Norbridge</t>
  </si>
  <si>
    <t xml:space="preserve">Beverly Motel / 674211 Albert Ltd.</t>
  </si>
  <si>
    <t xml:space="preserve">The Forzani Group Ltd - 3 year deal</t>
  </si>
  <si>
    <t xml:space="preserve">The Forzani Group Ltd - 2 year deal</t>
  </si>
  <si>
    <t xml:space="preserve">Zavisha Sawmills Ltd.</t>
  </si>
  <si>
    <t xml:space="preserve">Swan Aeromotive Ltd.</t>
  </si>
  <si>
    <t xml:space="preserve">Road King</t>
  </si>
  <si>
    <t xml:space="preserve">Calgary Public Library</t>
  </si>
  <si>
    <t xml:space="preserve">Inventronics</t>
  </si>
  <si>
    <t xml:space="preserve">Total Alberta Gas Deals</t>
  </si>
  <si>
    <t xml:space="preserve"> ONTARIO GAS DEALS</t>
  </si>
  <si>
    <t xml:space="preserve">Canadian Polystyrene Recycling Association</t>
  </si>
  <si>
    <t xml:space="preserve">Kawartha Hospital Linens</t>
  </si>
  <si>
    <t xml:space="preserve">Rosenthal Bros.</t>
  </si>
  <si>
    <t xml:space="preserve">Techno Strip Ltd.</t>
  </si>
  <si>
    <t xml:space="preserve">Koch Engineering Company Ltd.</t>
  </si>
  <si>
    <t xml:space="preserve">Tarrant Enterprises Ltd - Dec o5</t>
  </si>
  <si>
    <t xml:space="preserve">Tarrant Enterprises Ltd - July 02</t>
  </si>
  <si>
    <t xml:space="preserve">Tarrant Enterprises Ltd - Sept 02</t>
  </si>
  <si>
    <t xml:space="preserve">Tarrant Enterprises Ltd - Nov 02</t>
  </si>
  <si>
    <t xml:space="preserve">Total Ontario Gas Deals</t>
  </si>
  <si>
    <t xml:space="preserve">TOTAL GAS DEALS</t>
  </si>
  <si>
    <t xml:space="preserve">POWER DEALS</t>
  </si>
  <si>
    <t xml:space="preserve"> ALBERTA POWER DEALS</t>
  </si>
  <si>
    <t xml:space="preserve">Kawneer Company Canada</t>
  </si>
  <si>
    <t xml:space="preserve">Capri Centre</t>
  </si>
  <si>
    <t xml:space="preserve">Frank Sissions Casino</t>
  </si>
  <si>
    <t xml:space="preserve">St. Mary River Irrigation</t>
  </si>
  <si>
    <t xml:space="preserve">232098 Alberta Ltd.</t>
  </si>
  <si>
    <t xml:space="preserve">894245 Alberta Inc.</t>
  </si>
  <si>
    <t xml:space="preserve">Road King Travel</t>
  </si>
  <si>
    <t xml:space="preserve">Beverly Motel/674211 Albert Ltd.</t>
  </si>
  <si>
    <t xml:space="preserve">Mar-Quinn Industries</t>
  </si>
  <si>
    <t xml:space="preserve">Total Alberta Power Deals</t>
  </si>
  <si>
    <t xml:space="preserve"> ONTARIO POWER DEALS</t>
  </si>
  <si>
    <t xml:space="preserve">Alfield Industries Ltd.</t>
  </si>
  <si>
    <t xml:space="preserve">Hanson Pipe &amp; Products Canada Inc.</t>
  </si>
  <si>
    <t xml:space="preserve">Berzel Enterprises Ltd.</t>
  </si>
  <si>
    <t xml:space="preserve">Spoolon Manufacturing Limited</t>
  </si>
  <si>
    <t xml:space="preserve">Wolf Steel</t>
  </si>
  <si>
    <t xml:space="preserve">CLO Glass Limited</t>
  </si>
  <si>
    <t xml:space="preserve">Stack Teck Systems Canada Inc.</t>
  </si>
  <si>
    <t xml:space="preserve">Total Ontario Power Deals</t>
  </si>
  <si>
    <t xml:space="preserve">TOTAL POWER DEALS</t>
  </si>
  <si>
    <t xml:space="preserve">Second Quarter Prudency Adjustment</t>
  </si>
  <si>
    <t xml:space="preserve">TOTAL ENRON DIRECT CANADA:</t>
  </si>
  <si>
    <t xml:space="preserve">TOTAL ENRON DIRECT CANADA Q3:</t>
  </si>
  <si>
    <t xml:space="preserve">EES Europe</t>
  </si>
  <si>
    <t xml:space="preserve">3Q/2001 MTM Origination Summary</t>
  </si>
  <si>
    <t xml:space="preserve">Neta / Renewables Provision</t>
  </si>
  <si>
    <t xml:space="preserve">($000's US$)</t>
  </si>
  <si>
    <t xml:space="preserve">Middle Market (Crossley Cooke)</t>
  </si>
  <si>
    <t xml:space="preserve">Enron Direct Power</t>
  </si>
  <si>
    <t xml:space="preserve">Enron Direct Gas</t>
  </si>
  <si>
    <t xml:space="preserve">Enron Directo</t>
  </si>
  <si>
    <t xml:space="preserve">Enron Direct, Netherlands</t>
  </si>
  <si>
    <t xml:space="preserve"> </t>
  </si>
  <si>
    <t xml:space="preserve">Energy Portfolio Mgmt (Rexrode)</t>
  </si>
  <si>
    <t xml:space="preserve">Taylor Woodrow Property Management Ltd</t>
  </si>
  <si>
    <t xml:space="preserve">Taylor Woodrow Construction Ltd</t>
  </si>
  <si>
    <t xml:space="preserve">PGL</t>
  </si>
  <si>
    <t xml:space="preserve">Marley</t>
  </si>
  <si>
    <t xml:space="preserve">Sibelco</t>
  </si>
  <si>
    <t xml:space="preserve">Diageo</t>
  </si>
  <si>
    <t xml:space="preserve">JLL</t>
  </si>
  <si>
    <t xml:space="preserve">Kraft</t>
  </si>
  <si>
    <t xml:space="preserve">Guiness</t>
  </si>
  <si>
    <t xml:space="preserve">TOTAL Europe Q3: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</si>
</sst>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0%"/>
    <numFmt numFmtId="167" formatCode="0.00%"/>
    <numFmt numFmtId="168" formatCode="_(\$* #,##0_);_(\$* \(#,##0\);_(\$* \-??_);_(@_)"/>
    <numFmt numFmtId="169" formatCode="_(* #,##0_);_(* \(#,##0\);_(* \-??_);_(@_)"/>
    <numFmt numFmtId="170" formatCode="[$-409]d\-mmm"/>
    <numFmt numFmtId="171" formatCode="_(* #,##0.0_);_(* \(#,##0.0\);_(* \-??_);_(@_)"/>
    <numFmt numFmtId="172" formatCode="_(* #,##0.000_);_(* \(#,##0.000\);_(* \-??_);_(@_)"/>
    <numFmt numFmtId="173" formatCode="_(* #,##0.0000_);_(* \(#,##0.0000\);_(* \-??_);_(@_)"/>
    <numFmt numFmtId="174" formatCode="_(\$* #,##0.00_);_(\$* \(#,##0.00\);_(\$* \-??_);_(@_)"/>
    <numFmt numFmtId="175" formatCode="0.00000%"/>
    <numFmt numFmtId="176" formatCode="_(\$* #,##0_);_(\$* \(#,##0\);_(\$* \-_);_(@_)"/>
  </numFmts>
  <fonts count="3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Arial"/>
      <family val="2"/>
    </font>
    <font>
      <b val="true"/>
      <sz val="22"/>
      <name val="Arial"/>
      <family val="2"/>
    </font>
    <font>
      <b val="true"/>
      <i val="true"/>
      <sz val="11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sz val="12"/>
      <color rgb="FF000000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b val="true"/>
      <sz val="14"/>
      <name val="Arial"/>
      <family val="2"/>
    </font>
    <font>
      <sz val="12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2"/>
      <name val="Arial"/>
      <family val="2"/>
    </font>
    <font>
      <u val="single"/>
      <sz val="12"/>
      <name val="Arial"/>
      <family val="2"/>
    </font>
    <font>
      <i val="true"/>
      <sz val="12"/>
      <name val="Arial"/>
      <family val="2"/>
    </font>
    <font>
      <sz val="14"/>
      <name val="Arial"/>
      <family val="2"/>
    </font>
    <font>
      <b val="true"/>
      <u val="single"/>
      <sz val="12"/>
      <name val="Arial"/>
      <family val="2"/>
    </font>
    <font>
      <i val="true"/>
      <u val="single"/>
      <sz val="12"/>
      <name val="Arial"/>
      <family val="2"/>
    </font>
    <font>
      <i val="true"/>
      <sz val="12"/>
      <color rgb="FF000000"/>
      <name val="Arial"/>
      <family val="2"/>
    </font>
    <font>
      <i val="true"/>
      <u val="single"/>
      <sz val="12"/>
      <color rgb="FF000000"/>
      <name val="Arial"/>
      <family val="2"/>
    </font>
    <font>
      <b val="true"/>
      <u val="single"/>
      <sz val="12"/>
      <color rgb="FF000000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i val="true"/>
      <sz val="10"/>
      <name val="Arial"/>
      <family val="2"/>
    </font>
    <font>
      <b val="true"/>
      <i val="true"/>
      <sz val="12"/>
      <color rgb="FF000000"/>
      <name val="Arial"/>
      <family val="2"/>
    </font>
    <font>
      <sz val="10"/>
      <color rgb="FF000000"/>
      <name val="Arial"/>
      <family val="0"/>
    </font>
    <font>
      <b val="true"/>
      <sz val="10"/>
      <color rgb="FF000000"/>
      <name val="Arial"/>
      <family val="2"/>
    </font>
    <font>
      <b val="true"/>
      <sz val="8"/>
      <color rgb="FF00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u val="single"/>
      <sz val="10"/>
      <name val="Arial"/>
      <family val="2"/>
    </font>
    <font>
      <b val="true"/>
      <i val="true"/>
      <u val="single"/>
      <sz val="10"/>
      <name val="Arial"/>
      <family val="2"/>
    </font>
    <font>
      <b val="true"/>
      <i val="true"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33CCCC"/>
        <bgColor rgb="FF00CCFF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>
        <color rgb="FFC0C0C0"/>
      </top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medium"/>
      <top style="thin">
        <color rgb="FFC0C0C0"/>
      </top>
      <bottom style="thin">
        <color rgb="FFC0C0C0"/>
      </bottom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0" fillId="0" borderId="0" xfId="19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5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0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7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6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1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9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0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4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0" fillId="4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4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0" fillId="4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4" borderId="1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4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4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10" fillId="4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0" fillId="0" borderId="0" xfId="19" applyFont="true" applyBorder="true" applyAlignment="true" applyProtection="true">
      <alignment horizontal="left" vertical="bottom" textRotation="0" wrapText="false" indent="5" shrinkToFit="false"/>
      <protection locked="true" hidden="false"/>
    </xf>
    <xf numFmtId="164" fontId="10" fillId="5" borderId="0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6" fillId="5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5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5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5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5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9" fontId="10" fillId="0" borderId="13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6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4" xfId="0" applyFont="true" applyBorder="true" applyAlignment="true" applyProtection="false">
      <alignment horizontal="left" vertical="bottom" textRotation="0" wrapText="true" indent="4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4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4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4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4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5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6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0" fillId="5" borderId="0" xfId="15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4" fontId="10" fillId="0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4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0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5" borderId="0" xfId="15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4" fontId="10" fillId="0" borderId="4" xfId="0" applyFont="true" applyBorder="true" applyAlignment="true" applyProtection="false">
      <alignment horizontal="left" vertical="bottom" textRotation="0" wrapText="true" indent="4" shrinkToFit="false"/>
      <protection locked="true" hidden="false"/>
    </xf>
    <xf numFmtId="164" fontId="17" fillId="0" borderId="4" xfId="0" applyFont="true" applyBorder="true" applyAlignment="true" applyProtection="false">
      <alignment horizontal="left" vertical="bottom" textRotation="0" wrapText="true" indent="5" shrinkToFit="false"/>
      <protection locked="true" hidden="false"/>
    </xf>
    <xf numFmtId="172" fontId="10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4" xfId="0" applyFont="true" applyBorder="true" applyAlignment="true" applyProtection="false">
      <alignment horizontal="left" vertical="bottom" textRotation="0" wrapText="true" indent="2" shrinkToFit="false"/>
      <protection locked="true" hidden="false"/>
    </xf>
    <xf numFmtId="172" fontId="10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12" xfId="0" applyFont="true" applyBorder="true" applyAlignment="true" applyProtection="false">
      <alignment horizontal="left" vertical="bottom" textRotation="0" wrapText="true" indent="2" shrinkToFit="false"/>
      <protection locked="true" hidden="false"/>
    </xf>
    <xf numFmtId="164" fontId="18" fillId="0" borderId="12" xfId="0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9" fontId="10" fillId="5" borderId="0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4" fontId="16" fillId="5" borderId="12" xfId="22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4" fontId="11" fillId="5" borderId="4" xfId="22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9" fontId="15" fillId="5" borderId="4" xfId="15" applyFont="true" applyBorder="true" applyAlignment="true" applyProtection="true">
      <alignment horizontal="left" vertical="bottom" textRotation="0" wrapText="false" indent="5" shrinkToFit="false"/>
      <protection locked="true" hidden="false"/>
    </xf>
    <xf numFmtId="169" fontId="10" fillId="5" borderId="0" xfId="15" applyFont="true" applyBorder="true" applyAlignment="true" applyProtection="true">
      <alignment horizontal="left" vertical="bottom" textRotation="0" wrapText="false" indent="5" shrinkToFit="false"/>
      <protection locked="true" hidden="false"/>
    </xf>
    <xf numFmtId="169" fontId="10" fillId="5" borderId="5" xfId="15" applyFont="true" applyBorder="true" applyAlignment="true" applyProtection="true">
      <alignment horizontal="left" vertical="bottom" textRotation="0" wrapText="false" indent="5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5" fillId="0" borderId="12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1" fillId="0" borderId="12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9" fontId="15" fillId="0" borderId="4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9" fontId="10" fillId="0" borderId="12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9" fontId="10" fillId="0" borderId="0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9" fontId="10" fillId="0" borderId="5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1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5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left" vertical="bottom" textRotation="0" wrapText="true" indent="5" shrinkToFit="false"/>
      <protection locked="true" hidden="false"/>
    </xf>
    <xf numFmtId="169" fontId="15" fillId="0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5" borderId="0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5" fillId="4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5" fillId="4" borderId="1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4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4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0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true" indent="2" shrinkToFit="false"/>
      <protection locked="true" hidden="false"/>
    </xf>
    <xf numFmtId="169" fontId="10" fillId="5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9" fontId="10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9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0" fillId="0" borderId="1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4" fillId="0" borderId="12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6" fillId="0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5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72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22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5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5" borderId="12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1" fillId="5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9" fontId="15" fillId="5" borderId="4" xfId="15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9" fontId="10" fillId="5" borderId="5" xfId="15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0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6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5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15" fillId="4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4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5" fillId="0" borderId="1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23" fillId="0" borderId="12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3" fillId="0" borderId="4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4" fillId="0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24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0" borderId="0" xfId="0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4" fontId="10" fillId="4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5" fillId="4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1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5" fillId="0" borderId="1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5" fillId="0" borderId="12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5" fillId="0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8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23" fillId="8" borderId="12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5" fillId="8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8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8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8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7" shrinkToFit="false"/>
      <protection locked="true" hidden="false"/>
    </xf>
    <xf numFmtId="164" fontId="15" fillId="8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8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70" fontId="15" fillId="8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8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5" borderId="0" xfId="22" applyFont="true" applyBorder="true" applyAlignment="true" applyProtection="false">
      <alignment horizontal="left" vertical="bottom" textRotation="0" wrapText="false" indent="7" shrinkToFit="false"/>
      <protection locked="true" hidden="false"/>
    </xf>
    <xf numFmtId="164" fontId="10" fillId="0" borderId="4" xfId="22" applyFont="true" applyBorder="true" applyAlignment="true" applyProtection="false">
      <alignment horizontal="left" vertical="bottom" textRotation="0" wrapText="false" indent="7" shrinkToFit="false"/>
      <protection locked="true" hidden="false"/>
    </xf>
    <xf numFmtId="164" fontId="16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5" fillId="8" borderId="4" xfId="22" applyFont="true" applyBorder="true" applyAlignment="true" applyProtection="false">
      <alignment horizontal="left" vertical="bottom" textRotation="0" wrapText="false" indent="7" shrinkToFit="false"/>
      <protection locked="true" hidden="false"/>
    </xf>
    <xf numFmtId="164" fontId="25" fillId="0" borderId="4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0" fillId="0" borderId="12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1" fillId="4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1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0" fillId="5" borderId="0" xfId="15" applyFont="true" applyBorder="true" applyAlignment="true" applyProtection="true">
      <alignment horizontal="left" vertical="bottom" textRotation="0" wrapText="false" indent="6" shrinkToFit="false"/>
      <protection locked="true" hidden="false"/>
    </xf>
    <xf numFmtId="164" fontId="16" fillId="0" borderId="12" xfId="22" applyFont="true" applyBorder="true" applyAlignment="true" applyProtection="false">
      <alignment horizontal="left" vertical="bottom" textRotation="0" wrapText="false" indent="6" shrinkToFit="false"/>
      <protection locked="true" hidden="false"/>
    </xf>
    <xf numFmtId="164" fontId="11" fillId="0" borderId="4" xfId="22" applyFont="true" applyBorder="true" applyAlignment="true" applyProtection="false">
      <alignment horizontal="left" vertical="bottom" textRotation="0" wrapText="false" indent="6" shrinkToFit="false"/>
      <protection locked="true" hidden="false"/>
    </xf>
    <xf numFmtId="169" fontId="10" fillId="0" borderId="12" xfId="15" applyFont="true" applyBorder="true" applyAlignment="true" applyProtection="true">
      <alignment horizontal="left" vertical="bottom" textRotation="0" wrapText="false" indent="6" shrinkToFit="false"/>
      <protection locked="true" hidden="false"/>
    </xf>
    <xf numFmtId="169" fontId="10" fillId="0" borderId="0" xfId="15" applyFont="true" applyBorder="true" applyAlignment="true" applyProtection="true">
      <alignment horizontal="left" vertical="bottom" textRotation="0" wrapText="false" indent="6" shrinkToFit="false"/>
      <protection locked="true" hidden="false"/>
    </xf>
    <xf numFmtId="169" fontId="10" fillId="0" borderId="5" xfId="15" applyFont="true" applyBorder="true" applyAlignment="true" applyProtection="true">
      <alignment horizontal="left" vertical="bottom" textRotation="0" wrapText="false" indent="6" shrinkToFit="false"/>
      <protection locked="true" hidden="false"/>
    </xf>
    <xf numFmtId="164" fontId="15" fillId="5" borderId="4" xfId="22" applyFont="true" applyBorder="true" applyAlignment="true" applyProtection="false">
      <alignment horizontal="left" vertical="bottom" textRotation="0" wrapText="false" indent="7" shrinkToFit="false"/>
      <protection locked="true" hidden="false"/>
    </xf>
    <xf numFmtId="170" fontId="15" fillId="5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8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5" fontId="1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1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4" fontId="15" fillId="4" borderId="4" xfId="22" applyFont="true" applyBorder="true" applyAlignment="true" applyProtection="false">
      <alignment horizontal="left" vertical="bottom" textRotation="0" wrapText="false" indent="5" shrinkToFit="false"/>
      <protection locked="true" hidden="false"/>
    </xf>
    <xf numFmtId="164" fontId="23" fillId="4" borderId="12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15" fillId="4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4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4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2" xfId="22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9" fontId="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6" fillId="0" borderId="12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6" fillId="0" borderId="4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6" fillId="0" borderId="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5" fillId="0" borderId="5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5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22" xfId="21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4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8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5" fillId="0" borderId="11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4" fillId="3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3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3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1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4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3" borderId="3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16" fillId="3" borderId="24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0" fillId="3" borderId="2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3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22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8" fontId="14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2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7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5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0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3" borderId="8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3" fillId="3" borderId="9" xfId="22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3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0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5" borderId="1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12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7" fillId="0" borderId="0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5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12" xfId="22" applyFont="true" applyBorder="true" applyAlignment="true" applyProtection="false">
      <alignment horizontal="left" vertical="bottom" textRotation="0" wrapText="true" indent="2" shrinkToFit="false"/>
      <protection locked="true" hidden="false"/>
    </xf>
    <xf numFmtId="169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30" fillId="0" borderId="5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4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12" xfId="22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4" fontId="31" fillId="0" borderId="12" xfId="22" applyFont="true" applyBorder="true" applyAlignment="true" applyProtection="false">
      <alignment horizontal="left" vertical="bottom" textRotation="0" wrapText="true" indent="1" shrinkToFit="false"/>
      <protection locked="true" hidden="false"/>
    </xf>
    <xf numFmtId="169" fontId="0" fillId="0" borderId="1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12" xfId="22" applyFont="true" applyBorder="true" applyAlignment="true" applyProtection="false">
      <alignment horizontal="left" vertical="bottom" textRotation="0" wrapText="true" indent="2" shrinkToFit="false"/>
      <protection locked="true" hidden="false"/>
    </xf>
    <xf numFmtId="169" fontId="8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12" xfId="22" applyFont="true" applyBorder="true" applyAlignment="true" applyProtection="false">
      <alignment horizontal="left" vertical="bottom" textRotation="0" wrapText="true" indent="4" shrinkToFit="false"/>
      <protection locked="true" hidden="false"/>
    </xf>
    <xf numFmtId="164" fontId="30" fillId="0" borderId="12" xfId="22" applyFont="true" applyBorder="true" applyAlignment="true" applyProtection="false">
      <alignment horizontal="left" vertical="bottom" textRotation="0" wrapText="true" indent="5" shrinkToFit="false"/>
      <protection locked="true" hidden="false"/>
    </xf>
    <xf numFmtId="169" fontId="8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12" xfId="22" applyFont="true" applyBorder="true" applyAlignment="true" applyProtection="false">
      <alignment horizontal="left" vertical="bottom" textRotation="0" wrapText="true" indent="5" shrinkToFit="false"/>
      <protection locked="true" hidden="false"/>
    </xf>
    <xf numFmtId="164" fontId="31" fillId="0" borderId="1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1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3" borderId="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4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3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3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3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4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3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3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3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3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3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33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4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4" fillId="3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34" fillId="3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4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4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3" borderId="2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3" borderId="2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14" fillId="3" borderId="2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3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3" borderId="2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3" borderId="3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2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0" borderId="2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14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0" borderId="2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0" borderId="24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4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3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3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4" fillId="3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3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4" fillId="3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3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9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4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13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10" fillId="0" borderId="5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0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0" borderId="4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9" fillId="0" borderId="0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34" fillId="0" borderId="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0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0" fillId="0" borderId="4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3" borderId="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14" fillId="3" borderId="2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14" fillId="3" borderId="2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14" fillId="0" borderId="2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14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3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3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Europe MTM Orig Summary 19-07-01" xfId="20"/>
    <cellStyle name="Normal_Origination Summary (3)" xfId="21"/>
    <cellStyle name="Normal_Sheet1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externalLink" Target="externalLinks/externalLink3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Market%20Orig%20Summ%20Rev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arket%20Origination%20Summary%2009-28-01Rev3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ept%206,%202001%20Origination%20Summar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igination Summary"/>
      <sheetName val="International Origin Summary"/>
    </sheetNames>
    <sheetDataSet>
      <sheetData sheetId="0"/>
      <sheetData sheetId="1">
        <row r="109">
          <cell r="G109">
            <v>12058.6056521377</v>
          </cell>
        </row>
        <row r="157">
          <cell r="G157">
            <v>243585.973748166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ination Summary"/>
      <sheetName val="International Origin Summary"/>
    </sheetNames>
    <sheetDataSet>
      <sheetData sheetId="0">
        <row r="6">
          <cell r="A6" t="str">
            <v>As of 09/28/01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nron Direct Canada Origination"/>
    </sheetNames>
    <sheetDataSet>
      <sheetData sheetId="0">
        <row r="51">
          <cell r="H51">
            <v>0.00413267956877517</v>
          </cell>
          <cell r="I51">
            <v>0.000809845434472009</v>
          </cell>
        </row>
        <row r="51">
          <cell r="L51">
            <v>0</v>
          </cell>
        </row>
        <row r="52">
          <cell r="H52">
            <v>0.00955137234593475</v>
          </cell>
          <cell r="I52">
            <v>0.00198990160538581</v>
          </cell>
        </row>
        <row r="52">
          <cell r="L52">
            <v>0</v>
          </cell>
        </row>
        <row r="53">
          <cell r="H53">
            <v>0.024251411185914</v>
          </cell>
          <cell r="I53">
            <v>0.00468377783531849</v>
          </cell>
        </row>
        <row r="53">
          <cell r="L5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5.99"/>
    <col collapsed="false" customWidth="true" hidden="true" outlineLevel="0" max="2" min="2" style="1" width="15.99"/>
    <col collapsed="false" customWidth="true" hidden="true" outlineLevel="0" max="3" min="3" style="1" width="0.41"/>
    <col collapsed="false" customWidth="true" hidden="false" outlineLevel="0" max="4" min="4" style="1" width="20.99"/>
    <col collapsed="false" customWidth="true" hidden="false" outlineLevel="0" max="5" min="5" style="1" width="18.28"/>
    <col collapsed="false" customWidth="true" hidden="false" outlineLevel="0" max="6" min="6" style="1" width="17.85"/>
    <col collapsed="false" customWidth="true" hidden="false" outlineLevel="0" max="7" min="7" style="1" width="20.85"/>
    <col collapsed="false" customWidth="true" hidden="true" outlineLevel="0" max="8" min="8" style="1" width="19.56"/>
    <col collapsed="false" customWidth="true" hidden="false" outlineLevel="0" max="9" min="9" style="2" width="22.7"/>
    <col collapsed="false" customWidth="true" hidden="false" outlineLevel="0" max="10" min="10" style="3" width="14.99"/>
    <col collapsed="false" customWidth="false" hidden="false" outlineLevel="0" max="11" min="11" style="4" width="9.14"/>
    <col collapsed="false" customWidth="true" hidden="false" outlineLevel="0" max="12" min="12" style="0" width="9.06"/>
    <col collapsed="false" customWidth="true" hidden="false" outlineLevel="0" max="13" min="13" style="4" width="20.13"/>
    <col collapsed="false" customWidth="true" hidden="false" outlineLevel="0" max="14" min="14" style="4" width="12.42"/>
    <col collapsed="false" customWidth="false" hidden="false" outlineLevel="0" max="19" min="15" style="4" width="9.14"/>
    <col collapsed="false" customWidth="true" hidden="false" outlineLevel="0" max="20" min="20" style="5" width="20.13"/>
    <col collapsed="false" customWidth="false" hidden="false" outlineLevel="0" max="73" min="21" style="4" width="9.14"/>
    <col collapsed="false" customWidth="false" hidden="false" outlineLevel="0" max="257" min="74" style="6" width="9.14"/>
  </cols>
  <sheetData>
    <row r="1" customFormat="false" ht="12.75" hidden="false" customHeight="false" outlineLevel="0" collapsed="false"/>
    <row r="2" customFormat="false" ht="12.75" hidden="false" customHeight="true" outlineLevel="0" collapsed="false">
      <c r="A2" s="7" t="s">
        <v>0</v>
      </c>
      <c r="B2" s="7"/>
      <c r="C2" s="7"/>
      <c r="D2" s="7"/>
      <c r="E2" s="7"/>
      <c r="F2" s="7"/>
      <c r="G2" s="7"/>
      <c r="H2" s="7"/>
      <c r="I2" s="7"/>
    </row>
    <row r="3" customFormat="false" ht="12.75" hidden="false" customHeight="false" outlineLevel="0" collapsed="false">
      <c r="A3" s="7"/>
      <c r="B3" s="7"/>
      <c r="C3" s="7"/>
      <c r="D3" s="7"/>
      <c r="E3" s="7"/>
      <c r="F3" s="7"/>
      <c r="G3" s="7"/>
      <c r="H3" s="7"/>
      <c r="I3" s="7"/>
    </row>
    <row r="4" customFormat="false" ht="27.75" hidden="false" customHeight="false" outlineLevel="0" collapsed="false">
      <c r="A4" s="7" t="s">
        <v>1</v>
      </c>
      <c r="B4" s="7"/>
      <c r="C4" s="7"/>
      <c r="D4" s="7"/>
      <c r="E4" s="7"/>
      <c r="F4" s="7"/>
      <c r="G4" s="7"/>
      <c r="H4" s="7"/>
      <c r="I4" s="7"/>
    </row>
    <row r="5" customFormat="false" ht="28.5" hidden="false" customHeight="true" outlineLevel="0" collapsed="false">
      <c r="A5" s="8"/>
      <c r="B5" s="8"/>
      <c r="C5" s="8"/>
      <c r="D5" s="8"/>
      <c r="E5" s="8"/>
      <c r="F5" s="8"/>
      <c r="G5" s="9"/>
      <c r="H5" s="8"/>
      <c r="I5" s="7"/>
    </row>
    <row r="6" customFormat="false" ht="12.75" hidden="false" customHeight="true" outlineLevel="0" collapsed="false">
      <c r="A6" s="10" t="s">
        <v>2</v>
      </c>
      <c r="B6" s="10"/>
      <c r="C6" s="10"/>
      <c r="D6" s="10"/>
      <c r="E6" s="10"/>
      <c r="F6" s="10"/>
      <c r="G6" s="10"/>
      <c r="H6" s="10"/>
      <c r="I6" s="10"/>
    </row>
    <row r="7" customFormat="false" ht="12.7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2"/>
    </row>
    <row r="9" customFormat="false" ht="12.75" hidden="false" customHeight="true" outlineLevel="0" collapsed="false">
      <c r="D9" s="13"/>
      <c r="G9" s="14"/>
      <c r="H9" s="13"/>
    </row>
    <row r="10" customFormat="false" ht="18.75" hidden="false" customHeight="true" outlineLevel="0" collapsed="false">
      <c r="A10" s="15" t="s">
        <v>3</v>
      </c>
      <c r="B10" s="15"/>
      <c r="C10" s="16"/>
      <c r="D10" s="17" t="s">
        <v>4</v>
      </c>
      <c r="E10" s="17"/>
      <c r="F10" s="17"/>
      <c r="G10" s="17"/>
      <c r="H10" s="17"/>
      <c r="I10" s="17"/>
      <c r="K10" s="18"/>
      <c r="L10" s="19"/>
      <c r="M10" s="18"/>
      <c r="N10" s="18"/>
      <c r="O10" s="18"/>
      <c r="P10" s="18"/>
      <c r="Q10" s="18"/>
      <c r="R10" s="18"/>
      <c r="S10" s="18"/>
      <c r="T10" s="20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51.75" hidden="false" customHeight="true" outlineLevel="0" collapsed="false">
      <c r="A11" s="15"/>
      <c r="B11" s="21" t="s">
        <v>5</v>
      </c>
      <c r="C11" s="22" t="s">
        <v>6</v>
      </c>
      <c r="D11" s="15" t="s">
        <v>7</v>
      </c>
      <c r="E11" s="23" t="s">
        <v>8</v>
      </c>
      <c r="F11" s="15" t="s">
        <v>9</v>
      </c>
      <c r="G11" s="15" t="s">
        <v>10</v>
      </c>
      <c r="H11" s="24" t="s">
        <v>11</v>
      </c>
      <c r="I11" s="15" t="s">
        <v>12</v>
      </c>
      <c r="J11" s="15" t="s">
        <v>13</v>
      </c>
      <c r="K11" s="18"/>
      <c r="L11" s="19"/>
      <c r="M11" s="18"/>
      <c r="N11" s="18"/>
      <c r="O11" s="18"/>
      <c r="P11" s="18"/>
      <c r="Q11" s="18"/>
      <c r="R11" s="18"/>
      <c r="S11" s="18"/>
      <c r="T11" s="20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0.75" hidden="false" customHeight="true" outlineLevel="0" collapsed="false">
      <c r="A12" s="25"/>
      <c r="B12" s="25"/>
      <c r="C12" s="26"/>
      <c r="D12" s="25"/>
      <c r="E12" s="27"/>
      <c r="F12" s="28"/>
      <c r="G12" s="28"/>
      <c r="H12" s="29"/>
      <c r="I12" s="28"/>
      <c r="J12" s="30"/>
      <c r="K12" s="18"/>
      <c r="L12" s="19"/>
      <c r="M12" s="18"/>
      <c r="N12" s="18"/>
      <c r="O12" s="18"/>
      <c r="P12" s="18"/>
      <c r="Q12" s="18"/>
      <c r="R12" s="18"/>
      <c r="S12" s="18"/>
      <c r="T12" s="20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15.75" hidden="false" customHeight="false" outlineLevel="0" collapsed="false">
      <c r="A13" s="31"/>
      <c r="B13" s="32"/>
      <c r="C13" s="32"/>
      <c r="D13" s="33"/>
      <c r="E13" s="34"/>
      <c r="F13" s="35"/>
      <c r="G13" s="35"/>
      <c r="H13" s="36"/>
      <c r="I13" s="37"/>
      <c r="J13" s="38"/>
      <c r="K13" s="18"/>
      <c r="L13" s="19"/>
      <c r="M13" s="18"/>
      <c r="N13" s="18"/>
      <c r="O13" s="18"/>
      <c r="P13" s="18"/>
      <c r="Q13" s="18"/>
      <c r="R13" s="18"/>
      <c r="S13" s="18"/>
      <c r="T13" s="20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8" hidden="false" customHeight="false" outlineLevel="0" collapsed="false">
      <c r="A14" s="39" t="s">
        <v>14</v>
      </c>
      <c r="B14" s="40"/>
      <c r="C14" s="41"/>
      <c r="D14" s="42"/>
      <c r="E14" s="43"/>
      <c r="F14" s="44"/>
      <c r="G14" s="44"/>
      <c r="H14" s="45"/>
      <c r="I14" s="46"/>
      <c r="J14" s="30"/>
      <c r="K14" s="18"/>
      <c r="L14" s="19"/>
      <c r="M14" s="18"/>
      <c r="N14" s="18"/>
      <c r="O14" s="18"/>
      <c r="P14" s="18"/>
      <c r="Q14" s="18"/>
      <c r="R14" s="18"/>
      <c r="S14" s="18"/>
      <c r="T14" s="20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5" hidden="false" customHeight="false" outlineLevel="0" collapsed="false">
      <c r="A15" s="47"/>
      <c r="B15" s="48"/>
      <c r="C15" s="49"/>
      <c r="D15" s="50"/>
      <c r="E15" s="51"/>
      <c r="F15" s="44"/>
      <c r="G15" s="44"/>
      <c r="H15" s="44"/>
      <c r="I15" s="52"/>
      <c r="J15" s="30"/>
      <c r="K15" s="18"/>
      <c r="L15" s="19"/>
      <c r="M15" s="18"/>
      <c r="N15" s="18"/>
      <c r="O15" s="18"/>
      <c r="P15" s="18"/>
      <c r="Q15" s="18"/>
      <c r="R15" s="18"/>
      <c r="S15" s="18"/>
      <c r="T15" s="20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5.75" hidden="false" customHeight="false" outlineLevel="0" collapsed="false">
      <c r="A16" s="53" t="s">
        <v>15</v>
      </c>
      <c r="B16" s="48"/>
      <c r="C16" s="49"/>
      <c r="D16" s="50"/>
      <c r="E16" s="51"/>
      <c r="F16" s="44"/>
      <c r="G16" s="44"/>
      <c r="H16" s="44"/>
      <c r="I16" s="52"/>
      <c r="J16" s="30"/>
      <c r="K16" s="18"/>
      <c r="L16" s="19"/>
      <c r="M16" s="18"/>
      <c r="N16" s="18"/>
      <c r="O16" s="18"/>
      <c r="P16" s="18"/>
      <c r="Q16" s="18"/>
      <c r="R16" s="18"/>
      <c r="S16" s="18"/>
      <c r="T16" s="20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</row>
    <row r="17" customFormat="false" ht="6.75" hidden="false" customHeight="true" outlineLevel="0" collapsed="false">
      <c r="A17" s="53"/>
      <c r="B17" s="48"/>
      <c r="C17" s="49"/>
      <c r="D17" s="50"/>
      <c r="E17" s="51"/>
      <c r="F17" s="44"/>
      <c r="G17" s="44"/>
      <c r="H17" s="44"/>
      <c r="I17" s="52"/>
      <c r="J17" s="30"/>
      <c r="K17" s="18"/>
      <c r="L17" s="19"/>
      <c r="M17" s="18"/>
      <c r="N17" s="18"/>
      <c r="O17" s="18"/>
      <c r="P17" s="18"/>
      <c r="Q17" s="18"/>
      <c r="R17" s="18"/>
      <c r="S17" s="18"/>
      <c r="T17" s="20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</row>
    <row r="18" customFormat="false" ht="12.75" hidden="false" customHeight="true" outlineLevel="0" collapsed="false">
      <c r="D18" s="54"/>
      <c r="E18" s="55"/>
      <c r="F18" s="2"/>
      <c r="G18" s="2"/>
      <c r="H18" s="2"/>
      <c r="I18" s="56"/>
      <c r="J18" s="30"/>
    </row>
    <row r="19" customFormat="false" ht="15" hidden="false" customHeight="false" outlineLevel="0" collapsed="false">
      <c r="A19" s="57" t="s">
        <v>16</v>
      </c>
      <c r="B19" s="58"/>
      <c r="C19" s="59"/>
      <c r="D19" s="60" t="n">
        <v>1303.725</v>
      </c>
      <c r="E19" s="61" t="n">
        <v>373.417</v>
      </c>
      <c r="F19" s="62" t="n">
        <v>-43.3</v>
      </c>
      <c r="G19" s="63" t="n">
        <v>0</v>
      </c>
      <c r="H19" s="62"/>
      <c r="I19" s="64" t="n">
        <f aca="false">SUM(E19:G19)</f>
        <v>330.117</v>
      </c>
      <c r="J19" s="30"/>
      <c r="K19" s="18"/>
      <c r="L19" s="19"/>
      <c r="M19" s="18"/>
      <c r="N19" s="18"/>
      <c r="O19" s="18"/>
      <c r="P19" s="18"/>
      <c r="Q19" s="18"/>
      <c r="R19" s="18"/>
      <c r="S19" s="18"/>
      <c r="T19" s="65" t="n">
        <f aca="false">IF(D19&gt;0,(I19/D19),"")</f>
        <v>0.253210608065351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</row>
    <row r="20" customFormat="false" ht="15" hidden="false" customHeight="false" outlineLevel="0" collapsed="false">
      <c r="A20" s="57" t="s">
        <v>17</v>
      </c>
      <c r="B20" s="58"/>
      <c r="C20" s="59"/>
      <c r="D20" s="60"/>
      <c r="E20" s="61" t="n">
        <v>441.825</v>
      </c>
      <c r="F20" s="62" t="n">
        <v>0</v>
      </c>
      <c r="G20" s="63" t="n">
        <v>0</v>
      </c>
      <c r="H20" s="62"/>
      <c r="I20" s="64" t="n">
        <f aca="false">SUM(E20:G20)</f>
        <v>441.825</v>
      </c>
      <c r="J20" s="30" t="s">
        <v>18</v>
      </c>
      <c r="K20" s="18"/>
      <c r="L20" s="19"/>
      <c r="M20" s="18"/>
      <c r="N20" s="18"/>
      <c r="O20" s="18"/>
      <c r="P20" s="18"/>
      <c r="Q20" s="18"/>
      <c r="R20" s="18"/>
      <c r="S20" s="18"/>
      <c r="T20" s="65" t="str">
        <f aca="false">IF(D20&gt;0,(I20/D20),"")</f>
        <v/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</row>
    <row r="21" customFormat="false" ht="15" hidden="false" customHeight="false" outlineLevel="0" collapsed="false">
      <c r="A21" s="57" t="s">
        <v>19</v>
      </c>
      <c r="B21" s="58"/>
      <c r="C21" s="59"/>
      <c r="D21" s="60"/>
      <c r="E21" s="61" t="n">
        <v>332.378</v>
      </c>
      <c r="F21" s="62" t="n">
        <v>0</v>
      </c>
      <c r="G21" s="63" t="n">
        <v>0</v>
      </c>
      <c r="H21" s="62"/>
      <c r="I21" s="64" t="n">
        <f aca="false">SUM(E21:G21)</f>
        <v>332.378</v>
      </c>
      <c r="J21" s="30" t="s">
        <v>18</v>
      </c>
      <c r="K21" s="18"/>
      <c r="L21" s="19"/>
      <c r="M21" s="18"/>
      <c r="N21" s="18"/>
      <c r="O21" s="18"/>
      <c r="P21" s="18"/>
      <c r="Q21" s="18"/>
      <c r="R21" s="18"/>
      <c r="S21" s="18"/>
      <c r="T21" s="65" t="str">
        <f aca="false">IF(D21&gt;0,(I21/D21),"")</f>
        <v/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8" hidden="false" customHeight="false" outlineLevel="0" collapsed="false">
      <c r="A22" s="66" t="s">
        <v>20</v>
      </c>
      <c r="B22" s="67"/>
      <c r="C22" s="68"/>
      <c r="D22" s="69" t="n">
        <v>9905.089</v>
      </c>
      <c r="E22" s="70" t="n">
        <f aca="false">745687/1000</f>
        <v>745.687</v>
      </c>
      <c r="F22" s="71" t="n">
        <f aca="false">-58400/1000</f>
        <v>-58.4</v>
      </c>
      <c r="G22" s="71" t="n">
        <v>0</v>
      </c>
      <c r="H22" s="71"/>
      <c r="I22" s="72" t="n">
        <f aca="false">SUM(E22:G22)</f>
        <v>687.287</v>
      </c>
      <c r="J22" s="73" t="s">
        <v>21</v>
      </c>
      <c r="K22" s="74"/>
      <c r="L22" s="74"/>
      <c r="M22" s="74"/>
      <c r="N22" s="74"/>
      <c r="O22" s="74"/>
      <c r="P22" s="74"/>
      <c r="Q22" s="74"/>
      <c r="R22" s="74"/>
      <c r="S22" s="74"/>
      <c r="T22" s="65" t="n">
        <f aca="false">IF(D22&gt;0,(I22/D22),"")</f>
        <v>0.069387261437025</v>
      </c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</row>
    <row r="23" customFormat="false" ht="8.25" hidden="false" customHeight="true" outlineLevel="0" collapsed="false">
      <c r="A23" s="75"/>
      <c r="B23" s="48"/>
      <c r="C23" s="49"/>
      <c r="D23" s="76"/>
      <c r="E23" s="77"/>
      <c r="F23" s="78"/>
      <c r="G23" s="78"/>
      <c r="H23" s="78"/>
      <c r="I23" s="79"/>
      <c r="J23" s="30"/>
      <c r="K23" s="18"/>
      <c r="L23" s="19"/>
      <c r="M23" s="18"/>
      <c r="N23" s="18"/>
      <c r="O23" s="18"/>
      <c r="P23" s="18"/>
      <c r="Q23" s="18"/>
      <c r="R23" s="18"/>
      <c r="S23" s="18"/>
      <c r="T23" s="65" t="str">
        <f aca="false">IF(D23&gt;0,(I23/D23),"")</f>
        <v/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</row>
    <row r="24" customFormat="false" ht="15" hidden="false" customHeight="false" outlineLevel="0" collapsed="false">
      <c r="A24" s="80" t="s">
        <v>22</v>
      </c>
      <c r="B24" s="48"/>
      <c r="C24" s="49"/>
      <c r="D24" s="50" t="n">
        <f aca="false">SUM(D18:D22)</f>
        <v>11208.814</v>
      </c>
      <c r="E24" s="51" t="n">
        <f aca="false">SUM(E18:E22)</f>
        <v>1893.307</v>
      </c>
      <c r="F24" s="44" t="n">
        <f aca="false">SUM(F18:F22)</f>
        <v>-101.7</v>
      </c>
      <c r="G24" s="81" t="n">
        <f aca="false">SUM(G18:G22)</f>
        <v>0</v>
      </c>
      <c r="H24" s="44" t="n">
        <f aca="false">SUM(H18:H22)</f>
        <v>0</v>
      </c>
      <c r="I24" s="52" t="n">
        <f aca="false">SUM(I18:I22)</f>
        <v>1791.607</v>
      </c>
      <c r="J24" s="30"/>
      <c r="K24" s="18"/>
      <c r="L24" s="19"/>
      <c r="M24" s="18"/>
      <c r="N24" s="18"/>
      <c r="O24" s="18"/>
      <c r="P24" s="18"/>
      <c r="Q24" s="18"/>
      <c r="R24" s="18"/>
      <c r="S24" s="18"/>
      <c r="T24" s="65" t="n">
        <f aca="false">IF(D24&gt;0,(I24/D24),"")</f>
        <v>0.159839123032999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customFormat="false" ht="15" hidden="false" customHeight="false" outlineLevel="0" collapsed="false">
      <c r="A25" s="75"/>
      <c r="B25" s="48"/>
      <c r="C25" s="49"/>
      <c r="D25" s="50"/>
      <c r="E25" s="51"/>
      <c r="F25" s="44"/>
      <c r="G25" s="44"/>
      <c r="H25" s="44"/>
      <c r="I25" s="52"/>
      <c r="J25" s="30"/>
      <c r="K25" s="18"/>
      <c r="L25" s="19"/>
      <c r="M25" s="18"/>
      <c r="N25" s="18"/>
      <c r="O25" s="18"/>
      <c r="P25" s="18"/>
      <c r="Q25" s="18"/>
      <c r="R25" s="18"/>
      <c r="S25" s="18"/>
      <c r="T25" s="65" t="str">
        <f aca="false">IF(D25&gt;0,(I25/D25),"")</f>
        <v/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</row>
    <row r="26" customFormat="false" ht="15.75" hidden="false" customHeight="false" outlineLevel="0" collapsed="false">
      <c r="A26" s="53" t="s">
        <v>23</v>
      </c>
      <c r="B26" s="48"/>
      <c r="C26" s="49"/>
      <c r="D26" s="50"/>
      <c r="E26" s="51"/>
      <c r="F26" s="44"/>
      <c r="G26" s="44"/>
      <c r="H26" s="44"/>
      <c r="I26" s="52"/>
      <c r="J26" s="30"/>
      <c r="K26" s="18"/>
      <c r="L26" s="19"/>
      <c r="M26" s="18"/>
      <c r="N26" s="18"/>
      <c r="O26" s="18"/>
      <c r="P26" s="18"/>
      <c r="Q26" s="18"/>
      <c r="R26" s="18"/>
      <c r="S26" s="18"/>
      <c r="T26" s="65" t="str">
        <f aca="false">IF(D26&gt;0,(I26/D26),"")</f>
        <v/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</row>
    <row r="27" customFormat="false" ht="6" hidden="false" customHeight="true" outlineLevel="0" collapsed="false">
      <c r="A27" s="82"/>
      <c r="B27" s="48"/>
      <c r="C27" s="49"/>
      <c r="D27" s="50"/>
      <c r="E27" s="51"/>
      <c r="F27" s="44"/>
      <c r="G27" s="44"/>
      <c r="H27" s="44"/>
      <c r="I27" s="52"/>
      <c r="J27" s="30"/>
      <c r="K27" s="18"/>
      <c r="L27" s="19"/>
      <c r="M27" s="18"/>
      <c r="N27" s="18"/>
      <c r="O27" s="18"/>
      <c r="P27" s="18"/>
      <c r="Q27" s="18"/>
      <c r="R27" s="18"/>
      <c r="S27" s="18"/>
      <c r="T27" s="65" t="str">
        <f aca="false">IF(D27&gt;0,(I27/D27),"")</f>
        <v/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</row>
    <row r="28" customFormat="false" ht="18" hidden="false" customHeight="false" outlineLevel="0" collapsed="false">
      <c r="A28" s="66" t="s">
        <v>24</v>
      </c>
      <c r="B28" s="67"/>
      <c r="C28" s="68"/>
      <c r="D28" s="69" t="n">
        <v>942.037</v>
      </c>
      <c r="E28" s="70" t="n">
        <v>226.749</v>
      </c>
      <c r="F28" s="71" t="n">
        <v>-37.7</v>
      </c>
      <c r="G28" s="71" t="n">
        <v>0</v>
      </c>
      <c r="H28" s="71"/>
      <c r="I28" s="72" t="n">
        <f aca="false">SUM(E28:G28)</f>
        <v>189.049</v>
      </c>
      <c r="J28" s="73" t="s">
        <v>25</v>
      </c>
      <c r="K28" s="74"/>
      <c r="L28" s="74"/>
      <c r="M28" s="74"/>
      <c r="N28" s="74"/>
      <c r="O28" s="74"/>
      <c r="P28" s="74"/>
      <c r="Q28" s="74"/>
      <c r="R28" s="74"/>
      <c r="S28" s="74"/>
      <c r="T28" s="65" t="n">
        <f aca="false">IF(D28&gt;0,(I28/D28),"")</f>
        <v>0.200681077282527</v>
      </c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</row>
    <row r="29" customFormat="false" ht="18" hidden="false" customHeight="false" outlineLevel="0" collapsed="false">
      <c r="A29" s="66" t="s">
        <v>26</v>
      </c>
      <c r="B29" s="67"/>
      <c r="C29" s="68"/>
      <c r="D29" s="69" t="n">
        <v>14433.3</v>
      </c>
      <c r="E29" s="70" t="n">
        <v>2525.305</v>
      </c>
      <c r="F29" s="71" t="n">
        <v>-190.75</v>
      </c>
      <c r="G29" s="71" t="n">
        <v>0</v>
      </c>
      <c r="H29" s="71"/>
      <c r="I29" s="72" t="n">
        <f aca="false">SUM(E29:G29)</f>
        <v>2334.555</v>
      </c>
      <c r="J29" s="73" t="s">
        <v>25</v>
      </c>
      <c r="K29" s="74"/>
      <c r="L29" s="74"/>
      <c r="M29" s="74"/>
      <c r="N29" s="74"/>
      <c r="O29" s="74"/>
      <c r="P29" s="74"/>
      <c r="Q29" s="74"/>
      <c r="R29" s="74"/>
      <c r="S29" s="74"/>
      <c r="T29" s="65" t="n">
        <f aca="false">IF(D29&gt;0,(I29/D29),"")</f>
        <v>0.161747833135873</v>
      </c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  <c r="CJ29" s="74"/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</row>
    <row r="30" customFormat="false" ht="18" hidden="false" customHeight="false" outlineLevel="0" collapsed="false">
      <c r="A30" s="66" t="s">
        <v>27</v>
      </c>
      <c r="B30" s="67"/>
      <c r="C30" s="68"/>
      <c r="D30" s="69" t="n">
        <v>24610.878</v>
      </c>
      <c r="E30" s="70" t="n">
        <v>3413.504</v>
      </c>
      <c r="F30" s="71" t="n">
        <v>-702</v>
      </c>
      <c r="G30" s="71" t="n">
        <v>0</v>
      </c>
      <c r="H30" s="71"/>
      <c r="I30" s="72" t="n">
        <f aca="false">SUM(E30:G30)</f>
        <v>2711.504</v>
      </c>
      <c r="J30" s="73" t="s">
        <v>25</v>
      </c>
      <c r="K30" s="74"/>
      <c r="L30" s="74"/>
      <c r="M30" s="74"/>
      <c r="N30" s="74"/>
      <c r="O30" s="74"/>
      <c r="P30" s="74"/>
      <c r="Q30" s="74"/>
      <c r="R30" s="74"/>
      <c r="S30" s="74"/>
      <c r="T30" s="65" t="n">
        <f aca="false">IF(D30&gt;0,(I30/D30),"")</f>
        <v>0.11017502098056</v>
      </c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</row>
    <row r="31" customFormat="false" ht="18" hidden="false" customHeight="false" outlineLevel="0" collapsed="false">
      <c r="A31" s="66" t="s">
        <v>28</v>
      </c>
      <c r="B31" s="67"/>
      <c r="C31" s="68"/>
      <c r="D31" s="69" t="n">
        <v>49099.38</v>
      </c>
      <c r="E31" s="70" t="n">
        <v>9481.398</v>
      </c>
      <c r="F31" s="71" t="n">
        <v>-925</v>
      </c>
      <c r="G31" s="71" t="n">
        <v>0</v>
      </c>
      <c r="H31" s="71"/>
      <c r="I31" s="72" t="n">
        <f aca="false">SUM(E31:G31)</f>
        <v>8556.398</v>
      </c>
      <c r="J31" s="73" t="s">
        <v>25</v>
      </c>
      <c r="K31" s="74"/>
      <c r="L31" s="74"/>
      <c r="M31" s="74"/>
      <c r="N31" s="74"/>
      <c r="O31" s="74"/>
      <c r="P31" s="74"/>
      <c r="Q31" s="74"/>
      <c r="R31" s="74"/>
      <c r="S31" s="74"/>
      <c r="T31" s="65" t="n">
        <f aca="false">IF(D31&gt;0,(I31/D31),"")</f>
        <v>0.17426692557014</v>
      </c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</row>
    <row r="32" customFormat="false" ht="15.75" hidden="false" customHeight="false" outlineLevel="0" collapsed="false">
      <c r="A32" s="57" t="s">
        <v>29</v>
      </c>
      <c r="B32" s="83"/>
      <c r="C32" s="84"/>
      <c r="D32" s="85"/>
      <c r="E32" s="86" t="n">
        <v>9.373</v>
      </c>
      <c r="F32" s="87" t="n">
        <v>0</v>
      </c>
      <c r="G32" s="87" t="n">
        <v>0</v>
      </c>
      <c r="H32" s="87"/>
      <c r="I32" s="88" t="n">
        <f aca="false">SUM(E32:G32)</f>
        <v>9.373</v>
      </c>
      <c r="J32" s="73" t="s">
        <v>18</v>
      </c>
      <c r="K32" s="74"/>
      <c r="L32" s="74"/>
      <c r="M32" s="74"/>
      <c r="N32" s="74"/>
      <c r="O32" s="74"/>
      <c r="P32" s="74"/>
      <c r="Q32" s="74"/>
      <c r="R32" s="74"/>
      <c r="S32" s="74"/>
      <c r="T32" s="65" t="str">
        <f aca="false">IF(D32&gt;0,(I32/D32),"")</f>
        <v/>
      </c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</row>
    <row r="33" customFormat="false" ht="15.75" hidden="false" customHeight="false" outlineLevel="0" collapsed="false">
      <c r="A33" s="89" t="s">
        <v>30</v>
      </c>
      <c r="B33" s="90"/>
      <c r="C33" s="91"/>
      <c r="D33" s="92"/>
      <c r="E33" s="93" t="n">
        <v>-419.938</v>
      </c>
      <c r="F33" s="81" t="n">
        <v>0</v>
      </c>
      <c r="G33" s="81" t="n">
        <v>0</v>
      </c>
      <c r="H33" s="81"/>
      <c r="I33" s="94" t="n">
        <f aca="false">SUM(E33:G33)</f>
        <v>-419.938</v>
      </c>
      <c r="J33" s="73" t="s">
        <v>31</v>
      </c>
      <c r="K33" s="74"/>
      <c r="L33" s="74"/>
      <c r="M33" s="74"/>
      <c r="N33" s="74"/>
      <c r="O33" s="74"/>
      <c r="P33" s="74"/>
      <c r="Q33" s="74"/>
      <c r="R33" s="74"/>
      <c r="S33" s="74"/>
      <c r="T33" s="65" t="str">
        <f aca="false">IF(D33&gt;0,(I33/D33),"")</f>
        <v/>
      </c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</row>
    <row r="34" customFormat="false" ht="15.75" hidden="false" customHeight="false" outlineLevel="0" collapsed="false">
      <c r="A34" s="89" t="s">
        <v>32</v>
      </c>
      <c r="B34" s="90"/>
      <c r="C34" s="91"/>
      <c r="D34" s="92"/>
      <c r="E34" s="93" t="n">
        <v>-188.863</v>
      </c>
      <c r="F34" s="81" t="n">
        <v>0</v>
      </c>
      <c r="G34" s="81" t="n">
        <v>0</v>
      </c>
      <c r="H34" s="81"/>
      <c r="I34" s="94" t="n">
        <f aca="false">SUM(E34:H34)</f>
        <v>-188.863</v>
      </c>
      <c r="J34" s="73" t="s">
        <v>18</v>
      </c>
      <c r="K34" s="74"/>
      <c r="L34" s="74"/>
      <c r="M34" s="74"/>
      <c r="N34" s="74"/>
      <c r="O34" s="74"/>
      <c r="P34" s="74"/>
      <c r="Q34" s="74"/>
      <c r="R34" s="74"/>
      <c r="S34" s="74"/>
      <c r="T34" s="65" t="str">
        <f aca="false">IF(D34&gt;0,(I34/D34),"")</f>
        <v/>
      </c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</row>
    <row r="35" customFormat="false" ht="15" hidden="false" customHeight="false" outlineLevel="0" collapsed="false">
      <c r="A35" s="89" t="s">
        <v>33</v>
      </c>
      <c r="B35" s="95" t="n">
        <v>37083</v>
      </c>
      <c r="C35" s="90" t="s">
        <v>34</v>
      </c>
      <c r="D35" s="96" t="n">
        <f aca="false">I35/0.015</f>
        <v>80765.1333333334</v>
      </c>
      <c r="E35" s="93" t="n">
        <v>1211.477</v>
      </c>
      <c r="F35" s="81" t="n">
        <v>0</v>
      </c>
      <c r="G35" s="81" t="n">
        <v>0</v>
      </c>
      <c r="H35" s="81" t="n">
        <v>0</v>
      </c>
      <c r="I35" s="94" t="n">
        <f aca="false">SUM(E35:H35)</f>
        <v>1211.477</v>
      </c>
      <c r="J35" s="73" t="s">
        <v>18</v>
      </c>
      <c r="K35" s="97"/>
      <c r="L35" s="97"/>
      <c r="M35" s="97"/>
      <c r="N35" s="97"/>
      <c r="O35" s="97"/>
      <c r="P35" s="97"/>
      <c r="Q35" s="97"/>
      <c r="R35" s="97"/>
      <c r="S35" s="97"/>
      <c r="T35" s="65" t="n">
        <f aca="false">IF(D35&gt;0,(I35/D35),"")</f>
        <v>0.015</v>
      </c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</row>
    <row r="36" customFormat="false" ht="15.75" hidden="false" customHeight="false" outlineLevel="0" collapsed="false">
      <c r="A36" s="89" t="s">
        <v>35</v>
      </c>
      <c r="B36" s="95" t="n">
        <v>37083</v>
      </c>
      <c r="C36" s="98" t="s">
        <v>36</v>
      </c>
      <c r="D36" s="92" t="n">
        <v>44512.319</v>
      </c>
      <c r="E36" s="93" t="n">
        <v>4878.411</v>
      </c>
      <c r="F36" s="81" t="n">
        <v>-685</v>
      </c>
      <c r="G36" s="81" t="n">
        <v>0</v>
      </c>
      <c r="H36" s="81" t="n">
        <v>0</v>
      </c>
      <c r="I36" s="94" t="n">
        <f aca="false">SUM(E36:H36)</f>
        <v>4193.411</v>
      </c>
      <c r="J36" s="73" t="s">
        <v>25</v>
      </c>
      <c r="K36" s="74"/>
      <c r="L36" s="74"/>
      <c r="M36" s="74"/>
      <c r="N36" s="74"/>
      <c r="O36" s="74"/>
      <c r="P36" s="74"/>
      <c r="Q36" s="74"/>
      <c r="R36" s="74"/>
      <c r="S36" s="74"/>
      <c r="T36" s="65" t="n">
        <f aca="false">IF(D36&gt;0,(I36/D36),"")</f>
        <v>0.094207875352439</v>
      </c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</row>
    <row r="37" customFormat="false" ht="15.75" hidden="false" customHeight="false" outlineLevel="0" collapsed="false">
      <c r="A37" s="89" t="s">
        <v>37</v>
      </c>
      <c r="B37" s="95" t="n">
        <v>37091</v>
      </c>
      <c r="C37" s="98" t="s">
        <v>36</v>
      </c>
      <c r="D37" s="92" t="n">
        <v>0</v>
      </c>
      <c r="E37" s="93" t="n">
        <v>0</v>
      </c>
      <c r="F37" s="81" t="n">
        <v>85</v>
      </c>
      <c r="G37" s="81" t="n">
        <v>0</v>
      </c>
      <c r="H37" s="81" t="n">
        <v>0</v>
      </c>
      <c r="I37" s="94" t="n">
        <f aca="false">SUM(E37:H37)</f>
        <v>85</v>
      </c>
      <c r="J37" s="73" t="s">
        <v>25</v>
      </c>
      <c r="K37" s="74"/>
      <c r="L37" s="74"/>
      <c r="M37" s="74"/>
      <c r="N37" s="74"/>
      <c r="O37" s="74"/>
      <c r="P37" s="74"/>
      <c r="Q37" s="74"/>
      <c r="R37" s="74"/>
      <c r="S37" s="74"/>
      <c r="T37" s="65" t="str">
        <f aca="false">IF(D37&gt;0,(I37/D37),"")</f>
        <v/>
      </c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</row>
    <row r="38" customFormat="false" ht="15.75" hidden="false" customHeight="false" outlineLevel="0" collapsed="false">
      <c r="A38" s="89" t="s">
        <v>38</v>
      </c>
      <c r="B38" s="99" t="n">
        <v>37098</v>
      </c>
      <c r="C38" s="98" t="s">
        <v>36</v>
      </c>
      <c r="D38" s="96" t="n">
        <v>0</v>
      </c>
      <c r="E38" s="93" t="n">
        <v>0</v>
      </c>
      <c r="F38" s="81" t="n">
        <v>-23.55</v>
      </c>
      <c r="G38" s="81" t="n">
        <v>0</v>
      </c>
      <c r="H38" s="81"/>
      <c r="I38" s="94" t="n">
        <f aca="false">SUM(E38:H38)</f>
        <v>-23.55</v>
      </c>
      <c r="J38" s="73" t="s">
        <v>25</v>
      </c>
      <c r="K38" s="74"/>
      <c r="L38" s="74"/>
      <c r="M38" s="74"/>
      <c r="N38" s="74"/>
      <c r="O38" s="74"/>
      <c r="P38" s="74"/>
      <c r="Q38" s="74"/>
      <c r="R38" s="74"/>
      <c r="S38" s="74"/>
      <c r="T38" s="65" t="str">
        <f aca="false">IF(D38&gt;0,(I38/D38),"")</f>
        <v/>
      </c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</row>
    <row r="39" customFormat="false" ht="15.75" hidden="false" customHeight="false" outlineLevel="0" collapsed="false">
      <c r="A39" s="89" t="s">
        <v>39</v>
      </c>
      <c r="B39" s="99" t="n">
        <v>37098</v>
      </c>
      <c r="C39" s="98" t="s">
        <v>36</v>
      </c>
      <c r="D39" s="96" t="n">
        <v>0</v>
      </c>
      <c r="E39" s="93" t="n">
        <v>0</v>
      </c>
      <c r="F39" s="81" t="n">
        <v>-119.88</v>
      </c>
      <c r="G39" s="81" t="n">
        <v>0</v>
      </c>
      <c r="H39" s="81"/>
      <c r="I39" s="94" t="n">
        <f aca="false">SUM(E39:H39)</f>
        <v>-119.88</v>
      </c>
      <c r="J39" s="73" t="s">
        <v>25</v>
      </c>
      <c r="K39" s="74"/>
      <c r="L39" s="74"/>
      <c r="M39" s="74"/>
      <c r="N39" s="74"/>
      <c r="O39" s="74"/>
      <c r="P39" s="74"/>
      <c r="Q39" s="74"/>
      <c r="R39" s="74"/>
      <c r="S39" s="74"/>
      <c r="T39" s="65" t="str">
        <f aca="false">IF(D39&gt;0,(I39/D39),"")</f>
        <v/>
      </c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/>
      <c r="BV39" s="74"/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</row>
    <row r="40" customFormat="false" ht="15.75" hidden="false" customHeight="false" outlineLevel="0" collapsed="false">
      <c r="A40" s="89" t="s">
        <v>40</v>
      </c>
      <c r="B40" s="99" t="n">
        <v>37098</v>
      </c>
      <c r="C40" s="98" t="s">
        <v>36</v>
      </c>
      <c r="D40" s="92" t="n">
        <v>8712.697</v>
      </c>
      <c r="E40" s="93" t="n">
        <v>1117.355</v>
      </c>
      <c r="F40" s="81" t="n">
        <v>-0.12</v>
      </c>
      <c r="G40" s="81" t="n">
        <v>0</v>
      </c>
      <c r="H40" s="81"/>
      <c r="I40" s="94" t="n">
        <f aca="false">SUM(E40:H40)</f>
        <v>1117.235</v>
      </c>
      <c r="J40" s="73" t="s">
        <v>25</v>
      </c>
      <c r="K40" s="74"/>
      <c r="L40" s="74"/>
      <c r="M40" s="74"/>
      <c r="N40" s="74"/>
      <c r="O40" s="74"/>
      <c r="P40" s="74"/>
      <c r="Q40" s="74"/>
      <c r="R40" s="74"/>
      <c r="S40" s="74"/>
      <c r="T40" s="65" t="n">
        <f aca="false">IF(D40&gt;0,(I40/D40),"")</f>
        <v>0.128230673005156</v>
      </c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4"/>
      <c r="BX40" s="74"/>
      <c r="BY40" s="74"/>
      <c r="BZ40" s="74"/>
      <c r="CA40" s="74"/>
      <c r="CB40" s="74"/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</row>
    <row r="41" customFormat="false" ht="3.75" hidden="false" customHeight="true" outlineLevel="0" collapsed="false">
      <c r="A41" s="82"/>
      <c r="B41" s="48"/>
      <c r="C41" s="49"/>
      <c r="D41" s="76"/>
      <c r="E41" s="77"/>
      <c r="F41" s="78"/>
      <c r="G41" s="78"/>
      <c r="H41" s="78"/>
      <c r="I41" s="79"/>
      <c r="J41" s="30"/>
      <c r="K41" s="18"/>
      <c r="L41" s="19"/>
      <c r="M41" s="18"/>
      <c r="N41" s="18"/>
      <c r="O41" s="18"/>
      <c r="P41" s="18"/>
      <c r="Q41" s="18"/>
      <c r="R41" s="18"/>
      <c r="S41" s="18"/>
      <c r="T41" s="65" t="str">
        <f aca="false">IF(D41&gt;0,(I41/D41),"")</f>
        <v/>
      </c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</row>
    <row r="42" customFormat="false" ht="15" hidden="false" customHeight="false" outlineLevel="0" collapsed="false">
      <c r="A42" s="80" t="s">
        <v>41</v>
      </c>
      <c r="B42" s="48"/>
      <c r="C42" s="49"/>
      <c r="D42" s="50" t="n">
        <f aca="false">SUM(D26:D41)</f>
        <v>223075.744333333</v>
      </c>
      <c r="E42" s="51" t="n">
        <f aca="false">SUM(E26:E41)</f>
        <v>22254.771</v>
      </c>
      <c r="F42" s="44" t="n">
        <f aca="false">SUM(F26:F41)</f>
        <v>-2599</v>
      </c>
      <c r="G42" s="44" t="n">
        <f aca="false">SUM(G26:G41)</f>
        <v>0</v>
      </c>
      <c r="H42" s="44" t="n">
        <f aca="false">SUM(H26:H41)</f>
        <v>0</v>
      </c>
      <c r="I42" s="52" t="n">
        <f aca="false">SUM(I26:I41)</f>
        <v>19655.771</v>
      </c>
      <c r="J42" s="30"/>
      <c r="K42" s="18"/>
      <c r="L42" s="19"/>
      <c r="M42" s="18"/>
      <c r="N42" s="18"/>
      <c r="O42" s="18"/>
      <c r="P42" s="18"/>
      <c r="Q42" s="18"/>
      <c r="R42" s="18"/>
      <c r="S42" s="18"/>
      <c r="T42" s="65" t="n">
        <f aca="false">IF(D42&gt;0,(I42/D42),"")</f>
        <v>0.0881125424852518</v>
      </c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5" hidden="false" customHeight="false" outlineLevel="0" collapsed="false">
      <c r="A43" s="82"/>
      <c r="B43" s="48"/>
      <c r="C43" s="49"/>
      <c r="D43" s="50"/>
      <c r="E43" s="51"/>
      <c r="F43" s="44"/>
      <c r="G43" s="44"/>
      <c r="H43" s="44"/>
      <c r="I43" s="52"/>
      <c r="J43" s="30"/>
      <c r="K43" s="18"/>
      <c r="L43" s="19"/>
      <c r="M43" s="18"/>
      <c r="N43" s="18"/>
      <c r="O43" s="18"/>
      <c r="P43" s="18"/>
      <c r="Q43" s="18"/>
      <c r="R43" s="18"/>
      <c r="S43" s="18"/>
      <c r="T43" s="65" t="str">
        <f aca="false">IF(D43&gt;0,(I43/D43),"")</f>
        <v/>
      </c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5.75" hidden="false" customHeight="false" outlineLevel="0" collapsed="false">
      <c r="A44" s="53" t="s">
        <v>42</v>
      </c>
      <c r="B44" s="48"/>
      <c r="C44" s="49"/>
      <c r="D44" s="50"/>
      <c r="E44" s="51"/>
      <c r="F44" s="44"/>
      <c r="G44" s="44"/>
      <c r="H44" s="44"/>
      <c r="I44" s="52"/>
      <c r="J44" s="30"/>
      <c r="K44" s="18"/>
      <c r="L44" s="19"/>
      <c r="M44" s="18"/>
      <c r="N44" s="18"/>
      <c r="O44" s="18"/>
      <c r="P44" s="18"/>
      <c r="Q44" s="18"/>
      <c r="R44" s="18"/>
      <c r="S44" s="18"/>
      <c r="T44" s="65" t="str">
        <f aca="false">IF(D44&gt;0,(I44/D44),"")</f>
        <v/>
      </c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</row>
    <row r="45" customFormat="false" ht="4.5" hidden="false" customHeight="true" outlineLevel="0" collapsed="false">
      <c r="A45" s="53"/>
      <c r="B45" s="48"/>
      <c r="C45" s="49"/>
      <c r="D45" s="50"/>
      <c r="E45" s="51"/>
      <c r="F45" s="44"/>
      <c r="G45" s="44"/>
      <c r="H45" s="44"/>
      <c r="I45" s="52"/>
      <c r="J45" s="30"/>
      <c r="K45" s="18"/>
      <c r="L45" s="19"/>
      <c r="M45" s="18"/>
      <c r="N45" s="18"/>
      <c r="O45" s="18"/>
      <c r="P45" s="18"/>
      <c r="Q45" s="18"/>
      <c r="R45" s="18"/>
      <c r="S45" s="18"/>
      <c r="T45" s="65" t="str">
        <f aca="false">IF(D45&gt;0,(I45/D45),"")</f>
        <v/>
      </c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8" hidden="false" customHeight="false" outlineLevel="0" collapsed="false">
      <c r="A46" s="100" t="s">
        <v>43</v>
      </c>
      <c r="B46" s="67"/>
      <c r="C46" s="68"/>
      <c r="D46" s="69" t="n">
        <v>39235.806</v>
      </c>
      <c r="E46" s="70" t="n">
        <v>1563.821</v>
      </c>
      <c r="F46" s="71" t="n">
        <v>0</v>
      </c>
      <c r="G46" s="71" t="n">
        <v>0</v>
      </c>
      <c r="H46" s="71"/>
      <c r="I46" s="72" t="n">
        <f aca="false">SUM(E46:H46)</f>
        <v>1563.821</v>
      </c>
      <c r="J46" s="73" t="s">
        <v>44</v>
      </c>
      <c r="K46" s="74"/>
      <c r="L46" s="74"/>
      <c r="M46" s="74"/>
      <c r="N46" s="74"/>
      <c r="O46" s="74"/>
      <c r="P46" s="74"/>
      <c r="Q46" s="74"/>
      <c r="R46" s="74"/>
      <c r="S46" s="74"/>
      <c r="T46" s="65" t="n">
        <f aca="false">IF(D46&gt;0,(I46/D46),"")</f>
        <v>0.0398569867533752</v>
      </c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</row>
    <row r="47" customFormat="false" ht="18" hidden="false" customHeight="false" outlineLevel="0" collapsed="false">
      <c r="A47" s="100" t="s">
        <v>45</v>
      </c>
      <c r="B47" s="67"/>
      <c r="C47" s="68"/>
      <c r="D47" s="69" t="n">
        <v>0</v>
      </c>
      <c r="E47" s="70" t="n">
        <v>2447.749</v>
      </c>
      <c r="F47" s="71" t="n">
        <v>-750</v>
      </c>
      <c r="G47" s="71" t="n">
        <v>0</v>
      </c>
      <c r="H47" s="71"/>
      <c r="I47" s="72" t="n">
        <f aca="false">SUM(E47:H47)</f>
        <v>1697.749</v>
      </c>
      <c r="J47" s="73" t="s">
        <v>44</v>
      </c>
      <c r="K47" s="74"/>
      <c r="L47" s="74"/>
      <c r="M47" s="74"/>
      <c r="N47" s="74"/>
      <c r="O47" s="74"/>
      <c r="P47" s="74"/>
      <c r="Q47" s="74"/>
      <c r="R47" s="74"/>
      <c r="S47" s="74"/>
      <c r="T47" s="65" t="str">
        <f aca="false">IF(D47&gt;0,(I47/D47),"")</f>
        <v/>
      </c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</row>
    <row r="48" customFormat="false" ht="18" hidden="false" customHeight="false" outlineLevel="0" collapsed="false">
      <c r="A48" s="100" t="s">
        <v>46</v>
      </c>
      <c r="B48" s="67"/>
      <c r="C48" s="68"/>
      <c r="D48" s="69" t="n">
        <v>55560.746</v>
      </c>
      <c r="E48" s="70" t="n">
        <v>13708.195</v>
      </c>
      <c r="F48" s="71" t="n">
        <v>-2174.702</v>
      </c>
      <c r="G48" s="71" t="n">
        <v>0</v>
      </c>
      <c r="H48" s="71"/>
      <c r="I48" s="72" t="n">
        <f aca="false">SUM(E48:H48)</f>
        <v>11533.493</v>
      </c>
      <c r="J48" s="73" t="s">
        <v>44</v>
      </c>
      <c r="K48" s="74"/>
      <c r="L48" s="74"/>
      <c r="M48" s="74"/>
      <c r="N48" s="74"/>
      <c r="O48" s="74"/>
      <c r="P48" s="74"/>
      <c r="Q48" s="74"/>
      <c r="R48" s="74"/>
      <c r="S48" s="74"/>
      <c r="T48" s="65" t="n">
        <f aca="false">IF(D48&gt;0,(I48/D48),"")</f>
        <v>0.207583479890641</v>
      </c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</row>
    <row r="49" customFormat="false" ht="18" hidden="false" customHeight="false" outlineLevel="0" collapsed="false">
      <c r="A49" s="100" t="s">
        <v>47</v>
      </c>
      <c r="B49" s="67"/>
      <c r="C49" s="68"/>
      <c r="D49" s="69" t="n">
        <v>0</v>
      </c>
      <c r="E49" s="70" t="n">
        <v>886.595</v>
      </c>
      <c r="F49" s="71" t="n">
        <v>0</v>
      </c>
      <c r="G49" s="71" t="n">
        <v>0</v>
      </c>
      <c r="H49" s="71"/>
      <c r="I49" s="72" t="n">
        <f aca="false">SUM(E49:H49)</f>
        <v>886.595</v>
      </c>
      <c r="J49" s="73" t="s">
        <v>44</v>
      </c>
      <c r="K49" s="74"/>
      <c r="L49" s="74"/>
      <c r="M49" s="74"/>
      <c r="N49" s="74"/>
      <c r="O49" s="74"/>
      <c r="P49" s="74"/>
      <c r="Q49" s="74"/>
      <c r="R49" s="74"/>
      <c r="S49" s="74"/>
      <c r="T49" s="65" t="str">
        <f aca="false">IF(D49&gt;0,(I49/D49),"")</f>
        <v/>
      </c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</row>
    <row r="50" customFormat="false" ht="18" hidden="false" customHeight="false" outlineLevel="0" collapsed="false">
      <c r="A50" s="100" t="s">
        <v>48</v>
      </c>
      <c r="B50" s="67"/>
      <c r="C50" s="68"/>
      <c r="D50" s="69" t="n">
        <v>0</v>
      </c>
      <c r="E50" s="70" t="n">
        <f aca="false">-330832/1000</f>
        <v>-330.832</v>
      </c>
      <c r="F50" s="71" t="n">
        <f aca="false">237805/1000</f>
        <v>237.805</v>
      </c>
      <c r="G50" s="71" t="n">
        <v>0</v>
      </c>
      <c r="H50" s="71"/>
      <c r="I50" s="72" t="n">
        <f aca="false">SUM(E50:G50)</f>
        <v>-93.027</v>
      </c>
      <c r="J50" s="73" t="s">
        <v>25</v>
      </c>
      <c r="K50" s="74"/>
      <c r="L50" s="74"/>
      <c r="M50" s="74"/>
      <c r="N50" s="74"/>
      <c r="O50" s="74"/>
      <c r="P50" s="74"/>
      <c r="Q50" s="74"/>
      <c r="R50" s="74"/>
      <c r="S50" s="74"/>
      <c r="T50" s="65" t="str">
        <f aca="false">IF(D50&gt;0,(I50/D50),"")</f>
        <v/>
      </c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</row>
    <row r="51" customFormat="false" ht="15.75" hidden="false" customHeight="false" outlineLevel="0" collapsed="false">
      <c r="A51" s="89" t="s">
        <v>49</v>
      </c>
      <c r="B51" s="90"/>
      <c r="C51" s="91"/>
      <c r="D51" s="96" t="n">
        <f aca="false">I51/0.03</f>
        <v>430.133333333333</v>
      </c>
      <c r="E51" s="93" t="n">
        <v>12.904</v>
      </c>
      <c r="F51" s="81"/>
      <c r="G51" s="81"/>
      <c r="H51" s="81"/>
      <c r="I51" s="94" t="n">
        <f aca="false">SUM(E51:G51)</f>
        <v>12.904</v>
      </c>
      <c r="J51" s="73" t="s">
        <v>18</v>
      </c>
      <c r="K51" s="74"/>
      <c r="L51" s="74"/>
      <c r="M51" s="74"/>
      <c r="N51" s="74"/>
      <c r="O51" s="74"/>
      <c r="P51" s="74"/>
      <c r="Q51" s="74"/>
      <c r="R51" s="74"/>
      <c r="S51" s="74"/>
      <c r="T51" s="65" t="n">
        <f aca="false">IF(D51&gt;0,(I51/D51),"")</f>
        <v>0.03</v>
      </c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</row>
    <row r="52" customFormat="false" ht="15.75" hidden="false" customHeight="false" outlineLevel="0" collapsed="false">
      <c r="A52" s="89" t="s">
        <v>50</v>
      </c>
      <c r="B52" s="90"/>
      <c r="C52" s="91"/>
      <c r="D52" s="96" t="n">
        <f aca="false">I52/0.03</f>
        <v>3496.4</v>
      </c>
      <c r="E52" s="93" t="n">
        <v>104.892</v>
      </c>
      <c r="F52" s="81"/>
      <c r="G52" s="81"/>
      <c r="H52" s="81"/>
      <c r="I52" s="94" t="n">
        <f aca="false">SUM(E52:G52)</f>
        <v>104.892</v>
      </c>
      <c r="J52" s="73" t="s">
        <v>18</v>
      </c>
      <c r="K52" s="74"/>
      <c r="L52" s="74"/>
      <c r="M52" s="74"/>
      <c r="N52" s="74"/>
      <c r="O52" s="74"/>
      <c r="P52" s="74"/>
      <c r="Q52" s="74"/>
      <c r="R52" s="74"/>
      <c r="S52" s="74"/>
      <c r="T52" s="65" t="n">
        <f aca="false">IF(D52&gt;0,(I52/D52),"")</f>
        <v>0.03</v>
      </c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</row>
    <row r="53" customFormat="false" ht="15.75" hidden="false" customHeight="false" outlineLevel="0" collapsed="false">
      <c r="A53" s="89" t="s">
        <v>51</v>
      </c>
      <c r="B53" s="90"/>
      <c r="C53" s="91"/>
      <c r="D53" s="96" t="n">
        <f aca="false">I53/0.03</f>
        <v>1122</v>
      </c>
      <c r="E53" s="93" t="n">
        <v>33.66</v>
      </c>
      <c r="F53" s="81"/>
      <c r="G53" s="81"/>
      <c r="H53" s="81"/>
      <c r="I53" s="94" t="n">
        <f aca="false">SUM(E53:G53)</f>
        <v>33.66</v>
      </c>
      <c r="J53" s="73" t="s">
        <v>18</v>
      </c>
      <c r="K53" s="74"/>
      <c r="L53" s="74"/>
      <c r="M53" s="74"/>
      <c r="N53" s="74"/>
      <c r="O53" s="74"/>
      <c r="P53" s="74"/>
      <c r="Q53" s="74"/>
      <c r="R53" s="74"/>
      <c r="S53" s="74"/>
      <c r="T53" s="65" t="n">
        <f aca="false">IF(D53&gt;0,(I53/D53),"")</f>
        <v>0.03</v>
      </c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</row>
    <row r="54" customFormat="false" ht="15.75" hidden="false" customHeight="false" outlineLevel="0" collapsed="false">
      <c r="A54" s="89" t="s">
        <v>52</v>
      </c>
      <c r="B54" s="90"/>
      <c r="C54" s="91"/>
      <c r="D54" s="96" t="n">
        <f aca="false">I54/0.03</f>
        <v>320</v>
      </c>
      <c r="E54" s="93" t="n">
        <v>9.6</v>
      </c>
      <c r="F54" s="81"/>
      <c r="G54" s="81"/>
      <c r="H54" s="81"/>
      <c r="I54" s="94" t="n">
        <f aca="false">SUM(E54:G54)</f>
        <v>9.6</v>
      </c>
      <c r="J54" s="73" t="s">
        <v>18</v>
      </c>
      <c r="K54" s="74"/>
      <c r="L54" s="74"/>
      <c r="M54" s="74"/>
      <c r="N54" s="74"/>
      <c r="O54" s="74"/>
      <c r="P54" s="74"/>
      <c r="Q54" s="74"/>
      <c r="R54" s="74"/>
      <c r="S54" s="74"/>
      <c r="T54" s="65" t="n">
        <f aca="false">IF(D54&gt;0,(I54/D54),"")</f>
        <v>0.03</v>
      </c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</row>
    <row r="55" customFormat="false" ht="15.75" hidden="false" customHeight="false" outlineLevel="0" collapsed="false">
      <c r="A55" s="89" t="s">
        <v>53</v>
      </c>
      <c r="B55" s="90"/>
      <c r="C55" s="91"/>
      <c r="D55" s="92" t="n">
        <v>213632.984</v>
      </c>
      <c r="E55" s="93" t="n">
        <v>11585.378</v>
      </c>
      <c r="F55" s="81" t="n">
        <v>-1003.725</v>
      </c>
      <c r="G55" s="81"/>
      <c r="H55" s="81"/>
      <c r="I55" s="94" t="n">
        <v>10581.653</v>
      </c>
      <c r="J55" s="73" t="s">
        <v>54</v>
      </c>
      <c r="K55" s="74"/>
      <c r="L55" s="74"/>
      <c r="M55" s="74"/>
      <c r="N55" s="74"/>
      <c r="O55" s="74"/>
      <c r="P55" s="74"/>
      <c r="Q55" s="74"/>
      <c r="R55" s="74"/>
      <c r="S55" s="74"/>
      <c r="T55" s="65" t="n">
        <f aca="false">IF(D55&gt;0,(I55/D55),"")</f>
        <v>0.0495319252761081</v>
      </c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</row>
    <row r="56" customFormat="false" ht="15.75" hidden="false" customHeight="false" outlineLevel="0" collapsed="false">
      <c r="A56" s="89" t="s">
        <v>55</v>
      </c>
      <c r="B56" s="90"/>
      <c r="C56" s="91"/>
      <c r="D56" s="96" t="n">
        <f aca="false">I56/0.03</f>
        <v>29.6</v>
      </c>
      <c r="E56" s="93" t="n">
        <v>0.849</v>
      </c>
      <c r="F56" s="81"/>
      <c r="G56" s="81"/>
      <c r="H56" s="81"/>
      <c r="I56" s="94" t="n">
        <v>0.888</v>
      </c>
      <c r="J56" s="73" t="s">
        <v>18</v>
      </c>
      <c r="K56" s="74"/>
      <c r="L56" s="74"/>
      <c r="M56" s="74"/>
      <c r="N56" s="74"/>
      <c r="O56" s="74"/>
      <c r="P56" s="74"/>
      <c r="Q56" s="74"/>
      <c r="R56" s="74"/>
      <c r="S56" s="74"/>
      <c r="T56" s="65" t="n">
        <f aca="false">IF(D56&gt;0,(I56/D56),"")</f>
        <v>0.03</v>
      </c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74"/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</row>
    <row r="57" customFormat="false" ht="15.75" hidden="false" customHeight="false" outlineLevel="0" collapsed="false">
      <c r="A57" s="89" t="s">
        <v>56</v>
      </c>
      <c r="B57" s="90"/>
      <c r="C57" s="91"/>
      <c r="D57" s="92" t="n">
        <v>-22299.344</v>
      </c>
      <c r="E57" s="93" t="n">
        <v>2012.317</v>
      </c>
      <c r="F57" s="81" t="n">
        <v>47.561</v>
      </c>
      <c r="G57" s="81"/>
      <c r="H57" s="81"/>
      <c r="I57" s="94" t="n">
        <f aca="false">SUM(E57:H57)</f>
        <v>2059.878</v>
      </c>
      <c r="J57" s="73" t="s">
        <v>54</v>
      </c>
      <c r="K57" s="74"/>
      <c r="L57" s="74"/>
      <c r="M57" s="74"/>
      <c r="N57" s="74"/>
      <c r="O57" s="74"/>
      <c r="P57" s="74"/>
      <c r="Q57" s="74"/>
      <c r="R57" s="74"/>
      <c r="S57" s="74"/>
      <c r="T57" s="65" t="str">
        <f aca="false">IF(D57&gt;0,(I57/D57),"")</f>
        <v/>
      </c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</row>
    <row r="58" customFormat="false" ht="18" hidden="false" customHeight="false" outlineLevel="0" collapsed="false">
      <c r="A58" s="101" t="s">
        <v>57</v>
      </c>
      <c r="B58" s="102"/>
      <c r="C58" s="103" t="s">
        <v>58</v>
      </c>
      <c r="D58" s="96" t="n">
        <f aca="false">I58/0.03</f>
        <v>190</v>
      </c>
      <c r="E58" s="93" t="n">
        <v>5.7</v>
      </c>
      <c r="F58" s="81"/>
      <c r="G58" s="81"/>
      <c r="H58" s="81"/>
      <c r="I58" s="94" t="n">
        <f aca="false">SUM(E58:G58)</f>
        <v>5.7</v>
      </c>
      <c r="J58" s="73" t="s">
        <v>18</v>
      </c>
      <c r="K58" s="74"/>
      <c r="L58" s="74"/>
      <c r="M58" s="74"/>
      <c r="N58" s="74"/>
      <c r="O58" s="74"/>
      <c r="P58" s="74"/>
      <c r="Q58" s="74"/>
      <c r="R58" s="74"/>
      <c r="S58" s="74"/>
      <c r="T58" s="65" t="n">
        <f aca="false">IF(D58&gt;0,(I58/D58),"")</f>
        <v>0.03</v>
      </c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</row>
    <row r="59" customFormat="false" ht="15.75" hidden="false" customHeight="false" outlineLevel="0" collapsed="false">
      <c r="A59" s="89" t="s">
        <v>59</v>
      </c>
      <c r="B59" s="95" t="n">
        <v>37091</v>
      </c>
      <c r="C59" s="90" t="s">
        <v>60</v>
      </c>
      <c r="D59" s="92" t="n">
        <f aca="false">I59/0.015</f>
        <v>750</v>
      </c>
      <c r="E59" s="93" t="n">
        <f aca="false">11.25</f>
        <v>11.25</v>
      </c>
      <c r="F59" s="81" t="n">
        <v>0</v>
      </c>
      <c r="G59" s="81" t="n">
        <v>0</v>
      </c>
      <c r="H59" s="81" t="n">
        <v>0</v>
      </c>
      <c r="I59" s="94" t="n">
        <f aca="false">SUM(E59:H59)</f>
        <v>11.25</v>
      </c>
      <c r="J59" s="73" t="s">
        <v>18</v>
      </c>
      <c r="K59" s="74"/>
      <c r="L59" s="74"/>
      <c r="M59" s="74"/>
      <c r="N59" s="74"/>
      <c r="O59" s="74"/>
      <c r="P59" s="74"/>
      <c r="Q59" s="74"/>
      <c r="R59" s="74"/>
      <c r="S59" s="74"/>
      <c r="T59" s="65" t="n">
        <f aca="false">IF(D59&gt;0,(I59/D59),"")</f>
        <v>0.015</v>
      </c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</row>
    <row r="60" customFormat="false" ht="15.75" hidden="false" customHeight="false" outlineLevel="0" collapsed="false">
      <c r="A60" s="89" t="s">
        <v>61</v>
      </c>
      <c r="B60" s="95" t="n">
        <v>37091</v>
      </c>
      <c r="C60" s="90" t="s">
        <v>60</v>
      </c>
      <c r="D60" s="92" t="n">
        <f aca="false">I60/0.015</f>
        <v>1847.46666666667</v>
      </c>
      <c r="E60" s="93" t="n">
        <f aca="false">27.712</f>
        <v>27.712</v>
      </c>
      <c r="F60" s="81" t="n">
        <v>0</v>
      </c>
      <c r="G60" s="81" t="n">
        <v>0</v>
      </c>
      <c r="H60" s="81" t="n">
        <v>0</v>
      </c>
      <c r="I60" s="94" t="n">
        <f aca="false">SUM(E60:H60)</f>
        <v>27.712</v>
      </c>
      <c r="J60" s="73" t="s">
        <v>18</v>
      </c>
      <c r="K60" s="74"/>
      <c r="L60" s="74"/>
      <c r="M60" s="74"/>
      <c r="N60" s="74"/>
      <c r="O60" s="74"/>
      <c r="P60" s="74"/>
      <c r="Q60" s="74"/>
      <c r="R60" s="74"/>
      <c r="S60" s="74"/>
      <c r="T60" s="65" t="n">
        <f aca="false">IF(D60&gt;0,(I60/D60),"")</f>
        <v>0.015</v>
      </c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</row>
    <row r="61" customFormat="false" ht="15.75" hidden="false" customHeight="false" outlineLevel="0" collapsed="false">
      <c r="A61" s="89" t="s">
        <v>62</v>
      </c>
      <c r="B61" s="95" t="n">
        <v>37091</v>
      </c>
      <c r="C61" s="90" t="s">
        <v>60</v>
      </c>
      <c r="D61" s="92" t="n">
        <f aca="false">I61/0.015</f>
        <v>0</v>
      </c>
      <c r="E61" s="93" t="n">
        <v>0</v>
      </c>
      <c r="F61" s="81" t="n">
        <v>0</v>
      </c>
      <c r="G61" s="81" t="n">
        <v>0</v>
      </c>
      <c r="H61" s="81" t="n">
        <v>0</v>
      </c>
      <c r="I61" s="94" t="n">
        <f aca="false">SUM(E61:H61)</f>
        <v>0</v>
      </c>
      <c r="J61" s="73"/>
      <c r="K61" s="74"/>
      <c r="L61" s="74"/>
      <c r="M61" s="74"/>
      <c r="N61" s="74"/>
      <c r="O61" s="74"/>
      <c r="P61" s="74"/>
      <c r="Q61" s="74"/>
      <c r="R61" s="74"/>
      <c r="S61" s="74"/>
      <c r="T61" s="65" t="str">
        <f aca="false">IF(D61&gt;0,(I61/D61),"")</f>
        <v/>
      </c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74"/>
      <c r="CB61" s="74"/>
      <c r="CC61" s="74"/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</row>
    <row r="62" customFormat="false" ht="15.75" hidden="false" customHeight="false" outlineLevel="0" collapsed="false">
      <c r="A62" s="89" t="s">
        <v>63</v>
      </c>
      <c r="B62" s="99" t="n">
        <v>37098</v>
      </c>
      <c r="C62" s="90" t="s">
        <v>60</v>
      </c>
      <c r="D62" s="96" t="n">
        <v>0</v>
      </c>
      <c r="E62" s="93" t="n">
        <v>-44.774</v>
      </c>
      <c r="F62" s="81" t="n">
        <v>0</v>
      </c>
      <c r="G62" s="81" t="n">
        <v>0</v>
      </c>
      <c r="H62" s="81"/>
      <c r="I62" s="94" t="n">
        <f aca="false">SUM(E62:H62)</f>
        <v>-44.774</v>
      </c>
      <c r="J62" s="73" t="s">
        <v>18</v>
      </c>
      <c r="K62" s="74"/>
      <c r="L62" s="74"/>
      <c r="M62" s="74"/>
      <c r="N62" s="74"/>
      <c r="O62" s="74"/>
      <c r="P62" s="74"/>
      <c r="Q62" s="74"/>
      <c r="R62" s="74"/>
      <c r="S62" s="74"/>
      <c r="T62" s="65" t="str">
        <f aca="false">IF(D62&gt;0,(I62/D62),"")</f>
        <v/>
      </c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/>
      <c r="BZ62" s="74"/>
      <c r="CA62" s="74"/>
      <c r="CB62" s="74"/>
      <c r="CC62" s="74"/>
      <c r="CD62" s="74"/>
      <c r="CE62" s="74"/>
      <c r="CF62" s="74"/>
      <c r="CG62" s="74"/>
      <c r="CH62" s="74"/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</row>
    <row r="63" customFormat="false" ht="15.75" hidden="false" customHeight="false" outlineLevel="0" collapsed="false">
      <c r="A63" s="89" t="s">
        <v>64</v>
      </c>
      <c r="B63" s="99"/>
      <c r="C63" s="90"/>
      <c r="D63" s="96" t="n">
        <v>0</v>
      </c>
      <c r="E63" s="93" t="n">
        <v>44.774</v>
      </c>
      <c r="F63" s="81" t="n">
        <v>0</v>
      </c>
      <c r="G63" s="81" t="n">
        <v>0</v>
      </c>
      <c r="H63" s="81"/>
      <c r="I63" s="94" t="n">
        <f aca="false">SUM(E63:H63)</f>
        <v>44.774</v>
      </c>
      <c r="J63" s="73" t="s">
        <v>18</v>
      </c>
      <c r="K63" s="74"/>
      <c r="L63" s="74"/>
      <c r="M63" s="74"/>
      <c r="N63" s="74"/>
      <c r="O63" s="74"/>
      <c r="P63" s="74"/>
      <c r="Q63" s="74"/>
      <c r="R63" s="74"/>
      <c r="S63" s="74"/>
      <c r="T63" s="65" t="str">
        <f aca="false">IF(D63&gt;0,(I63/D63),"")</f>
        <v/>
      </c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</row>
    <row r="64" customFormat="false" ht="15.75" hidden="false" customHeight="false" outlineLevel="0" collapsed="false">
      <c r="A64" s="89" t="s">
        <v>59</v>
      </c>
      <c r="B64" s="99" t="n">
        <v>37098</v>
      </c>
      <c r="C64" s="90" t="s">
        <v>60</v>
      </c>
      <c r="D64" s="96" t="n">
        <f aca="false">I64/0.03</f>
        <v>11.6666666666667</v>
      </c>
      <c r="E64" s="93" t="n">
        <v>0.35</v>
      </c>
      <c r="F64" s="81" t="n">
        <v>0</v>
      </c>
      <c r="G64" s="81" t="n">
        <v>0</v>
      </c>
      <c r="H64" s="81"/>
      <c r="I64" s="94" t="n">
        <f aca="false">SUM(E64:H64)</f>
        <v>0.35</v>
      </c>
      <c r="J64" s="73" t="s">
        <v>18</v>
      </c>
      <c r="K64" s="74"/>
      <c r="L64" s="74"/>
      <c r="M64" s="74"/>
      <c r="N64" s="74"/>
      <c r="O64" s="74"/>
      <c r="P64" s="74"/>
      <c r="Q64" s="74"/>
      <c r="R64" s="74"/>
      <c r="S64" s="74"/>
      <c r="T64" s="65" t="n">
        <f aca="false">IF(D64&gt;0,(I64/D64),"")</f>
        <v>0.03</v>
      </c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</row>
    <row r="65" customFormat="false" ht="6" hidden="false" customHeight="true" outlineLevel="0" collapsed="false">
      <c r="A65" s="82"/>
      <c r="B65" s="48"/>
      <c r="C65" s="49"/>
      <c r="D65" s="76"/>
      <c r="E65" s="77"/>
      <c r="F65" s="78"/>
      <c r="G65" s="78"/>
      <c r="H65" s="78"/>
      <c r="I65" s="79"/>
      <c r="J65" s="30"/>
      <c r="K65" s="18"/>
      <c r="L65" s="19"/>
      <c r="M65" s="18"/>
      <c r="N65" s="18"/>
      <c r="O65" s="18"/>
      <c r="P65" s="18"/>
      <c r="Q65" s="18"/>
      <c r="R65" s="18"/>
      <c r="S65" s="18"/>
      <c r="T65" s="65" t="str">
        <f aca="false">IF(D65&gt;0,(I65/D65),"")</f>
        <v/>
      </c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</row>
    <row r="66" customFormat="false" ht="15" hidden="false" customHeight="false" outlineLevel="0" collapsed="false">
      <c r="A66" s="80" t="s">
        <v>65</v>
      </c>
      <c r="B66" s="48"/>
      <c r="C66" s="49"/>
      <c r="D66" s="50" t="n">
        <f aca="false">SUM(D44:D65)</f>
        <v>294327.458666667</v>
      </c>
      <c r="E66" s="51" t="n">
        <f aca="false">SUM(E44:E65)</f>
        <v>32080.14</v>
      </c>
      <c r="F66" s="44" t="n">
        <f aca="false">SUM(F44:F65)</f>
        <v>-3643.061</v>
      </c>
      <c r="G66" s="44" t="n">
        <f aca="false">SUM(G44:G65)</f>
        <v>0</v>
      </c>
      <c r="H66" s="44" t="n">
        <f aca="false">SUM(H44:H65)</f>
        <v>0</v>
      </c>
      <c r="I66" s="52" t="n">
        <f aca="false">SUM(I44:I65)</f>
        <v>28437.118</v>
      </c>
      <c r="J66" s="30"/>
      <c r="K66" s="18"/>
      <c r="L66" s="19"/>
      <c r="M66" s="18"/>
      <c r="N66" s="18"/>
      <c r="O66" s="18"/>
      <c r="P66" s="18"/>
      <c r="Q66" s="18"/>
      <c r="R66" s="18"/>
      <c r="S66" s="18"/>
      <c r="T66" s="65" t="n">
        <f aca="false">IF(D66&gt;0,(I66/D66),"")</f>
        <v>0.0966172783498456</v>
      </c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</row>
    <row r="67" customFormat="false" ht="15" hidden="false" customHeight="false" outlineLevel="0" collapsed="false">
      <c r="A67" s="82"/>
      <c r="B67" s="48"/>
      <c r="C67" s="49"/>
      <c r="D67" s="50"/>
      <c r="E67" s="51"/>
      <c r="F67" s="44"/>
      <c r="G67" s="44"/>
      <c r="H67" s="44"/>
      <c r="I67" s="52"/>
      <c r="J67" s="30"/>
      <c r="K67" s="18"/>
      <c r="L67" s="19"/>
      <c r="M67" s="18"/>
      <c r="N67" s="18"/>
      <c r="O67" s="18"/>
      <c r="P67" s="18"/>
      <c r="Q67" s="18"/>
      <c r="R67" s="18"/>
      <c r="S67" s="18"/>
      <c r="T67" s="65" t="str">
        <f aca="false">IF(D67&gt;0,(I67/D67),"")</f>
        <v/>
      </c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</row>
    <row r="68" customFormat="false" ht="15.75" hidden="false" customHeight="false" outlineLevel="0" collapsed="false">
      <c r="A68" s="53" t="s">
        <v>66</v>
      </c>
      <c r="B68" s="48"/>
      <c r="C68" s="49"/>
      <c r="D68" s="50"/>
      <c r="E68" s="51"/>
      <c r="F68" s="44"/>
      <c r="G68" s="44"/>
      <c r="H68" s="44"/>
      <c r="I68" s="52"/>
      <c r="J68" s="30"/>
      <c r="K68" s="18"/>
      <c r="L68" s="19"/>
      <c r="M68" s="18"/>
      <c r="N68" s="18"/>
      <c r="O68" s="18"/>
      <c r="P68" s="18"/>
      <c r="Q68" s="18"/>
      <c r="R68" s="18"/>
      <c r="S68" s="18"/>
      <c r="T68" s="65" t="str">
        <f aca="false">IF(D68&gt;0,(I68/D68),"")</f>
        <v/>
      </c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</row>
    <row r="69" customFormat="false" ht="5.25" hidden="false" customHeight="true" outlineLevel="0" collapsed="false">
      <c r="A69" s="75"/>
      <c r="B69" s="48"/>
      <c r="C69" s="49"/>
      <c r="D69" s="50"/>
      <c r="E69" s="51"/>
      <c r="F69" s="44"/>
      <c r="G69" s="44"/>
      <c r="H69" s="44"/>
      <c r="I69" s="52"/>
      <c r="J69" s="30"/>
      <c r="K69" s="18"/>
      <c r="L69" s="19"/>
      <c r="M69" s="18"/>
      <c r="N69" s="18"/>
      <c r="O69" s="18"/>
      <c r="P69" s="18"/>
      <c r="Q69" s="18"/>
      <c r="R69" s="18"/>
      <c r="S69" s="18"/>
      <c r="T69" s="65" t="str">
        <f aca="false">IF(D69&gt;0,(I69/D69),"")</f>
        <v/>
      </c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</row>
    <row r="70" customFormat="false" ht="18" hidden="false" customHeight="false" outlineLevel="0" collapsed="false">
      <c r="A70" s="104" t="s">
        <v>67</v>
      </c>
      <c r="B70" s="67"/>
      <c r="C70" s="68"/>
      <c r="D70" s="69" t="n">
        <v>0</v>
      </c>
      <c r="E70" s="70" t="n">
        <f aca="false">-444610/1000</f>
        <v>-444.61</v>
      </c>
      <c r="F70" s="71" t="n">
        <f aca="false">14221/1000</f>
        <v>14.221</v>
      </c>
      <c r="G70" s="71"/>
      <c r="H70" s="71"/>
      <c r="I70" s="72" t="n">
        <f aca="false">SUM(E70:G70)</f>
        <v>-430.389</v>
      </c>
      <c r="J70" s="73" t="s">
        <v>25</v>
      </c>
      <c r="K70" s="74"/>
      <c r="L70" s="74"/>
      <c r="M70" s="74"/>
      <c r="N70" s="74"/>
      <c r="O70" s="74"/>
      <c r="P70" s="74"/>
      <c r="Q70" s="74"/>
      <c r="R70" s="74"/>
      <c r="S70" s="74"/>
      <c r="T70" s="65" t="str">
        <f aca="false">IF(D70&gt;0,(I70/D70),"")</f>
        <v/>
      </c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/>
      <c r="CC70" s="74"/>
      <c r="CD70" s="74"/>
      <c r="CE70" s="74"/>
      <c r="CF70" s="74"/>
      <c r="CG70" s="74"/>
      <c r="CH70" s="74"/>
      <c r="CI70" s="74"/>
      <c r="CJ70" s="74"/>
      <c r="CK70" s="74"/>
      <c r="CL70" s="74"/>
      <c r="CM70" s="74"/>
      <c r="CN70" s="74"/>
      <c r="CO70" s="74"/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</row>
    <row r="71" customFormat="false" ht="18" hidden="false" customHeight="false" outlineLevel="0" collapsed="false">
      <c r="A71" s="104" t="s">
        <v>68</v>
      </c>
      <c r="B71" s="67"/>
      <c r="C71" s="68"/>
      <c r="D71" s="69" t="n">
        <v>18704.468</v>
      </c>
      <c r="E71" s="70" t="n">
        <f aca="false">3278907/1000</f>
        <v>3278.907</v>
      </c>
      <c r="F71" s="71" t="n">
        <f aca="false">-149017/1000</f>
        <v>-149.017</v>
      </c>
      <c r="G71" s="71"/>
      <c r="H71" s="71"/>
      <c r="I71" s="72" t="n">
        <f aca="false">SUM(E71:G71)</f>
        <v>3129.89</v>
      </c>
      <c r="J71" s="73" t="s">
        <v>25</v>
      </c>
      <c r="K71" s="74"/>
      <c r="L71" s="74"/>
      <c r="M71" s="74"/>
      <c r="N71" s="74"/>
      <c r="O71" s="74"/>
      <c r="P71" s="74"/>
      <c r="Q71" s="74"/>
      <c r="R71" s="74"/>
      <c r="S71" s="74"/>
      <c r="T71" s="65" t="n">
        <f aca="false">IF(D71&gt;0,(I71/D71),"")</f>
        <v>0.167333815642337</v>
      </c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/>
      <c r="CA71" s="74"/>
      <c r="CB71" s="74"/>
      <c r="CC71" s="74"/>
      <c r="CD71" s="74"/>
      <c r="CE71" s="74"/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</row>
    <row r="72" customFormat="false" ht="18" hidden="false" customHeight="false" outlineLevel="0" collapsed="false">
      <c r="A72" s="104" t="s">
        <v>69</v>
      </c>
      <c r="B72" s="67"/>
      <c r="C72" s="68"/>
      <c r="D72" s="69" t="n">
        <v>0</v>
      </c>
      <c r="E72" s="70" t="n">
        <f aca="false">911533/1000</f>
        <v>911.533</v>
      </c>
      <c r="F72" s="71" t="n">
        <f aca="false">-50680/1000</f>
        <v>-50.68</v>
      </c>
      <c r="G72" s="71"/>
      <c r="H72" s="71"/>
      <c r="I72" s="72" t="n">
        <f aca="false">SUM(E72:G72)</f>
        <v>860.853</v>
      </c>
      <c r="J72" s="73" t="s">
        <v>70</v>
      </c>
      <c r="K72" s="74"/>
      <c r="L72" s="74"/>
      <c r="M72" s="74"/>
      <c r="N72" s="74"/>
      <c r="O72" s="74"/>
      <c r="P72" s="74"/>
      <c r="Q72" s="74"/>
      <c r="R72" s="74"/>
      <c r="S72" s="74"/>
      <c r="T72" s="65" t="str">
        <f aca="false">IF(D72&gt;0,(I72/D72),"")</f>
        <v/>
      </c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/>
      <c r="CB72" s="74"/>
      <c r="CC72" s="74"/>
      <c r="CD72" s="74"/>
      <c r="CE72" s="74"/>
      <c r="CF72" s="74"/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</row>
    <row r="73" customFormat="false" ht="18" hidden="false" customHeight="false" outlineLevel="0" collapsed="false">
      <c r="A73" s="104" t="s">
        <v>71</v>
      </c>
      <c r="B73" s="67"/>
      <c r="C73" s="68"/>
      <c r="D73" s="69" t="n">
        <v>0</v>
      </c>
      <c r="E73" s="70" t="n">
        <f aca="false">678447/1000</f>
        <v>678.447</v>
      </c>
      <c r="F73" s="71" t="n">
        <f aca="false">-100897/1000</f>
        <v>-100.897</v>
      </c>
      <c r="G73" s="71"/>
      <c r="H73" s="71"/>
      <c r="I73" s="72" t="n">
        <f aca="false">SUM(E73:G73)</f>
        <v>577.55</v>
      </c>
      <c r="J73" s="73" t="s">
        <v>70</v>
      </c>
      <c r="K73" s="74"/>
      <c r="L73" s="74"/>
      <c r="M73" s="74"/>
      <c r="N73" s="74"/>
      <c r="O73" s="74"/>
      <c r="P73" s="74"/>
      <c r="Q73" s="74"/>
      <c r="R73" s="74"/>
      <c r="S73" s="74"/>
      <c r="T73" s="65" t="str">
        <f aca="false">IF(D73&gt;0,(I73/D73),"")</f>
        <v/>
      </c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/>
      <c r="CC73" s="74"/>
      <c r="CD73" s="74"/>
      <c r="CE73" s="74"/>
      <c r="CF73" s="74"/>
      <c r="CG73" s="74"/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</row>
    <row r="74" customFormat="false" ht="18" hidden="false" customHeight="false" outlineLevel="0" collapsed="false">
      <c r="A74" s="104" t="s">
        <v>72</v>
      </c>
      <c r="B74" s="67"/>
      <c r="C74" s="68"/>
      <c r="D74" s="69" t="n">
        <v>0</v>
      </c>
      <c r="E74" s="70" t="n">
        <f aca="false">386108/1000</f>
        <v>386.108</v>
      </c>
      <c r="F74" s="71" t="n">
        <f aca="false">-72528/1000</f>
        <v>-72.528</v>
      </c>
      <c r="G74" s="71"/>
      <c r="H74" s="71"/>
      <c r="I74" s="72" t="n">
        <f aca="false">SUM(E74:G74)</f>
        <v>313.58</v>
      </c>
      <c r="J74" s="73" t="s">
        <v>70</v>
      </c>
      <c r="K74" s="74"/>
      <c r="L74" s="74"/>
      <c r="M74" s="74"/>
      <c r="N74" s="74"/>
      <c r="O74" s="74"/>
      <c r="P74" s="74"/>
      <c r="Q74" s="74"/>
      <c r="R74" s="74"/>
      <c r="S74" s="74"/>
      <c r="T74" s="65" t="str">
        <f aca="false">IF(D74&gt;0,(I74/D74),"")</f>
        <v/>
      </c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/>
      <c r="CF74" s="74"/>
      <c r="CG74" s="74"/>
      <c r="CH74" s="74"/>
      <c r="CI74" s="74"/>
      <c r="CJ74" s="74"/>
      <c r="CK74" s="74"/>
      <c r="CL74" s="74"/>
      <c r="CM74" s="74"/>
      <c r="CN74" s="74"/>
      <c r="CO74" s="74"/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</row>
    <row r="75" customFormat="false" ht="18" hidden="false" customHeight="false" outlineLevel="0" collapsed="false">
      <c r="A75" s="104" t="s">
        <v>73</v>
      </c>
      <c r="B75" s="67"/>
      <c r="C75" s="68"/>
      <c r="D75" s="69" t="n">
        <v>29927.565</v>
      </c>
      <c r="E75" s="70" t="n">
        <f aca="false">12784962/1000</f>
        <v>12784.962</v>
      </c>
      <c r="F75" s="71" t="n">
        <f aca="false">-550000/1000</f>
        <v>-550</v>
      </c>
      <c r="G75" s="71"/>
      <c r="H75" s="71"/>
      <c r="I75" s="72" t="n">
        <f aca="false">SUM(E75:G75)</f>
        <v>12234.962</v>
      </c>
      <c r="J75" s="73" t="s">
        <v>25</v>
      </c>
      <c r="K75" s="74"/>
      <c r="L75" s="74"/>
      <c r="M75" s="74"/>
      <c r="N75" s="74"/>
      <c r="O75" s="74"/>
      <c r="P75" s="74"/>
      <c r="Q75" s="74"/>
      <c r="R75" s="74"/>
      <c r="S75" s="74"/>
      <c r="T75" s="65" t="n">
        <f aca="false">IF(D75&gt;0,(I75/D75),"")</f>
        <v>0.408819160529766</v>
      </c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/>
      <c r="CF75" s="74"/>
      <c r="CG75" s="74"/>
      <c r="CH75" s="74"/>
      <c r="CI75" s="74"/>
      <c r="CJ75" s="74"/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</row>
    <row r="76" customFormat="false" ht="18" hidden="false" customHeight="false" outlineLevel="0" collapsed="false">
      <c r="A76" s="104" t="s">
        <v>74</v>
      </c>
      <c r="B76" s="67"/>
      <c r="C76" s="68"/>
      <c r="D76" s="69" t="n">
        <v>14660.179</v>
      </c>
      <c r="E76" s="70" t="n">
        <f aca="false">3141922/1000</f>
        <v>3141.922</v>
      </c>
      <c r="F76" s="71" t="n">
        <f aca="false">-197200/1000</f>
        <v>-197.2</v>
      </c>
      <c r="G76" s="71"/>
      <c r="H76" s="71"/>
      <c r="I76" s="72" t="n">
        <f aca="false">SUM(E76:G76)</f>
        <v>2944.722</v>
      </c>
      <c r="J76" s="73" t="s">
        <v>25</v>
      </c>
      <c r="K76" s="74"/>
      <c r="L76" s="74"/>
      <c r="M76" s="74"/>
      <c r="N76" s="74"/>
      <c r="O76" s="74"/>
      <c r="P76" s="74"/>
      <c r="Q76" s="74"/>
      <c r="R76" s="74"/>
      <c r="S76" s="74"/>
      <c r="T76" s="65" t="n">
        <f aca="false">IF(D76&gt;0,(I76/D76),"")</f>
        <v>0.200865350961949</v>
      </c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/>
      <c r="CG76" s="74"/>
      <c r="CH76" s="74"/>
      <c r="CI76" s="74"/>
      <c r="CJ76" s="74"/>
      <c r="CK76" s="74"/>
      <c r="CL76" s="74"/>
      <c r="CM76" s="74"/>
      <c r="CN76" s="74"/>
      <c r="CO76" s="74"/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</row>
    <row r="77" customFormat="false" ht="18" hidden="false" customHeight="false" outlineLevel="0" collapsed="false">
      <c r="A77" s="104" t="s">
        <v>75</v>
      </c>
      <c r="B77" s="67"/>
      <c r="C77" s="68"/>
      <c r="D77" s="69" t="n">
        <v>20764.832</v>
      </c>
      <c r="E77" s="70" t="n">
        <f aca="false">5370259/1000</f>
        <v>5370.259</v>
      </c>
      <c r="F77" s="71" t="n">
        <f aca="false">-150000/1000</f>
        <v>-150</v>
      </c>
      <c r="G77" s="71" t="n">
        <v>0</v>
      </c>
      <c r="H77" s="71"/>
      <c r="I77" s="72" t="n">
        <f aca="false">SUM(E77:G77)</f>
        <v>5220.259</v>
      </c>
      <c r="J77" s="73" t="s">
        <v>25</v>
      </c>
      <c r="K77" s="74"/>
      <c r="L77" s="74"/>
      <c r="M77" s="74"/>
      <c r="N77" s="74"/>
      <c r="O77" s="74"/>
      <c r="P77" s="74"/>
      <c r="Q77" s="74"/>
      <c r="R77" s="74"/>
      <c r="S77" s="74"/>
      <c r="T77" s="65" t="n">
        <f aca="false">IF(D77&gt;0,(I77/D77),"")</f>
        <v>0.251399048159889</v>
      </c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/>
      <c r="CF77" s="74"/>
      <c r="CG77" s="74"/>
      <c r="CH77" s="74"/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</row>
    <row r="78" customFormat="false" ht="15.75" hidden="false" customHeight="false" outlineLevel="0" collapsed="false">
      <c r="A78" s="57" t="s">
        <v>76</v>
      </c>
      <c r="B78" s="83"/>
      <c r="C78" s="84"/>
      <c r="D78" s="85" t="n">
        <f aca="false">I78/0.03</f>
        <v>625.3</v>
      </c>
      <c r="E78" s="86" t="n">
        <v>18.759</v>
      </c>
      <c r="F78" s="87"/>
      <c r="G78" s="87" t="n">
        <v>0</v>
      </c>
      <c r="H78" s="87"/>
      <c r="I78" s="88" t="n">
        <f aca="false">SUM(E78:H78)</f>
        <v>18.759</v>
      </c>
      <c r="J78" s="73" t="s">
        <v>18</v>
      </c>
      <c r="K78" s="74"/>
      <c r="L78" s="74"/>
      <c r="M78" s="74"/>
      <c r="N78" s="74"/>
      <c r="O78" s="74"/>
      <c r="P78" s="74"/>
      <c r="Q78" s="74"/>
      <c r="R78" s="74"/>
      <c r="S78" s="74"/>
      <c r="T78" s="65" t="n">
        <f aca="false">IF(D78&gt;0,(I78/D78),"")</f>
        <v>0.03</v>
      </c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/>
      <c r="CF78" s="74"/>
      <c r="CG78" s="74"/>
      <c r="CH78" s="74"/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</row>
    <row r="79" customFormat="false" ht="15.75" hidden="false" customHeight="false" outlineLevel="0" collapsed="false">
      <c r="A79" s="89" t="s">
        <v>77</v>
      </c>
      <c r="B79" s="90"/>
      <c r="C79" s="91"/>
      <c r="D79" s="92" t="n">
        <f aca="false">I79/0.03</f>
        <v>1427.2</v>
      </c>
      <c r="E79" s="93" t="n">
        <v>42.816</v>
      </c>
      <c r="F79" s="81"/>
      <c r="G79" s="81" t="n">
        <v>0</v>
      </c>
      <c r="H79" s="81"/>
      <c r="I79" s="94" t="n">
        <f aca="false">SUM(E79:H79)</f>
        <v>42.816</v>
      </c>
      <c r="J79" s="73" t="s">
        <v>18</v>
      </c>
      <c r="K79" s="74"/>
      <c r="L79" s="74"/>
      <c r="M79" s="74"/>
      <c r="N79" s="74"/>
      <c r="O79" s="74"/>
      <c r="P79" s="74"/>
      <c r="Q79" s="74"/>
      <c r="R79" s="74"/>
      <c r="S79" s="74"/>
      <c r="T79" s="65" t="n">
        <f aca="false">IF(D79&gt;0,(I79/D79),"")</f>
        <v>0.03</v>
      </c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/>
      <c r="CF79" s="74"/>
      <c r="CG79" s="74"/>
      <c r="CH79" s="74"/>
      <c r="CI79" s="74"/>
      <c r="CJ79" s="74"/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</row>
    <row r="80" customFormat="false" ht="15.75" hidden="false" customHeight="false" outlineLevel="0" collapsed="false">
      <c r="A80" s="89" t="s">
        <v>78</v>
      </c>
      <c r="B80" s="90"/>
      <c r="C80" s="91"/>
      <c r="D80" s="92" t="n">
        <v>2289.88</v>
      </c>
      <c r="E80" s="93" t="n">
        <v>94.807</v>
      </c>
      <c r="F80" s="81" t="n">
        <v>-3</v>
      </c>
      <c r="G80" s="81" t="n">
        <v>0</v>
      </c>
      <c r="H80" s="81"/>
      <c r="I80" s="94" t="n">
        <f aca="false">SUM(E80:H80)</f>
        <v>91.807</v>
      </c>
      <c r="J80" s="73" t="s">
        <v>79</v>
      </c>
      <c r="K80" s="74"/>
      <c r="L80" s="74"/>
      <c r="M80" s="74"/>
      <c r="N80" s="74"/>
      <c r="O80" s="74"/>
      <c r="P80" s="74"/>
      <c r="Q80" s="74"/>
      <c r="R80" s="74"/>
      <c r="S80" s="74"/>
      <c r="T80" s="65" t="n">
        <f aca="false">IF(D80&gt;0,(I80/D80),"")</f>
        <v>0.0400924939298129</v>
      </c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/>
      <c r="CF80" s="74"/>
      <c r="CG80" s="74"/>
      <c r="CH80" s="74"/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</row>
    <row r="81" customFormat="false" ht="15.75" hidden="false" customHeight="false" outlineLevel="0" collapsed="false">
      <c r="A81" s="89" t="s">
        <v>80</v>
      </c>
      <c r="B81" s="95" t="n">
        <v>37083</v>
      </c>
      <c r="C81" s="90" t="s">
        <v>34</v>
      </c>
      <c r="D81" s="92" t="n">
        <v>8663.517</v>
      </c>
      <c r="E81" s="93" t="n">
        <v>1512.392</v>
      </c>
      <c r="F81" s="81" t="n">
        <v>-83.6</v>
      </c>
      <c r="G81" s="81" t="n">
        <v>0</v>
      </c>
      <c r="H81" s="81" t="n">
        <v>0</v>
      </c>
      <c r="I81" s="94" t="n">
        <f aca="false">SUM(E81:H81)</f>
        <v>1428.792</v>
      </c>
      <c r="J81" s="73"/>
      <c r="K81" s="74"/>
      <c r="L81" s="74"/>
      <c r="M81" s="74"/>
      <c r="N81" s="74"/>
      <c r="O81" s="74"/>
      <c r="P81" s="74"/>
      <c r="Q81" s="74"/>
      <c r="R81" s="74"/>
      <c r="S81" s="74"/>
      <c r="T81" s="65" t="n">
        <f aca="false">IF(D81&gt;0,(I81/D81),"")</f>
        <v>0.164920551318824</v>
      </c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/>
      <c r="CC81" s="74"/>
      <c r="CD81" s="74"/>
      <c r="CE81" s="74"/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</row>
    <row r="82" customFormat="false" ht="15.75" hidden="false" customHeight="false" outlineLevel="0" collapsed="false">
      <c r="A82" s="89" t="s">
        <v>81</v>
      </c>
      <c r="B82" s="95" t="n">
        <v>37083</v>
      </c>
      <c r="C82" s="90" t="s">
        <v>34</v>
      </c>
      <c r="D82" s="92" t="n">
        <v>84662.803</v>
      </c>
      <c r="E82" s="93" t="n">
        <v>6042.814</v>
      </c>
      <c r="F82" s="81" t="n">
        <v>-1400</v>
      </c>
      <c r="G82" s="81" t="n">
        <v>0</v>
      </c>
      <c r="H82" s="81" t="n">
        <v>0</v>
      </c>
      <c r="I82" s="94" t="n">
        <f aca="false">SUM(E82:H82)</f>
        <v>4642.814</v>
      </c>
      <c r="J82" s="73" t="s">
        <v>25</v>
      </c>
      <c r="K82" s="74"/>
      <c r="L82" s="74"/>
      <c r="M82" s="74"/>
      <c r="N82" s="74"/>
      <c r="O82" s="74"/>
      <c r="P82" s="74"/>
      <c r="Q82" s="74"/>
      <c r="R82" s="74"/>
      <c r="S82" s="74"/>
      <c r="T82" s="65" t="n">
        <f aca="false">IF(D82&gt;0,(I82/D82),"")</f>
        <v>0.0548388883368296</v>
      </c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</row>
    <row r="83" customFormat="false" ht="15.75" hidden="false" customHeight="false" outlineLevel="0" collapsed="false">
      <c r="A83" s="89" t="s">
        <v>82</v>
      </c>
      <c r="B83" s="95" t="n">
        <v>37105</v>
      </c>
      <c r="C83" s="90" t="s">
        <v>34</v>
      </c>
      <c r="D83" s="92" t="n">
        <v>14294</v>
      </c>
      <c r="E83" s="93" t="n">
        <v>1937.285</v>
      </c>
      <c r="F83" s="81" t="n">
        <v>-180</v>
      </c>
      <c r="G83" s="81" t="n">
        <v>0</v>
      </c>
      <c r="H83" s="81"/>
      <c r="I83" s="94" t="n">
        <v>1757.285</v>
      </c>
      <c r="J83" s="73" t="s">
        <v>83</v>
      </c>
      <c r="K83" s="74"/>
      <c r="L83" s="74"/>
      <c r="M83" s="74"/>
      <c r="N83" s="74"/>
      <c r="O83" s="74"/>
      <c r="P83" s="74"/>
      <c r="Q83" s="74"/>
      <c r="R83" s="74"/>
      <c r="S83" s="74"/>
      <c r="T83" s="65" t="n">
        <f aca="false">IF(D83&gt;0,(I83/D83),"")</f>
        <v>0.12293864558556</v>
      </c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</row>
    <row r="84" customFormat="false" ht="15.75" hidden="false" customHeight="false" outlineLevel="0" collapsed="false">
      <c r="A84" s="89" t="s">
        <v>84</v>
      </c>
      <c r="B84" s="95" t="n">
        <v>37083</v>
      </c>
      <c r="C84" s="90" t="s">
        <v>34</v>
      </c>
      <c r="D84" s="92" t="n">
        <v>113803.714</v>
      </c>
      <c r="E84" s="93" t="n">
        <v>7364.846</v>
      </c>
      <c r="F84" s="81" t="n">
        <v>-2350</v>
      </c>
      <c r="G84" s="81" t="n">
        <v>0</v>
      </c>
      <c r="H84" s="81" t="n">
        <v>0</v>
      </c>
      <c r="I84" s="94" t="n">
        <f aca="false">SUM(E84:H84)</f>
        <v>5014.846</v>
      </c>
      <c r="J84" s="73" t="s">
        <v>85</v>
      </c>
      <c r="K84" s="74"/>
      <c r="L84" s="74"/>
      <c r="M84" s="74"/>
      <c r="N84" s="74"/>
      <c r="O84" s="74"/>
      <c r="P84" s="74"/>
      <c r="Q84" s="74"/>
      <c r="R84" s="74"/>
      <c r="S84" s="74"/>
      <c r="T84" s="65" t="n">
        <f aca="false">IF(D84&gt;0,(I84/D84),"")</f>
        <v>0.0440657499104115</v>
      </c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/>
      <c r="CF84" s="74"/>
      <c r="CG84" s="74"/>
      <c r="CH84" s="74"/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</row>
    <row r="85" customFormat="false" ht="15.75" hidden="false" customHeight="false" outlineLevel="0" collapsed="false">
      <c r="A85" s="89" t="s">
        <v>86</v>
      </c>
      <c r="B85" s="95" t="n">
        <v>37091</v>
      </c>
      <c r="C85" s="90" t="s">
        <v>34</v>
      </c>
      <c r="D85" s="92" t="n">
        <v>0</v>
      </c>
      <c r="E85" s="93" t="n">
        <v>-1606.314</v>
      </c>
      <c r="F85" s="81" t="n">
        <v>440</v>
      </c>
      <c r="G85" s="81" t="n">
        <v>0</v>
      </c>
      <c r="H85" s="81" t="n">
        <v>0</v>
      </c>
      <c r="I85" s="94" t="n">
        <f aca="false">SUM(E85:H85)</f>
        <v>-1166.314</v>
      </c>
      <c r="J85" s="73" t="s">
        <v>31</v>
      </c>
      <c r="K85" s="74"/>
      <c r="L85" s="74"/>
      <c r="M85" s="74"/>
      <c r="N85" s="74"/>
      <c r="O85" s="74"/>
      <c r="P85" s="74"/>
      <c r="Q85" s="74"/>
      <c r="R85" s="74"/>
      <c r="S85" s="74"/>
      <c r="T85" s="65" t="str">
        <f aca="false">IF(D85&gt;0,(I85/D85),"")</f>
        <v/>
      </c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/>
      <c r="CC85" s="74"/>
      <c r="CD85" s="74"/>
      <c r="CE85" s="74"/>
      <c r="CF85" s="74"/>
      <c r="CG85" s="74"/>
      <c r="CH85" s="74"/>
      <c r="CI85" s="74"/>
      <c r="CJ85" s="74"/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</row>
    <row r="86" customFormat="false" ht="15.75" hidden="false" customHeight="false" outlineLevel="0" collapsed="false">
      <c r="A86" s="89" t="s">
        <v>87</v>
      </c>
      <c r="B86" s="95" t="n">
        <v>37091</v>
      </c>
      <c r="C86" s="90" t="s">
        <v>34</v>
      </c>
      <c r="D86" s="92" t="n">
        <v>0</v>
      </c>
      <c r="E86" s="93" t="n">
        <v>-275.232</v>
      </c>
      <c r="F86" s="81" t="n">
        <v>24.2</v>
      </c>
      <c r="G86" s="81" t="n">
        <v>0</v>
      </c>
      <c r="H86" s="81" t="n">
        <v>0</v>
      </c>
      <c r="I86" s="94" t="n">
        <f aca="false">SUM(E86:H86)</f>
        <v>-251.032</v>
      </c>
      <c r="J86" s="73" t="s">
        <v>31</v>
      </c>
      <c r="K86" s="74"/>
      <c r="L86" s="74"/>
      <c r="M86" s="74"/>
      <c r="N86" s="74"/>
      <c r="O86" s="74"/>
      <c r="P86" s="74"/>
      <c r="Q86" s="74"/>
      <c r="R86" s="74"/>
      <c r="S86" s="74"/>
      <c r="T86" s="65" t="str">
        <f aca="false">IF(D86&gt;0,(I86/D86),"")</f>
        <v/>
      </c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/>
      <c r="CC86" s="74"/>
      <c r="CD86" s="74"/>
      <c r="CE86" s="74"/>
      <c r="CF86" s="74"/>
      <c r="CG86" s="74"/>
      <c r="CH86" s="74"/>
      <c r="CI86" s="74"/>
      <c r="CJ86" s="74"/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74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</row>
    <row r="87" customFormat="false" ht="15.75" hidden="false" customHeight="false" outlineLevel="0" collapsed="false">
      <c r="A87" s="89" t="s">
        <v>88</v>
      </c>
      <c r="B87" s="99" t="n">
        <v>37098</v>
      </c>
      <c r="C87" s="90" t="s">
        <v>34</v>
      </c>
      <c r="D87" s="96" t="n">
        <v>0</v>
      </c>
      <c r="E87" s="93" t="n">
        <v>-2261.651</v>
      </c>
      <c r="F87" s="81" t="n">
        <v>0</v>
      </c>
      <c r="G87" s="81" t="n">
        <v>0</v>
      </c>
      <c r="H87" s="81"/>
      <c r="I87" s="94" t="n">
        <f aca="false">SUM(E87:H87)</f>
        <v>-2261.651</v>
      </c>
      <c r="J87" s="73" t="s">
        <v>25</v>
      </c>
      <c r="K87" s="74"/>
      <c r="L87" s="74"/>
      <c r="M87" s="74"/>
      <c r="N87" s="74"/>
      <c r="O87" s="74"/>
      <c r="P87" s="74"/>
      <c r="Q87" s="74"/>
      <c r="R87" s="74"/>
      <c r="S87" s="74"/>
      <c r="T87" s="65" t="str">
        <f aca="false">IF(D87&gt;0,(I87/D87),"")</f>
        <v/>
      </c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/>
      <c r="CC87" s="74"/>
      <c r="CD87" s="74"/>
      <c r="CE87" s="74"/>
      <c r="CF87" s="74"/>
      <c r="CG87" s="74"/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</row>
    <row r="88" customFormat="false" ht="15.75" hidden="false" customHeight="false" outlineLevel="0" collapsed="false">
      <c r="A88" s="89" t="s">
        <v>89</v>
      </c>
      <c r="B88" s="95" t="n">
        <v>37091</v>
      </c>
      <c r="C88" s="90" t="s">
        <v>34</v>
      </c>
      <c r="D88" s="92" t="n">
        <v>40099.435</v>
      </c>
      <c r="E88" s="93" t="n">
        <v>2261.651</v>
      </c>
      <c r="F88" s="81" t="n">
        <v>-73.3</v>
      </c>
      <c r="G88" s="81" t="n">
        <v>0</v>
      </c>
      <c r="H88" s="81" t="n">
        <v>0</v>
      </c>
      <c r="I88" s="94" t="n">
        <f aca="false">SUM(E88:H88)</f>
        <v>2188.351</v>
      </c>
      <c r="J88" s="73" t="s">
        <v>25</v>
      </c>
      <c r="K88" s="74"/>
      <c r="L88" s="74"/>
      <c r="M88" s="74"/>
      <c r="N88" s="74"/>
      <c r="O88" s="74"/>
      <c r="P88" s="74"/>
      <c r="Q88" s="74"/>
      <c r="R88" s="74"/>
      <c r="S88" s="74"/>
      <c r="T88" s="65" t="n">
        <f aca="false">IF(D88&gt;0,(I88/D88),"")</f>
        <v>0.0545731130625656</v>
      </c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/>
      <c r="CF88" s="74"/>
      <c r="CG88" s="74"/>
      <c r="CH88" s="74"/>
      <c r="CI88" s="74"/>
      <c r="CJ88" s="74"/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</row>
    <row r="89" customFormat="false" ht="6" hidden="false" customHeight="true" outlineLevel="0" collapsed="false">
      <c r="A89" s="105"/>
      <c r="B89" s="48"/>
      <c r="C89" s="49"/>
      <c r="D89" s="76"/>
      <c r="E89" s="77"/>
      <c r="F89" s="78"/>
      <c r="G89" s="78"/>
      <c r="H89" s="78"/>
      <c r="I89" s="79"/>
      <c r="J89" s="30"/>
      <c r="K89" s="18"/>
      <c r="L89" s="19"/>
      <c r="M89" s="18"/>
      <c r="N89" s="18"/>
      <c r="O89" s="18"/>
      <c r="P89" s="18"/>
      <c r="Q89" s="18"/>
      <c r="R89" s="18"/>
      <c r="S89" s="18"/>
      <c r="T89" s="65" t="str">
        <f aca="false">IF(D89&gt;0,(I89/D89),"")</f>
        <v/>
      </c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</row>
    <row r="90" customFormat="false" ht="15" hidden="false" customHeight="false" outlineLevel="0" collapsed="false">
      <c r="A90" s="106" t="s">
        <v>90</v>
      </c>
      <c r="B90" s="48"/>
      <c r="C90" s="49"/>
      <c r="D90" s="50" t="n">
        <f aca="false">SUM(D68:D89)</f>
        <v>349922.893</v>
      </c>
      <c r="E90" s="51" t="n">
        <f aca="false">SUM(E68:E89)</f>
        <v>41239.701</v>
      </c>
      <c r="F90" s="44" t="n">
        <f aca="false">SUM(F68:F89)</f>
        <v>-4881.801</v>
      </c>
      <c r="G90" s="44" t="n">
        <f aca="false">SUM(G68:G89)</f>
        <v>0</v>
      </c>
      <c r="H90" s="44" t="n">
        <f aca="false">SUM(H68:H89)</f>
        <v>0</v>
      </c>
      <c r="I90" s="52" t="n">
        <f aca="false">SUM(I68:I89)</f>
        <v>36357.9</v>
      </c>
      <c r="J90" s="30"/>
      <c r="K90" s="18"/>
      <c r="L90" s="19"/>
      <c r="M90" s="18"/>
      <c r="N90" s="18"/>
      <c r="O90" s="18"/>
      <c r="P90" s="18"/>
      <c r="Q90" s="18"/>
      <c r="R90" s="18"/>
      <c r="S90" s="18"/>
      <c r="T90" s="65" t="n">
        <f aca="false">IF(D90&gt;0,(I90/D90),"")</f>
        <v>0.103902604623242</v>
      </c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</row>
    <row r="91" customFormat="false" ht="15.75" hidden="false" customHeight="false" outlineLevel="0" collapsed="false">
      <c r="A91" s="53"/>
      <c r="B91" s="48"/>
      <c r="C91" s="49"/>
      <c r="D91" s="50"/>
      <c r="E91" s="51"/>
      <c r="F91" s="44"/>
      <c r="G91" s="44"/>
      <c r="H91" s="44"/>
      <c r="I91" s="52"/>
      <c r="J91" s="30"/>
      <c r="K91" s="18"/>
      <c r="L91" s="19"/>
      <c r="M91" s="18"/>
      <c r="N91" s="18"/>
      <c r="O91" s="18"/>
      <c r="P91" s="18"/>
      <c r="Q91" s="18"/>
      <c r="R91" s="18"/>
      <c r="S91" s="18"/>
      <c r="T91" s="65" t="str">
        <f aca="false">IF(D91&gt;0,(I91/D91),"")</f>
        <v/>
      </c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</row>
    <row r="92" customFormat="false" ht="15.75" hidden="false" customHeight="false" outlineLevel="0" collapsed="false">
      <c r="A92" s="53" t="s">
        <v>91</v>
      </c>
      <c r="B92" s="48"/>
      <c r="C92" s="49"/>
      <c r="D92" s="107"/>
      <c r="E92" s="51"/>
      <c r="F92" s="44"/>
      <c r="G92" s="44"/>
      <c r="H92" s="44"/>
      <c r="I92" s="52"/>
      <c r="J92" s="30"/>
      <c r="K92" s="18"/>
      <c r="L92" s="19"/>
      <c r="M92" s="18"/>
      <c r="N92" s="18"/>
      <c r="O92" s="18"/>
      <c r="P92" s="18"/>
      <c r="Q92" s="18"/>
      <c r="R92" s="18"/>
      <c r="S92" s="18"/>
      <c r="T92" s="65" t="str">
        <f aca="false">IF(D92&gt;0,(I92/D92),"")</f>
        <v/>
      </c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  <c r="IG92" s="19"/>
      <c r="IH92" s="19"/>
      <c r="II92" s="19"/>
      <c r="IJ92" s="19"/>
      <c r="IK92" s="19"/>
      <c r="IL92" s="19"/>
      <c r="IM92" s="19"/>
      <c r="IN92" s="19"/>
      <c r="IO92" s="19"/>
      <c r="IP92" s="19"/>
      <c r="IQ92" s="19"/>
      <c r="IR92" s="19"/>
      <c r="IS92" s="19"/>
      <c r="IT92" s="19"/>
      <c r="IU92" s="19"/>
      <c r="IV92" s="19"/>
      <c r="IW92" s="19"/>
    </row>
    <row r="93" customFormat="false" ht="3" hidden="false" customHeight="true" outlineLevel="0" collapsed="false">
      <c r="A93" s="47"/>
      <c r="B93" s="48"/>
      <c r="C93" s="49"/>
      <c r="D93" s="50"/>
      <c r="E93" s="51"/>
      <c r="F93" s="44"/>
      <c r="G93" s="44"/>
      <c r="H93" s="44"/>
      <c r="I93" s="52"/>
      <c r="J93" s="30"/>
      <c r="K93" s="18"/>
      <c r="L93" s="19"/>
      <c r="M93" s="18"/>
      <c r="N93" s="18"/>
      <c r="O93" s="18"/>
      <c r="P93" s="18"/>
      <c r="Q93" s="18"/>
      <c r="R93" s="18"/>
      <c r="S93" s="18"/>
      <c r="T93" s="65" t="str">
        <f aca="false">IF(D93&gt;0,(I93/D93),"")</f>
        <v/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</row>
    <row r="94" customFormat="false" ht="18" hidden="false" customHeight="false" outlineLevel="0" collapsed="false">
      <c r="A94" s="104" t="s">
        <v>92</v>
      </c>
      <c r="B94" s="67"/>
      <c r="C94" s="68"/>
      <c r="D94" s="69" t="n">
        <v>10629.583</v>
      </c>
      <c r="E94" s="70" t="n">
        <f aca="false">2382609/1000</f>
        <v>2382.609</v>
      </c>
      <c r="F94" s="71" t="n">
        <f aca="false">-282300/1000</f>
        <v>-282.3</v>
      </c>
      <c r="G94" s="71"/>
      <c r="H94" s="71"/>
      <c r="I94" s="72" t="n">
        <f aca="false">SUM(E94:G94)</f>
        <v>2100.309</v>
      </c>
      <c r="J94" s="73" t="s">
        <v>25</v>
      </c>
      <c r="K94" s="74"/>
      <c r="L94" s="74"/>
      <c r="M94" s="74"/>
      <c r="N94" s="74"/>
      <c r="O94" s="74"/>
      <c r="P94" s="74"/>
      <c r="Q94" s="74"/>
      <c r="R94" s="74"/>
      <c r="S94" s="74"/>
      <c r="T94" s="65" t="n">
        <f aca="false">IF(D94&gt;0,(I94/D94),"")</f>
        <v>0.197590912079994</v>
      </c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/>
      <c r="CF94" s="74"/>
      <c r="CG94" s="74"/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</row>
    <row r="95" customFormat="false" ht="18" hidden="false" customHeight="false" outlineLevel="0" collapsed="false">
      <c r="A95" s="104" t="s">
        <v>93</v>
      </c>
      <c r="B95" s="67"/>
      <c r="C95" s="68"/>
      <c r="D95" s="69" t="n">
        <v>0</v>
      </c>
      <c r="E95" s="70" t="n">
        <f aca="false">-322000/1000</f>
        <v>-322</v>
      </c>
      <c r="F95" s="71"/>
      <c r="G95" s="71"/>
      <c r="H95" s="71"/>
      <c r="I95" s="72" t="n">
        <f aca="false">SUM(E95:G95)</f>
        <v>-322</v>
      </c>
      <c r="J95" s="73" t="s">
        <v>25</v>
      </c>
      <c r="K95" s="74"/>
      <c r="L95" s="74"/>
      <c r="M95" s="74"/>
      <c r="N95" s="74"/>
      <c r="O95" s="74"/>
      <c r="P95" s="74"/>
      <c r="Q95" s="74"/>
      <c r="R95" s="74"/>
      <c r="S95" s="74"/>
      <c r="T95" s="65" t="str">
        <f aca="false">IF(D95&gt;0,(I95/D95),"")</f>
        <v/>
      </c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/>
      <c r="CF95" s="74"/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</row>
    <row r="96" customFormat="false" ht="3.75" hidden="false" customHeight="true" outlineLevel="0" collapsed="false">
      <c r="A96" s="47"/>
      <c r="B96" s="48"/>
      <c r="C96" s="49"/>
      <c r="D96" s="76"/>
      <c r="E96" s="77"/>
      <c r="F96" s="78"/>
      <c r="G96" s="78"/>
      <c r="H96" s="78"/>
      <c r="I96" s="79"/>
      <c r="J96" s="30"/>
      <c r="K96" s="18"/>
      <c r="L96" s="19"/>
      <c r="M96" s="18"/>
      <c r="N96" s="18"/>
      <c r="O96" s="18"/>
      <c r="P96" s="18"/>
      <c r="Q96" s="18"/>
      <c r="R96" s="18"/>
      <c r="S96" s="18"/>
      <c r="T96" s="65" t="str">
        <f aca="false">IF(D96&gt;0,(I96/D96),"")</f>
        <v/>
      </c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19"/>
      <c r="IH96" s="19"/>
      <c r="II96" s="19"/>
      <c r="IJ96" s="19"/>
      <c r="IK96" s="19"/>
      <c r="IL96" s="19"/>
      <c r="IM96" s="19"/>
      <c r="IN96" s="19"/>
      <c r="IO96" s="19"/>
      <c r="IP96" s="19"/>
      <c r="IQ96" s="19"/>
      <c r="IR96" s="19"/>
      <c r="IS96" s="19"/>
      <c r="IT96" s="19"/>
      <c r="IU96" s="19"/>
      <c r="IV96" s="19"/>
      <c r="IW96" s="19"/>
    </row>
    <row r="97" customFormat="false" ht="15" hidden="false" customHeight="false" outlineLevel="0" collapsed="false">
      <c r="A97" s="108" t="s">
        <v>94</v>
      </c>
      <c r="B97" s="48"/>
      <c r="C97" s="49"/>
      <c r="D97" s="96" t="n">
        <f aca="false">SUM(D92:D95)</f>
        <v>10629.583</v>
      </c>
      <c r="E97" s="93" t="n">
        <f aca="false">SUM(E92:E95)</f>
        <v>2060.609</v>
      </c>
      <c r="F97" s="81" t="n">
        <f aca="false">SUM(F92:F95)</f>
        <v>-282.3</v>
      </c>
      <c r="G97" s="81" t="n">
        <f aca="false">SUM(G92:G95)</f>
        <v>0</v>
      </c>
      <c r="H97" s="81" t="n">
        <f aca="false">SUM(H92:H95)</f>
        <v>0</v>
      </c>
      <c r="I97" s="94" t="n">
        <f aca="false">SUM(I92:I95)</f>
        <v>1778.309</v>
      </c>
      <c r="J97" s="30"/>
      <c r="K97" s="18"/>
      <c r="L97" s="19"/>
      <c r="M97" s="18"/>
      <c r="N97" s="18"/>
      <c r="O97" s="18"/>
      <c r="P97" s="18"/>
      <c r="Q97" s="18"/>
      <c r="R97" s="18"/>
      <c r="S97" s="18"/>
      <c r="T97" s="65" t="n">
        <f aca="false">IF(D97&gt;0,(I97/D97),"")</f>
        <v>0.167298096265865</v>
      </c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</row>
    <row r="98" customFormat="false" ht="15" hidden="false" customHeight="false" outlineLevel="0" collapsed="false">
      <c r="A98" s="108"/>
      <c r="B98" s="48"/>
      <c r="C98" s="49"/>
      <c r="D98" s="50"/>
      <c r="E98" s="51"/>
      <c r="F98" s="44"/>
      <c r="G98" s="44"/>
      <c r="H98" s="44"/>
      <c r="I98" s="52"/>
      <c r="J98" s="30"/>
      <c r="K98" s="18"/>
      <c r="L98" s="19"/>
      <c r="M98" s="18"/>
      <c r="N98" s="18"/>
      <c r="O98" s="18"/>
      <c r="P98" s="18"/>
      <c r="Q98" s="18"/>
      <c r="R98" s="18"/>
      <c r="S98" s="18"/>
      <c r="T98" s="65" t="str">
        <f aca="false">IF(D98&gt;0,(I98/D98),"")</f>
        <v/>
      </c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</row>
    <row r="99" customFormat="false" ht="15.75" hidden="false" customHeight="false" outlineLevel="0" collapsed="false">
      <c r="A99" s="53" t="s">
        <v>95</v>
      </c>
      <c r="B99" s="48"/>
      <c r="C99" s="49"/>
      <c r="D99" s="107"/>
      <c r="E99" s="51"/>
      <c r="F99" s="44"/>
      <c r="G99" s="44"/>
      <c r="H99" s="44"/>
      <c r="I99" s="52"/>
      <c r="J99" s="30"/>
      <c r="K99" s="18"/>
      <c r="L99" s="19"/>
      <c r="M99" s="18"/>
      <c r="N99" s="18"/>
      <c r="O99" s="18"/>
      <c r="P99" s="18"/>
      <c r="Q99" s="18"/>
      <c r="R99" s="18"/>
      <c r="S99" s="18"/>
      <c r="T99" s="65" t="str">
        <f aca="false">IF(D99&gt;0,(I99/D99),"")</f>
        <v/>
      </c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</row>
    <row r="100" customFormat="false" ht="15" hidden="false" customHeight="false" outlineLevel="0" collapsed="false">
      <c r="A100" s="48"/>
      <c r="B100" s="48"/>
      <c r="C100" s="49"/>
      <c r="D100" s="50"/>
      <c r="E100" s="51"/>
      <c r="F100" s="109"/>
      <c r="G100" s="44"/>
      <c r="H100" s="44"/>
      <c r="I100" s="52"/>
      <c r="J100" s="30"/>
      <c r="K100" s="18"/>
      <c r="L100" s="19"/>
      <c r="M100" s="18"/>
      <c r="N100" s="18"/>
      <c r="O100" s="18"/>
      <c r="P100" s="18"/>
      <c r="Q100" s="18"/>
      <c r="R100" s="18"/>
      <c r="S100" s="18"/>
      <c r="T100" s="65" t="str">
        <f aca="false">IF(D100&gt;0,(I100/D100),"")</f>
        <v/>
      </c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</row>
    <row r="101" customFormat="false" ht="15" hidden="false" customHeight="false" outlineLevel="0" collapsed="false">
      <c r="A101" s="110" t="s">
        <v>96</v>
      </c>
      <c r="B101" s="48"/>
      <c r="C101" s="49"/>
      <c r="D101" s="50"/>
      <c r="E101" s="51"/>
      <c r="F101" s="44"/>
      <c r="G101" s="44"/>
      <c r="H101" s="44"/>
      <c r="I101" s="52"/>
      <c r="J101" s="30"/>
      <c r="K101" s="18"/>
      <c r="L101" s="19"/>
      <c r="M101" s="18"/>
      <c r="N101" s="18"/>
      <c r="O101" s="18"/>
      <c r="P101" s="18"/>
      <c r="Q101" s="18"/>
      <c r="R101" s="18"/>
      <c r="S101" s="18"/>
      <c r="T101" s="65" t="str">
        <f aca="false">IF(D101&gt;0,(I101/D101),"")</f>
        <v/>
      </c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</row>
    <row r="102" customFormat="false" ht="3.75" hidden="false" customHeight="true" outlineLevel="0" collapsed="false">
      <c r="A102" s="111"/>
      <c r="B102" s="48"/>
      <c r="C102" s="49"/>
      <c r="D102" s="50"/>
      <c r="E102" s="51"/>
      <c r="F102" s="44"/>
      <c r="G102" s="44"/>
      <c r="H102" s="44"/>
      <c r="I102" s="52"/>
      <c r="J102" s="30"/>
      <c r="K102" s="18"/>
      <c r="L102" s="19"/>
      <c r="M102" s="18"/>
      <c r="N102" s="18"/>
      <c r="O102" s="18"/>
      <c r="P102" s="18"/>
      <c r="Q102" s="18"/>
      <c r="R102" s="18"/>
      <c r="S102" s="18"/>
      <c r="T102" s="65" t="str">
        <f aca="false">IF(D102&gt;0,(I102/D102),"")</f>
        <v/>
      </c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</row>
    <row r="103" customFormat="false" ht="18" hidden="false" customHeight="false" outlineLevel="0" collapsed="false">
      <c r="A103" s="104" t="s">
        <v>97</v>
      </c>
      <c r="B103" s="67"/>
      <c r="C103" s="68"/>
      <c r="D103" s="69" t="n">
        <v>0</v>
      </c>
      <c r="E103" s="70" t="n">
        <f aca="false">250000/1000</f>
        <v>250</v>
      </c>
      <c r="F103" s="71" t="n">
        <v>0</v>
      </c>
      <c r="G103" s="71" t="n">
        <v>0</v>
      </c>
      <c r="H103" s="71"/>
      <c r="I103" s="72" t="n">
        <f aca="false">SUM(E103:G103)</f>
        <v>250</v>
      </c>
      <c r="J103" s="73" t="s">
        <v>21</v>
      </c>
      <c r="K103" s="74"/>
      <c r="L103" s="74"/>
      <c r="M103" s="74"/>
      <c r="N103" s="74"/>
      <c r="O103" s="74"/>
      <c r="P103" s="74"/>
      <c r="Q103" s="74"/>
      <c r="R103" s="74"/>
      <c r="S103" s="74"/>
      <c r="T103" s="65" t="str">
        <f aca="false">IF(D103&gt;0,(I103/D103),"")</f>
        <v/>
      </c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/>
      <c r="CG103" s="74"/>
      <c r="CH103" s="74"/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</row>
    <row r="104" customFormat="false" ht="18" hidden="false" customHeight="false" outlineLevel="0" collapsed="false">
      <c r="A104" s="112" t="s">
        <v>98</v>
      </c>
      <c r="B104" s="113"/>
      <c r="C104" s="114"/>
      <c r="D104" s="115" t="n">
        <v>517.792</v>
      </c>
      <c r="E104" s="116" t="n">
        <f aca="false">2366/1000</f>
        <v>2.366</v>
      </c>
      <c r="F104" s="116" t="n">
        <v>-1.56</v>
      </c>
      <c r="G104" s="116"/>
      <c r="H104" s="116"/>
      <c r="I104" s="117" t="n">
        <f aca="false">SUM(E104:G104)</f>
        <v>0.806</v>
      </c>
      <c r="J104" s="118" t="s">
        <v>21</v>
      </c>
      <c r="K104" s="119"/>
      <c r="L104" s="119"/>
      <c r="M104" s="119"/>
      <c r="N104" s="119"/>
      <c r="O104" s="119"/>
      <c r="P104" s="119"/>
      <c r="Q104" s="119"/>
      <c r="R104" s="119"/>
      <c r="S104" s="119"/>
      <c r="T104" s="65" t="n">
        <f aca="false">IF(D104&gt;0,(I104/D104),"")</f>
        <v>0.00155660960385637</v>
      </c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  <c r="IT104" s="119"/>
      <c r="IU104" s="119"/>
      <c r="IV104" s="119"/>
      <c r="IW104" s="119"/>
    </row>
    <row r="105" customFormat="false" ht="18" hidden="false" customHeight="false" outlineLevel="0" collapsed="false">
      <c r="A105" s="112" t="s">
        <v>99</v>
      </c>
      <c r="B105" s="113"/>
      <c r="C105" s="114"/>
      <c r="D105" s="115" t="n">
        <v>2923.26</v>
      </c>
      <c r="E105" s="116" t="n">
        <f aca="false">358065/1000</f>
        <v>358.065</v>
      </c>
      <c r="F105" s="116" t="n">
        <v>-18.8</v>
      </c>
      <c r="G105" s="116"/>
      <c r="H105" s="116"/>
      <c r="I105" s="117" t="n">
        <f aca="false">SUM(E105:G105)</f>
        <v>339.265</v>
      </c>
      <c r="J105" s="118" t="s">
        <v>21</v>
      </c>
      <c r="K105" s="119"/>
      <c r="L105" s="119"/>
      <c r="M105" s="119"/>
      <c r="N105" s="119"/>
      <c r="O105" s="119"/>
      <c r="P105" s="119"/>
      <c r="Q105" s="119"/>
      <c r="R105" s="119"/>
      <c r="S105" s="119"/>
      <c r="T105" s="65" t="n">
        <f aca="false">IF(D105&gt;0,(I105/D105),"")</f>
        <v>0.116057073267516</v>
      </c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  <c r="IT105" s="119"/>
      <c r="IU105" s="119"/>
      <c r="IV105" s="119"/>
      <c r="IW105" s="119"/>
    </row>
    <row r="106" customFormat="false" ht="18" hidden="false" customHeight="false" outlineLevel="0" collapsed="false">
      <c r="A106" s="112" t="s">
        <v>100</v>
      </c>
      <c r="B106" s="113"/>
      <c r="C106" s="114"/>
      <c r="D106" s="115" t="n">
        <v>2035.805</v>
      </c>
      <c r="E106" s="116" t="n">
        <f aca="false">88047/1000</f>
        <v>88.047</v>
      </c>
      <c r="F106" s="116" t="n">
        <v>-10.46</v>
      </c>
      <c r="G106" s="116"/>
      <c r="H106" s="116"/>
      <c r="I106" s="117" t="n">
        <f aca="false">SUM(E106:G106)</f>
        <v>77.587</v>
      </c>
      <c r="J106" s="118" t="s">
        <v>21</v>
      </c>
      <c r="K106" s="119"/>
      <c r="L106" s="119"/>
      <c r="M106" s="119"/>
      <c r="N106" s="119"/>
      <c r="O106" s="119"/>
      <c r="P106" s="119"/>
      <c r="Q106" s="119"/>
      <c r="R106" s="119"/>
      <c r="S106" s="119"/>
      <c r="T106" s="65" t="n">
        <f aca="false">IF(D106&gt;0,(I106/D106),"")</f>
        <v>0.0381112139915169</v>
      </c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  <c r="IT106" s="119"/>
      <c r="IU106" s="119"/>
      <c r="IV106" s="119"/>
      <c r="IW106" s="119"/>
    </row>
    <row r="107" customFormat="false" ht="18" hidden="false" customHeight="false" outlineLevel="0" collapsed="false">
      <c r="A107" s="112" t="s">
        <v>101</v>
      </c>
      <c r="B107" s="113"/>
      <c r="C107" s="114"/>
      <c r="D107" s="115" t="n">
        <v>1218.67</v>
      </c>
      <c r="E107" s="116" t="n">
        <f aca="false">121056/1000</f>
        <v>121.056</v>
      </c>
      <c r="F107" s="116" t="n">
        <v>-6.9</v>
      </c>
      <c r="G107" s="116"/>
      <c r="H107" s="116"/>
      <c r="I107" s="117" t="n">
        <f aca="false">SUM(E107:G107)</f>
        <v>114.156</v>
      </c>
      <c r="J107" s="118" t="s">
        <v>21</v>
      </c>
      <c r="K107" s="119"/>
      <c r="L107" s="119"/>
      <c r="M107" s="119"/>
      <c r="N107" s="119"/>
      <c r="O107" s="119"/>
      <c r="P107" s="119"/>
      <c r="Q107" s="119"/>
      <c r="R107" s="119"/>
      <c r="S107" s="119"/>
      <c r="T107" s="65" t="n">
        <f aca="false">IF(D107&gt;0,(I107/D107),"")</f>
        <v>0.0936726103046764</v>
      </c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  <c r="IT107" s="119"/>
      <c r="IU107" s="119"/>
      <c r="IV107" s="119"/>
      <c r="IW107" s="119"/>
    </row>
    <row r="108" customFormat="false" ht="18" hidden="false" customHeight="false" outlineLevel="0" collapsed="false">
      <c r="A108" s="112" t="s">
        <v>102</v>
      </c>
      <c r="B108" s="113"/>
      <c r="C108" s="114"/>
      <c r="D108" s="115" t="n">
        <v>1775.349</v>
      </c>
      <c r="E108" s="116" t="n">
        <f aca="false">213477/1000</f>
        <v>213.477</v>
      </c>
      <c r="F108" s="116" t="n">
        <v>-10.3</v>
      </c>
      <c r="G108" s="116"/>
      <c r="H108" s="116"/>
      <c r="I108" s="117" t="n">
        <f aca="false">SUM(E108:G108)</f>
        <v>203.177</v>
      </c>
      <c r="J108" s="118" t="s">
        <v>21</v>
      </c>
      <c r="K108" s="119"/>
      <c r="L108" s="119"/>
      <c r="M108" s="119"/>
      <c r="N108" s="119"/>
      <c r="O108" s="119"/>
      <c r="P108" s="119"/>
      <c r="Q108" s="119"/>
      <c r="R108" s="119"/>
      <c r="S108" s="119"/>
      <c r="T108" s="65" t="n">
        <f aca="false">IF(D108&gt;0,(I108/D108),"")</f>
        <v>0.114443413661201</v>
      </c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  <c r="IT108" s="119"/>
      <c r="IU108" s="119"/>
      <c r="IV108" s="119"/>
      <c r="IW108" s="119"/>
    </row>
    <row r="109" customFormat="false" ht="15.75" hidden="false" customHeight="false" outlineLevel="0" collapsed="false">
      <c r="A109" s="89" t="s">
        <v>103</v>
      </c>
      <c r="B109" s="95" t="n">
        <v>37083</v>
      </c>
      <c r="C109" s="90" t="s">
        <v>34</v>
      </c>
      <c r="D109" s="92" t="n">
        <v>0</v>
      </c>
      <c r="E109" s="93" t="n">
        <v>0</v>
      </c>
      <c r="F109" s="81" t="n">
        <v>161.5</v>
      </c>
      <c r="G109" s="81" t="n">
        <v>0</v>
      </c>
      <c r="H109" s="81" t="n">
        <v>0</v>
      </c>
      <c r="I109" s="94" t="n">
        <f aca="false">SUM(E109:H109)</f>
        <v>161.5</v>
      </c>
      <c r="J109" s="73" t="s">
        <v>18</v>
      </c>
      <c r="K109" s="74"/>
      <c r="L109" s="74"/>
      <c r="M109" s="74"/>
      <c r="N109" s="74"/>
      <c r="O109" s="74"/>
      <c r="P109" s="74"/>
      <c r="Q109" s="74"/>
      <c r="R109" s="74"/>
      <c r="S109" s="74"/>
      <c r="T109" s="65" t="str">
        <f aca="false">IF(D109&gt;0,(I109/D109),"")</f>
        <v/>
      </c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4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/>
      <c r="CF109" s="74"/>
      <c r="CG109" s="74"/>
      <c r="CH109" s="74"/>
      <c r="CI109" s="74"/>
      <c r="CJ109" s="74"/>
      <c r="CK109" s="74"/>
      <c r="CL109" s="74"/>
      <c r="CM109" s="74"/>
      <c r="CN109" s="74"/>
      <c r="CO109" s="74"/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</row>
    <row r="110" customFormat="false" ht="15.75" hidden="false" customHeight="false" outlineLevel="0" collapsed="false">
      <c r="A110" s="120" t="s">
        <v>104</v>
      </c>
      <c r="B110" s="121"/>
      <c r="C110" s="122"/>
      <c r="D110" s="123" t="n">
        <v>107.014</v>
      </c>
      <c r="E110" s="124" t="n">
        <v>-0.254</v>
      </c>
      <c r="F110" s="125" t="n">
        <v>-0.95</v>
      </c>
      <c r="G110" s="125"/>
      <c r="H110" s="125"/>
      <c r="I110" s="126" t="n">
        <f aca="false">SUM(E110:H110)</f>
        <v>-1.204</v>
      </c>
      <c r="J110" s="73" t="s">
        <v>105</v>
      </c>
      <c r="K110" s="127"/>
      <c r="L110" s="127"/>
      <c r="M110" s="127"/>
      <c r="N110" s="127"/>
      <c r="O110" s="127"/>
      <c r="P110" s="127"/>
      <c r="Q110" s="127"/>
      <c r="R110" s="127"/>
      <c r="S110" s="127"/>
      <c r="T110" s="65" t="n">
        <f aca="false">IF(D110&gt;0,(I110/D110),"")</f>
        <v>-0.0112508643728858</v>
      </c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7"/>
      <c r="AH110" s="127"/>
      <c r="AI110" s="127"/>
      <c r="AJ110" s="127"/>
      <c r="AK110" s="127"/>
      <c r="AL110" s="127"/>
      <c r="AM110" s="127"/>
      <c r="AN110" s="127"/>
      <c r="AO110" s="127"/>
      <c r="AP110" s="127"/>
      <c r="AQ110" s="127"/>
      <c r="AR110" s="127"/>
      <c r="AS110" s="127"/>
      <c r="AT110" s="127"/>
      <c r="AU110" s="127"/>
      <c r="AV110" s="127"/>
      <c r="AW110" s="127"/>
      <c r="AX110" s="127"/>
      <c r="AY110" s="127"/>
      <c r="AZ110" s="127"/>
      <c r="BA110" s="127"/>
      <c r="BB110" s="127"/>
      <c r="BC110" s="127"/>
      <c r="BD110" s="127"/>
      <c r="BE110" s="127"/>
      <c r="BF110" s="127"/>
      <c r="BG110" s="127"/>
      <c r="BH110" s="127"/>
      <c r="BI110" s="127"/>
      <c r="BJ110" s="127"/>
      <c r="BK110" s="127"/>
      <c r="BL110" s="127"/>
      <c r="BM110" s="127"/>
      <c r="BN110" s="127"/>
      <c r="BO110" s="127"/>
      <c r="BP110" s="127"/>
      <c r="BQ110" s="127"/>
      <c r="BR110" s="127"/>
      <c r="BS110" s="127"/>
      <c r="BT110" s="127"/>
      <c r="BU110" s="127"/>
      <c r="BV110" s="127"/>
      <c r="BW110" s="127"/>
      <c r="BX110" s="127"/>
      <c r="BY110" s="127"/>
      <c r="BZ110" s="127"/>
      <c r="CA110" s="127"/>
      <c r="CB110" s="127"/>
      <c r="CC110" s="127"/>
      <c r="CD110" s="127"/>
      <c r="CE110" s="127"/>
      <c r="CF110" s="127"/>
      <c r="CG110" s="127"/>
      <c r="CH110" s="127"/>
      <c r="CI110" s="127"/>
      <c r="CJ110" s="127"/>
      <c r="CK110" s="127"/>
      <c r="CL110" s="127"/>
      <c r="CM110" s="127"/>
      <c r="CN110" s="127"/>
      <c r="CO110" s="127"/>
      <c r="CP110" s="127"/>
      <c r="CQ110" s="127"/>
      <c r="CR110" s="127"/>
      <c r="CS110" s="127"/>
      <c r="CT110" s="127"/>
      <c r="CU110" s="127"/>
      <c r="CV110" s="127"/>
      <c r="CW110" s="127"/>
      <c r="CX110" s="127"/>
      <c r="CY110" s="127"/>
      <c r="CZ110" s="127"/>
      <c r="DA110" s="127"/>
      <c r="DB110" s="127"/>
      <c r="DC110" s="127"/>
      <c r="DD110" s="127"/>
      <c r="DE110" s="127"/>
      <c r="DF110" s="127"/>
      <c r="DG110" s="127"/>
      <c r="DH110" s="127"/>
      <c r="DI110" s="127"/>
      <c r="DJ110" s="127"/>
      <c r="DK110" s="127"/>
      <c r="DL110" s="127"/>
      <c r="DM110" s="127"/>
      <c r="DN110" s="127"/>
      <c r="DO110" s="127"/>
      <c r="DP110" s="127"/>
      <c r="DQ110" s="127"/>
      <c r="DR110" s="127"/>
      <c r="DS110" s="127"/>
      <c r="DT110" s="127"/>
      <c r="DU110" s="127"/>
      <c r="DV110" s="127"/>
      <c r="DW110" s="127"/>
      <c r="DX110" s="127"/>
      <c r="DY110" s="127"/>
      <c r="DZ110" s="127"/>
      <c r="EA110" s="127"/>
      <c r="EB110" s="127"/>
      <c r="EC110" s="127"/>
      <c r="ED110" s="127"/>
      <c r="EE110" s="127"/>
      <c r="EF110" s="127"/>
      <c r="EG110" s="127"/>
      <c r="EH110" s="127"/>
      <c r="EI110" s="127"/>
      <c r="EJ110" s="127"/>
      <c r="EK110" s="127"/>
      <c r="EL110" s="127"/>
      <c r="EM110" s="127"/>
      <c r="EN110" s="127"/>
      <c r="EO110" s="127"/>
      <c r="EP110" s="127"/>
      <c r="EQ110" s="127"/>
      <c r="ER110" s="127"/>
      <c r="ES110" s="127"/>
      <c r="ET110" s="127"/>
      <c r="EU110" s="127"/>
      <c r="EV110" s="127"/>
      <c r="EW110" s="127"/>
      <c r="EX110" s="127"/>
      <c r="EY110" s="127"/>
      <c r="EZ110" s="127"/>
      <c r="FA110" s="127"/>
      <c r="FB110" s="127"/>
      <c r="FC110" s="127"/>
      <c r="FD110" s="127"/>
      <c r="FE110" s="127"/>
      <c r="FF110" s="127"/>
      <c r="FG110" s="127"/>
      <c r="FH110" s="127"/>
      <c r="FI110" s="127"/>
      <c r="FJ110" s="127"/>
      <c r="FK110" s="127"/>
      <c r="FL110" s="127"/>
      <c r="FM110" s="127"/>
      <c r="FN110" s="127"/>
      <c r="FO110" s="127"/>
      <c r="FP110" s="127"/>
      <c r="FQ110" s="127"/>
      <c r="FR110" s="127"/>
      <c r="FS110" s="127"/>
      <c r="FT110" s="127"/>
      <c r="FU110" s="127"/>
      <c r="FV110" s="127"/>
      <c r="FW110" s="127"/>
      <c r="FX110" s="127"/>
      <c r="FY110" s="127"/>
      <c r="FZ110" s="127"/>
      <c r="GA110" s="127"/>
      <c r="GB110" s="127"/>
      <c r="GC110" s="127"/>
      <c r="GD110" s="127"/>
      <c r="GE110" s="127"/>
      <c r="GF110" s="127"/>
      <c r="GG110" s="127"/>
      <c r="GH110" s="127"/>
      <c r="GI110" s="127"/>
      <c r="GJ110" s="127"/>
      <c r="GK110" s="127"/>
      <c r="GL110" s="127"/>
      <c r="GM110" s="127"/>
      <c r="GN110" s="127"/>
      <c r="GO110" s="127"/>
      <c r="GP110" s="127"/>
      <c r="GQ110" s="127"/>
      <c r="GR110" s="127"/>
      <c r="GS110" s="127"/>
      <c r="GT110" s="127"/>
      <c r="GU110" s="127"/>
      <c r="GV110" s="127"/>
      <c r="GW110" s="127"/>
      <c r="GX110" s="127"/>
      <c r="GY110" s="127"/>
      <c r="GZ110" s="127"/>
      <c r="HA110" s="127"/>
      <c r="HB110" s="127"/>
      <c r="HC110" s="127"/>
      <c r="HD110" s="127"/>
      <c r="HE110" s="127"/>
      <c r="HF110" s="127"/>
      <c r="HG110" s="127"/>
      <c r="HH110" s="127"/>
      <c r="HI110" s="127"/>
      <c r="HJ110" s="127"/>
      <c r="HK110" s="127"/>
      <c r="HL110" s="127"/>
      <c r="HM110" s="127"/>
      <c r="HN110" s="127"/>
      <c r="HO110" s="127"/>
      <c r="HP110" s="127"/>
      <c r="HQ110" s="127"/>
      <c r="HR110" s="127"/>
      <c r="HS110" s="127"/>
      <c r="HT110" s="127"/>
      <c r="HU110" s="127"/>
      <c r="HV110" s="127"/>
      <c r="HW110" s="127"/>
      <c r="HX110" s="127"/>
      <c r="HY110" s="127"/>
      <c r="HZ110" s="127"/>
      <c r="IA110" s="127"/>
      <c r="IB110" s="127"/>
      <c r="IC110" s="127"/>
      <c r="ID110" s="127"/>
      <c r="IE110" s="127"/>
      <c r="IF110" s="127"/>
      <c r="IG110" s="127"/>
      <c r="IH110" s="127"/>
      <c r="II110" s="127"/>
      <c r="IJ110" s="127"/>
      <c r="IK110" s="127"/>
      <c r="IL110" s="127"/>
      <c r="IM110" s="127"/>
      <c r="IN110" s="127"/>
      <c r="IO110" s="127"/>
      <c r="IP110" s="127"/>
      <c r="IQ110" s="127"/>
      <c r="IR110" s="127"/>
      <c r="IS110" s="127"/>
      <c r="IT110" s="127"/>
      <c r="IU110" s="127"/>
      <c r="IV110" s="127"/>
      <c r="IW110" s="127"/>
    </row>
    <row r="111" customFormat="false" ht="15.75" hidden="false" customHeight="false" outlineLevel="0" collapsed="false">
      <c r="A111" s="120" t="s">
        <v>106</v>
      </c>
      <c r="B111" s="128"/>
      <c r="C111" s="129" t="s">
        <v>107</v>
      </c>
      <c r="D111" s="92" t="n">
        <v>3141.372</v>
      </c>
      <c r="E111" s="93" t="n">
        <v>-185.419</v>
      </c>
      <c r="F111" s="81" t="n">
        <v>-37.6</v>
      </c>
      <c r="G111" s="81"/>
      <c r="H111" s="81"/>
      <c r="I111" s="94" t="n">
        <f aca="false">SUM(E111:G111)</f>
        <v>-223.019</v>
      </c>
      <c r="J111" s="73" t="s">
        <v>21</v>
      </c>
      <c r="K111" s="74"/>
      <c r="L111" s="74"/>
      <c r="M111" s="74"/>
      <c r="N111" s="74"/>
      <c r="O111" s="74"/>
      <c r="P111" s="74"/>
      <c r="Q111" s="74"/>
      <c r="R111" s="74"/>
      <c r="S111" s="74"/>
      <c r="T111" s="65" t="n">
        <f aca="false">IF(D111&gt;0,(I111/D111),"")</f>
        <v>-0.0709941388667117</v>
      </c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4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/>
      <c r="CG111" s="74"/>
      <c r="CH111" s="74"/>
      <c r="CI111" s="74"/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</row>
    <row r="112" customFormat="false" ht="15.75" hidden="false" customHeight="false" outlineLevel="0" collapsed="false">
      <c r="A112" s="120" t="s">
        <v>108</v>
      </c>
      <c r="B112" s="95" t="n">
        <v>37083</v>
      </c>
      <c r="C112" s="98" t="s">
        <v>109</v>
      </c>
      <c r="D112" s="92" t="n">
        <v>65844.189</v>
      </c>
      <c r="E112" s="93" t="n">
        <v>4627.55</v>
      </c>
      <c r="F112" s="81" t="n">
        <v>-835</v>
      </c>
      <c r="G112" s="81" t="n">
        <v>0</v>
      </c>
      <c r="H112" s="81" t="n">
        <v>0</v>
      </c>
      <c r="I112" s="94" t="n">
        <f aca="false">SUM(E112:H112)</f>
        <v>3792.55</v>
      </c>
      <c r="J112" s="73" t="s">
        <v>25</v>
      </c>
      <c r="K112" s="74"/>
      <c r="L112" s="74"/>
      <c r="M112" s="74"/>
      <c r="N112" s="74"/>
      <c r="O112" s="74"/>
      <c r="P112" s="74"/>
      <c r="Q112" s="74"/>
      <c r="R112" s="74"/>
      <c r="S112" s="74"/>
      <c r="T112" s="65" t="n">
        <f aca="false">IF(D112&gt;0,(I112/D112),"")</f>
        <v>0.0575988565976566</v>
      </c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/>
      <c r="CG112" s="74"/>
      <c r="CH112" s="74"/>
      <c r="CI112" s="74"/>
      <c r="CJ112" s="74"/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</row>
    <row r="113" customFormat="false" ht="15.75" hidden="false" customHeight="false" outlineLevel="0" collapsed="false">
      <c r="A113" s="120" t="s">
        <v>110</v>
      </c>
      <c r="B113" s="99" t="n">
        <v>37098</v>
      </c>
      <c r="C113" s="98" t="s">
        <v>109</v>
      </c>
      <c r="D113" s="96" t="n">
        <v>32033.692</v>
      </c>
      <c r="E113" s="93" t="n">
        <v>3081.177</v>
      </c>
      <c r="F113" s="81" t="n">
        <v>-880.5</v>
      </c>
      <c r="G113" s="81" t="n">
        <v>0</v>
      </c>
      <c r="H113" s="81"/>
      <c r="I113" s="94" t="n">
        <f aca="false">SUM(E113:H113)</f>
        <v>2200.677</v>
      </c>
      <c r="J113" s="73" t="s">
        <v>25</v>
      </c>
      <c r="K113" s="74"/>
      <c r="L113" s="74"/>
      <c r="M113" s="74"/>
      <c r="N113" s="74"/>
      <c r="O113" s="74"/>
      <c r="P113" s="74"/>
      <c r="Q113" s="74"/>
      <c r="R113" s="74"/>
      <c r="S113" s="74"/>
      <c r="T113" s="65" t="n">
        <f aca="false">IF(D113&gt;0,(I113/D113),"")</f>
        <v>0.0686988249746548</v>
      </c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/>
      <c r="CG113" s="74"/>
      <c r="CH113" s="74"/>
      <c r="CI113" s="74"/>
      <c r="CJ113" s="74"/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</row>
    <row r="114" customFormat="false" ht="3.75" hidden="false" customHeight="true" outlineLevel="0" collapsed="false">
      <c r="A114" s="90"/>
      <c r="B114" s="99"/>
      <c r="C114" s="98"/>
      <c r="D114" s="130"/>
      <c r="E114" s="131"/>
      <c r="F114" s="132"/>
      <c r="G114" s="132"/>
      <c r="H114" s="132"/>
      <c r="I114" s="133"/>
      <c r="J114" s="73"/>
      <c r="K114" s="74"/>
      <c r="L114" s="74"/>
      <c r="M114" s="74"/>
      <c r="N114" s="74"/>
      <c r="O114" s="74"/>
      <c r="P114" s="74"/>
      <c r="Q114" s="74"/>
      <c r="R114" s="74"/>
      <c r="S114" s="74"/>
      <c r="T114" s="65" t="str">
        <f aca="false">IF(D114&gt;0,(I114/D114),"")</f>
        <v/>
      </c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/>
      <c r="CF114" s="74"/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</row>
    <row r="115" customFormat="false" ht="15" hidden="false" customHeight="false" outlineLevel="0" collapsed="false">
      <c r="A115" s="134" t="s">
        <v>111</v>
      </c>
      <c r="B115" s="48"/>
      <c r="C115" s="49"/>
      <c r="D115" s="50" t="n">
        <f aca="false">SUM(D101:D114)</f>
        <v>109597.143</v>
      </c>
      <c r="E115" s="51" t="n">
        <f aca="false">SUM(E101:E114)</f>
        <v>8556.065</v>
      </c>
      <c r="F115" s="44" t="n">
        <f aca="false">SUM(F101:F114)</f>
        <v>-1640.57</v>
      </c>
      <c r="G115" s="81" t="n">
        <f aca="false">SUM(G101:G114)</f>
        <v>0</v>
      </c>
      <c r="H115" s="44" t="n">
        <f aca="false">SUM(H101:H114)</f>
        <v>0</v>
      </c>
      <c r="I115" s="52" t="n">
        <f aca="false">SUM(I101:I114)</f>
        <v>6915.495</v>
      </c>
      <c r="J115" s="30"/>
      <c r="K115" s="18"/>
      <c r="L115" s="19"/>
      <c r="M115" s="18"/>
      <c r="N115" s="18"/>
      <c r="O115" s="18"/>
      <c r="P115" s="18"/>
      <c r="Q115" s="18"/>
      <c r="R115" s="18"/>
      <c r="S115" s="18"/>
      <c r="T115" s="65" t="n">
        <f aca="false">IF(D115&gt;0,(I115/D115),"")</f>
        <v>0.0630992269570385</v>
      </c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  <c r="HY115" s="19"/>
      <c r="HZ115" s="19"/>
      <c r="IA115" s="19"/>
      <c r="IB115" s="19"/>
      <c r="IC115" s="19"/>
      <c r="ID115" s="19"/>
      <c r="IE115" s="19"/>
      <c r="IF115" s="19"/>
      <c r="IG115" s="19"/>
      <c r="IH115" s="19"/>
      <c r="II115" s="19"/>
      <c r="IJ115" s="19"/>
      <c r="IK115" s="19"/>
      <c r="IL115" s="19"/>
      <c r="IM115" s="19"/>
      <c r="IN115" s="19"/>
      <c r="IO115" s="19"/>
      <c r="IP115" s="19"/>
      <c r="IQ115" s="19"/>
      <c r="IR115" s="19"/>
      <c r="IS115" s="19"/>
      <c r="IT115" s="19"/>
      <c r="IU115" s="19"/>
      <c r="IV115" s="19"/>
      <c r="IW115" s="19"/>
    </row>
    <row r="116" customFormat="false" ht="15" hidden="false" customHeight="false" outlineLevel="0" collapsed="false">
      <c r="A116" s="134"/>
      <c r="B116" s="48"/>
      <c r="C116" s="49"/>
      <c r="D116" s="50"/>
      <c r="E116" s="51"/>
      <c r="F116" s="44"/>
      <c r="G116" s="81"/>
      <c r="H116" s="44"/>
      <c r="I116" s="52"/>
      <c r="J116" s="30"/>
      <c r="K116" s="18"/>
      <c r="L116" s="19"/>
      <c r="M116" s="18"/>
      <c r="N116" s="18"/>
      <c r="O116" s="18"/>
      <c r="P116" s="18"/>
      <c r="Q116" s="18"/>
      <c r="R116" s="18"/>
      <c r="S116" s="18"/>
      <c r="T116" s="65" t="str">
        <f aca="false">IF(D116&gt;0,(I116/D116),"")</f>
        <v/>
      </c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  <c r="HY116" s="19"/>
      <c r="HZ116" s="19"/>
      <c r="IA116" s="19"/>
      <c r="IB116" s="19"/>
      <c r="IC116" s="19"/>
      <c r="ID116" s="19"/>
      <c r="IE116" s="19"/>
      <c r="IF116" s="19"/>
      <c r="IG116" s="19"/>
      <c r="IH116" s="19"/>
      <c r="II116" s="19"/>
      <c r="IJ116" s="19"/>
      <c r="IK116" s="19"/>
      <c r="IL116" s="19"/>
      <c r="IM116" s="19"/>
      <c r="IN116" s="19"/>
      <c r="IO116" s="19"/>
      <c r="IP116" s="19"/>
      <c r="IQ116" s="19"/>
      <c r="IR116" s="19"/>
      <c r="IS116" s="19"/>
      <c r="IT116" s="19"/>
      <c r="IU116" s="19"/>
      <c r="IV116" s="19"/>
      <c r="IW116" s="19"/>
    </row>
    <row r="117" customFormat="false" ht="15" hidden="false" customHeight="false" outlineLevel="0" collapsed="false">
      <c r="A117" s="134"/>
      <c r="B117" s="48"/>
      <c r="C117" s="49"/>
      <c r="D117" s="50"/>
      <c r="E117" s="51"/>
      <c r="F117" s="44"/>
      <c r="G117" s="81"/>
      <c r="H117" s="44"/>
      <c r="I117" s="52"/>
      <c r="J117" s="30"/>
      <c r="K117" s="18"/>
      <c r="L117" s="19"/>
      <c r="M117" s="18"/>
      <c r="N117" s="18"/>
      <c r="O117" s="18"/>
      <c r="P117" s="18"/>
      <c r="Q117" s="18"/>
      <c r="R117" s="18"/>
      <c r="S117" s="18"/>
      <c r="T117" s="65" t="str">
        <f aca="false">IF(D117&gt;0,(I117/D117),"")</f>
        <v/>
      </c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  <c r="HN117" s="19"/>
      <c r="HO117" s="19"/>
      <c r="HP117" s="19"/>
      <c r="HQ117" s="19"/>
      <c r="HR117" s="19"/>
      <c r="HS117" s="19"/>
      <c r="HT117" s="19"/>
      <c r="HU117" s="19"/>
      <c r="HV117" s="19"/>
      <c r="HW117" s="19"/>
      <c r="HX117" s="19"/>
      <c r="HY117" s="19"/>
      <c r="HZ117" s="19"/>
      <c r="IA117" s="19"/>
      <c r="IB117" s="19"/>
      <c r="IC117" s="19"/>
      <c r="ID117" s="19"/>
      <c r="IE117" s="19"/>
      <c r="IF117" s="19"/>
      <c r="IG117" s="19"/>
      <c r="IH117" s="19"/>
      <c r="II117" s="19"/>
      <c r="IJ117" s="19"/>
      <c r="IK117" s="19"/>
      <c r="IL117" s="19"/>
      <c r="IM117" s="19"/>
      <c r="IN117" s="19"/>
      <c r="IO117" s="19"/>
      <c r="IP117" s="19"/>
      <c r="IQ117" s="19"/>
      <c r="IR117" s="19"/>
      <c r="IS117" s="19"/>
      <c r="IT117" s="19"/>
      <c r="IU117" s="19"/>
      <c r="IV117" s="19"/>
      <c r="IW117" s="19"/>
    </row>
    <row r="118" customFormat="false" ht="15" hidden="false" customHeight="false" outlineLevel="0" collapsed="false">
      <c r="A118" s="110" t="s">
        <v>112</v>
      </c>
      <c r="B118" s="48"/>
      <c r="C118" s="49"/>
      <c r="D118" s="50"/>
      <c r="E118" s="51"/>
      <c r="F118" s="44"/>
      <c r="G118" s="81"/>
      <c r="H118" s="44"/>
      <c r="I118" s="52"/>
      <c r="J118" s="30"/>
      <c r="K118" s="18"/>
      <c r="L118" s="19"/>
      <c r="M118" s="18"/>
      <c r="N118" s="18"/>
      <c r="O118" s="18"/>
      <c r="P118" s="18"/>
      <c r="Q118" s="18"/>
      <c r="R118" s="18"/>
      <c r="S118" s="18"/>
      <c r="T118" s="65" t="str">
        <f aca="false">IF(D118&gt;0,(I118/D118),"")</f>
        <v/>
      </c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  <c r="HN118" s="19"/>
      <c r="HO118" s="19"/>
      <c r="HP118" s="19"/>
      <c r="HQ118" s="19"/>
      <c r="HR118" s="19"/>
      <c r="HS118" s="19"/>
      <c r="HT118" s="19"/>
      <c r="HU118" s="19"/>
      <c r="HV118" s="19"/>
      <c r="HW118" s="19"/>
      <c r="HX118" s="19"/>
      <c r="HY118" s="19"/>
      <c r="HZ118" s="19"/>
      <c r="IA118" s="19"/>
      <c r="IB118" s="19"/>
      <c r="IC118" s="19"/>
      <c r="ID118" s="19"/>
      <c r="IE118" s="19"/>
      <c r="IF118" s="19"/>
      <c r="IG118" s="19"/>
      <c r="IH118" s="19"/>
      <c r="II118" s="19"/>
      <c r="IJ118" s="19"/>
      <c r="IK118" s="19"/>
      <c r="IL118" s="19"/>
      <c r="IM118" s="19"/>
      <c r="IN118" s="19"/>
      <c r="IO118" s="19"/>
      <c r="IP118" s="19"/>
      <c r="IQ118" s="19"/>
      <c r="IR118" s="19"/>
      <c r="IS118" s="19"/>
      <c r="IT118" s="19"/>
      <c r="IU118" s="19"/>
      <c r="IV118" s="19"/>
      <c r="IW118" s="19"/>
    </row>
    <row r="119" customFormat="false" ht="15.75" hidden="false" customHeight="false" outlineLevel="0" collapsed="false">
      <c r="A119" s="120" t="s">
        <v>113</v>
      </c>
      <c r="B119" s="99" t="n">
        <v>37098</v>
      </c>
      <c r="C119" s="98" t="s">
        <v>109</v>
      </c>
      <c r="D119" s="130" t="n">
        <v>141779</v>
      </c>
      <c r="E119" s="131" t="n">
        <v>9349.052</v>
      </c>
      <c r="F119" s="132" t="n">
        <v>-1692.9</v>
      </c>
      <c r="G119" s="132" t="n">
        <v>0</v>
      </c>
      <c r="H119" s="132"/>
      <c r="I119" s="133" t="n">
        <f aca="false">SUM(E119:H119)</f>
        <v>7656.152</v>
      </c>
      <c r="J119" s="73" t="s">
        <v>114</v>
      </c>
      <c r="K119" s="74"/>
      <c r="L119" s="74"/>
      <c r="M119" s="74"/>
      <c r="N119" s="74"/>
      <c r="O119" s="74"/>
      <c r="P119" s="74"/>
      <c r="Q119" s="74"/>
      <c r="R119" s="74"/>
      <c r="S119" s="74"/>
      <c r="T119" s="65" t="n">
        <f aca="false">IF(D119&gt;0,(I119/D119),"")</f>
        <v>0.054000606577843</v>
      </c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/>
      <c r="CH119" s="74"/>
      <c r="CI119" s="74"/>
      <c r="CJ119" s="74"/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</row>
    <row r="120" customFormat="false" ht="15" hidden="false" customHeight="false" outlineLevel="0" collapsed="false">
      <c r="A120" s="134" t="s">
        <v>115</v>
      </c>
      <c r="B120" s="48"/>
      <c r="C120" s="49"/>
      <c r="D120" s="50" t="n">
        <f aca="false">SUM(D118:D119)</f>
        <v>141779</v>
      </c>
      <c r="E120" s="51" t="n">
        <f aca="false">SUM(E118:E119)</f>
        <v>9349.052</v>
      </c>
      <c r="F120" s="44" t="n">
        <f aca="false">SUM(F118:F119)</f>
        <v>-1692.9</v>
      </c>
      <c r="G120" s="81" t="n">
        <f aca="false">SUM(G118:G119)</f>
        <v>0</v>
      </c>
      <c r="H120" s="44" t="n">
        <f aca="false">SUM(H118:H119)</f>
        <v>0</v>
      </c>
      <c r="I120" s="52" t="n">
        <f aca="false">SUM(I118:I119)</f>
        <v>7656.152</v>
      </c>
      <c r="J120" s="30"/>
      <c r="K120" s="18"/>
      <c r="L120" s="19"/>
      <c r="M120" s="18"/>
      <c r="N120" s="18"/>
      <c r="O120" s="18"/>
      <c r="P120" s="18"/>
      <c r="Q120" s="18"/>
      <c r="R120" s="18"/>
      <c r="S120" s="18"/>
      <c r="T120" s="65" t="n">
        <f aca="false">IF(D120&gt;0,(I120/D120),"")</f>
        <v>0.054000606577843</v>
      </c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  <c r="HN120" s="19"/>
      <c r="HO120" s="19"/>
      <c r="HP120" s="19"/>
      <c r="HQ120" s="19"/>
      <c r="HR120" s="19"/>
      <c r="HS120" s="19"/>
      <c r="HT120" s="19"/>
      <c r="HU120" s="19"/>
      <c r="HV120" s="19"/>
      <c r="HW120" s="19"/>
      <c r="HX120" s="19"/>
      <c r="HY120" s="19"/>
      <c r="HZ120" s="19"/>
      <c r="IA120" s="19"/>
      <c r="IB120" s="19"/>
      <c r="IC120" s="19"/>
      <c r="ID120" s="19"/>
      <c r="IE120" s="19"/>
      <c r="IF120" s="19"/>
      <c r="IG120" s="19"/>
      <c r="IH120" s="19"/>
      <c r="II120" s="19"/>
      <c r="IJ120" s="19"/>
      <c r="IK120" s="19"/>
      <c r="IL120" s="19"/>
      <c r="IM120" s="19"/>
      <c r="IN120" s="19"/>
      <c r="IO120" s="19"/>
      <c r="IP120" s="19"/>
      <c r="IQ120" s="19"/>
      <c r="IR120" s="19"/>
      <c r="IS120" s="19"/>
      <c r="IT120" s="19"/>
      <c r="IU120" s="19"/>
      <c r="IV120" s="19"/>
      <c r="IW120" s="19"/>
    </row>
    <row r="121" customFormat="false" ht="15" hidden="false" customHeight="false" outlineLevel="0" collapsed="false">
      <c r="A121" s="134"/>
      <c r="B121" s="48"/>
      <c r="C121" s="49"/>
      <c r="D121" s="50"/>
      <c r="E121" s="51"/>
      <c r="F121" s="44"/>
      <c r="G121" s="81"/>
      <c r="H121" s="44"/>
      <c r="I121" s="52"/>
      <c r="J121" s="30"/>
      <c r="K121" s="18"/>
      <c r="L121" s="19"/>
      <c r="M121" s="18"/>
      <c r="N121" s="18"/>
      <c r="O121" s="18"/>
      <c r="P121" s="18"/>
      <c r="Q121" s="18"/>
      <c r="R121" s="18"/>
      <c r="S121" s="18"/>
      <c r="T121" s="65" t="str">
        <f aca="false">IF(D121&gt;0,(I121/D121),"")</f>
        <v/>
      </c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  <c r="HY121" s="19"/>
      <c r="HZ121" s="19"/>
      <c r="IA121" s="19"/>
      <c r="IB121" s="19"/>
      <c r="IC121" s="19"/>
      <c r="ID121" s="19"/>
      <c r="IE121" s="19"/>
      <c r="IF121" s="19"/>
      <c r="IG121" s="19"/>
      <c r="IH121" s="19"/>
      <c r="II121" s="19"/>
      <c r="IJ121" s="19"/>
      <c r="IK121" s="19"/>
      <c r="IL121" s="19"/>
      <c r="IM121" s="19"/>
      <c r="IN121" s="19"/>
      <c r="IO121" s="19"/>
      <c r="IP121" s="19"/>
      <c r="IQ121" s="19"/>
      <c r="IR121" s="19"/>
      <c r="IS121" s="19"/>
      <c r="IT121" s="19"/>
      <c r="IU121" s="19"/>
      <c r="IV121" s="19"/>
      <c r="IW121" s="19"/>
    </row>
    <row r="122" customFormat="false" ht="15" hidden="false" customHeight="false" outlineLevel="0" collapsed="false">
      <c r="A122" s="134"/>
      <c r="B122" s="48"/>
      <c r="C122" s="49"/>
      <c r="D122" s="50"/>
      <c r="E122" s="51"/>
      <c r="F122" s="44"/>
      <c r="G122" s="81"/>
      <c r="H122" s="44"/>
      <c r="I122" s="52"/>
      <c r="J122" s="30"/>
      <c r="K122" s="18"/>
      <c r="L122" s="19"/>
      <c r="M122" s="18"/>
      <c r="N122" s="18"/>
      <c r="O122" s="18"/>
      <c r="P122" s="18"/>
      <c r="Q122" s="18"/>
      <c r="R122" s="18"/>
      <c r="S122" s="18"/>
      <c r="T122" s="65" t="str">
        <f aca="false">IF(D122&gt;0,(I122/D122),"")</f>
        <v/>
      </c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  <c r="HK122" s="19"/>
      <c r="HL122" s="19"/>
      <c r="HM122" s="19"/>
      <c r="HN122" s="19"/>
      <c r="HO122" s="19"/>
      <c r="HP122" s="19"/>
      <c r="HQ122" s="19"/>
      <c r="HR122" s="19"/>
      <c r="HS122" s="19"/>
      <c r="HT122" s="19"/>
      <c r="HU122" s="19"/>
      <c r="HV122" s="19"/>
      <c r="HW122" s="19"/>
      <c r="HX122" s="19"/>
      <c r="HY122" s="19"/>
      <c r="HZ122" s="19"/>
      <c r="IA122" s="19"/>
      <c r="IB122" s="19"/>
      <c r="IC122" s="19"/>
      <c r="ID122" s="19"/>
      <c r="IE122" s="19"/>
      <c r="IF122" s="19"/>
      <c r="IG122" s="19"/>
      <c r="IH122" s="19"/>
      <c r="II122" s="19"/>
      <c r="IJ122" s="19"/>
      <c r="IK122" s="19"/>
      <c r="IL122" s="19"/>
      <c r="IM122" s="19"/>
      <c r="IN122" s="19"/>
      <c r="IO122" s="19"/>
      <c r="IP122" s="19"/>
      <c r="IQ122" s="19"/>
      <c r="IR122" s="19"/>
      <c r="IS122" s="19"/>
      <c r="IT122" s="19"/>
      <c r="IU122" s="19"/>
      <c r="IV122" s="19"/>
      <c r="IW122" s="19"/>
    </row>
    <row r="123" customFormat="false" ht="15" hidden="false" customHeight="false" outlineLevel="0" collapsed="false">
      <c r="A123" s="110"/>
      <c r="B123" s="48"/>
      <c r="C123" s="49"/>
      <c r="D123" s="50"/>
      <c r="E123" s="51"/>
      <c r="F123" s="44"/>
      <c r="G123" s="81"/>
      <c r="H123" s="44"/>
      <c r="I123" s="52"/>
      <c r="J123" s="30"/>
      <c r="K123" s="18"/>
      <c r="L123" s="19"/>
      <c r="M123" s="18"/>
      <c r="N123" s="18"/>
      <c r="O123" s="18"/>
      <c r="P123" s="18"/>
      <c r="Q123" s="18"/>
      <c r="R123" s="18"/>
      <c r="S123" s="18"/>
      <c r="T123" s="65" t="str">
        <f aca="false">IF(D123&gt;0,(I123/D123),"")</f>
        <v/>
      </c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  <c r="HK123" s="19"/>
      <c r="HL123" s="19"/>
      <c r="HM123" s="19"/>
      <c r="HN123" s="19"/>
      <c r="HO123" s="19"/>
      <c r="HP123" s="19"/>
      <c r="HQ123" s="19"/>
      <c r="HR123" s="19"/>
      <c r="HS123" s="19"/>
      <c r="HT123" s="19"/>
      <c r="HU123" s="19"/>
      <c r="HV123" s="19"/>
      <c r="HW123" s="19"/>
      <c r="HX123" s="19"/>
      <c r="HY123" s="19"/>
      <c r="HZ123" s="19"/>
      <c r="IA123" s="19"/>
      <c r="IB123" s="19"/>
      <c r="IC123" s="19"/>
      <c r="ID123" s="19"/>
      <c r="IE123" s="19"/>
      <c r="IF123" s="19"/>
      <c r="IG123" s="19"/>
      <c r="IH123" s="19"/>
      <c r="II123" s="19"/>
      <c r="IJ123" s="19"/>
      <c r="IK123" s="19"/>
      <c r="IL123" s="19"/>
      <c r="IM123" s="19"/>
      <c r="IN123" s="19"/>
      <c r="IO123" s="19"/>
      <c r="IP123" s="19"/>
      <c r="IQ123" s="19"/>
      <c r="IR123" s="19"/>
      <c r="IS123" s="19"/>
      <c r="IT123" s="19"/>
      <c r="IU123" s="19"/>
      <c r="IV123" s="19"/>
      <c r="IW123" s="19"/>
    </row>
    <row r="124" customFormat="false" ht="15" hidden="false" customHeight="false" outlineLevel="0" collapsed="false">
      <c r="A124" s="110" t="s">
        <v>116</v>
      </c>
      <c r="B124" s="48"/>
      <c r="C124" s="49"/>
      <c r="D124" s="50"/>
      <c r="E124" s="51"/>
      <c r="F124" s="44"/>
      <c r="G124" s="81"/>
      <c r="H124" s="44"/>
      <c r="I124" s="52"/>
      <c r="J124" s="30"/>
      <c r="K124" s="18"/>
      <c r="L124" s="19"/>
      <c r="M124" s="18"/>
      <c r="N124" s="18"/>
      <c r="O124" s="18"/>
      <c r="P124" s="18"/>
      <c r="Q124" s="18"/>
      <c r="R124" s="18"/>
      <c r="S124" s="18"/>
      <c r="T124" s="65" t="str">
        <f aca="false">IF(D124&gt;0,(I124/D124),"")</f>
        <v/>
      </c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  <c r="HK124" s="19"/>
      <c r="HL124" s="19"/>
      <c r="HM124" s="19"/>
      <c r="HN124" s="19"/>
      <c r="HO124" s="19"/>
      <c r="HP124" s="19"/>
      <c r="HQ124" s="19"/>
      <c r="HR124" s="19"/>
      <c r="HS124" s="19"/>
      <c r="HT124" s="19"/>
      <c r="HU124" s="19"/>
      <c r="HV124" s="19"/>
      <c r="HW124" s="19"/>
      <c r="HX124" s="19"/>
      <c r="HY124" s="19"/>
      <c r="HZ124" s="19"/>
      <c r="IA124" s="19"/>
      <c r="IB124" s="19"/>
      <c r="IC124" s="19"/>
      <c r="ID124" s="19"/>
      <c r="IE124" s="19"/>
      <c r="IF124" s="19"/>
      <c r="IG124" s="19"/>
      <c r="IH124" s="19"/>
      <c r="II124" s="19"/>
      <c r="IJ124" s="19"/>
      <c r="IK124" s="19"/>
      <c r="IL124" s="19"/>
      <c r="IM124" s="19"/>
      <c r="IN124" s="19"/>
      <c r="IO124" s="19"/>
      <c r="IP124" s="19"/>
      <c r="IQ124" s="19"/>
      <c r="IR124" s="19"/>
      <c r="IS124" s="19"/>
      <c r="IT124" s="19"/>
      <c r="IU124" s="19"/>
      <c r="IV124" s="19"/>
      <c r="IW124" s="19"/>
    </row>
    <row r="125" customFormat="false" ht="5.25" hidden="false" customHeight="true" outlineLevel="0" collapsed="false">
      <c r="A125" s="110"/>
      <c r="B125" s="48"/>
      <c r="C125" s="49"/>
      <c r="D125" s="50"/>
      <c r="E125" s="51"/>
      <c r="F125" s="44"/>
      <c r="G125" s="81"/>
      <c r="H125" s="44"/>
      <c r="I125" s="52"/>
      <c r="J125" s="30"/>
      <c r="K125" s="18"/>
      <c r="L125" s="19"/>
      <c r="M125" s="18"/>
      <c r="N125" s="18"/>
      <c r="O125" s="18"/>
      <c r="P125" s="18"/>
      <c r="Q125" s="18"/>
      <c r="R125" s="18"/>
      <c r="S125" s="18"/>
      <c r="T125" s="65" t="str">
        <f aca="false">IF(D125&gt;0,(I125/D125),"")</f>
        <v/>
      </c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  <c r="HK125" s="19"/>
      <c r="HL125" s="19"/>
      <c r="HM125" s="19"/>
      <c r="HN125" s="19"/>
      <c r="HO125" s="19"/>
      <c r="HP125" s="19"/>
      <c r="HQ125" s="19"/>
      <c r="HR125" s="19"/>
      <c r="HS125" s="19"/>
      <c r="HT125" s="19"/>
      <c r="HU125" s="19"/>
      <c r="HV125" s="19"/>
      <c r="HW125" s="19"/>
      <c r="HX125" s="19"/>
      <c r="HY125" s="19"/>
      <c r="HZ125" s="19"/>
      <c r="IA125" s="19"/>
      <c r="IB125" s="19"/>
      <c r="IC125" s="19"/>
      <c r="ID125" s="19"/>
      <c r="IE125" s="19"/>
      <c r="IF125" s="19"/>
      <c r="IG125" s="19"/>
      <c r="IH125" s="19"/>
      <c r="II125" s="19"/>
      <c r="IJ125" s="19"/>
      <c r="IK125" s="19"/>
      <c r="IL125" s="19"/>
      <c r="IM125" s="19"/>
      <c r="IN125" s="19"/>
      <c r="IO125" s="19"/>
      <c r="IP125" s="19"/>
      <c r="IQ125" s="19"/>
      <c r="IR125" s="19"/>
      <c r="IS125" s="19"/>
      <c r="IT125" s="19"/>
      <c r="IU125" s="19"/>
      <c r="IV125" s="19"/>
      <c r="IW125" s="19"/>
    </row>
    <row r="126" customFormat="false" ht="15.75" hidden="false" customHeight="false" outlineLevel="0" collapsed="false">
      <c r="A126" s="120" t="s">
        <v>117</v>
      </c>
      <c r="B126" s="95" t="n">
        <v>37091</v>
      </c>
      <c r="C126" s="98" t="s">
        <v>118</v>
      </c>
      <c r="D126" s="92" t="n">
        <v>3500</v>
      </c>
      <c r="E126" s="93" t="n">
        <v>612.723</v>
      </c>
      <c r="F126" s="81" t="n">
        <v>-59.41</v>
      </c>
      <c r="G126" s="81" t="n">
        <v>0</v>
      </c>
      <c r="H126" s="81" t="n">
        <v>0</v>
      </c>
      <c r="I126" s="94" t="n">
        <f aca="false">SUM(E126:H126)</f>
        <v>553.313</v>
      </c>
      <c r="J126" s="73" t="s">
        <v>70</v>
      </c>
      <c r="K126" s="74"/>
      <c r="L126" s="74"/>
      <c r="M126" s="74"/>
      <c r="N126" s="74"/>
      <c r="O126" s="74"/>
      <c r="P126" s="74"/>
      <c r="Q126" s="74"/>
      <c r="R126" s="74"/>
      <c r="S126" s="74"/>
      <c r="T126" s="65" t="n">
        <f aca="false">IF(D126&gt;0,(I126/D126),"")</f>
        <v>0.158089428571429</v>
      </c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4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/>
      <c r="CH126" s="74"/>
      <c r="CI126" s="74"/>
      <c r="CJ126" s="74"/>
      <c r="CK126" s="74"/>
      <c r="CL126" s="74"/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</row>
    <row r="127" customFormat="false" ht="4.5" hidden="false" customHeight="true" outlineLevel="0" collapsed="false">
      <c r="A127" s="90"/>
      <c r="B127" s="95"/>
      <c r="C127" s="98"/>
      <c r="D127" s="135"/>
      <c r="E127" s="131"/>
      <c r="F127" s="132"/>
      <c r="G127" s="132"/>
      <c r="H127" s="132"/>
      <c r="I127" s="133"/>
      <c r="J127" s="73"/>
      <c r="K127" s="74"/>
      <c r="L127" s="74"/>
      <c r="M127" s="74"/>
      <c r="N127" s="74"/>
      <c r="O127" s="74"/>
      <c r="P127" s="74"/>
      <c r="Q127" s="74"/>
      <c r="R127" s="74"/>
      <c r="S127" s="74"/>
      <c r="T127" s="65" t="str">
        <f aca="false">IF(D127&gt;0,(I127/D127),"")</f>
        <v/>
      </c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/>
      <c r="CG127" s="74"/>
      <c r="CH127" s="74"/>
      <c r="CI127" s="74"/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</row>
    <row r="128" customFormat="false" ht="15" hidden="false" customHeight="false" outlineLevel="0" collapsed="false">
      <c r="A128" s="134" t="s">
        <v>119</v>
      </c>
      <c r="B128" s="48"/>
      <c r="C128" s="49"/>
      <c r="D128" s="50" t="n">
        <f aca="false">SUM(D125:D127)</f>
        <v>3500</v>
      </c>
      <c r="E128" s="51" t="n">
        <f aca="false">SUM(E125:E127)</f>
        <v>612.723</v>
      </c>
      <c r="F128" s="44" t="n">
        <f aca="false">SUM(F125:F127)</f>
        <v>-59.41</v>
      </c>
      <c r="G128" s="81" t="n">
        <f aca="false">SUM(G125:G127)</f>
        <v>0</v>
      </c>
      <c r="H128" s="44" t="n">
        <f aca="false">SUM(H125:H127)</f>
        <v>0</v>
      </c>
      <c r="I128" s="52" t="n">
        <f aca="false">SUM(I125:I127)</f>
        <v>553.313</v>
      </c>
      <c r="J128" s="30"/>
      <c r="K128" s="18"/>
      <c r="L128" s="19"/>
      <c r="M128" s="18"/>
      <c r="N128" s="18"/>
      <c r="O128" s="18"/>
      <c r="P128" s="18"/>
      <c r="Q128" s="18"/>
      <c r="R128" s="18"/>
      <c r="S128" s="18"/>
      <c r="T128" s="65" t="n">
        <f aca="false">IF(D128&gt;0,(I128/D128),"")</f>
        <v>0.158089428571429</v>
      </c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  <c r="HK128" s="19"/>
      <c r="HL128" s="19"/>
      <c r="HM128" s="19"/>
      <c r="HN128" s="19"/>
      <c r="HO128" s="19"/>
      <c r="HP128" s="19"/>
      <c r="HQ128" s="19"/>
      <c r="HR128" s="19"/>
      <c r="HS128" s="19"/>
      <c r="HT128" s="19"/>
      <c r="HU128" s="19"/>
      <c r="HV128" s="19"/>
      <c r="HW128" s="19"/>
      <c r="HX128" s="19"/>
      <c r="HY128" s="19"/>
      <c r="HZ128" s="19"/>
      <c r="IA128" s="19"/>
      <c r="IB128" s="19"/>
      <c r="IC128" s="19"/>
      <c r="ID128" s="19"/>
      <c r="IE128" s="19"/>
      <c r="IF128" s="19"/>
      <c r="IG128" s="19"/>
      <c r="IH128" s="19"/>
      <c r="II128" s="19"/>
      <c r="IJ128" s="19"/>
      <c r="IK128" s="19"/>
      <c r="IL128" s="19"/>
      <c r="IM128" s="19"/>
      <c r="IN128" s="19"/>
      <c r="IO128" s="19"/>
      <c r="IP128" s="19"/>
      <c r="IQ128" s="19"/>
      <c r="IR128" s="19"/>
      <c r="IS128" s="19"/>
      <c r="IT128" s="19"/>
      <c r="IU128" s="19"/>
      <c r="IV128" s="19"/>
      <c r="IW128" s="19"/>
    </row>
    <row r="129" customFormat="false" ht="15" hidden="false" customHeight="false" outlineLevel="0" collapsed="false">
      <c r="A129" s="82"/>
      <c r="B129" s="48"/>
      <c r="C129" s="49"/>
      <c r="D129" s="50"/>
      <c r="E129" s="51"/>
      <c r="F129" s="44"/>
      <c r="G129" s="81"/>
      <c r="H129" s="44"/>
      <c r="I129" s="52"/>
      <c r="J129" s="30"/>
      <c r="K129" s="18"/>
      <c r="L129" s="19"/>
      <c r="M129" s="18"/>
      <c r="N129" s="18"/>
      <c r="O129" s="18"/>
      <c r="P129" s="18"/>
      <c r="Q129" s="18"/>
      <c r="R129" s="18"/>
      <c r="S129" s="18"/>
      <c r="T129" s="65" t="str">
        <f aca="false">IF(D129&gt;0,(I129/D129),"")</f>
        <v/>
      </c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  <c r="HK129" s="19"/>
      <c r="HL129" s="19"/>
      <c r="HM129" s="19"/>
      <c r="HN129" s="19"/>
      <c r="HO129" s="19"/>
      <c r="HP129" s="19"/>
      <c r="HQ129" s="19"/>
      <c r="HR129" s="19"/>
      <c r="HS129" s="19"/>
      <c r="HT129" s="19"/>
      <c r="HU129" s="19"/>
      <c r="HV129" s="19"/>
      <c r="HW129" s="19"/>
      <c r="HX129" s="19"/>
      <c r="HY129" s="19"/>
      <c r="HZ129" s="19"/>
      <c r="IA129" s="19"/>
      <c r="IB129" s="19"/>
      <c r="IC129" s="19"/>
      <c r="ID129" s="19"/>
      <c r="IE129" s="19"/>
      <c r="IF129" s="19"/>
      <c r="IG129" s="19"/>
      <c r="IH129" s="19"/>
      <c r="II129" s="19"/>
      <c r="IJ129" s="19"/>
      <c r="IK129" s="19"/>
      <c r="IL129" s="19"/>
      <c r="IM129" s="19"/>
      <c r="IN129" s="19"/>
      <c r="IO129" s="19"/>
      <c r="IP129" s="19"/>
      <c r="IQ129" s="19"/>
      <c r="IR129" s="19"/>
      <c r="IS129" s="19"/>
      <c r="IT129" s="19"/>
      <c r="IU129" s="19"/>
      <c r="IV129" s="19"/>
      <c r="IW129" s="19"/>
    </row>
    <row r="130" customFormat="false" ht="15" hidden="false" customHeight="false" outlineLevel="0" collapsed="false">
      <c r="A130" s="110" t="s">
        <v>120</v>
      </c>
      <c r="B130" s="48"/>
      <c r="C130" s="49"/>
      <c r="D130" s="50"/>
      <c r="E130" s="51"/>
      <c r="F130" s="44"/>
      <c r="G130" s="81"/>
      <c r="H130" s="44"/>
      <c r="I130" s="52"/>
      <c r="J130" s="30"/>
      <c r="K130" s="18"/>
      <c r="L130" s="19"/>
      <c r="M130" s="18"/>
      <c r="N130" s="18"/>
      <c r="O130" s="18"/>
      <c r="P130" s="18"/>
      <c r="Q130" s="18"/>
      <c r="R130" s="18"/>
      <c r="S130" s="18"/>
      <c r="T130" s="65" t="str">
        <f aca="false">IF(D130&gt;0,(I130/D130),"")</f>
        <v/>
      </c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  <c r="HK130" s="19"/>
      <c r="HL130" s="19"/>
      <c r="HM130" s="19"/>
      <c r="HN130" s="19"/>
      <c r="HO130" s="19"/>
      <c r="HP130" s="19"/>
      <c r="HQ130" s="19"/>
      <c r="HR130" s="19"/>
      <c r="HS130" s="19"/>
      <c r="HT130" s="19"/>
      <c r="HU130" s="19"/>
      <c r="HV130" s="19"/>
      <c r="HW130" s="19"/>
      <c r="HX130" s="19"/>
      <c r="HY130" s="19"/>
      <c r="HZ130" s="19"/>
      <c r="IA130" s="19"/>
      <c r="IB130" s="19"/>
      <c r="IC130" s="19"/>
      <c r="ID130" s="19"/>
      <c r="IE130" s="19"/>
      <c r="IF130" s="19"/>
      <c r="IG130" s="19"/>
      <c r="IH130" s="19"/>
      <c r="II130" s="19"/>
      <c r="IJ130" s="19"/>
      <c r="IK130" s="19"/>
      <c r="IL130" s="19"/>
      <c r="IM130" s="19"/>
      <c r="IN130" s="19"/>
      <c r="IO130" s="19"/>
      <c r="IP130" s="19"/>
      <c r="IQ130" s="19"/>
      <c r="IR130" s="19"/>
      <c r="IS130" s="19"/>
      <c r="IT130" s="19"/>
      <c r="IU130" s="19"/>
      <c r="IV130" s="19"/>
      <c r="IW130" s="19"/>
    </row>
    <row r="131" customFormat="false" ht="4.5" hidden="false" customHeight="true" outlineLevel="0" collapsed="false">
      <c r="A131" s="48"/>
      <c r="B131" s="48"/>
      <c r="C131" s="49"/>
      <c r="D131" s="50"/>
      <c r="E131" s="51"/>
      <c r="F131" s="44"/>
      <c r="G131" s="81"/>
      <c r="H131" s="44"/>
      <c r="I131" s="52"/>
      <c r="J131" s="30"/>
      <c r="K131" s="18"/>
      <c r="L131" s="19"/>
      <c r="M131" s="18"/>
      <c r="N131" s="18"/>
      <c r="O131" s="18"/>
      <c r="P131" s="18"/>
      <c r="Q131" s="18"/>
      <c r="R131" s="18"/>
      <c r="S131" s="18"/>
      <c r="T131" s="65" t="str">
        <f aca="false">IF(D131&gt;0,(I131/D131),"")</f>
        <v/>
      </c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  <c r="HK131" s="19"/>
      <c r="HL131" s="19"/>
      <c r="HM131" s="19"/>
      <c r="HN131" s="19"/>
      <c r="HO131" s="19"/>
      <c r="HP131" s="19"/>
      <c r="HQ131" s="19"/>
      <c r="HR131" s="19"/>
      <c r="HS131" s="19"/>
      <c r="HT131" s="19"/>
      <c r="HU131" s="19"/>
      <c r="HV131" s="19"/>
      <c r="HW131" s="19"/>
      <c r="HX131" s="19"/>
      <c r="HY131" s="19"/>
      <c r="HZ131" s="19"/>
      <c r="IA131" s="19"/>
      <c r="IB131" s="19"/>
      <c r="IC131" s="19"/>
      <c r="ID131" s="19"/>
      <c r="IE131" s="19"/>
      <c r="IF131" s="19"/>
      <c r="IG131" s="19"/>
      <c r="IH131" s="19"/>
      <c r="II131" s="19"/>
      <c r="IJ131" s="19"/>
      <c r="IK131" s="19"/>
      <c r="IL131" s="19"/>
      <c r="IM131" s="19"/>
      <c r="IN131" s="19"/>
      <c r="IO131" s="19"/>
      <c r="IP131" s="19"/>
      <c r="IQ131" s="19"/>
      <c r="IR131" s="19"/>
      <c r="IS131" s="19"/>
      <c r="IT131" s="19"/>
      <c r="IU131" s="19"/>
      <c r="IV131" s="19"/>
      <c r="IW131" s="19"/>
    </row>
    <row r="132" customFormat="false" ht="18" hidden="false" customHeight="false" outlineLevel="0" collapsed="false">
      <c r="A132" s="136" t="s">
        <v>121</v>
      </c>
      <c r="B132" s="67"/>
      <c r="C132" s="68"/>
      <c r="D132" s="69" t="n">
        <v>5070.517</v>
      </c>
      <c r="E132" s="70" t="n">
        <f aca="false">1270825/1000</f>
        <v>1270.825</v>
      </c>
      <c r="F132" s="71" t="n">
        <f aca="false">-77850/1000</f>
        <v>-77.85</v>
      </c>
      <c r="G132" s="71"/>
      <c r="H132" s="71"/>
      <c r="I132" s="72" t="n">
        <f aca="false">SUM(E132:G132)</f>
        <v>1192.975</v>
      </c>
      <c r="J132" s="73" t="s">
        <v>25</v>
      </c>
      <c r="K132" s="74"/>
      <c r="L132" s="74"/>
      <c r="M132" s="74"/>
      <c r="N132" s="74"/>
      <c r="O132" s="74"/>
      <c r="P132" s="74"/>
      <c r="Q132" s="74"/>
      <c r="R132" s="74"/>
      <c r="S132" s="74"/>
      <c r="T132" s="65" t="n">
        <f aca="false">IF(D132&gt;0,(I132/D132),"")</f>
        <v>0.235276797218114</v>
      </c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/>
      <c r="CI132" s="74"/>
      <c r="CJ132" s="74"/>
      <c r="CK132" s="74"/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</row>
    <row r="133" customFormat="false" ht="18" hidden="false" customHeight="false" outlineLevel="0" collapsed="false">
      <c r="A133" s="136" t="s">
        <v>122</v>
      </c>
      <c r="B133" s="67"/>
      <c r="C133" s="68"/>
      <c r="D133" s="69" t="n">
        <v>35595.634</v>
      </c>
      <c r="E133" s="70" t="n">
        <f aca="false">8617698/1000</f>
        <v>8617.698</v>
      </c>
      <c r="F133" s="71" t="n">
        <f aca="false">-902000/1000</f>
        <v>-902</v>
      </c>
      <c r="G133" s="71"/>
      <c r="H133" s="71"/>
      <c r="I133" s="72" t="n">
        <f aca="false">SUM(E133:G133)</f>
        <v>7715.698</v>
      </c>
      <c r="J133" s="73" t="s">
        <v>25</v>
      </c>
      <c r="K133" s="74"/>
      <c r="L133" s="74"/>
      <c r="M133" s="74"/>
      <c r="N133" s="74"/>
      <c r="O133" s="74"/>
      <c r="P133" s="74"/>
      <c r="Q133" s="74"/>
      <c r="R133" s="74"/>
      <c r="S133" s="74"/>
      <c r="T133" s="65" t="n">
        <f aca="false">IF(D133&gt;0,(I133/D133),"")</f>
        <v>0.216759673391405</v>
      </c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/>
      <c r="CI133" s="74"/>
      <c r="CJ133" s="74"/>
      <c r="CK133" s="74"/>
      <c r="CL133" s="74"/>
      <c r="CM133" s="74"/>
      <c r="CN133" s="74"/>
      <c r="CO133" s="74"/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</row>
    <row r="134" customFormat="false" ht="18" hidden="false" customHeight="false" outlineLevel="0" collapsed="false">
      <c r="A134" s="136" t="s">
        <v>123</v>
      </c>
      <c r="B134" s="67"/>
      <c r="C134" s="68"/>
      <c r="D134" s="69" t="n">
        <v>300.646</v>
      </c>
      <c r="E134" s="70" t="n">
        <f aca="false">103835/1000</f>
        <v>103.835</v>
      </c>
      <c r="F134" s="71" t="n">
        <v>-13.6</v>
      </c>
      <c r="G134" s="71"/>
      <c r="H134" s="71"/>
      <c r="I134" s="72" t="n">
        <f aca="false">SUM(E134:G134)</f>
        <v>90.235</v>
      </c>
      <c r="J134" s="73" t="s">
        <v>25</v>
      </c>
      <c r="K134" s="74"/>
      <c r="L134" s="74"/>
      <c r="M134" s="74"/>
      <c r="N134" s="74"/>
      <c r="O134" s="74"/>
      <c r="P134" s="74"/>
      <c r="Q134" s="74"/>
      <c r="R134" s="74"/>
      <c r="S134" s="74"/>
      <c r="T134" s="65" t="n">
        <f aca="false">IF(D134&gt;0,(I134/D134),"")</f>
        <v>0.300137038244314</v>
      </c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/>
      <c r="CI134" s="74"/>
      <c r="CJ134" s="74"/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</row>
    <row r="135" customFormat="false" ht="18" hidden="false" customHeight="false" outlineLevel="0" collapsed="false">
      <c r="A135" s="136" t="s">
        <v>124</v>
      </c>
      <c r="B135" s="67"/>
      <c r="C135" s="68"/>
      <c r="D135" s="69" t="n">
        <v>76.183</v>
      </c>
      <c r="E135" s="70" t="n">
        <f aca="false">26286/1000</f>
        <v>26.286</v>
      </c>
      <c r="F135" s="71" t="n">
        <v>-3.4</v>
      </c>
      <c r="G135" s="71"/>
      <c r="H135" s="71"/>
      <c r="I135" s="72" t="n">
        <f aca="false">SUM(E135:G135)</f>
        <v>22.886</v>
      </c>
      <c r="J135" s="73" t="s">
        <v>25</v>
      </c>
      <c r="K135" s="74"/>
      <c r="L135" s="74"/>
      <c r="M135" s="74"/>
      <c r="N135" s="74"/>
      <c r="O135" s="74"/>
      <c r="P135" s="74"/>
      <c r="Q135" s="74"/>
      <c r="R135" s="74"/>
      <c r="S135" s="74"/>
      <c r="T135" s="65" t="n">
        <f aca="false">IF(D135&gt;0,(I135/D135),"")</f>
        <v>0.300408227557329</v>
      </c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/>
      <c r="CF135" s="74"/>
      <c r="CG135" s="74"/>
      <c r="CH135" s="74"/>
      <c r="CI135" s="74"/>
      <c r="CJ135" s="74"/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</row>
    <row r="136" customFormat="false" ht="18" hidden="false" customHeight="false" outlineLevel="0" collapsed="false">
      <c r="A136" s="136" t="s">
        <v>125</v>
      </c>
      <c r="B136" s="67"/>
      <c r="C136" s="68"/>
      <c r="D136" s="69" t="n">
        <v>3551.717</v>
      </c>
      <c r="E136" s="70" t="n">
        <f aca="false">1015734/1000</f>
        <v>1015.734</v>
      </c>
      <c r="F136" s="71" t="n">
        <f aca="false">-43500/1000</f>
        <v>-43.5</v>
      </c>
      <c r="G136" s="71"/>
      <c r="H136" s="71"/>
      <c r="I136" s="72" t="n">
        <f aca="false">SUM(E136:G136)</f>
        <v>972.234</v>
      </c>
      <c r="J136" s="73" t="s">
        <v>25</v>
      </c>
      <c r="K136" s="74"/>
      <c r="L136" s="74"/>
      <c r="M136" s="74"/>
      <c r="N136" s="74"/>
      <c r="O136" s="74"/>
      <c r="P136" s="74"/>
      <c r="Q136" s="74"/>
      <c r="R136" s="74"/>
      <c r="S136" s="74"/>
      <c r="T136" s="65" t="n">
        <f aca="false">IF(D136&gt;0,(I136/D136),"")</f>
        <v>0.273736336538074</v>
      </c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/>
      <c r="CI136" s="74"/>
      <c r="CJ136" s="74"/>
      <c r="CK136" s="74"/>
      <c r="CL136" s="74"/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</row>
    <row r="137" customFormat="false" ht="18" hidden="false" customHeight="false" outlineLevel="0" collapsed="false">
      <c r="A137" s="136" t="s">
        <v>126</v>
      </c>
      <c r="B137" s="67"/>
      <c r="C137" s="68"/>
      <c r="D137" s="69" t="n">
        <v>85.04</v>
      </c>
      <c r="E137" s="70" t="n">
        <f aca="false">23877/1000</f>
        <v>23.877</v>
      </c>
      <c r="F137" s="71" t="n">
        <v>-6.6</v>
      </c>
      <c r="G137" s="71"/>
      <c r="H137" s="71"/>
      <c r="I137" s="72" t="n">
        <f aca="false">SUM(E137:G137)</f>
        <v>17.277</v>
      </c>
      <c r="J137" s="73" t="s">
        <v>25</v>
      </c>
      <c r="K137" s="74"/>
      <c r="L137" s="74"/>
      <c r="M137" s="74"/>
      <c r="N137" s="74"/>
      <c r="O137" s="74"/>
      <c r="P137" s="74"/>
      <c r="Q137" s="74"/>
      <c r="R137" s="74"/>
      <c r="S137" s="74"/>
      <c r="T137" s="65" t="n">
        <f aca="false">IF(D137&gt;0,(I137/D137),"")</f>
        <v>0.203163217309501</v>
      </c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/>
      <c r="CI137" s="74"/>
      <c r="CJ137" s="74"/>
      <c r="CK137" s="74"/>
      <c r="CL137" s="74"/>
      <c r="CM137" s="74"/>
      <c r="CN137" s="74"/>
      <c r="CO137" s="74"/>
      <c r="CP137" s="74"/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</row>
    <row r="138" customFormat="false" ht="15.75" hidden="false" customHeight="false" outlineLevel="0" collapsed="false">
      <c r="A138" s="137" t="s">
        <v>127</v>
      </c>
      <c r="B138" s="138"/>
      <c r="C138" s="139"/>
      <c r="D138" s="85" t="n">
        <v>0</v>
      </c>
      <c r="E138" s="86" t="n">
        <v>1315.72</v>
      </c>
      <c r="F138" s="87" t="n">
        <v>0</v>
      </c>
      <c r="G138" s="87" t="n">
        <v>0</v>
      </c>
      <c r="H138" s="87" t="n">
        <v>0</v>
      </c>
      <c r="I138" s="88" t="n">
        <f aca="false">SUM(E138:H138)</f>
        <v>1315.72</v>
      </c>
      <c r="J138" s="118" t="s">
        <v>18</v>
      </c>
      <c r="K138" s="74"/>
      <c r="L138" s="74"/>
      <c r="M138" s="74"/>
      <c r="N138" s="74"/>
      <c r="O138" s="74"/>
      <c r="P138" s="74"/>
      <c r="Q138" s="74"/>
      <c r="R138" s="74"/>
      <c r="S138" s="74"/>
      <c r="T138" s="65" t="str">
        <f aca="false">IF(D138&gt;0,(I138/D138),"")</f>
        <v/>
      </c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/>
      <c r="CJ138" s="74"/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</row>
    <row r="139" customFormat="false" ht="15.75" hidden="false" customHeight="false" outlineLevel="0" collapsed="false">
      <c r="A139" s="140" t="s">
        <v>128</v>
      </c>
      <c r="B139" s="138"/>
      <c r="C139" s="139"/>
      <c r="D139" s="85" t="n">
        <v>0</v>
      </c>
      <c r="E139" s="86" t="n">
        <v>-1315.72</v>
      </c>
      <c r="F139" s="87" t="n">
        <v>0</v>
      </c>
      <c r="G139" s="87" t="n">
        <v>0</v>
      </c>
      <c r="H139" s="87" t="n">
        <v>0</v>
      </c>
      <c r="I139" s="88" t="n">
        <f aca="false">SUM(E139:H139)</f>
        <v>-1315.72</v>
      </c>
      <c r="J139" s="118" t="s">
        <v>18</v>
      </c>
      <c r="K139" s="74"/>
      <c r="L139" s="74"/>
      <c r="M139" s="74"/>
      <c r="N139" s="74"/>
      <c r="O139" s="74"/>
      <c r="P139" s="74"/>
      <c r="Q139" s="74"/>
      <c r="R139" s="74"/>
      <c r="S139" s="74"/>
      <c r="T139" s="65" t="str">
        <f aca="false">IF(D139&gt;0,(I139/D139),"")</f>
        <v/>
      </c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/>
      <c r="CI139" s="74"/>
      <c r="CJ139" s="74"/>
      <c r="CK139" s="74"/>
      <c r="CL139" s="74"/>
      <c r="CM139" s="74"/>
      <c r="CN139" s="74"/>
      <c r="CO139" s="74"/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</row>
    <row r="140" customFormat="false" ht="15.75" hidden="false" customHeight="false" outlineLevel="0" collapsed="false">
      <c r="A140" s="120" t="s">
        <v>129</v>
      </c>
      <c r="B140" s="95" t="n">
        <v>37091</v>
      </c>
      <c r="C140" s="141" t="s">
        <v>130</v>
      </c>
      <c r="D140" s="96" t="n">
        <v>66947.302</v>
      </c>
      <c r="E140" s="93" t="n">
        <v>3197.649</v>
      </c>
      <c r="F140" s="81" t="n">
        <v>0</v>
      </c>
      <c r="G140" s="81" t="n">
        <v>0</v>
      </c>
      <c r="H140" s="81" t="n">
        <v>0</v>
      </c>
      <c r="I140" s="94" t="n">
        <v>3197.649</v>
      </c>
      <c r="J140" s="73" t="s">
        <v>25</v>
      </c>
      <c r="K140" s="74"/>
      <c r="L140" s="74"/>
      <c r="M140" s="74"/>
      <c r="N140" s="74"/>
      <c r="O140" s="74"/>
      <c r="P140" s="74"/>
      <c r="Q140" s="74"/>
      <c r="R140" s="74"/>
      <c r="S140" s="74"/>
      <c r="T140" s="65" t="n">
        <f aca="false">IF(D140&gt;0,(I140/D140),"")</f>
        <v>0.0477636723881718</v>
      </c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/>
      <c r="CJ140" s="74"/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</row>
    <row r="141" customFormat="false" ht="15.75" hidden="false" customHeight="false" outlineLevel="0" collapsed="false">
      <c r="A141" s="120" t="s">
        <v>131</v>
      </c>
      <c r="B141" s="95" t="n">
        <v>37105</v>
      </c>
      <c r="C141" s="90" t="s">
        <v>132</v>
      </c>
      <c r="D141" s="92" t="n">
        <v>0</v>
      </c>
      <c r="E141" s="93" t="n">
        <v>1708.279</v>
      </c>
      <c r="F141" s="81" t="n">
        <v>0</v>
      </c>
      <c r="G141" s="81" t="n">
        <v>0</v>
      </c>
      <c r="H141" s="81"/>
      <c r="I141" s="94" t="n">
        <v>1708.279</v>
      </c>
      <c r="J141" s="73" t="s">
        <v>25</v>
      </c>
      <c r="K141" s="74"/>
      <c r="L141" s="142"/>
      <c r="M141" s="74"/>
      <c r="N141" s="74"/>
      <c r="O141" s="74"/>
      <c r="P141" s="74"/>
      <c r="Q141" s="74"/>
      <c r="R141" s="74"/>
      <c r="S141" s="74"/>
      <c r="T141" s="65" t="str">
        <f aca="false">IF(D141&gt;0,(I141/D141),"")</f>
        <v/>
      </c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/>
      <c r="CJ141" s="74"/>
      <c r="CK141" s="74"/>
      <c r="CL141" s="74"/>
      <c r="CM141" s="74"/>
      <c r="CN141" s="74"/>
      <c r="CO141" s="74"/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142"/>
      <c r="IW141" s="142"/>
    </row>
    <row r="142" customFormat="false" ht="15.75" hidden="false" customHeight="false" outlineLevel="0" collapsed="false">
      <c r="A142" s="120" t="s">
        <v>133</v>
      </c>
      <c r="B142" s="99" t="n">
        <v>37105</v>
      </c>
      <c r="C142" s="141" t="s">
        <v>130</v>
      </c>
      <c r="D142" s="92" t="n">
        <v>0</v>
      </c>
      <c r="E142" s="93" t="n">
        <v>-25.921</v>
      </c>
      <c r="F142" s="81" t="n">
        <v>2.718</v>
      </c>
      <c r="G142" s="81" t="n">
        <v>0</v>
      </c>
      <c r="H142" s="81"/>
      <c r="I142" s="94" t="n">
        <v>-23.203</v>
      </c>
      <c r="J142" s="73" t="s">
        <v>25</v>
      </c>
      <c r="K142" s="74"/>
      <c r="L142" s="142"/>
      <c r="M142" s="74"/>
      <c r="N142" s="74"/>
      <c r="O142" s="74"/>
      <c r="P142" s="74"/>
      <c r="Q142" s="74"/>
      <c r="R142" s="74"/>
      <c r="S142" s="74"/>
      <c r="T142" s="65" t="str">
        <f aca="false">IF(D142&gt;0,(I142/D142),"")</f>
        <v/>
      </c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142"/>
      <c r="IW142" s="142"/>
    </row>
    <row r="143" customFormat="false" ht="4.5" hidden="false" customHeight="true" outlineLevel="0" collapsed="false">
      <c r="A143" s="90"/>
      <c r="B143" s="99"/>
      <c r="C143" s="98"/>
      <c r="D143" s="135"/>
      <c r="E143" s="131"/>
      <c r="F143" s="132"/>
      <c r="G143" s="132"/>
      <c r="H143" s="132"/>
      <c r="I143" s="133"/>
      <c r="J143" s="73"/>
      <c r="K143" s="74"/>
      <c r="L143" s="142"/>
      <c r="M143" s="74"/>
      <c r="N143" s="74"/>
      <c r="O143" s="74"/>
      <c r="P143" s="74"/>
      <c r="Q143" s="74"/>
      <c r="R143" s="74"/>
      <c r="S143" s="74"/>
      <c r="T143" s="65" t="str">
        <f aca="false">IF(D143&gt;0,(I143/D143),"")</f>
        <v/>
      </c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/>
      <c r="CI143" s="74"/>
      <c r="CJ143" s="74"/>
      <c r="CK143" s="74"/>
      <c r="CL143" s="74"/>
      <c r="CM143" s="74"/>
      <c r="CN143" s="74"/>
      <c r="CO143" s="74"/>
      <c r="CP143" s="74"/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142"/>
      <c r="IW143" s="142"/>
    </row>
    <row r="144" customFormat="false" ht="15" hidden="false" customHeight="false" outlineLevel="0" collapsed="false">
      <c r="A144" s="134" t="s">
        <v>134</v>
      </c>
      <c r="B144" s="48"/>
      <c r="C144" s="49"/>
      <c r="D144" s="50" t="n">
        <f aca="false">SUM(D130:D143)</f>
        <v>111627.039</v>
      </c>
      <c r="E144" s="51" t="n">
        <f aca="false">SUM(E130:E143)</f>
        <v>15938.262</v>
      </c>
      <c r="F144" s="44" t="n">
        <f aca="false">SUM(F130:F143)</f>
        <v>-1044.232</v>
      </c>
      <c r="G144" s="81" t="n">
        <f aca="false">SUM(G130:G143)</f>
        <v>0</v>
      </c>
      <c r="H144" s="44" t="n">
        <f aca="false">SUM(H130:H143)</f>
        <v>0</v>
      </c>
      <c r="I144" s="52" t="n">
        <f aca="false">SUM(I130:I143)</f>
        <v>14894.03</v>
      </c>
      <c r="J144" s="30"/>
      <c r="K144" s="18"/>
      <c r="L144" s="19"/>
      <c r="M144" s="18"/>
      <c r="N144" s="18"/>
      <c r="O144" s="18"/>
      <c r="P144" s="18"/>
      <c r="Q144" s="18"/>
      <c r="R144" s="18"/>
      <c r="S144" s="18"/>
      <c r="T144" s="65" t="n">
        <f aca="false">IF(D144&gt;0,(I144/D144),"")</f>
        <v>0.133426722892829</v>
      </c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  <c r="DG144" s="19"/>
      <c r="DH144" s="19"/>
      <c r="DI144" s="19"/>
      <c r="DJ144" s="19"/>
      <c r="DK144" s="19"/>
      <c r="DL144" s="19"/>
      <c r="DM144" s="19"/>
      <c r="DN144" s="19"/>
      <c r="DO144" s="19"/>
      <c r="DP144" s="19"/>
      <c r="DQ144" s="19"/>
      <c r="DR144" s="19"/>
      <c r="DS144" s="19"/>
      <c r="DT144" s="19"/>
      <c r="DU144" s="19"/>
      <c r="DV144" s="19"/>
      <c r="DW144" s="19"/>
      <c r="DX144" s="19"/>
      <c r="DY144" s="19"/>
      <c r="DZ144" s="19"/>
      <c r="EA144" s="19"/>
      <c r="EB144" s="19"/>
      <c r="EC144" s="19"/>
      <c r="ED144" s="19"/>
      <c r="EE144" s="19"/>
      <c r="EF144" s="19"/>
      <c r="EG144" s="19"/>
      <c r="EH144" s="19"/>
      <c r="EI144" s="19"/>
      <c r="EJ144" s="19"/>
      <c r="EK144" s="19"/>
      <c r="EL144" s="19"/>
      <c r="EM144" s="19"/>
      <c r="EN144" s="19"/>
      <c r="EO144" s="19"/>
      <c r="EP144" s="19"/>
      <c r="EQ144" s="19"/>
      <c r="ER144" s="19"/>
      <c r="ES144" s="19"/>
      <c r="ET144" s="19"/>
      <c r="EU144" s="19"/>
      <c r="EV144" s="19"/>
      <c r="EW144" s="19"/>
      <c r="EX144" s="19"/>
      <c r="EY144" s="19"/>
      <c r="EZ144" s="19"/>
      <c r="FA144" s="19"/>
      <c r="FB144" s="19"/>
      <c r="FC144" s="19"/>
      <c r="FD144" s="19"/>
      <c r="FE144" s="19"/>
      <c r="FF144" s="19"/>
      <c r="FG144" s="19"/>
      <c r="FH144" s="19"/>
      <c r="FI144" s="19"/>
      <c r="FJ144" s="19"/>
      <c r="FK144" s="19"/>
      <c r="FL144" s="19"/>
      <c r="FM144" s="19"/>
      <c r="FN144" s="19"/>
      <c r="FO144" s="19"/>
      <c r="FP144" s="19"/>
      <c r="FQ144" s="19"/>
      <c r="FR144" s="19"/>
      <c r="FS144" s="19"/>
      <c r="FT144" s="19"/>
      <c r="FU144" s="19"/>
      <c r="FV144" s="19"/>
      <c r="FW144" s="19"/>
      <c r="FX144" s="19"/>
      <c r="FY144" s="19"/>
      <c r="FZ144" s="19"/>
      <c r="GA144" s="19"/>
      <c r="GB144" s="19"/>
      <c r="GC144" s="19"/>
      <c r="GD144" s="19"/>
      <c r="GE144" s="19"/>
      <c r="GF144" s="19"/>
      <c r="GG144" s="19"/>
      <c r="GH144" s="19"/>
      <c r="GI144" s="19"/>
      <c r="GJ144" s="19"/>
      <c r="GK144" s="19"/>
      <c r="GL144" s="19"/>
      <c r="GM144" s="19"/>
      <c r="GN144" s="19"/>
      <c r="GO144" s="19"/>
      <c r="GP144" s="19"/>
      <c r="GQ144" s="19"/>
      <c r="GR144" s="19"/>
      <c r="GS144" s="19"/>
      <c r="GT144" s="19"/>
      <c r="GU144" s="19"/>
      <c r="GV144" s="19"/>
      <c r="GW144" s="19"/>
      <c r="GX144" s="19"/>
      <c r="GY144" s="19"/>
      <c r="GZ144" s="19"/>
      <c r="HA144" s="19"/>
      <c r="HB144" s="19"/>
      <c r="HC144" s="19"/>
      <c r="HD144" s="19"/>
      <c r="HE144" s="19"/>
      <c r="HF144" s="19"/>
      <c r="HG144" s="19"/>
      <c r="HH144" s="19"/>
      <c r="HI144" s="19"/>
      <c r="HJ144" s="19"/>
      <c r="HK144" s="19"/>
      <c r="HL144" s="19"/>
      <c r="HM144" s="19"/>
      <c r="HN144" s="19"/>
      <c r="HO144" s="19"/>
      <c r="HP144" s="19"/>
      <c r="HQ144" s="19"/>
      <c r="HR144" s="19"/>
      <c r="HS144" s="19"/>
      <c r="HT144" s="19"/>
      <c r="HU144" s="19"/>
      <c r="HV144" s="19"/>
      <c r="HW144" s="19"/>
      <c r="HX144" s="19"/>
      <c r="HY144" s="19"/>
      <c r="HZ144" s="19"/>
      <c r="IA144" s="19"/>
      <c r="IB144" s="19"/>
      <c r="IC144" s="19"/>
      <c r="ID144" s="19"/>
      <c r="IE144" s="19"/>
      <c r="IF144" s="19"/>
      <c r="IG144" s="19"/>
      <c r="IH144" s="19"/>
      <c r="II144" s="19"/>
      <c r="IJ144" s="19"/>
      <c r="IK144" s="19"/>
      <c r="IL144" s="19"/>
      <c r="IM144" s="19"/>
      <c r="IN144" s="19"/>
      <c r="IO144" s="19"/>
      <c r="IP144" s="19"/>
      <c r="IQ144" s="19"/>
      <c r="IR144" s="19"/>
      <c r="IS144" s="19"/>
      <c r="IT144" s="19"/>
      <c r="IU144" s="19"/>
      <c r="IV144" s="19"/>
      <c r="IW144" s="19"/>
    </row>
    <row r="145" customFormat="false" ht="15" hidden="false" customHeight="false" outlineLevel="0" collapsed="false">
      <c r="A145" s="48"/>
      <c r="B145" s="48"/>
      <c r="C145" s="49"/>
      <c r="D145" s="50"/>
      <c r="E145" s="51"/>
      <c r="F145" s="44"/>
      <c r="G145" s="81"/>
      <c r="H145" s="44"/>
      <c r="I145" s="52"/>
      <c r="J145" s="30"/>
      <c r="K145" s="18"/>
      <c r="L145" s="19"/>
      <c r="M145" s="18"/>
      <c r="N145" s="18"/>
      <c r="O145" s="18"/>
      <c r="P145" s="18"/>
      <c r="Q145" s="18"/>
      <c r="R145" s="18"/>
      <c r="S145" s="18"/>
      <c r="T145" s="65" t="str">
        <f aca="false">IF(D145&gt;0,(I145/D145),"")</f>
        <v/>
      </c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  <c r="HK145" s="19"/>
      <c r="HL145" s="19"/>
      <c r="HM145" s="19"/>
      <c r="HN145" s="19"/>
      <c r="HO145" s="19"/>
      <c r="HP145" s="19"/>
      <c r="HQ145" s="19"/>
      <c r="HR145" s="19"/>
      <c r="HS145" s="19"/>
      <c r="HT145" s="19"/>
      <c r="HU145" s="19"/>
      <c r="HV145" s="19"/>
      <c r="HW145" s="19"/>
      <c r="HX145" s="19"/>
      <c r="HY145" s="19"/>
      <c r="HZ145" s="19"/>
      <c r="IA145" s="19"/>
      <c r="IB145" s="19"/>
      <c r="IC145" s="19"/>
      <c r="ID145" s="19"/>
      <c r="IE145" s="19"/>
      <c r="IF145" s="19"/>
      <c r="IG145" s="19"/>
      <c r="IH145" s="19"/>
      <c r="II145" s="19"/>
      <c r="IJ145" s="19"/>
      <c r="IK145" s="19"/>
      <c r="IL145" s="19"/>
      <c r="IM145" s="19"/>
      <c r="IN145" s="19"/>
      <c r="IO145" s="19"/>
      <c r="IP145" s="19"/>
      <c r="IQ145" s="19"/>
      <c r="IR145" s="19"/>
      <c r="IS145" s="19"/>
      <c r="IT145" s="19"/>
      <c r="IU145" s="19"/>
      <c r="IV145" s="19"/>
      <c r="IW145" s="19"/>
    </row>
    <row r="146" customFormat="false" ht="15" hidden="false" customHeight="false" outlineLevel="0" collapsed="false">
      <c r="A146" s="108" t="s">
        <v>135</v>
      </c>
      <c r="B146" s="48"/>
      <c r="C146" s="49"/>
      <c r="D146" s="50" t="n">
        <f aca="false">D115+D120+D128+D144</f>
        <v>366503.182</v>
      </c>
      <c r="E146" s="51" t="n">
        <f aca="false">E115+E120+E128+E144</f>
        <v>34456.102</v>
      </c>
      <c r="F146" s="44" t="n">
        <f aca="false">F115+F120+F128+F144</f>
        <v>-4437.112</v>
      </c>
      <c r="G146" s="81" t="n">
        <f aca="false">G115+G120+G128+G144</f>
        <v>0</v>
      </c>
      <c r="H146" s="44" t="n">
        <f aca="false">H115+H120+H128+H144</f>
        <v>0</v>
      </c>
      <c r="I146" s="52" t="n">
        <f aca="false">I115+I120+I128+I144</f>
        <v>30018.99</v>
      </c>
      <c r="J146" s="30"/>
      <c r="K146" s="18"/>
      <c r="L146" s="19"/>
      <c r="M146" s="18"/>
      <c r="N146" s="18"/>
      <c r="O146" s="18"/>
      <c r="P146" s="18"/>
      <c r="Q146" s="18"/>
      <c r="R146" s="18"/>
      <c r="S146" s="18"/>
      <c r="T146" s="65" t="n">
        <f aca="false">IF(D146&gt;0,(I146/D146),"")</f>
        <v>0.081906492151547</v>
      </c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  <c r="DC146" s="19"/>
      <c r="DD146" s="19"/>
      <c r="DE146" s="19"/>
      <c r="DF146" s="19"/>
      <c r="DG146" s="19"/>
      <c r="DH146" s="19"/>
      <c r="DI146" s="19"/>
      <c r="DJ146" s="19"/>
      <c r="DK146" s="19"/>
      <c r="DL146" s="19"/>
      <c r="DM146" s="19"/>
      <c r="DN146" s="19"/>
      <c r="DO146" s="19"/>
      <c r="DP146" s="19"/>
      <c r="DQ146" s="19"/>
      <c r="DR146" s="19"/>
      <c r="DS146" s="19"/>
      <c r="DT146" s="19"/>
      <c r="DU146" s="19"/>
      <c r="DV146" s="19"/>
      <c r="DW146" s="19"/>
      <c r="DX146" s="19"/>
      <c r="DY146" s="19"/>
      <c r="DZ146" s="19"/>
      <c r="EA146" s="19"/>
      <c r="EB146" s="19"/>
      <c r="EC146" s="19"/>
      <c r="ED146" s="19"/>
      <c r="EE146" s="19"/>
      <c r="EF146" s="19"/>
      <c r="EG146" s="19"/>
      <c r="EH146" s="19"/>
      <c r="EI146" s="19"/>
      <c r="EJ146" s="19"/>
      <c r="EK146" s="19"/>
      <c r="EL146" s="19"/>
      <c r="EM146" s="19"/>
      <c r="EN146" s="19"/>
      <c r="EO146" s="19"/>
      <c r="EP146" s="19"/>
      <c r="EQ146" s="19"/>
      <c r="ER146" s="19"/>
      <c r="ES146" s="19"/>
      <c r="ET146" s="19"/>
      <c r="EU146" s="19"/>
      <c r="EV146" s="19"/>
      <c r="EW146" s="19"/>
      <c r="EX146" s="19"/>
      <c r="EY146" s="19"/>
      <c r="EZ146" s="19"/>
      <c r="FA146" s="19"/>
      <c r="FB146" s="19"/>
      <c r="FC146" s="19"/>
      <c r="FD146" s="19"/>
      <c r="FE146" s="19"/>
      <c r="FF146" s="19"/>
      <c r="FG146" s="19"/>
      <c r="FH146" s="19"/>
      <c r="FI146" s="19"/>
      <c r="FJ146" s="19"/>
      <c r="FK146" s="19"/>
      <c r="FL146" s="19"/>
      <c r="FM146" s="19"/>
      <c r="FN146" s="19"/>
      <c r="FO146" s="19"/>
      <c r="FP146" s="19"/>
      <c r="FQ146" s="19"/>
      <c r="FR146" s="19"/>
      <c r="FS146" s="19"/>
      <c r="FT146" s="19"/>
      <c r="FU146" s="19"/>
      <c r="FV146" s="19"/>
      <c r="FW146" s="19"/>
      <c r="FX146" s="19"/>
      <c r="FY146" s="19"/>
      <c r="FZ146" s="19"/>
      <c r="GA146" s="19"/>
      <c r="GB146" s="19"/>
      <c r="GC146" s="19"/>
      <c r="GD146" s="19"/>
      <c r="GE146" s="19"/>
      <c r="GF146" s="19"/>
      <c r="GG146" s="19"/>
      <c r="GH146" s="19"/>
      <c r="GI146" s="19"/>
      <c r="GJ146" s="19"/>
      <c r="GK146" s="19"/>
      <c r="GL146" s="19"/>
      <c r="GM146" s="19"/>
      <c r="GN146" s="19"/>
      <c r="GO146" s="19"/>
      <c r="GP146" s="19"/>
      <c r="GQ146" s="19"/>
      <c r="GR146" s="19"/>
      <c r="GS146" s="19"/>
      <c r="GT146" s="19"/>
      <c r="GU146" s="19"/>
      <c r="GV146" s="19"/>
      <c r="GW146" s="19"/>
      <c r="GX146" s="19"/>
      <c r="GY146" s="19"/>
      <c r="GZ146" s="19"/>
      <c r="HA146" s="19"/>
      <c r="HB146" s="19"/>
      <c r="HC146" s="19"/>
      <c r="HD146" s="19"/>
      <c r="HE146" s="19"/>
      <c r="HF146" s="19"/>
      <c r="HG146" s="19"/>
      <c r="HH146" s="19"/>
      <c r="HI146" s="19"/>
      <c r="HJ146" s="19"/>
      <c r="HK146" s="19"/>
      <c r="HL146" s="19"/>
      <c r="HM146" s="19"/>
      <c r="HN146" s="19"/>
      <c r="HO146" s="19"/>
      <c r="HP146" s="19"/>
      <c r="HQ146" s="19"/>
      <c r="HR146" s="19"/>
      <c r="HS146" s="19"/>
      <c r="HT146" s="19"/>
      <c r="HU146" s="19"/>
      <c r="HV146" s="19"/>
      <c r="HW146" s="19"/>
      <c r="HX146" s="19"/>
      <c r="HY146" s="19"/>
      <c r="HZ146" s="19"/>
      <c r="IA146" s="19"/>
      <c r="IB146" s="19"/>
      <c r="IC146" s="19"/>
      <c r="ID146" s="19"/>
      <c r="IE146" s="19"/>
      <c r="IF146" s="19"/>
      <c r="IG146" s="19"/>
      <c r="IH146" s="19"/>
      <c r="II146" s="19"/>
      <c r="IJ146" s="19"/>
      <c r="IK146" s="19"/>
      <c r="IL146" s="19"/>
      <c r="IM146" s="19"/>
      <c r="IN146" s="19"/>
      <c r="IO146" s="19"/>
      <c r="IP146" s="19"/>
      <c r="IQ146" s="19"/>
      <c r="IR146" s="19"/>
      <c r="IS146" s="19"/>
      <c r="IT146" s="19"/>
      <c r="IU146" s="19"/>
      <c r="IV146" s="19"/>
      <c r="IW146" s="19"/>
    </row>
    <row r="147" customFormat="false" ht="15" hidden="false" customHeight="false" outlineLevel="0" collapsed="false">
      <c r="A147" s="143"/>
      <c r="B147" s="48"/>
      <c r="C147" s="49"/>
      <c r="D147" s="50"/>
      <c r="E147" s="51"/>
      <c r="F147" s="44"/>
      <c r="G147" s="81"/>
      <c r="H147" s="44"/>
      <c r="I147" s="52"/>
      <c r="J147" s="30"/>
      <c r="K147" s="18"/>
      <c r="L147" s="19"/>
      <c r="M147" s="18"/>
      <c r="N147" s="18"/>
      <c r="O147" s="18"/>
      <c r="P147" s="18"/>
      <c r="Q147" s="18"/>
      <c r="R147" s="18"/>
      <c r="S147" s="18"/>
      <c r="T147" s="65" t="str">
        <f aca="false">IF(D147&gt;0,(I147/D147),"")</f>
        <v/>
      </c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  <c r="DC147" s="19"/>
      <c r="DD147" s="19"/>
      <c r="DE147" s="19"/>
      <c r="DF147" s="19"/>
      <c r="DG147" s="19"/>
      <c r="DH147" s="19"/>
      <c r="DI147" s="19"/>
      <c r="DJ147" s="19"/>
      <c r="DK147" s="19"/>
      <c r="DL147" s="19"/>
      <c r="DM147" s="19"/>
      <c r="DN147" s="19"/>
      <c r="DO147" s="19"/>
      <c r="DP147" s="19"/>
      <c r="DQ147" s="19"/>
      <c r="DR147" s="19"/>
      <c r="DS147" s="19"/>
      <c r="DT147" s="19"/>
      <c r="DU147" s="19"/>
      <c r="DV147" s="19"/>
      <c r="DW147" s="19"/>
      <c r="DX147" s="19"/>
      <c r="DY147" s="19"/>
      <c r="DZ147" s="19"/>
      <c r="EA147" s="19"/>
      <c r="EB147" s="19"/>
      <c r="EC147" s="19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9"/>
      <c r="FB147" s="19"/>
      <c r="FC147" s="19"/>
      <c r="FD147" s="19"/>
      <c r="FE147" s="19"/>
      <c r="FF147" s="19"/>
      <c r="FG147" s="19"/>
      <c r="FH147" s="19"/>
      <c r="FI147" s="19"/>
      <c r="FJ147" s="19"/>
      <c r="FK147" s="19"/>
      <c r="FL147" s="19"/>
      <c r="FM147" s="19"/>
      <c r="FN147" s="19"/>
      <c r="FO147" s="19"/>
      <c r="FP147" s="19"/>
      <c r="FQ147" s="19"/>
      <c r="FR147" s="19"/>
      <c r="FS147" s="19"/>
      <c r="FT147" s="19"/>
      <c r="FU147" s="19"/>
      <c r="FV147" s="19"/>
      <c r="FW147" s="19"/>
      <c r="FX147" s="19"/>
      <c r="FY147" s="19"/>
      <c r="FZ147" s="19"/>
      <c r="GA147" s="19"/>
      <c r="GB147" s="19"/>
      <c r="GC147" s="19"/>
      <c r="GD147" s="19"/>
      <c r="GE147" s="19"/>
      <c r="GF147" s="19"/>
      <c r="GG147" s="19"/>
      <c r="GH147" s="19"/>
      <c r="GI147" s="19"/>
      <c r="GJ147" s="19"/>
      <c r="GK147" s="19"/>
      <c r="GL147" s="19"/>
      <c r="GM147" s="19"/>
      <c r="GN147" s="19"/>
      <c r="GO147" s="19"/>
      <c r="GP147" s="19"/>
      <c r="GQ147" s="19"/>
      <c r="GR147" s="19"/>
      <c r="GS147" s="19"/>
      <c r="GT147" s="19"/>
      <c r="GU147" s="19"/>
      <c r="GV147" s="19"/>
      <c r="GW147" s="19"/>
      <c r="GX147" s="19"/>
      <c r="GY147" s="19"/>
      <c r="GZ147" s="19"/>
      <c r="HA147" s="19"/>
      <c r="HB147" s="19"/>
      <c r="HC147" s="19"/>
      <c r="HD147" s="19"/>
      <c r="HE147" s="19"/>
      <c r="HF147" s="19"/>
      <c r="HG147" s="19"/>
      <c r="HH147" s="19"/>
      <c r="HI147" s="19"/>
      <c r="HJ147" s="19"/>
      <c r="HK147" s="19"/>
      <c r="HL147" s="19"/>
      <c r="HM147" s="19"/>
      <c r="HN147" s="19"/>
      <c r="HO147" s="19"/>
      <c r="HP147" s="19"/>
      <c r="HQ147" s="19"/>
      <c r="HR147" s="19"/>
      <c r="HS147" s="19"/>
      <c r="HT147" s="19"/>
      <c r="HU147" s="19"/>
      <c r="HV147" s="19"/>
      <c r="HW147" s="19"/>
      <c r="HX147" s="19"/>
      <c r="HY147" s="19"/>
      <c r="HZ147" s="19"/>
      <c r="IA147" s="19"/>
      <c r="IB147" s="19"/>
      <c r="IC147" s="19"/>
      <c r="ID147" s="19"/>
      <c r="IE147" s="19"/>
      <c r="IF147" s="19"/>
      <c r="IG147" s="19"/>
      <c r="IH147" s="19"/>
      <c r="II147" s="19"/>
      <c r="IJ147" s="19"/>
      <c r="IK147" s="19"/>
      <c r="IL147" s="19"/>
      <c r="IM147" s="19"/>
      <c r="IN147" s="19"/>
      <c r="IO147" s="19"/>
      <c r="IP147" s="19"/>
      <c r="IQ147" s="19"/>
      <c r="IR147" s="19"/>
      <c r="IS147" s="19"/>
      <c r="IT147" s="19"/>
      <c r="IU147" s="19"/>
      <c r="IV147" s="19"/>
      <c r="IW147" s="19"/>
    </row>
    <row r="148" customFormat="false" ht="15" hidden="false" customHeight="false" outlineLevel="0" collapsed="false">
      <c r="A148" s="143" t="s">
        <v>136</v>
      </c>
      <c r="B148" s="48"/>
      <c r="C148" s="49"/>
      <c r="D148" s="50"/>
      <c r="E148" s="51"/>
      <c r="F148" s="44"/>
      <c r="G148" s="81"/>
      <c r="H148" s="44"/>
      <c r="I148" s="52"/>
      <c r="J148" s="30"/>
      <c r="K148" s="18"/>
      <c r="L148" s="19"/>
      <c r="M148" s="18"/>
      <c r="N148" s="18"/>
      <c r="O148" s="18"/>
      <c r="P148" s="18"/>
      <c r="Q148" s="18"/>
      <c r="R148" s="18"/>
      <c r="S148" s="18"/>
      <c r="T148" s="65" t="str">
        <f aca="false">IF(D148&gt;0,(I148/D148),"")</f>
        <v/>
      </c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  <c r="DG148" s="19"/>
      <c r="DH148" s="19"/>
      <c r="DI148" s="19"/>
      <c r="DJ148" s="19"/>
      <c r="DK148" s="19"/>
      <c r="DL148" s="19"/>
      <c r="DM148" s="19"/>
      <c r="DN148" s="19"/>
      <c r="DO148" s="19"/>
      <c r="DP148" s="19"/>
      <c r="DQ148" s="19"/>
      <c r="DR148" s="19"/>
      <c r="DS148" s="19"/>
      <c r="DT148" s="19"/>
      <c r="DU148" s="19"/>
      <c r="DV148" s="19"/>
      <c r="DW148" s="19"/>
      <c r="DX148" s="19"/>
      <c r="DY148" s="19"/>
      <c r="DZ148" s="19"/>
      <c r="EA148" s="19"/>
      <c r="EB148" s="19"/>
      <c r="EC148" s="19"/>
      <c r="ED148" s="19"/>
      <c r="EE148" s="19"/>
      <c r="EF148" s="19"/>
      <c r="EG148" s="19"/>
      <c r="EH148" s="19"/>
      <c r="EI148" s="19"/>
      <c r="EJ148" s="19"/>
      <c r="EK148" s="19"/>
      <c r="EL148" s="19"/>
      <c r="EM148" s="19"/>
      <c r="EN148" s="19"/>
      <c r="EO148" s="19"/>
      <c r="EP148" s="19"/>
      <c r="EQ148" s="19"/>
      <c r="ER148" s="19"/>
      <c r="ES148" s="19"/>
      <c r="ET148" s="19"/>
      <c r="EU148" s="19"/>
      <c r="EV148" s="19"/>
      <c r="EW148" s="19"/>
      <c r="EX148" s="19"/>
      <c r="EY148" s="19"/>
      <c r="EZ148" s="19"/>
      <c r="FA148" s="19"/>
      <c r="FB148" s="19"/>
      <c r="FC148" s="19"/>
      <c r="FD148" s="19"/>
      <c r="FE148" s="19"/>
      <c r="FF148" s="19"/>
      <c r="FG148" s="19"/>
      <c r="FH148" s="19"/>
      <c r="FI148" s="19"/>
      <c r="FJ148" s="19"/>
      <c r="FK148" s="19"/>
      <c r="FL148" s="19"/>
      <c r="FM148" s="19"/>
      <c r="FN148" s="19"/>
      <c r="FO148" s="19"/>
      <c r="FP148" s="19"/>
      <c r="FQ148" s="19"/>
      <c r="FR148" s="19"/>
      <c r="FS148" s="19"/>
      <c r="FT148" s="19"/>
      <c r="FU148" s="19"/>
      <c r="FV148" s="19"/>
      <c r="FW148" s="19"/>
      <c r="FX148" s="19"/>
      <c r="FY148" s="19"/>
      <c r="FZ148" s="19"/>
      <c r="GA148" s="19"/>
      <c r="GB148" s="19"/>
      <c r="GC148" s="19"/>
      <c r="GD148" s="19"/>
      <c r="GE148" s="19"/>
      <c r="GF148" s="19"/>
      <c r="GG148" s="19"/>
      <c r="GH148" s="19"/>
      <c r="GI148" s="19"/>
      <c r="GJ148" s="19"/>
      <c r="GK148" s="19"/>
      <c r="GL148" s="19"/>
      <c r="GM148" s="19"/>
      <c r="GN148" s="19"/>
      <c r="GO148" s="19"/>
      <c r="GP148" s="19"/>
      <c r="GQ148" s="19"/>
      <c r="GR148" s="19"/>
      <c r="GS148" s="19"/>
      <c r="GT148" s="19"/>
      <c r="GU148" s="19"/>
      <c r="GV148" s="19"/>
      <c r="GW148" s="19"/>
      <c r="GX148" s="19"/>
      <c r="GY148" s="19"/>
      <c r="GZ148" s="19"/>
      <c r="HA148" s="19"/>
      <c r="HB148" s="19"/>
      <c r="HC148" s="19"/>
      <c r="HD148" s="19"/>
      <c r="HE148" s="19"/>
      <c r="HF148" s="19"/>
      <c r="HG148" s="19"/>
      <c r="HH148" s="19"/>
      <c r="HI148" s="19"/>
      <c r="HJ148" s="19"/>
      <c r="HK148" s="19"/>
      <c r="HL148" s="19"/>
      <c r="HM148" s="19"/>
      <c r="HN148" s="19"/>
      <c r="HO148" s="19"/>
      <c r="HP148" s="19"/>
      <c r="HQ148" s="19"/>
      <c r="HR148" s="19"/>
      <c r="HS148" s="19"/>
      <c r="HT148" s="19"/>
      <c r="HU148" s="19"/>
      <c r="HV148" s="19"/>
      <c r="HW148" s="19"/>
      <c r="HX148" s="19"/>
      <c r="HY148" s="19"/>
      <c r="HZ148" s="19"/>
      <c r="IA148" s="19"/>
      <c r="IB148" s="19"/>
      <c r="IC148" s="19"/>
      <c r="ID148" s="19"/>
      <c r="IE148" s="19"/>
      <c r="IF148" s="19"/>
      <c r="IG148" s="19"/>
      <c r="IH148" s="19"/>
      <c r="II148" s="19"/>
      <c r="IJ148" s="19"/>
      <c r="IK148" s="19"/>
      <c r="IL148" s="19"/>
      <c r="IM148" s="19"/>
      <c r="IN148" s="19"/>
      <c r="IO148" s="19"/>
      <c r="IP148" s="19"/>
      <c r="IQ148" s="19"/>
      <c r="IR148" s="19"/>
      <c r="IS148" s="19"/>
      <c r="IT148" s="19"/>
      <c r="IU148" s="19"/>
      <c r="IV148" s="19"/>
      <c r="IW148" s="19"/>
    </row>
    <row r="149" customFormat="false" ht="18" hidden="false" customHeight="false" outlineLevel="0" collapsed="false">
      <c r="A149" s="144" t="s">
        <v>137</v>
      </c>
      <c r="B149" s="67"/>
      <c r="C149" s="68"/>
      <c r="D149" s="69" t="n">
        <v>0</v>
      </c>
      <c r="E149" s="70" t="n">
        <f aca="false">3000000/1000</f>
        <v>3000</v>
      </c>
      <c r="F149" s="71" t="n">
        <v>0</v>
      </c>
      <c r="G149" s="71" t="n">
        <v>0</v>
      </c>
      <c r="H149" s="71"/>
      <c r="I149" s="72" t="n">
        <f aca="false">SUM(E149:G149)</f>
        <v>3000</v>
      </c>
      <c r="J149" s="73" t="s">
        <v>25</v>
      </c>
      <c r="K149" s="74"/>
      <c r="L149" s="74"/>
      <c r="M149" s="74"/>
      <c r="N149" s="74"/>
      <c r="O149" s="74"/>
      <c r="P149" s="74"/>
      <c r="Q149" s="74"/>
      <c r="R149" s="74"/>
      <c r="S149" s="74"/>
      <c r="T149" s="65" t="str">
        <f aca="false">IF(D149&gt;0,(I149/D149),"")</f>
        <v/>
      </c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4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/>
      <c r="CJ149" s="74"/>
      <c r="CK149" s="74"/>
      <c r="CL149" s="74"/>
      <c r="CM149" s="74"/>
      <c r="CN149" s="74"/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</row>
    <row r="150" customFormat="false" ht="15.75" hidden="false" customHeight="false" outlineLevel="0" collapsed="false">
      <c r="A150" s="48"/>
      <c r="B150" s="48"/>
      <c r="C150" s="49"/>
      <c r="D150" s="145"/>
      <c r="E150" s="146"/>
      <c r="F150" s="147"/>
      <c r="G150" s="147"/>
      <c r="H150" s="147"/>
      <c r="I150" s="148"/>
      <c r="J150" s="30"/>
      <c r="K150" s="18"/>
      <c r="L150" s="19"/>
      <c r="M150" s="18"/>
      <c r="N150" s="18"/>
      <c r="O150" s="18"/>
      <c r="P150" s="18"/>
      <c r="Q150" s="18"/>
      <c r="R150" s="18"/>
      <c r="S150" s="18"/>
      <c r="T150" s="65" t="str">
        <f aca="false">IF(D150&gt;0,(I150/D150),"")</f>
        <v/>
      </c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  <c r="DG150" s="19"/>
      <c r="DH150" s="19"/>
      <c r="DI150" s="19"/>
      <c r="DJ150" s="19"/>
      <c r="DK150" s="19"/>
      <c r="DL150" s="19"/>
      <c r="DM150" s="19"/>
      <c r="DN150" s="19"/>
      <c r="DO150" s="19"/>
      <c r="DP150" s="19"/>
      <c r="DQ150" s="19"/>
      <c r="DR150" s="19"/>
      <c r="DS150" s="19"/>
      <c r="DT150" s="19"/>
      <c r="DU150" s="19"/>
      <c r="DV150" s="19"/>
      <c r="DW150" s="19"/>
      <c r="DX150" s="19"/>
      <c r="DY150" s="19"/>
      <c r="DZ150" s="19"/>
      <c r="EA150" s="19"/>
      <c r="EB150" s="19"/>
      <c r="EC150" s="19"/>
      <c r="ED150" s="19"/>
      <c r="EE150" s="19"/>
      <c r="EF150" s="19"/>
      <c r="EG150" s="19"/>
      <c r="EH150" s="19"/>
      <c r="EI150" s="19"/>
      <c r="EJ150" s="19"/>
      <c r="EK150" s="19"/>
      <c r="EL150" s="19"/>
      <c r="EM150" s="19"/>
      <c r="EN150" s="19"/>
      <c r="EO150" s="19"/>
      <c r="EP150" s="19"/>
      <c r="EQ150" s="19"/>
      <c r="ER150" s="19"/>
      <c r="ES150" s="19"/>
      <c r="ET150" s="19"/>
      <c r="EU150" s="19"/>
      <c r="EV150" s="19"/>
      <c r="EW150" s="19"/>
      <c r="EX150" s="19"/>
      <c r="EY150" s="19"/>
      <c r="EZ150" s="19"/>
      <c r="FA150" s="19"/>
      <c r="FB150" s="19"/>
      <c r="FC150" s="19"/>
      <c r="FD150" s="19"/>
      <c r="FE150" s="19"/>
      <c r="FF150" s="19"/>
      <c r="FG150" s="19"/>
      <c r="FH150" s="19"/>
      <c r="FI150" s="19"/>
      <c r="FJ150" s="19"/>
      <c r="FK150" s="19"/>
      <c r="FL150" s="19"/>
      <c r="FM150" s="19"/>
      <c r="FN150" s="19"/>
      <c r="FO150" s="19"/>
      <c r="FP150" s="19"/>
      <c r="FQ150" s="19"/>
      <c r="FR150" s="19"/>
      <c r="FS150" s="19"/>
      <c r="FT150" s="19"/>
      <c r="FU150" s="19"/>
      <c r="FV150" s="19"/>
      <c r="FW150" s="19"/>
      <c r="FX150" s="19"/>
      <c r="FY150" s="19"/>
      <c r="FZ150" s="19"/>
      <c r="GA150" s="19"/>
      <c r="GB150" s="19"/>
      <c r="GC150" s="19"/>
      <c r="GD150" s="19"/>
      <c r="GE150" s="19"/>
      <c r="GF150" s="19"/>
      <c r="GG150" s="19"/>
      <c r="GH150" s="19"/>
      <c r="GI150" s="19"/>
      <c r="GJ150" s="19"/>
      <c r="GK150" s="19"/>
      <c r="GL150" s="19"/>
      <c r="GM150" s="19"/>
      <c r="GN150" s="19"/>
      <c r="GO150" s="19"/>
      <c r="GP150" s="19"/>
      <c r="GQ150" s="19"/>
      <c r="GR150" s="19"/>
      <c r="GS150" s="19"/>
      <c r="GT150" s="19"/>
      <c r="GU150" s="19"/>
      <c r="GV150" s="19"/>
      <c r="GW150" s="19"/>
      <c r="GX150" s="19"/>
      <c r="GY150" s="19"/>
      <c r="GZ150" s="19"/>
      <c r="HA150" s="19"/>
      <c r="HB150" s="19"/>
      <c r="HC150" s="19"/>
      <c r="HD150" s="19"/>
      <c r="HE150" s="19"/>
      <c r="HF150" s="19"/>
      <c r="HG150" s="19"/>
      <c r="HH150" s="19"/>
      <c r="HI150" s="19"/>
      <c r="HJ150" s="19"/>
      <c r="HK150" s="19"/>
      <c r="HL150" s="19"/>
      <c r="HM150" s="19"/>
      <c r="HN150" s="19"/>
      <c r="HO150" s="19"/>
      <c r="HP150" s="19"/>
      <c r="HQ150" s="19"/>
      <c r="HR150" s="19"/>
      <c r="HS150" s="19"/>
      <c r="HT150" s="19"/>
      <c r="HU150" s="19"/>
      <c r="HV150" s="19"/>
      <c r="HW150" s="19"/>
      <c r="HX150" s="19"/>
      <c r="HY150" s="19"/>
      <c r="HZ150" s="19"/>
      <c r="IA150" s="19"/>
      <c r="IB150" s="19"/>
      <c r="IC150" s="19"/>
      <c r="ID150" s="19"/>
      <c r="IE150" s="19"/>
      <c r="IF150" s="19"/>
      <c r="IG150" s="19"/>
      <c r="IH150" s="19"/>
      <c r="II150" s="19"/>
      <c r="IJ150" s="19"/>
      <c r="IK150" s="19"/>
      <c r="IL150" s="19"/>
      <c r="IM150" s="19"/>
      <c r="IN150" s="19"/>
      <c r="IO150" s="19"/>
      <c r="IP150" s="19"/>
      <c r="IQ150" s="19"/>
      <c r="IR150" s="19"/>
      <c r="IS150" s="19"/>
      <c r="IT150" s="19"/>
      <c r="IU150" s="19"/>
      <c r="IV150" s="19"/>
      <c r="IW150" s="19"/>
    </row>
    <row r="151" customFormat="false" ht="18" hidden="false" customHeight="false" outlineLevel="0" collapsed="false">
      <c r="A151" s="149" t="s">
        <v>138</v>
      </c>
      <c r="B151" s="150"/>
      <c r="C151" s="151"/>
      <c r="D151" s="152" t="n">
        <f aca="false">D146+D97+D90+D66+D42+D24+D149</f>
        <v>1255667.675</v>
      </c>
      <c r="E151" s="153" t="n">
        <f aca="false">E146+E97+E90+E66+E42+E24+E149</f>
        <v>136984.63</v>
      </c>
      <c r="F151" s="154" t="n">
        <f aca="false">F146+F97+F90+F66+F42+F24+F149</f>
        <v>-15944.974</v>
      </c>
      <c r="G151" s="154" t="n">
        <f aca="false">G146+G97+G90+G66+G42+G24+G149</f>
        <v>0</v>
      </c>
      <c r="H151" s="154" t="n">
        <f aca="false">H146+H97+H90+H66+H42+H24+H149</f>
        <v>0</v>
      </c>
      <c r="I151" s="155" t="n">
        <f aca="false">I146+I97+I90+I66+I42+I24+I149</f>
        <v>121039.695</v>
      </c>
      <c r="J151" s="156"/>
      <c r="K151" s="157"/>
      <c r="L151" s="158"/>
      <c r="M151" s="157"/>
      <c r="N151" s="157"/>
      <c r="O151" s="157"/>
      <c r="P151" s="157"/>
      <c r="Q151" s="157"/>
      <c r="R151" s="157"/>
      <c r="S151" s="157"/>
      <c r="T151" s="65" t="n">
        <f aca="false">IF(D151&gt;0,(I151/D151),"")</f>
        <v>0.0963946889848861</v>
      </c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8"/>
      <c r="BW151" s="158"/>
      <c r="BX151" s="158"/>
      <c r="BY151" s="158"/>
      <c r="BZ151" s="158"/>
      <c r="CA151" s="158"/>
      <c r="CB151" s="158"/>
      <c r="CC151" s="158"/>
      <c r="CD151" s="158"/>
      <c r="CE151" s="158"/>
      <c r="CF151" s="158"/>
      <c r="CG151" s="158"/>
      <c r="CH151" s="158"/>
      <c r="CI151" s="158"/>
      <c r="CJ151" s="158"/>
      <c r="CK151" s="158"/>
      <c r="CL151" s="158"/>
      <c r="CM151" s="158"/>
      <c r="CN151" s="158"/>
      <c r="CO151" s="158"/>
      <c r="CP151" s="158"/>
      <c r="CQ151" s="158"/>
      <c r="CR151" s="158"/>
      <c r="CS151" s="158"/>
      <c r="CT151" s="158"/>
      <c r="CU151" s="158"/>
      <c r="CV151" s="158"/>
      <c r="CW151" s="158"/>
      <c r="CX151" s="158"/>
      <c r="CY151" s="158"/>
      <c r="CZ151" s="158"/>
      <c r="DA151" s="158"/>
      <c r="DB151" s="158"/>
      <c r="DC151" s="158"/>
      <c r="DD151" s="158"/>
      <c r="DE151" s="158"/>
      <c r="DF151" s="158"/>
      <c r="DG151" s="158"/>
      <c r="DH151" s="158"/>
      <c r="DI151" s="158"/>
      <c r="DJ151" s="158"/>
      <c r="DK151" s="158"/>
      <c r="DL151" s="158"/>
      <c r="DM151" s="158"/>
      <c r="DN151" s="158"/>
      <c r="DO151" s="158"/>
      <c r="DP151" s="158"/>
      <c r="DQ151" s="158"/>
      <c r="DR151" s="158"/>
      <c r="DS151" s="158"/>
      <c r="DT151" s="158"/>
      <c r="DU151" s="158"/>
      <c r="DV151" s="158"/>
      <c r="DW151" s="158"/>
      <c r="DX151" s="158"/>
      <c r="DY151" s="158"/>
      <c r="DZ151" s="158"/>
      <c r="EA151" s="158"/>
      <c r="EB151" s="158"/>
      <c r="EC151" s="158"/>
      <c r="ED151" s="158"/>
      <c r="EE151" s="158"/>
      <c r="EF151" s="158"/>
      <c r="EG151" s="158"/>
      <c r="EH151" s="158"/>
      <c r="EI151" s="158"/>
      <c r="EJ151" s="158"/>
      <c r="EK151" s="158"/>
      <c r="EL151" s="158"/>
      <c r="EM151" s="158"/>
      <c r="EN151" s="158"/>
      <c r="EO151" s="158"/>
      <c r="EP151" s="158"/>
      <c r="EQ151" s="158"/>
      <c r="ER151" s="158"/>
      <c r="ES151" s="158"/>
      <c r="ET151" s="158"/>
      <c r="EU151" s="158"/>
      <c r="EV151" s="158"/>
      <c r="EW151" s="158"/>
      <c r="EX151" s="158"/>
      <c r="EY151" s="158"/>
      <c r="EZ151" s="158"/>
      <c r="FA151" s="158"/>
      <c r="FB151" s="158"/>
      <c r="FC151" s="158"/>
      <c r="FD151" s="158"/>
      <c r="FE151" s="158"/>
      <c r="FF151" s="158"/>
      <c r="FG151" s="158"/>
      <c r="FH151" s="158"/>
      <c r="FI151" s="158"/>
      <c r="FJ151" s="158"/>
      <c r="FK151" s="158"/>
      <c r="FL151" s="158"/>
      <c r="FM151" s="158"/>
      <c r="FN151" s="158"/>
      <c r="FO151" s="158"/>
      <c r="FP151" s="158"/>
      <c r="FQ151" s="158"/>
      <c r="FR151" s="158"/>
      <c r="FS151" s="158"/>
      <c r="FT151" s="158"/>
      <c r="FU151" s="158"/>
      <c r="FV151" s="158"/>
      <c r="FW151" s="158"/>
      <c r="FX151" s="158"/>
      <c r="FY151" s="158"/>
      <c r="FZ151" s="158"/>
      <c r="GA151" s="158"/>
      <c r="GB151" s="158"/>
      <c r="GC151" s="158"/>
      <c r="GD151" s="158"/>
      <c r="GE151" s="158"/>
      <c r="GF151" s="158"/>
      <c r="GG151" s="158"/>
      <c r="GH151" s="158"/>
      <c r="GI151" s="158"/>
      <c r="GJ151" s="158"/>
      <c r="GK151" s="158"/>
      <c r="GL151" s="158"/>
      <c r="GM151" s="158"/>
      <c r="GN151" s="158"/>
      <c r="GO151" s="158"/>
      <c r="GP151" s="158"/>
      <c r="GQ151" s="158"/>
      <c r="GR151" s="158"/>
      <c r="GS151" s="158"/>
      <c r="GT151" s="158"/>
      <c r="GU151" s="158"/>
      <c r="GV151" s="158"/>
      <c r="GW151" s="158"/>
      <c r="GX151" s="158"/>
      <c r="GY151" s="158"/>
      <c r="GZ151" s="158"/>
      <c r="HA151" s="158"/>
      <c r="HB151" s="158"/>
      <c r="HC151" s="158"/>
      <c r="HD151" s="158"/>
      <c r="HE151" s="158"/>
      <c r="HF151" s="158"/>
      <c r="HG151" s="158"/>
      <c r="HH151" s="158"/>
      <c r="HI151" s="158"/>
      <c r="HJ151" s="158"/>
      <c r="HK151" s="158"/>
      <c r="HL151" s="158"/>
      <c r="HM151" s="158"/>
      <c r="HN151" s="158"/>
      <c r="HO151" s="158"/>
      <c r="HP151" s="158"/>
      <c r="HQ151" s="158"/>
      <c r="HR151" s="158"/>
      <c r="HS151" s="158"/>
      <c r="HT151" s="158"/>
      <c r="HU151" s="158"/>
      <c r="HV151" s="158"/>
      <c r="HW151" s="158"/>
      <c r="HX151" s="158"/>
      <c r="HY151" s="158"/>
      <c r="HZ151" s="158"/>
      <c r="IA151" s="158"/>
      <c r="IB151" s="158"/>
      <c r="IC151" s="158"/>
      <c r="ID151" s="158"/>
      <c r="IE151" s="158"/>
      <c r="IF151" s="158"/>
      <c r="IG151" s="158"/>
      <c r="IH151" s="158"/>
      <c r="II151" s="158"/>
      <c r="IJ151" s="158"/>
      <c r="IK151" s="158"/>
      <c r="IL151" s="158"/>
      <c r="IM151" s="158"/>
      <c r="IN151" s="158"/>
      <c r="IO151" s="158"/>
      <c r="IP151" s="158"/>
      <c r="IQ151" s="158"/>
      <c r="IR151" s="158"/>
      <c r="IS151" s="158"/>
      <c r="IT151" s="158"/>
      <c r="IU151" s="158"/>
      <c r="IV151" s="158"/>
      <c r="IW151" s="158"/>
    </row>
    <row r="152" customFormat="false" ht="18" hidden="false" customHeight="false" outlineLevel="0" collapsed="false">
      <c r="A152" s="149"/>
      <c r="B152" s="150"/>
      <c r="C152" s="151"/>
      <c r="D152" s="152"/>
      <c r="E152" s="153"/>
      <c r="F152" s="154"/>
      <c r="G152" s="154"/>
      <c r="H152" s="154"/>
      <c r="I152" s="155"/>
      <c r="J152" s="156"/>
      <c r="K152" s="157"/>
      <c r="L152" s="158"/>
      <c r="M152" s="157"/>
      <c r="N152" s="157"/>
      <c r="O152" s="157"/>
      <c r="P152" s="157"/>
      <c r="Q152" s="157"/>
      <c r="R152" s="157"/>
      <c r="S152" s="157"/>
      <c r="T152" s="65" t="str">
        <f aca="false">IF(D152&gt;0,(I152/D152),"")</f>
        <v/>
      </c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8"/>
      <c r="BW152" s="158"/>
      <c r="BX152" s="158"/>
      <c r="BY152" s="158"/>
      <c r="BZ152" s="158"/>
      <c r="CA152" s="158"/>
      <c r="CB152" s="158"/>
      <c r="CC152" s="158"/>
      <c r="CD152" s="158"/>
      <c r="CE152" s="158"/>
      <c r="CF152" s="158"/>
      <c r="CG152" s="158"/>
      <c r="CH152" s="158"/>
      <c r="CI152" s="158"/>
      <c r="CJ152" s="158"/>
      <c r="CK152" s="158"/>
      <c r="CL152" s="158"/>
      <c r="CM152" s="158"/>
      <c r="CN152" s="158"/>
      <c r="CO152" s="158"/>
      <c r="CP152" s="158"/>
      <c r="CQ152" s="158"/>
      <c r="CR152" s="158"/>
      <c r="CS152" s="158"/>
      <c r="CT152" s="158"/>
      <c r="CU152" s="158"/>
      <c r="CV152" s="158"/>
      <c r="CW152" s="158"/>
      <c r="CX152" s="158"/>
      <c r="CY152" s="158"/>
      <c r="CZ152" s="158"/>
      <c r="DA152" s="158"/>
      <c r="DB152" s="158"/>
      <c r="DC152" s="158"/>
      <c r="DD152" s="158"/>
      <c r="DE152" s="158"/>
      <c r="DF152" s="158"/>
      <c r="DG152" s="158"/>
      <c r="DH152" s="158"/>
      <c r="DI152" s="158"/>
      <c r="DJ152" s="158"/>
      <c r="DK152" s="158"/>
      <c r="DL152" s="158"/>
      <c r="DM152" s="158"/>
      <c r="DN152" s="158"/>
      <c r="DO152" s="158"/>
      <c r="DP152" s="158"/>
      <c r="DQ152" s="158"/>
      <c r="DR152" s="158"/>
      <c r="DS152" s="158"/>
      <c r="DT152" s="158"/>
      <c r="DU152" s="158"/>
      <c r="DV152" s="158"/>
      <c r="DW152" s="158"/>
      <c r="DX152" s="158"/>
      <c r="DY152" s="158"/>
      <c r="DZ152" s="158"/>
      <c r="EA152" s="158"/>
      <c r="EB152" s="158"/>
      <c r="EC152" s="158"/>
      <c r="ED152" s="158"/>
      <c r="EE152" s="158"/>
      <c r="EF152" s="158"/>
      <c r="EG152" s="158"/>
      <c r="EH152" s="158"/>
      <c r="EI152" s="158"/>
      <c r="EJ152" s="158"/>
      <c r="EK152" s="158"/>
      <c r="EL152" s="158"/>
      <c r="EM152" s="158"/>
      <c r="EN152" s="158"/>
      <c r="EO152" s="158"/>
      <c r="EP152" s="158"/>
      <c r="EQ152" s="158"/>
      <c r="ER152" s="158"/>
      <c r="ES152" s="158"/>
      <c r="ET152" s="158"/>
      <c r="EU152" s="158"/>
      <c r="EV152" s="158"/>
      <c r="EW152" s="158"/>
      <c r="EX152" s="158"/>
      <c r="EY152" s="158"/>
      <c r="EZ152" s="158"/>
      <c r="FA152" s="158"/>
      <c r="FB152" s="158"/>
      <c r="FC152" s="158"/>
      <c r="FD152" s="158"/>
      <c r="FE152" s="158"/>
      <c r="FF152" s="158"/>
      <c r="FG152" s="158"/>
      <c r="FH152" s="158"/>
      <c r="FI152" s="158"/>
      <c r="FJ152" s="158"/>
      <c r="FK152" s="158"/>
      <c r="FL152" s="158"/>
      <c r="FM152" s="158"/>
      <c r="FN152" s="158"/>
      <c r="FO152" s="158"/>
      <c r="FP152" s="158"/>
      <c r="FQ152" s="158"/>
      <c r="FR152" s="158"/>
      <c r="FS152" s="158"/>
      <c r="FT152" s="158"/>
      <c r="FU152" s="158"/>
      <c r="FV152" s="158"/>
      <c r="FW152" s="158"/>
      <c r="FX152" s="158"/>
      <c r="FY152" s="158"/>
      <c r="FZ152" s="158"/>
      <c r="GA152" s="158"/>
      <c r="GB152" s="158"/>
      <c r="GC152" s="158"/>
      <c r="GD152" s="158"/>
      <c r="GE152" s="158"/>
      <c r="GF152" s="158"/>
      <c r="GG152" s="158"/>
      <c r="GH152" s="158"/>
      <c r="GI152" s="158"/>
      <c r="GJ152" s="158"/>
      <c r="GK152" s="158"/>
      <c r="GL152" s="158"/>
      <c r="GM152" s="158"/>
      <c r="GN152" s="158"/>
      <c r="GO152" s="158"/>
      <c r="GP152" s="158"/>
      <c r="GQ152" s="158"/>
      <c r="GR152" s="158"/>
      <c r="GS152" s="158"/>
      <c r="GT152" s="158"/>
      <c r="GU152" s="158"/>
      <c r="GV152" s="158"/>
      <c r="GW152" s="158"/>
      <c r="GX152" s="158"/>
      <c r="GY152" s="158"/>
      <c r="GZ152" s="158"/>
      <c r="HA152" s="158"/>
      <c r="HB152" s="158"/>
      <c r="HC152" s="158"/>
      <c r="HD152" s="158"/>
      <c r="HE152" s="158"/>
      <c r="HF152" s="158"/>
      <c r="HG152" s="158"/>
      <c r="HH152" s="158"/>
      <c r="HI152" s="158"/>
      <c r="HJ152" s="158"/>
      <c r="HK152" s="158"/>
      <c r="HL152" s="158"/>
      <c r="HM152" s="158"/>
      <c r="HN152" s="158"/>
      <c r="HO152" s="158"/>
      <c r="HP152" s="158"/>
      <c r="HQ152" s="158"/>
      <c r="HR152" s="158"/>
      <c r="HS152" s="158"/>
      <c r="HT152" s="158"/>
      <c r="HU152" s="158"/>
      <c r="HV152" s="158"/>
      <c r="HW152" s="158"/>
      <c r="HX152" s="158"/>
      <c r="HY152" s="158"/>
      <c r="HZ152" s="158"/>
      <c r="IA152" s="158"/>
      <c r="IB152" s="158"/>
      <c r="IC152" s="158"/>
      <c r="ID152" s="158"/>
      <c r="IE152" s="158"/>
      <c r="IF152" s="158"/>
      <c r="IG152" s="158"/>
      <c r="IH152" s="158"/>
      <c r="II152" s="158"/>
      <c r="IJ152" s="158"/>
      <c r="IK152" s="158"/>
      <c r="IL152" s="158"/>
      <c r="IM152" s="158"/>
      <c r="IN152" s="158"/>
      <c r="IO152" s="158"/>
      <c r="IP152" s="158"/>
      <c r="IQ152" s="158"/>
      <c r="IR152" s="158"/>
      <c r="IS152" s="158"/>
      <c r="IT152" s="158"/>
      <c r="IU152" s="158"/>
      <c r="IV152" s="158"/>
      <c r="IW152" s="158"/>
    </row>
    <row r="153" customFormat="false" ht="18" hidden="false" customHeight="false" outlineLevel="0" collapsed="false">
      <c r="A153" s="151" t="s">
        <v>139</v>
      </c>
      <c r="B153" s="159"/>
      <c r="C153" s="118"/>
      <c r="D153" s="92"/>
      <c r="E153" s="93"/>
      <c r="F153" s="81"/>
      <c r="G153" s="81"/>
      <c r="H153" s="81"/>
      <c r="I153" s="94"/>
      <c r="J153" s="160"/>
      <c r="T153" s="65" t="str">
        <f aca="false">IF(D153&gt;0,(I153/D153),"")</f>
        <v/>
      </c>
    </row>
    <row r="154" customFormat="false" ht="15.75" hidden="false" customHeight="false" outlineLevel="0" collapsed="false">
      <c r="A154" s="161"/>
      <c r="B154" s="162"/>
      <c r="C154" s="118"/>
      <c r="D154" s="92"/>
      <c r="E154" s="93"/>
      <c r="F154" s="81"/>
      <c r="G154" s="81"/>
      <c r="H154" s="81"/>
      <c r="I154" s="94"/>
      <c r="J154" s="160"/>
      <c r="T154" s="65" t="str">
        <f aca="false">IF(D154&gt;0,(I154/D154),"")</f>
        <v/>
      </c>
    </row>
    <row r="155" customFormat="false" ht="15.75" hidden="false" customHeight="false" outlineLevel="0" collapsed="false">
      <c r="A155" s="163" t="s">
        <v>140</v>
      </c>
      <c r="B155" s="162"/>
      <c r="C155" s="118"/>
      <c r="D155" s="92"/>
      <c r="E155" s="164"/>
      <c r="F155" s="81"/>
      <c r="G155" s="81"/>
      <c r="H155" s="81"/>
      <c r="I155" s="94"/>
      <c r="J155" s="160"/>
      <c r="T155" s="65" t="str">
        <f aca="false">IF(D155&gt;0,(I155/D155),"")</f>
        <v/>
      </c>
    </row>
    <row r="156" customFormat="false" ht="15" hidden="false" customHeight="false" outlineLevel="0" collapsed="false">
      <c r="A156" s="165"/>
      <c r="B156" s="166"/>
      <c r="C156" s="118"/>
      <c r="D156" s="92"/>
      <c r="E156" s="93"/>
      <c r="F156" s="81"/>
      <c r="G156" s="81"/>
      <c r="H156" s="81"/>
      <c r="I156" s="94"/>
      <c r="J156" s="160"/>
      <c r="T156" s="65" t="str">
        <f aca="false">IF(D156&gt;0,(I156/D156),"")</f>
        <v/>
      </c>
    </row>
    <row r="157" customFormat="false" ht="15" hidden="false" customHeight="false" outlineLevel="0" collapsed="false">
      <c r="A157" s="167" t="s">
        <v>141</v>
      </c>
      <c r="B157" s="168"/>
      <c r="C157" s="118"/>
      <c r="D157" s="92"/>
      <c r="E157" s="93"/>
      <c r="F157" s="81"/>
      <c r="G157" s="81"/>
      <c r="H157" s="81"/>
      <c r="I157" s="94"/>
      <c r="J157" s="160"/>
      <c r="T157" s="65" t="str">
        <f aca="false">IF(D157&gt;0,(I157/D157),"")</f>
        <v/>
      </c>
    </row>
    <row r="158" customFormat="false" ht="4.5" hidden="false" customHeight="true" outlineLevel="0" collapsed="false">
      <c r="A158" s="169"/>
      <c r="B158" s="169"/>
      <c r="C158" s="170"/>
      <c r="D158" s="171"/>
      <c r="E158" s="172"/>
      <c r="F158" s="173"/>
      <c r="G158" s="173"/>
      <c r="H158" s="173"/>
      <c r="I158" s="174"/>
      <c r="J158" s="160"/>
      <c r="T158" s="65" t="str">
        <f aca="false">IF(D158&gt;0,(I158/D158),"")</f>
        <v/>
      </c>
    </row>
    <row r="159" customFormat="false" ht="18" hidden="false" customHeight="false" outlineLevel="0" collapsed="false">
      <c r="A159" s="112" t="s">
        <v>142</v>
      </c>
      <c r="B159" s="67"/>
      <c r="C159" s="175"/>
      <c r="D159" s="69" t="n">
        <v>9634.212</v>
      </c>
      <c r="E159" s="71" t="n">
        <f aca="false">862963/1000</f>
        <v>862.963</v>
      </c>
      <c r="F159" s="71" t="n">
        <f aca="false">-82200/1000</f>
        <v>-82.2</v>
      </c>
      <c r="G159" s="71"/>
      <c r="H159" s="71"/>
      <c r="I159" s="72" t="n">
        <f aca="false">SUM(E159:G159)</f>
        <v>780.763</v>
      </c>
      <c r="J159" s="118" t="s">
        <v>70</v>
      </c>
      <c r="K159" s="74"/>
      <c r="L159" s="74"/>
      <c r="M159" s="119"/>
      <c r="N159" s="74"/>
      <c r="O159" s="74"/>
      <c r="P159" s="74"/>
      <c r="Q159" s="74"/>
      <c r="R159" s="74"/>
      <c r="S159" s="74"/>
      <c r="T159" s="65" t="n">
        <f aca="false">IF(D159&gt;0,(I159/D159),"")</f>
        <v>0.0810406704772534</v>
      </c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4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/>
      <c r="CJ159" s="74"/>
      <c r="CK159" s="74"/>
      <c r="CL159" s="74"/>
      <c r="CM159" s="74"/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</row>
    <row r="160" customFormat="false" ht="18" hidden="false" customHeight="false" outlineLevel="0" collapsed="false">
      <c r="A160" s="112" t="s">
        <v>143</v>
      </c>
      <c r="B160" s="67"/>
      <c r="C160" s="175"/>
      <c r="D160" s="69" t="n">
        <f aca="false">I160/0.05</f>
        <v>2498.9</v>
      </c>
      <c r="E160" s="71" t="n">
        <f aca="false">138758/1000</f>
        <v>138.758</v>
      </c>
      <c r="F160" s="71" t="n">
        <v>-13.813</v>
      </c>
      <c r="G160" s="71"/>
      <c r="H160" s="71"/>
      <c r="I160" s="72" t="n">
        <f aca="false">SUM(E160:G160)</f>
        <v>124.945</v>
      </c>
      <c r="J160" s="118" t="s">
        <v>70</v>
      </c>
      <c r="K160" s="74"/>
      <c r="L160" s="74"/>
      <c r="M160" s="119"/>
      <c r="N160" s="74"/>
      <c r="O160" s="74"/>
      <c r="P160" s="74"/>
      <c r="Q160" s="74"/>
      <c r="R160" s="74"/>
      <c r="S160" s="74"/>
      <c r="T160" s="65" t="n">
        <f aca="false">IF(D160&gt;0,(I160/D160),"")</f>
        <v>0.05</v>
      </c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/>
      <c r="CM160" s="74"/>
      <c r="CN160" s="74"/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</row>
    <row r="161" customFormat="false" ht="18" hidden="false" customHeight="false" outlineLevel="0" collapsed="false">
      <c r="A161" s="112" t="s">
        <v>144</v>
      </c>
      <c r="B161" s="67"/>
      <c r="C161" s="175"/>
      <c r="D161" s="69" t="n">
        <v>13293.698</v>
      </c>
      <c r="E161" s="71" t="n">
        <f aca="false">1337899/1000</f>
        <v>1337.899</v>
      </c>
      <c r="F161" s="71" t="n">
        <f aca="false">-694000/1000</f>
        <v>-694</v>
      </c>
      <c r="G161" s="71"/>
      <c r="H161" s="71"/>
      <c r="I161" s="72" t="n">
        <f aca="false">SUM(E161:G161)</f>
        <v>643.899</v>
      </c>
      <c r="J161" s="118" t="s">
        <v>25</v>
      </c>
      <c r="K161" s="74"/>
      <c r="L161" s="74"/>
      <c r="M161" s="119"/>
      <c r="N161" s="74"/>
      <c r="O161" s="74"/>
      <c r="P161" s="74"/>
      <c r="Q161" s="74"/>
      <c r="R161" s="74"/>
      <c r="S161" s="74"/>
      <c r="T161" s="65" t="n">
        <f aca="false">IF(D161&gt;0,(I161/D161),"")</f>
        <v>0.0484364094926784</v>
      </c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/>
      <c r="CM161" s="74"/>
      <c r="CN161" s="74"/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</row>
    <row r="162" customFormat="false" ht="18" hidden="false" customHeight="false" outlineLevel="0" collapsed="false">
      <c r="A162" s="112" t="s">
        <v>145</v>
      </c>
      <c r="B162" s="67"/>
      <c r="C162" s="175"/>
      <c r="D162" s="69" t="n">
        <f aca="false">+I162/0.01</f>
        <v>2605.3</v>
      </c>
      <c r="E162" s="71" t="n">
        <f aca="false">26053/1000</f>
        <v>26.053</v>
      </c>
      <c r="F162" s="71" t="n">
        <f aca="false">0/1000</f>
        <v>0</v>
      </c>
      <c r="G162" s="71"/>
      <c r="H162" s="71"/>
      <c r="I162" s="72" t="n">
        <f aca="false">SUM(E162:G162)</f>
        <v>26.053</v>
      </c>
      <c r="J162" s="118" t="s">
        <v>25</v>
      </c>
      <c r="K162" s="74"/>
      <c r="L162" s="74"/>
      <c r="M162" s="119"/>
      <c r="N162" s="74"/>
      <c r="O162" s="74"/>
      <c r="P162" s="74"/>
      <c r="Q162" s="74"/>
      <c r="R162" s="74"/>
      <c r="S162" s="74"/>
      <c r="T162" s="65" t="n">
        <f aca="false">IF(D162&gt;0,(I162/D162),"")</f>
        <v>0.01</v>
      </c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/>
      <c r="CM162" s="74"/>
      <c r="CN162" s="74"/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</row>
    <row r="163" customFormat="false" ht="18" hidden="false" customHeight="false" outlineLevel="0" collapsed="false">
      <c r="A163" s="112" t="s">
        <v>146</v>
      </c>
      <c r="B163" s="67"/>
      <c r="C163" s="175"/>
      <c r="D163" s="69" t="n">
        <f aca="false">I163/0.05</f>
        <v>874.06</v>
      </c>
      <c r="E163" s="71" t="n">
        <f aca="false">52334/1000</f>
        <v>52.334</v>
      </c>
      <c r="F163" s="71" t="n">
        <v>-8.631</v>
      </c>
      <c r="G163" s="71"/>
      <c r="H163" s="71"/>
      <c r="I163" s="72" t="n">
        <f aca="false">SUM(E163:G163)</f>
        <v>43.703</v>
      </c>
      <c r="J163" s="118" t="s">
        <v>70</v>
      </c>
      <c r="K163" s="74"/>
      <c r="L163" s="74"/>
      <c r="M163" s="119"/>
      <c r="N163" s="74"/>
      <c r="O163" s="74"/>
      <c r="P163" s="74"/>
      <c r="Q163" s="74"/>
      <c r="R163" s="74"/>
      <c r="S163" s="74"/>
      <c r="T163" s="65" t="n">
        <f aca="false">IF(D163&gt;0,(I163/D163),"")</f>
        <v>0.05</v>
      </c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/>
      <c r="CM163" s="74"/>
      <c r="CN163" s="74"/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</row>
    <row r="164" customFormat="false" ht="18" hidden="false" customHeight="false" outlineLevel="0" collapsed="false">
      <c r="A164" s="112" t="s">
        <v>147</v>
      </c>
      <c r="B164" s="67"/>
      <c r="C164" s="175"/>
      <c r="D164" s="69" t="n">
        <v>426.422</v>
      </c>
      <c r="E164" s="71" t="n">
        <f aca="false">62479/1000</f>
        <v>62.479</v>
      </c>
      <c r="F164" s="71" t="n">
        <v>-11.335</v>
      </c>
      <c r="G164" s="71"/>
      <c r="H164" s="71"/>
      <c r="I164" s="72" t="n">
        <f aca="false">SUM(E164:G164)</f>
        <v>51.144</v>
      </c>
      <c r="J164" s="118" t="s">
        <v>70</v>
      </c>
      <c r="K164" s="74"/>
      <c r="L164" s="74"/>
      <c r="M164" s="119"/>
      <c r="N164" s="74"/>
      <c r="O164" s="74"/>
      <c r="P164" s="74"/>
      <c r="Q164" s="74"/>
      <c r="R164" s="74"/>
      <c r="S164" s="74"/>
      <c r="T164" s="65" t="n">
        <f aca="false">IF(D164&gt;0,(I164/D164),"")</f>
        <v>0.119937526675453</v>
      </c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/>
      <c r="CM164" s="74"/>
      <c r="CN164" s="74"/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</row>
    <row r="165" customFormat="false" ht="18" hidden="false" customHeight="false" outlineLevel="0" collapsed="false">
      <c r="A165" s="112" t="s">
        <v>148</v>
      </c>
      <c r="B165" s="67"/>
      <c r="C165" s="175"/>
      <c r="D165" s="69" t="n">
        <f aca="false">I165/0.05</f>
        <v>2525.38</v>
      </c>
      <c r="E165" s="71" t="n">
        <f aca="false">135810/1000</f>
        <v>135.81</v>
      </c>
      <c r="F165" s="71" t="n">
        <v>-9.541</v>
      </c>
      <c r="G165" s="71"/>
      <c r="H165" s="71"/>
      <c r="I165" s="72" t="n">
        <f aca="false">SUM(E165:G165)</f>
        <v>126.269</v>
      </c>
      <c r="J165" s="118" t="s">
        <v>70</v>
      </c>
      <c r="K165" s="74"/>
      <c r="L165" s="74"/>
      <c r="M165" s="119"/>
      <c r="N165" s="74"/>
      <c r="O165" s="74"/>
      <c r="P165" s="74"/>
      <c r="Q165" s="74"/>
      <c r="R165" s="74"/>
      <c r="S165" s="74"/>
      <c r="T165" s="65" t="n">
        <f aca="false">IF(D165&gt;0,(I165/D165),"")</f>
        <v>0.05</v>
      </c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/>
      <c r="CM165" s="74"/>
      <c r="CN165" s="74"/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</row>
    <row r="166" customFormat="false" ht="18" hidden="false" customHeight="false" outlineLevel="0" collapsed="false">
      <c r="A166" s="112" t="s">
        <v>149</v>
      </c>
      <c r="B166" s="67"/>
      <c r="C166" s="175"/>
      <c r="D166" s="69" t="n">
        <f aca="false">I166/0.05</f>
        <v>669.36</v>
      </c>
      <c r="E166" s="71" t="n">
        <f aca="false">36810/1000</f>
        <v>36.81</v>
      </c>
      <c r="F166" s="71" t="n">
        <v>-3.342</v>
      </c>
      <c r="G166" s="71"/>
      <c r="H166" s="71"/>
      <c r="I166" s="72" t="n">
        <f aca="false">SUM(E166:G166)</f>
        <v>33.468</v>
      </c>
      <c r="J166" s="118" t="s">
        <v>70</v>
      </c>
      <c r="K166" s="74"/>
      <c r="L166" s="74"/>
      <c r="M166" s="119"/>
      <c r="N166" s="74"/>
      <c r="O166" s="74"/>
      <c r="P166" s="74"/>
      <c r="Q166" s="74"/>
      <c r="R166" s="74"/>
      <c r="S166" s="74"/>
      <c r="T166" s="65" t="n">
        <f aca="false">IF(D166&gt;0,(I166/D166),"")</f>
        <v>0.05</v>
      </c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/>
      <c r="CN166" s="74"/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</row>
    <row r="167" customFormat="false" ht="18" hidden="false" customHeight="false" outlineLevel="0" collapsed="false">
      <c r="A167" s="112" t="s">
        <v>150</v>
      </c>
      <c r="B167" s="67"/>
      <c r="C167" s="175"/>
      <c r="D167" s="69" t="n">
        <f aca="false">I167/0.05</f>
        <v>1037.4</v>
      </c>
      <c r="E167" s="71" t="n">
        <f aca="false">59751/1000</f>
        <v>59.751</v>
      </c>
      <c r="F167" s="71" t="n">
        <v>-7.881</v>
      </c>
      <c r="G167" s="71"/>
      <c r="H167" s="71"/>
      <c r="I167" s="72" t="n">
        <f aca="false">SUM(E167:G167)</f>
        <v>51.87</v>
      </c>
      <c r="J167" s="118" t="s">
        <v>70</v>
      </c>
      <c r="K167" s="74"/>
      <c r="L167" s="74"/>
      <c r="M167" s="119"/>
      <c r="N167" s="74"/>
      <c r="O167" s="74"/>
      <c r="P167" s="74"/>
      <c r="Q167" s="74"/>
      <c r="R167" s="74"/>
      <c r="S167" s="74"/>
      <c r="T167" s="65" t="n">
        <f aca="false">IF(D167&gt;0,(I167/D167),"")</f>
        <v>0.05</v>
      </c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/>
      <c r="CM167" s="74"/>
      <c r="CN167" s="74"/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</row>
    <row r="168" customFormat="false" ht="18" hidden="false" customHeight="false" outlineLevel="0" collapsed="false">
      <c r="A168" s="112" t="s">
        <v>151</v>
      </c>
      <c r="B168" s="67"/>
      <c r="C168" s="175"/>
      <c r="D168" s="69" t="n">
        <v>371.738</v>
      </c>
      <c r="E168" s="71" t="n">
        <f aca="false">56921/1000</f>
        <v>56.921</v>
      </c>
      <c r="F168" s="71" t="n">
        <v>-10.03</v>
      </c>
      <c r="G168" s="71"/>
      <c r="H168" s="71"/>
      <c r="I168" s="72" t="n">
        <f aca="false">SUM(E168:G168)</f>
        <v>46.891</v>
      </c>
      <c r="J168" s="118" t="s">
        <v>70</v>
      </c>
      <c r="K168" s="74"/>
      <c r="L168" s="74"/>
      <c r="M168" s="119"/>
      <c r="N168" s="74"/>
      <c r="O168" s="74"/>
      <c r="P168" s="74"/>
      <c r="Q168" s="74"/>
      <c r="R168" s="74"/>
      <c r="S168" s="74"/>
      <c r="T168" s="65" t="n">
        <f aca="false">IF(D168&gt;0,(I168/D168),"")</f>
        <v>0.126139915747112</v>
      </c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/>
      <c r="CM168" s="74"/>
      <c r="CN168" s="74"/>
      <c r="CO168" s="74"/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</row>
    <row r="169" customFormat="false" ht="18" hidden="false" customHeight="false" outlineLevel="0" collapsed="false">
      <c r="A169" s="112" t="s">
        <v>152</v>
      </c>
      <c r="B169" s="67"/>
      <c r="C169" s="175"/>
      <c r="D169" s="69" t="n">
        <f aca="false">I169/0.05</f>
        <v>3643.3</v>
      </c>
      <c r="E169" s="71" t="n">
        <f aca="false">223691/1000</f>
        <v>223.691</v>
      </c>
      <c r="F169" s="71" t="n">
        <f aca="false">-41526/1000</f>
        <v>-41.526</v>
      </c>
      <c r="G169" s="71"/>
      <c r="H169" s="71"/>
      <c r="I169" s="72" t="n">
        <f aca="false">SUM(E169:G169)</f>
        <v>182.165</v>
      </c>
      <c r="J169" s="118" t="s">
        <v>70</v>
      </c>
      <c r="K169" s="74"/>
      <c r="L169" s="74"/>
      <c r="M169" s="119"/>
      <c r="N169" s="74"/>
      <c r="O169" s="74"/>
      <c r="P169" s="74"/>
      <c r="Q169" s="74"/>
      <c r="R169" s="74"/>
      <c r="S169" s="74"/>
      <c r="T169" s="65" t="n">
        <f aca="false">IF(D169&gt;0,(I169/D169),"")</f>
        <v>0.05</v>
      </c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/>
      <c r="CM169" s="74"/>
      <c r="CN169" s="74"/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</row>
    <row r="170" customFormat="false" ht="18" hidden="false" customHeight="false" outlineLevel="0" collapsed="false">
      <c r="A170" s="112" t="s">
        <v>153</v>
      </c>
      <c r="B170" s="67"/>
      <c r="C170" s="175"/>
      <c r="D170" s="69" t="n">
        <f aca="false">I170/0.05</f>
        <v>1878.08</v>
      </c>
      <c r="E170" s="71" t="n">
        <f aca="false">102735/1000</f>
        <v>102.735</v>
      </c>
      <c r="F170" s="71" t="n">
        <v>-8.831</v>
      </c>
      <c r="G170" s="71"/>
      <c r="H170" s="71"/>
      <c r="I170" s="72" t="n">
        <f aca="false">SUM(E170:G170)</f>
        <v>93.904</v>
      </c>
      <c r="J170" s="118" t="s">
        <v>70</v>
      </c>
      <c r="K170" s="74"/>
      <c r="L170" s="74"/>
      <c r="M170" s="119"/>
      <c r="N170" s="74"/>
      <c r="O170" s="74"/>
      <c r="P170" s="74"/>
      <c r="Q170" s="74"/>
      <c r="R170" s="74"/>
      <c r="S170" s="74"/>
      <c r="T170" s="65" t="n">
        <f aca="false">IF(D170&gt;0,(I170/D170),"")</f>
        <v>0.05</v>
      </c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/>
      <c r="CM170" s="74"/>
      <c r="CN170" s="74"/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</row>
    <row r="171" customFormat="false" ht="18" hidden="false" customHeight="false" outlineLevel="0" collapsed="false">
      <c r="A171" s="112" t="s">
        <v>154</v>
      </c>
      <c r="B171" s="67"/>
      <c r="C171" s="175"/>
      <c r="D171" s="69" t="n">
        <f aca="false">I171/0.05</f>
        <v>387.5</v>
      </c>
      <c r="E171" s="71" t="n">
        <v>23.776</v>
      </c>
      <c r="F171" s="71" t="n">
        <v>-4.401</v>
      </c>
      <c r="G171" s="71"/>
      <c r="H171" s="71"/>
      <c r="I171" s="72" t="n">
        <f aca="false">SUM(E171:G171)</f>
        <v>19.375</v>
      </c>
      <c r="J171" s="118" t="s">
        <v>70</v>
      </c>
      <c r="K171" s="74"/>
      <c r="L171" s="74"/>
      <c r="M171" s="119"/>
      <c r="N171" s="74"/>
      <c r="O171" s="74"/>
      <c r="P171" s="74"/>
      <c r="Q171" s="74"/>
      <c r="R171" s="74"/>
      <c r="S171" s="74"/>
      <c r="T171" s="65" t="n">
        <f aca="false">IF(D171&gt;0,(I171/D171),"")</f>
        <v>0.05</v>
      </c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/>
      <c r="CM171" s="74"/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</row>
    <row r="172" customFormat="false" ht="18" hidden="false" customHeight="false" outlineLevel="0" collapsed="false">
      <c r="A172" s="112" t="s">
        <v>155</v>
      </c>
      <c r="B172" s="176"/>
      <c r="C172" s="177"/>
      <c r="D172" s="178" t="n">
        <v>1778.159</v>
      </c>
      <c r="E172" s="104" t="n">
        <f aca="false">318687/1000</f>
        <v>318.687</v>
      </c>
      <c r="F172" s="104" t="n">
        <v>-27.9</v>
      </c>
      <c r="G172" s="104"/>
      <c r="H172" s="104"/>
      <c r="I172" s="179" t="n">
        <f aca="false">SUM(E172:G172)</f>
        <v>290.787</v>
      </c>
      <c r="J172" s="118" t="s">
        <v>25</v>
      </c>
      <c r="K172" s="180"/>
      <c r="L172" s="180"/>
      <c r="M172" s="119"/>
      <c r="N172" s="180"/>
      <c r="O172" s="180"/>
      <c r="P172" s="180"/>
      <c r="Q172" s="180"/>
      <c r="R172" s="180"/>
      <c r="S172" s="180"/>
      <c r="T172" s="65" t="n">
        <f aca="false">IF(D172&gt;0,(I172/D172),"")</f>
        <v>0.163532619973804</v>
      </c>
      <c r="U172" s="180"/>
      <c r="V172" s="180"/>
      <c r="W172" s="180"/>
      <c r="X172" s="180"/>
      <c r="Y172" s="180"/>
      <c r="Z172" s="180"/>
      <c r="AA172" s="180"/>
      <c r="AB172" s="180"/>
      <c r="AC172" s="180"/>
      <c r="AD172" s="180"/>
      <c r="AE172" s="180"/>
      <c r="AF172" s="180"/>
      <c r="AG172" s="180"/>
      <c r="AH172" s="180"/>
      <c r="AI172" s="180"/>
      <c r="AJ172" s="180"/>
      <c r="AK172" s="180"/>
      <c r="AL172" s="180"/>
      <c r="AM172" s="180"/>
      <c r="AN172" s="180"/>
      <c r="AO172" s="180"/>
      <c r="AP172" s="180"/>
      <c r="AQ172" s="180"/>
      <c r="AR172" s="180"/>
      <c r="AS172" s="180"/>
      <c r="AT172" s="180"/>
      <c r="AU172" s="180"/>
      <c r="AV172" s="180"/>
      <c r="AW172" s="180"/>
      <c r="AX172" s="180"/>
      <c r="AY172" s="180"/>
      <c r="AZ172" s="180"/>
      <c r="BA172" s="180"/>
      <c r="BB172" s="180"/>
      <c r="BC172" s="180"/>
      <c r="BD172" s="180"/>
      <c r="BE172" s="180"/>
      <c r="BF172" s="180"/>
      <c r="BG172" s="180"/>
      <c r="BH172" s="180"/>
      <c r="BI172" s="180"/>
      <c r="BJ172" s="180"/>
      <c r="BK172" s="180"/>
      <c r="BL172" s="180"/>
      <c r="BM172" s="180"/>
      <c r="BN172" s="180"/>
      <c r="BO172" s="180"/>
      <c r="BP172" s="180"/>
      <c r="BQ172" s="180"/>
      <c r="BR172" s="180"/>
      <c r="BS172" s="180"/>
      <c r="BT172" s="180"/>
      <c r="BU172" s="180"/>
      <c r="BV172" s="180"/>
      <c r="BW172" s="180"/>
      <c r="BX172" s="180"/>
      <c r="BY172" s="180"/>
      <c r="BZ172" s="180"/>
      <c r="CA172" s="180"/>
      <c r="CB172" s="180"/>
      <c r="CC172" s="180"/>
      <c r="CD172" s="180"/>
      <c r="CE172" s="180"/>
      <c r="CF172" s="180"/>
      <c r="CG172" s="180"/>
      <c r="CH172" s="180"/>
      <c r="CI172" s="180"/>
      <c r="CJ172" s="180"/>
      <c r="CK172" s="180"/>
      <c r="CL172" s="180"/>
      <c r="CM172" s="180"/>
      <c r="CN172" s="180"/>
      <c r="CO172" s="180"/>
      <c r="CP172" s="180"/>
      <c r="CQ172" s="180"/>
      <c r="CR172" s="180"/>
      <c r="CS172" s="180"/>
      <c r="CT172" s="180"/>
      <c r="CU172" s="180"/>
      <c r="CV172" s="180"/>
      <c r="CW172" s="180"/>
      <c r="CX172" s="180"/>
      <c r="CY172" s="180"/>
      <c r="CZ172" s="180"/>
      <c r="DA172" s="180"/>
      <c r="DB172" s="180"/>
      <c r="DC172" s="180"/>
      <c r="DD172" s="180"/>
      <c r="DE172" s="180"/>
      <c r="DF172" s="180"/>
      <c r="DG172" s="180"/>
      <c r="DH172" s="180"/>
      <c r="DI172" s="180"/>
      <c r="DJ172" s="180"/>
      <c r="DK172" s="180"/>
      <c r="DL172" s="180"/>
      <c r="DM172" s="180"/>
      <c r="DN172" s="180"/>
      <c r="DO172" s="180"/>
      <c r="DP172" s="180"/>
      <c r="DQ172" s="180"/>
      <c r="DR172" s="180"/>
      <c r="DS172" s="180"/>
      <c r="DT172" s="180"/>
      <c r="DU172" s="180"/>
      <c r="DV172" s="180"/>
      <c r="DW172" s="180"/>
      <c r="DX172" s="180"/>
      <c r="DY172" s="180"/>
      <c r="DZ172" s="180"/>
      <c r="EA172" s="180"/>
      <c r="EB172" s="180"/>
      <c r="EC172" s="180"/>
      <c r="ED172" s="180"/>
      <c r="EE172" s="180"/>
      <c r="EF172" s="180"/>
      <c r="EG172" s="180"/>
      <c r="EH172" s="180"/>
      <c r="EI172" s="180"/>
      <c r="EJ172" s="180"/>
      <c r="EK172" s="180"/>
      <c r="EL172" s="180"/>
      <c r="EM172" s="180"/>
      <c r="EN172" s="180"/>
      <c r="EO172" s="180"/>
      <c r="EP172" s="180"/>
      <c r="EQ172" s="180"/>
      <c r="ER172" s="180"/>
      <c r="ES172" s="180"/>
      <c r="ET172" s="180"/>
      <c r="EU172" s="180"/>
      <c r="EV172" s="180"/>
      <c r="EW172" s="180"/>
      <c r="EX172" s="180"/>
      <c r="EY172" s="180"/>
      <c r="EZ172" s="180"/>
      <c r="FA172" s="180"/>
      <c r="FB172" s="180"/>
      <c r="FC172" s="180"/>
      <c r="FD172" s="180"/>
      <c r="FE172" s="180"/>
      <c r="FF172" s="180"/>
      <c r="FG172" s="180"/>
      <c r="FH172" s="180"/>
      <c r="FI172" s="180"/>
      <c r="FJ172" s="180"/>
      <c r="FK172" s="180"/>
      <c r="FL172" s="180"/>
      <c r="FM172" s="180"/>
      <c r="FN172" s="180"/>
      <c r="FO172" s="180"/>
      <c r="FP172" s="180"/>
      <c r="FQ172" s="180"/>
      <c r="FR172" s="180"/>
      <c r="FS172" s="180"/>
      <c r="FT172" s="180"/>
      <c r="FU172" s="180"/>
      <c r="FV172" s="180"/>
      <c r="FW172" s="180"/>
      <c r="FX172" s="180"/>
      <c r="FY172" s="180"/>
      <c r="FZ172" s="180"/>
      <c r="GA172" s="180"/>
      <c r="GB172" s="180"/>
      <c r="GC172" s="180"/>
      <c r="GD172" s="180"/>
      <c r="GE172" s="180"/>
      <c r="GF172" s="180"/>
      <c r="GG172" s="180"/>
      <c r="GH172" s="180"/>
      <c r="GI172" s="180"/>
      <c r="GJ172" s="180"/>
      <c r="GK172" s="180"/>
      <c r="GL172" s="180"/>
      <c r="GM172" s="180"/>
      <c r="GN172" s="180"/>
      <c r="GO172" s="180"/>
      <c r="GP172" s="180"/>
      <c r="GQ172" s="180"/>
      <c r="GR172" s="180"/>
      <c r="GS172" s="180"/>
      <c r="GT172" s="180"/>
      <c r="GU172" s="180"/>
      <c r="GV172" s="180"/>
      <c r="GW172" s="180"/>
      <c r="GX172" s="180"/>
      <c r="GY172" s="180"/>
      <c r="GZ172" s="180"/>
      <c r="HA172" s="180"/>
      <c r="HB172" s="180"/>
      <c r="HC172" s="180"/>
      <c r="HD172" s="180"/>
      <c r="HE172" s="180"/>
      <c r="HF172" s="180"/>
      <c r="HG172" s="180"/>
      <c r="HH172" s="180"/>
      <c r="HI172" s="180"/>
      <c r="HJ172" s="180"/>
      <c r="HK172" s="180"/>
      <c r="HL172" s="180"/>
      <c r="HM172" s="180"/>
      <c r="HN172" s="180"/>
      <c r="HO172" s="180"/>
      <c r="HP172" s="180"/>
      <c r="HQ172" s="180"/>
      <c r="HR172" s="180"/>
      <c r="HS172" s="180"/>
      <c r="HT172" s="180"/>
      <c r="HU172" s="180"/>
      <c r="HV172" s="180"/>
      <c r="HW172" s="180"/>
      <c r="HX172" s="180"/>
      <c r="HY172" s="180"/>
      <c r="HZ172" s="180"/>
      <c r="IA172" s="180"/>
      <c r="IB172" s="180"/>
      <c r="IC172" s="180"/>
      <c r="ID172" s="180"/>
      <c r="IE172" s="180"/>
      <c r="IF172" s="180"/>
      <c r="IG172" s="180"/>
      <c r="IH172" s="180"/>
      <c r="II172" s="180"/>
      <c r="IJ172" s="180"/>
      <c r="IK172" s="180"/>
      <c r="IL172" s="180"/>
      <c r="IM172" s="180"/>
      <c r="IN172" s="180"/>
      <c r="IO172" s="180"/>
      <c r="IP172" s="180"/>
      <c r="IQ172" s="180"/>
      <c r="IR172" s="180"/>
      <c r="IS172" s="180"/>
      <c r="IT172" s="180"/>
      <c r="IU172" s="180"/>
      <c r="IV172" s="180"/>
      <c r="IW172" s="180"/>
    </row>
    <row r="173" customFormat="false" ht="18" hidden="false" customHeight="false" outlineLevel="0" collapsed="false">
      <c r="A173" s="181" t="s">
        <v>156</v>
      </c>
      <c r="B173" s="182"/>
      <c r="C173" s="183"/>
      <c r="D173" s="92" t="n">
        <v>1106</v>
      </c>
      <c r="E173" s="93" t="n">
        <f aca="false">244378/1000</f>
        <v>244.378</v>
      </c>
      <c r="F173" s="81" t="n">
        <v>-17.302</v>
      </c>
      <c r="G173" s="81"/>
      <c r="H173" s="81"/>
      <c r="I173" s="94" t="n">
        <f aca="false">F173+E173</f>
        <v>227.076</v>
      </c>
      <c r="J173" s="118" t="s">
        <v>114</v>
      </c>
      <c r="K173" s="74"/>
      <c r="L173" s="74"/>
      <c r="M173" s="119"/>
      <c r="N173" s="74"/>
      <c r="O173" s="74"/>
      <c r="P173" s="74"/>
      <c r="Q173" s="74"/>
      <c r="R173" s="74"/>
      <c r="S173" s="74"/>
      <c r="T173" s="65" t="n">
        <f aca="false">IF(D173&gt;0,(I173/D173),"")</f>
        <v>0.205312839059674</v>
      </c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/>
      <c r="CJ173" s="74"/>
      <c r="CK173" s="74"/>
      <c r="CL173" s="74"/>
      <c r="CM173" s="74"/>
      <c r="CN173" s="74"/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</row>
    <row r="174" customFormat="false" ht="18" hidden="false" customHeight="false" outlineLevel="0" collapsed="false">
      <c r="A174" s="181" t="s">
        <v>157</v>
      </c>
      <c r="B174" s="182"/>
      <c r="C174" s="183"/>
      <c r="D174" s="92" t="n">
        <v>1105.582</v>
      </c>
      <c r="E174" s="93" t="n">
        <f aca="false">10831/1000</f>
        <v>10.831</v>
      </c>
      <c r="F174" s="81" t="n">
        <v>-0.982</v>
      </c>
      <c r="G174" s="81"/>
      <c r="H174" s="81"/>
      <c r="I174" s="94" t="n">
        <f aca="false">F174+E174</f>
        <v>9.849</v>
      </c>
      <c r="J174" s="118" t="s">
        <v>70</v>
      </c>
      <c r="K174" s="74"/>
      <c r="L174" s="74"/>
      <c r="M174" s="119"/>
      <c r="N174" s="74"/>
      <c r="O174" s="74"/>
      <c r="P174" s="74"/>
      <c r="Q174" s="74"/>
      <c r="R174" s="74"/>
      <c r="S174" s="74"/>
      <c r="T174" s="65" t="n">
        <f aca="false">IF(D174&gt;0,(I174/D174),"")</f>
        <v>0.00890843013001297</v>
      </c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/>
      <c r="CM174" s="74"/>
      <c r="CN174" s="74"/>
      <c r="CO174" s="74"/>
      <c r="CP174" s="74"/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</row>
    <row r="175" customFormat="false" ht="15.75" hidden="false" customHeight="false" outlineLevel="0" collapsed="false">
      <c r="A175" s="120" t="s">
        <v>158</v>
      </c>
      <c r="B175" s="90"/>
      <c r="C175" s="183"/>
      <c r="D175" s="96" t="n">
        <v>1153.656</v>
      </c>
      <c r="E175" s="93" t="n">
        <v>138.741</v>
      </c>
      <c r="F175" s="81" t="n">
        <v>-26.949</v>
      </c>
      <c r="G175" s="81"/>
      <c r="H175" s="81"/>
      <c r="I175" s="94" t="n">
        <f aca="false">SUM(E175:H175)</f>
        <v>111.792</v>
      </c>
      <c r="J175" s="118" t="s">
        <v>114</v>
      </c>
      <c r="K175" s="74"/>
      <c r="L175" s="74"/>
      <c r="M175" s="119"/>
      <c r="N175" s="74"/>
      <c r="O175" s="74"/>
      <c r="P175" s="74"/>
      <c r="Q175" s="74"/>
      <c r="R175" s="74"/>
      <c r="S175" s="74"/>
      <c r="T175" s="65" t="n">
        <f aca="false">IF(D175&gt;0,(I175/D175),"")</f>
        <v>0.0969023695104953</v>
      </c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/>
      <c r="CJ175" s="74"/>
      <c r="CK175" s="74"/>
      <c r="CL175" s="74"/>
      <c r="CM175" s="74"/>
      <c r="CN175" s="74"/>
      <c r="CO175" s="74"/>
      <c r="CP175" s="74"/>
      <c r="CQ175" s="74"/>
      <c r="CR175" s="74"/>
      <c r="CS175" s="74"/>
      <c r="CT175" s="74"/>
      <c r="CU175" s="74"/>
      <c r="CV175" s="74"/>
      <c r="CW175" s="74"/>
      <c r="CX175" s="74"/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</row>
    <row r="176" customFormat="false" ht="18" hidden="false" customHeight="false" outlineLevel="0" collapsed="false">
      <c r="A176" s="181" t="s">
        <v>159</v>
      </c>
      <c r="B176" s="182"/>
      <c r="C176" s="183"/>
      <c r="D176" s="96" t="n">
        <f aca="false">I176/0.015</f>
        <v>9219.46666666667</v>
      </c>
      <c r="E176" s="93" t="n">
        <f aca="false">188150/1000</f>
        <v>188.15</v>
      </c>
      <c r="F176" s="81" t="n">
        <f aca="false">-49858/1000</f>
        <v>-49.858</v>
      </c>
      <c r="G176" s="81"/>
      <c r="H176" s="81"/>
      <c r="I176" s="94" t="n">
        <f aca="false">F176+E176</f>
        <v>138.292</v>
      </c>
      <c r="J176" s="118" t="s">
        <v>70</v>
      </c>
      <c r="K176" s="74"/>
      <c r="L176" s="74"/>
      <c r="M176" s="119"/>
      <c r="N176" s="74"/>
      <c r="O176" s="74"/>
      <c r="P176" s="74"/>
      <c r="Q176" s="74"/>
      <c r="R176" s="74"/>
      <c r="S176" s="74"/>
      <c r="T176" s="65" t="n">
        <f aca="false">IF(D176&gt;0,(I176/D176),"")</f>
        <v>0.015</v>
      </c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/>
      <c r="CJ176" s="74"/>
      <c r="CK176" s="74"/>
      <c r="CL176" s="74"/>
      <c r="CM176" s="74"/>
      <c r="CN176" s="74"/>
      <c r="CO176" s="74"/>
      <c r="CP176" s="74"/>
      <c r="CQ176" s="74"/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</row>
    <row r="177" customFormat="false" ht="18" hidden="false" customHeight="false" outlineLevel="0" collapsed="false">
      <c r="A177" s="181" t="s">
        <v>160</v>
      </c>
      <c r="B177" s="182"/>
      <c r="C177" s="183"/>
      <c r="D177" s="96" t="n">
        <f aca="false">I177/0.015</f>
        <v>6789.66666666667</v>
      </c>
      <c r="E177" s="93" t="n">
        <f aca="false">111707/1000</f>
        <v>111.707</v>
      </c>
      <c r="F177" s="81" t="n">
        <v>-9.862</v>
      </c>
      <c r="G177" s="81"/>
      <c r="H177" s="81"/>
      <c r="I177" s="94" t="n">
        <f aca="false">F177+E177</f>
        <v>101.845</v>
      </c>
      <c r="J177" s="118" t="s">
        <v>70</v>
      </c>
      <c r="K177" s="74"/>
      <c r="L177" s="74"/>
      <c r="M177" s="119"/>
      <c r="N177" s="74"/>
      <c r="O177" s="74"/>
      <c r="P177" s="74"/>
      <c r="Q177" s="74"/>
      <c r="R177" s="74"/>
      <c r="S177" s="74"/>
      <c r="T177" s="65" t="n">
        <f aca="false">IF(D177&gt;0,(I177/D177),"")</f>
        <v>0.015</v>
      </c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/>
      <c r="CN177" s="74"/>
      <c r="CO177" s="74"/>
      <c r="CP177" s="74"/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</row>
    <row r="178" customFormat="false" ht="18" hidden="false" customHeight="false" outlineLevel="0" collapsed="false">
      <c r="A178" s="181" t="s">
        <v>161</v>
      </c>
      <c r="B178" s="182"/>
      <c r="C178" s="183"/>
      <c r="D178" s="96" t="n">
        <f aca="false">I178/0.015</f>
        <v>7554.33333333333</v>
      </c>
      <c r="E178" s="93" t="n">
        <f aca="false">118908/1000</f>
        <v>118.908</v>
      </c>
      <c r="F178" s="81" t="n">
        <v>-5.593</v>
      </c>
      <c r="G178" s="81"/>
      <c r="H178" s="81"/>
      <c r="I178" s="94" t="n">
        <f aca="false">F178+E178</f>
        <v>113.315</v>
      </c>
      <c r="J178" s="118" t="s">
        <v>70</v>
      </c>
      <c r="K178" s="74"/>
      <c r="L178" s="74"/>
      <c r="M178" s="119"/>
      <c r="N178" s="74"/>
      <c r="O178" s="74"/>
      <c r="P178" s="74"/>
      <c r="Q178" s="74"/>
      <c r="R178" s="74"/>
      <c r="S178" s="74"/>
      <c r="T178" s="65" t="n">
        <f aca="false">IF(D178&gt;0,(I178/D178),"")</f>
        <v>0.015</v>
      </c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/>
      <c r="CI178" s="74"/>
      <c r="CJ178" s="74"/>
      <c r="CK178" s="74"/>
      <c r="CL178" s="74"/>
      <c r="CM178" s="74"/>
      <c r="CN178" s="74"/>
      <c r="CO178" s="74"/>
      <c r="CP178" s="74"/>
      <c r="CQ178" s="74"/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</row>
    <row r="179" customFormat="false" ht="15.75" hidden="false" customHeight="false" outlineLevel="0" collapsed="false">
      <c r="A179" s="120" t="s">
        <v>162</v>
      </c>
      <c r="B179" s="90"/>
      <c r="C179" s="183"/>
      <c r="D179" s="96" t="n">
        <f aca="false">I179/0.05</f>
        <v>779.7</v>
      </c>
      <c r="E179" s="93" t="n">
        <v>43.632</v>
      </c>
      <c r="F179" s="81" t="n">
        <v>-4.647</v>
      </c>
      <c r="G179" s="81"/>
      <c r="H179" s="81"/>
      <c r="I179" s="94" t="n">
        <f aca="false">SUM(E179:H179)</f>
        <v>38.985</v>
      </c>
      <c r="J179" s="118" t="s">
        <v>70</v>
      </c>
      <c r="K179" s="74"/>
      <c r="L179" s="74"/>
      <c r="M179" s="119"/>
      <c r="N179" s="74"/>
      <c r="O179" s="74"/>
      <c r="P179" s="74"/>
      <c r="Q179" s="74"/>
      <c r="R179" s="74"/>
      <c r="S179" s="74"/>
      <c r="T179" s="65" t="n">
        <f aca="false">IF(D179&gt;0,(I179/D179),"")</f>
        <v>0.05</v>
      </c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/>
      <c r="CM179" s="74"/>
      <c r="CN179" s="74"/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</row>
    <row r="180" customFormat="false" ht="15.75" hidden="false" customHeight="false" outlineLevel="0" collapsed="false">
      <c r="A180" s="120" t="s">
        <v>163</v>
      </c>
      <c r="B180" s="90"/>
      <c r="C180" s="183"/>
      <c r="D180" s="96" t="n">
        <f aca="false">I180/0.05</f>
        <v>311.36</v>
      </c>
      <c r="E180" s="93" t="n">
        <v>16.696</v>
      </c>
      <c r="F180" s="81" t="n">
        <v>-1.128</v>
      </c>
      <c r="G180" s="81"/>
      <c r="H180" s="81"/>
      <c r="I180" s="94" t="n">
        <f aca="false">SUM(E180:H180)</f>
        <v>15.568</v>
      </c>
      <c r="J180" s="118" t="s">
        <v>70</v>
      </c>
      <c r="K180" s="74"/>
      <c r="L180" s="74"/>
      <c r="M180" s="119"/>
      <c r="N180" s="74"/>
      <c r="O180" s="74"/>
      <c r="P180" s="74"/>
      <c r="Q180" s="74"/>
      <c r="R180" s="74"/>
      <c r="S180" s="74"/>
      <c r="T180" s="65" t="n">
        <f aca="false">IF(D180&gt;0,(I180/D180),"")</f>
        <v>0.05</v>
      </c>
      <c r="U180" s="74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4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/>
      <c r="CM180" s="74"/>
      <c r="CN180" s="74"/>
      <c r="CO180" s="74"/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</row>
    <row r="181" customFormat="false" ht="15.75" hidden="false" customHeight="false" outlineLevel="0" collapsed="false">
      <c r="A181" s="120" t="s">
        <v>164</v>
      </c>
      <c r="B181" s="90"/>
      <c r="C181" s="183"/>
      <c r="D181" s="96" t="n">
        <f aca="false">I181/0.05</f>
        <v>1426.82</v>
      </c>
      <c r="E181" s="93" t="n">
        <v>77.147</v>
      </c>
      <c r="F181" s="81" t="n">
        <v>-5.806</v>
      </c>
      <c r="G181" s="81"/>
      <c r="H181" s="81"/>
      <c r="I181" s="94" t="n">
        <f aca="false">SUM(E181:H181)</f>
        <v>71.341</v>
      </c>
      <c r="J181" s="118" t="s">
        <v>70</v>
      </c>
      <c r="K181" s="74"/>
      <c r="L181" s="74"/>
      <c r="M181" s="119"/>
      <c r="N181" s="74"/>
      <c r="O181" s="74"/>
      <c r="P181" s="74"/>
      <c r="Q181" s="74"/>
      <c r="R181" s="74"/>
      <c r="S181" s="74"/>
      <c r="T181" s="65" t="n">
        <f aca="false">IF(D181&gt;0,(I181/D181),"")</f>
        <v>0.05</v>
      </c>
      <c r="U181" s="74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4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/>
      <c r="CK181" s="74"/>
      <c r="CL181" s="74"/>
      <c r="CM181" s="74"/>
      <c r="CN181" s="74"/>
      <c r="CO181" s="74"/>
      <c r="CP181" s="74"/>
      <c r="CQ181" s="74"/>
      <c r="CR181" s="74"/>
      <c r="CS181" s="74"/>
      <c r="CT181" s="74"/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</row>
    <row r="182" customFormat="false" ht="15.75" hidden="false" customHeight="false" outlineLevel="0" collapsed="false">
      <c r="A182" s="120" t="s">
        <v>165</v>
      </c>
      <c r="B182" s="90"/>
      <c r="C182" s="183"/>
      <c r="D182" s="96" t="n">
        <f aca="false">I182/0.05</f>
        <v>784.4</v>
      </c>
      <c r="E182" s="93" t="n">
        <v>44.003</v>
      </c>
      <c r="F182" s="81" t="n">
        <v>-4.783</v>
      </c>
      <c r="G182" s="81"/>
      <c r="H182" s="81"/>
      <c r="I182" s="94" t="n">
        <f aca="false">SUM(E182:H182)</f>
        <v>39.22</v>
      </c>
      <c r="J182" s="118" t="s">
        <v>70</v>
      </c>
      <c r="K182" s="74"/>
      <c r="L182" s="74"/>
      <c r="M182" s="119"/>
      <c r="N182" s="74"/>
      <c r="O182" s="74"/>
      <c r="P182" s="74"/>
      <c r="Q182" s="74"/>
      <c r="R182" s="74"/>
      <c r="S182" s="74"/>
      <c r="T182" s="65" t="n">
        <f aca="false">IF(D182&gt;0,(I182/D182),"")</f>
        <v>0.05</v>
      </c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/>
      <c r="CJ182" s="74"/>
      <c r="CK182" s="74"/>
      <c r="CL182" s="74"/>
      <c r="CM182" s="74"/>
      <c r="CN182" s="74"/>
      <c r="CO182" s="74"/>
      <c r="CP182" s="74"/>
      <c r="CQ182" s="74"/>
      <c r="CR182" s="74"/>
      <c r="CS182" s="74"/>
      <c r="CT182" s="74"/>
      <c r="CU182" s="74"/>
      <c r="CV182" s="74"/>
      <c r="CW182" s="74"/>
      <c r="CX182" s="74"/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</row>
    <row r="183" customFormat="false" ht="15.75" hidden="false" customHeight="false" outlineLevel="0" collapsed="false">
      <c r="A183" s="120" t="s">
        <v>166</v>
      </c>
      <c r="B183" s="90"/>
      <c r="C183" s="183"/>
      <c r="D183" s="92" t="n">
        <v>2142</v>
      </c>
      <c r="E183" s="93" t="n">
        <v>429.246</v>
      </c>
      <c r="F183" s="81" t="n">
        <v>-63.496</v>
      </c>
      <c r="G183" s="81"/>
      <c r="H183" s="81"/>
      <c r="I183" s="94" t="n">
        <f aca="false">SUM(E183:G183)</f>
        <v>365.75</v>
      </c>
      <c r="J183" s="118" t="s">
        <v>114</v>
      </c>
      <c r="K183" s="74"/>
      <c r="L183" s="74"/>
      <c r="M183" s="119"/>
      <c r="N183" s="74"/>
      <c r="O183" s="74"/>
      <c r="P183" s="74"/>
      <c r="Q183" s="74"/>
      <c r="R183" s="74"/>
      <c r="S183" s="74"/>
      <c r="T183" s="65" t="n">
        <f aca="false">IF(D183&gt;0,(I183/D183),"")</f>
        <v>0.170751633986928</v>
      </c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/>
      <c r="CM183" s="74"/>
      <c r="CN183" s="74"/>
      <c r="CO183" s="74"/>
      <c r="CP183" s="74"/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</row>
    <row r="184" customFormat="false" ht="15.75" hidden="false" customHeight="false" outlineLevel="0" collapsed="false">
      <c r="A184" s="120" t="s">
        <v>167</v>
      </c>
      <c r="B184" s="90"/>
      <c r="C184" s="183"/>
      <c r="D184" s="92" t="n">
        <f aca="false">I184/0.05</f>
        <v>463.92</v>
      </c>
      <c r="E184" s="93" t="n">
        <v>24.931</v>
      </c>
      <c r="F184" s="81" t="n">
        <v>-1.735</v>
      </c>
      <c r="G184" s="81"/>
      <c r="H184" s="81"/>
      <c r="I184" s="94" t="n">
        <f aca="false">SUM(E184:G184)</f>
        <v>23.196</v>
      </c>
      <c r="J184" s="118" t="s">
        <v>70</v>
      </c>
      <c r="K184" s="74"/>
      <c r="L184" s="74"/>
      <c r="M184" s="119"/>
      <c r="N184" s="74"/>
      <c r="O184" s="74"/>
      <c r="P184" s="74"/>
      <c r="Q184" s="74"/>
      <c r="R184" s="74"/>
      <c r="S184" s="74"/>
      <c r="T184" s="65" t="n">
        <f aca="false">IF(D184&gt;0,(I184/D184),"")</f>
        <v>0.05</v>
      </c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/>
      <c r="CM184" s="74"/>
      <c r="CN184" s="74"/>
      <c r="CO184" s="74"/>
      <c r="CP184" s="74"/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</row>
    <row r="185" customFormat="false" ht="15.75" hidden="false" customHeight="false" outlineLevel="0" collapsed="false">
      <c r="A185" s="120" t="s">
        <v>168</v>
      </c>
      <c r="B185" s="90"/>
      <c r="C185" s="183"/>
      <c r="D185" s="92" t="n">
        <f aca="false">I185/0.05</f>
        <v>1204.34</v>
      </c>
      <c r="E185" s="93" t="n">
        <v>68.463</v>
      </c>
      <c r="F185" s="81" t="n">
        <v>-8.246</v>
      </c>
      <c r="G185" s="81"/>
      <c r="H185" s="81"/>
      <c r="I185" s="94" t="n">
        <f aca="false">SUM(E185:G185)</f>
        <v>60.217</v>
      </c>
      <c r="J185" s="118" t="s">
        <v>70</v>
      </c>
      <c r="K185" s="74"/>
      <c r="L185" s="74"/>
      <c r="M185" s="119"/>
      <c r="N185" s="74"/>
      <c r="O185" s="74"/>
      <c r="P185" s="74"/>
      <c r="Q185" s="74"/>
      <c r="R185" s="74"/>
      <c r="S185" s="74"/>
      <c r="T185" s="65" t="n">
        <f aca="false">IF(D185&gt;0,(I185/D185),"")</f>
        <v>0.05</v>
      </c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/>
      <c r="CM185" s="74"/>
      <c r="CN185" s="74"/>
      <c r="CO185" s="74"/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</row>
    <row r="186" customFormat="false" ht="15.75" hidden="false" customHeight="false" outlineLevel="0" collapsed="false">
      <c r="A186" s="120" t="s">
        <v>169</v>
      </c>
      <c r="B186" s="90"/>
      <c r="C186" s="183"/>
      <c r="D186" s="92" t="n">
        <f aca="false">I186/0.05</f>
        <v>444.5</v>
      </c>
      <c r="E186" s="93" t="n">
        <v>24.181</v>
      </c>
      <c r="F186" s="81" t="n">
        <v>-1.956</v>
      </c>
      <c r="G186" s="81"/>
      <c r="H186" s="81"/>
      <c r="I186" s="94" t="n">
        <f aca="false">SUM(E186:G186)</f>
        <v>22.225</v>
      </c>
      <c r="J186" s="118" t="s">
        <v>70</v>
      </c>
      <c r="K186" s="74"/>
      <c r="L186" s="74"/>
      <c r="M186" s="119"/>
      <c r="N186" s="74"/>
      <c r="O186" s="74"/>
      <c r="P186" s="74"/>
      <c r="Q186" s="74"/>
      <c r="R186" s="74"/>
      <c r="S186" s="74"/>
      <c r="T186" s="65" t="n">
        <f aca="false">IF(D186&gt;0,(I186/D186),"")</f>
        <v>0.05</v>
      </c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/>
      <c r="CN186" s="74"/>
      <c r="CO186" s="74"/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</row>
    <row r="187" customFormat="false" ht="15.75" hidden="false" customHeight="false" outlineLevel="0" collapsed="false">
      <c r="A187" s="120" t="s">
        <v>170</v>
      </c>
      <c r="B187" s="90"/>
      <c r="C187" s="183"/>
      <c r="D187" s="92" t="n">
        <f aca="false">I187/0.05</f>
        <v>5125.16</v>
      </c>
      <c r="E187" s="93" t="n">
        <v>284.484</v>
      </c>
      <c r="F187" s="81" t="n">
        <v>-28.226</v>
      </c>
      <c r="G187" s="81"/>
      <c r="H187" s="81"/>
      <c r="I187" s="94" t="n">
        <f aca="false">SUM(E187:G187)</f>
        <v>256.258</v>
      </c>
      <c r="J187" s="118" t="s">
        <v>70</v>
      </c>
      <c r="K187" s="74"/>
      <c r="L187" s="74"/>
      <c r="M187" s="119"/>
      <c r="N187" s="74"/>
      <c r="O187" s="74"/>
      <c r="P187" s="74"/>
      <c r="Q187" s="74"/>
      <c r="R187" s="74"/>
      <c r="S187" s="74"/>
      <c r="T187" s="65" t="n">
        <f aca="false">IF(D187&gt;0,(I187/D187),"")</f>
        <v>0.05</v>
      </c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/>
      <c r="CM187" s="74"/>
      <c r="CN187" s="74"/>
      <c r="CO187" s="74"/>
      <c r="CP187" s="74"/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</row>
    <row r="188" customFormat="false" ht="15.75" hidden="false" customHeight="false" outlineLevel="0" collapsed="false">
      <c r="A188" s="120" t="s">
        <v>171</v>
      </c>
      <c r="B188" s="90"/>
      <c r="C188" s="183"/>
      <c r="D188" s="92" t="n">
        <f aca="false">I188/0.05</f>
        <v>835.14</v>
      </c>
      <c r="E188" s="93" t="n">
        <v>47.672</v>
      </c>
      <c r="F188" s="81" t="n">
        <v>-5.915</v>
      </c>
      <c r="G188" s="81"/>
      <c r="H188" s="81"/>
      <c r="I188" s="94" t="n">
        <f aca="false">SUM(E188:G188)</f>
        <v>41.757</v>
      </c>
      <c r="J188" s="118" t="s">
        <v>70</v>
      </c>
      <c r="K188" s="74"/>
      <c r="L188" s="74"/>
      <c r="M188" s="119"/>
      <c r="N188" s="74"/>
      <c r="O188" s="74"/>
      <c r="P188" s="74"/>
      <c r="Q188" s="74"/>
      <c r="R188" s="74"/>
      <c r="S188" s="74"/>
      <c r="T188" s="65" t="n">
        <f aca="false">IF(D188&gt;0,(I188/D188),"")</f>
        <v>0.05</v>
      </c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/>
      <c r="CM188" s="74"/>
      <c r="CN188" s="74"/>
      <c r="CO188" s="74"/>
      <c r="CP188" s="74"/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</row>
    <row r="189" customFormat="false" ht="15.75" hidden="false" customHeight="false" outlineLevel="0" collapsed="false">
      <c r="A189" s="120" t="s">
        <v>172</v>
      </c>
      <c r="B189" s="90"/>
      <c r="C189" s="183"/>
      <c r="D189" s="92" t="n">
        <f aca="false">I189/0.05</f>
        <v>790.34</v>
      </c>
      <c r="E189" s="93" t="n">
        <v>41.655</v>
      </c>
      <c r="F189" s="81" t="n">
        <v>-2.138</v>
      </c>
      <c r="G189" s="81"/>
      <c r="H189" s="81"/>
      <c r="I189" s="94" t="n">
        <f aca="false">SUM(E189:G189)</f>
        <v>39.517</v>
      </c>
      <c r="J189" s="118" t="s">
        <v>70</v>
      </c>
      <c r="K189" s="74"/>
      <c r="L189" s="74"/>
      <c r="M189" s="119"/>
      <c r="N189" s="74"/>
      <c r="O189" s="74"/>
      <c r="P189" s="74"/>
      <c r="Q189" s="74"/>
      <c r="R189" s="74"/>
      <c r="S189" s="74"/>
      <c r="T189" s="65" t="n">
        <f aca="false">IF(D189&gt;0,(I189/D189),"")</f>
        <v>0.05</v>
      </c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/>
      <c r="CM189" s="74"/>
      <c r="CN189" s="74"/>
      <c r="CO189" s="74"/>
      <c r="CP189" s="74"/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</row>
    <row r="190" customFormat="false" ht="15.75" hidden="false" customHeight="false" outlineLevel="0" collapsed="false">
      <c r="A190" s="120" t="s">
        <v>173</v>
      </c>
      <c r="B190" s="90"/>
      <c r="C190" s="183"/>
      <c r="D190" s="92" t="n">
        <f aca="false">I190/0.05</f>
        <v>2087.9</v>
      </c>
      <c r="E190" s="93" t="n">
        <v>123.768</v>
      </c>
      <c r="F190" s="81" t="n">
        <v>-19.373</v>
      </c>
      <c r="G190" s="81"/>
      <c r="H190" s="81"/>
      <c r="I190" s="94" t="n">
        <v>104.395</v>
      </c>
      <c r="J190" s="118" t="s">
        <v>70</v>
      </c>
      <c r="K190" s="74"/>
      <c r="L190" s="74"/>
      <c r="M190" s="119"/>
      <c r="N190" s="74"/>
      <c r="O190" s="74"/>
      <c r="P190" s="74"/>
      <c r="Q190" s="74"/>
      <c r="R190" s="74"/>
      <c r="S190" s="74"/>
      <c r="T190" s="65" t="n">
        <f aca="false">IF(D190&gt;0,(I190/D190),"")</f>
        <v>0.05</v>
      </c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/>
      <c r="CM190" s="74"/>
      <c r="CN190" s="74"/>
      <c r="CO190" s="74"/>
      <c r="CP190" s="74"/>
      <c r="CQ190" s="74"/>
      <c r="CR190" s="74"/>
      <c r="CS190" s="74"/>
      <c r="CT190" s="74"/>
      <c r="CU190" s="74"/>
      <c r="CV190" s="74"/>
      <c r="CW190" s="74"/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</row>
    <row r="191" customFormat="false" ht="15.75" hidden="false" customHeight="false" outlineLevel="0" collapsed="false">
      <c r="A191" s="120" t="s">
        <v>174</v>
      </c>
      <c r="B191" s="90"/>
      <c r="C191" s="183"/>
      <c r="D191" s="92" t="n">
        <v>16.9159567516921</v>
      </c>
      <c r="E191" s="93" t="n">
        <v>3.716</v>
      </c>
      <c r="F191" s="81" t="n">
        <v>-1.778</v>
      </c>
      <c r="G191" s="81"/>
      <c r="H191" s="81"/>
      <c r="I191" s="94" t="n">
        <v>1.938</v>
      </c>
      <c r="J191" s="118" t="s">
        <v>70</v>
      </c>
      <c r="K191" s="74"/>
      <c r="L191" s="74"/>
      <c r="M191" s="119"/>
      <c r="N191" s="74"/>
      <c r="O191" s="74"/>
      <c r="P191" s="74"/>
      <c r="Q191" s="74"/>
      <c r="R191" s="74"/>
      <c r="S191" s="74"/>
      <c r="T191" s="65" t="n">
        <f aca="false">IF(D191&gt;0,(I191/D191),"")</f>
        <v>0.114566384180791</v>
      </c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/>
      <c r="CM191" s="74"/>
      <c r="CN191" s="74"/>
      <c r="CO191" s="74"/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</row>
    <row r="192" customFormat="false" ht="15.75" hidden="false" customHeight="false" outlineLevel="0" collapsed="false">
      <c r="A192" s="120" t="s">
        <v>175</v>
      </c>
      <c r="B192" s="90"/>
      <c r="C192" s="183"/>
      <c r="D192" s="92" t="n">
        <f aca="false">I192/0.05</f>
        <v>515.18</v>
      </c>
      <c r="E192" s="93" t="n">
        <v>27.903</v>
      </c>
      <c r="F192" s="81" t="n">
        <v>-2.144</v>
      </c>
      <c r="G192" s="81"/>
      <c r="H192" s="81"/>
      <c r="I192" s="94" t="n">
        <v>25.759</v>
      </c>
      <c r="J192" s="118" t="s">
        <v>70</v>
      </c>
      <c r="K192" s="74"/>
      <c r="L192" s="74"/>
      <c r="M192" s="119"/>
      <c r="N192" s="74"/>
      <c r="O192" s="74"/>
      <c r="P192" s="74"/>
      <c r="Q192" s="74"/>
      <c r="R192" s="74"/>
      <c r="S192" s="74"/>
      <c r="T192" s="65" t="n">
        <f aca="false">IF(D192&gt;0,(I192/D192),"")</f>
        <v>0.05</v>
      </c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/>
      <c r="CM192" s="74"/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</row>
    <row r="193" customFormat="false" ht="15.75" hidden="false" customHeight="false" outlineLevel="0" collapsed="false">
      <c r="A193" s="120" t="s">
        <v>176</v>
      </c>
      <c r="B193" s="90"/>
      <c r="C193" s="183"/>
      <c r="D193" s="92" t="n">
        <f aca="false">I193/0.05</f>
        <v>1123.84</v>
      </c>
      <c r="E193" s="93" t="n">
        <v>62.724</v>
      </c>
      <c r="F193" s="81" t="n">
        <v>-6.532</v>
      </c>
      <c r="G193" s="81"/>
      <c r="H193" s="81"/>
      <c r="I193" s="94" t="n">
        <f aca="false">SUM(E193:H193)</f>
        <v>56.192</v>
      </c>
      <c r="J193" s="118" t="s">
        <v>70</v>
      </c>
      <c r="K193" s="74"/>
      <c r="L193" s="74"/>
      <c r="M193" s="119"/>
      <c r="N193" s="74"/>
      <c r="O193" s="74"/>
      <c r="P193" s="74"/>
      <c r="Q193" s="74"/>
      <c r="R193" s="74"/>
      <c r="S193" s="74"/>
      <c r="T193" s="65" t="n">
        <f aca="false">IF(D193&gt;0,(I193/D193),"")</f>
        <v>0.05</v>
      </c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/>
      <c r="CM193" s="74"/>
      <c r="CN193" s="74"/>
      <c r="CO193" s="74"/>
      <c r="CP193" s="74"/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</row>
    <row r="194" customFormat="false" ht="15.75" hidden="false" customHeight="false" outlineLevel="0" collapsed="false">
      <c r="A194" s="120" t="s">
        <v>177</v>
      </c>
      <c r="B194" s="90"/>
      <c r="C194" s="183"/>
      <c r="D194" s="92" t="n">
        <f aca="false">I194/0.05</f>
        <v>884.32</v>
      </c>
      <c r="E194" s="93" t="n">
        <v>52.151</v>
      </c>
      <c r="F194" s="81" t="n">
        <v>-7.935</v>
      </c>
      <c r="G194" s="81"/>
      <c r="H194" s="81"/>
      <c r="I194" s="94" t="n">
        <f aca="false">SUM(E194:H194)</f>
        <v>44.216</v>
      </c>
      <c r="J194" s="118" t="s">
        <v>70</v>
      </c>
      <c r="K194" s="74"/>
      <c r="L194" s="74"/>
      <c r="M194" s="119"/>
      <c r="N194" s="74"/>
      <c r="O194" s="74"/>
      <c r="P194" s="74"/>
      <c r="Q194" s="74"/>
      <c r="R194" s="74"/>
      <c r="S194" s="74"/>
      <c r="T194" s="65" t="n">
        <f aca="false">IF(D194&gt;0,(I194/D194),"")</f>
        <v>0.05</v>
      </c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/>
      <c r="CM194" s="74"/>
      <c r="CN194" s="74"/>
      <c r="CO194" s="74"/>
      <c r="CP194" s="74"/>
      <c r="CQ194" s="74"/>
      <c r="CR194" s="74"/>
      <c r="CS194" s="74"/>
      <c r="CT194" s="74"/>
      <c r="CU194" s="74"/>
      <c r="CV194" s="74"/>
      <c r="CW194" s="74"/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</row>
    <row r="195" customFormat="false" ht="15.75" hidden="false" customHeight="false" outlineLevel="0" collapsed="false">
      <c r="A195" s="120" t="s">
        <v>178</v>
      </c>
      <c r="B195" s="90"/>
      <c r="C195" s="183"/>
      <c r="D195" s="92" t="n">
        <f aca="false">I195/0.05</f>
        <v>922.2</v>
      </c>
      <c r="E195" s="93" t="n">
        <v>49.321</v>
      </c>
      <c r="F195" s="81" t="n">
        <v>-3.211</v>
      </c>
      <c r="G195" s="81"/>
      <c r="H195" s="81"/>
      <c r="I195" s="94" t="n">
        <f aca="false">SUM(E195:H195)</f>
        <v>46.11</v>
      </c>
      <c r="J195" s="118" t="s">
        <v>70</v>
      </c>
      <c r="K195" s="74"/>
      <c r="L195" s="74"/>
      <c r="M195" s="119"/>
      <c r="N195" s="74"/>
      <c r="O195" s="74"/>
      <c r="P195" s="74"/>
      <c r="Q195" s="74"/>
      <c r="R195" s="74"/>
      <c r="S195" s="74"/>
      <c r="T195" s="65" t="n">
        <f aca="false">IF(D195&gt;0,(I195/D195),"")</f>
        <v>0.05</v>
      </c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/>
      <c r="CN195" s="74"/>
      <c r="CO195" s="74"/>
      <c r="CP195" s="74"/>
      <c r="CQ195" s="74"/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</row>
    <row r="196" customFormat="false" ht="15.75" hidden="false" customHeight="false" outlineLevel="0" collapsed="false">
      <c r="A196" s="120" t="s">
        <v>179</v>
      </c>
      <c r="B196" s="90"/>
      <c r="C196" s="183"/>
      <c r="D196" s="92" t="n">
        <f aca="false">I196/0.05</f>
        <v>612.84</v>
      </c>
      <c r="E196" s="93" t="n">
        <v>32.915</v>
      </c>
      <c r="F196" s="81" t="n">
        <v>-2.273</v>
      </c>
      <c r="G196" s="81"/>
      <c r="H196" s="81"/>
      <c r="I196" s="94" t="n">
        <f aca="false">SUM(E196:H196)</f>
        <v>30.642</v>
      </c>
      <c r="J196" s="118" t="s">
        <v>70</v>
      </c>
      <c r="K196" s="74"/>
      <c r="L196" s="74"/>
      <c r="M196" s="119"/>
      <c r="N196" s="74"/>
      <c r="O196" s="74"/>
      <c r="P196" s="74"/>
      <c r="Q196" s="74"/>
      <c r="R196" s="74"/>
      <c r="S196" s="74"/>
      <c r="T196" s="65" t="n">
        <f aca="false">IF(D196&gt;0,(I196/D196),"")</f>
        <v>0.05</v>
      </c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/>
      <c r="CM196" s="74"/>
      <c r="CN196" s="74"/>
      <c r="CO196" s="74"/>
      <c r="CP196" s="74"/>
      <c r="CQ196" s="74"/>
      <c r="CR196" s="74"/>
      <c r="CS196" s="74"/>
      <c r="CT196" s="74"/>
      <c r="CU196" s="74"/>
      <c r="CV196" s="74"/>
      <c r="CW196" s="74"/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</row>
    <row r="197" customFormat="false" ht="15.75" hidden="false" customHeight="false" outlineLevel="0" collapsed="false">
      <c r="A197" s="120" t="s">
        <v>180</v>
      </c>
      <c r="B197" s="90"/>
      <c r="C197" s="183"/>
      <c r="D197" s="92" t="n">
        <f aca="false">I197/0.05</f>
        <v>988.86</v>
      </c>
      <c r="E197" s="93" t="n">
        <v>53.712</v>
      </c>
      <c r="F197" s="81" t="n">
        <v>-4.269</v>
      </c>
      <c r="G197" s="81"/>
      <c r="H197" s="81"/>
      <c r="I197" s="94" t="n">
        <f aca="false">SUM(E197:H197)</f>
        <v>49.443</v>
      </c>
      <c r="J197" s="118" t="s">
        <v>70</v>
      </c>
      <c r="K197" s="74"/>
      <c r="L197" s="74"/>
      <c r="M197" s="119"/>
      <c r="N197" s="74"/>
      <c r="O197" s="74"/>
      <c r="P197" s="74"/>
      <c r="Q197" s="74"/>
      <c r="R197" s="74"/>
      <c r="S197" s="74"/>
      <c r="T197" s="65" t="n">
        <f aca="false">IF(D197&gt;0,(I197/D197),"")</f>
        <v>0.05</v>
      </c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/>
      <c r="CM197" s="74"/>
      <c r="CN197" s="74"/>
      <c r="CO197" s="74"/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</row>
    <row r="198" customFormat="false" ht="15.75" hidden="false" customHeight="false" outlineLevel="0" collapsed="false">
      <c r="A198" s="120" t="s">
        <v>181</v>
      </c>
      <c r="B198" s="128"/>
      <c r="C198" s="184" t="s">
        <v>182</v>
      </c>
      <c r="D198" s="92" t="n">
        <v>708</v>
      </c>
      <c r="E198" s="93" t="n">
        <v>99.763</v>
      </c>
      <c r="F198" s="81" t="n">
        <v>-18.65</v>
      </c>
      <c r="G198" s="81"/>
      <c r="H198" s="81"/>
      <c r="I198" s="94" t="n">
        <f aca="false">SUM(E198:G198)</f>
        <v>81.113</v>
      </c>
      <c r="J198" s="118" t="s">
        <v>70</v>
      </c>
      <c r="K198" s="74"/>
      <c r="L198" s="74"/>
      <c r="M198" s="119"/>
      <c r="N198" s="74"/>
      <c r="O198" s="74"/>
      <c r="P198" s="74"/>
      <c r="Q198" s="74"/>
      <c r="R198" s="74"/>
      <c r="S198" s="74"/>
      <c r="T198" s="65" t="n">
        <f aca="false">IF(D198&gt;0,(I198/D198),"")</f>
        <v>0.114566384180791</v>
      </c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/>
      <c r="CM198" s="74"/>
      <c r="CN198" s="74"/>
      <c r="CO198" s="74"/>
      <c r="CP198" s="74"/>
      <c r="CQ198" s="74"/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</row>
    <row r="199" customFormat="false" ht="15.75" hidden="false" customHeight="false" outlineLevel="0" collapsed="false">
      <c r="A199" s="120" t="s">
        <v>183</v>
      </c>
      <c r="B199" s="95" t="n">
        <v>37083</v>
      </c>
      <c r="C199" s="118" t="s">
        <v>184</v>
      </c>
      <c r="D199" s="92" t="n">
        <v>1364.808</v>
      </c>
      <c r="E199" s="93" t="n">
        <v>251.728</v>
      </c>
      <c r="F199" s="81" t="n">
        <v>-38.665</v>
      </c>
      <c r="G199" s="81" t="n">
        <v>0</v>
      </c>
      <c r="H199" s="81" t="n">
        <v>0</v>
      </c>
      <c r="I199" s="94" t="n">
        <f aca="false">SUM(E199:H199)</f>
        <v>213.063</v>
      </c>
      <c r="J199" s="118" t="s">
        <v>114</v>
      </c>
      <c r="K199" s="74"/>
      <c r="L199" s="74"/>
      <c r="M199" s="119"/>
      <c r="N199" s="74"/>
      <c r="O199" s="74"/>
      <c r="P199" s="74"/>
      <c r="Q199" s="74"/>
      <c r="R199" s="74"/>
      <c r="S199" s="74"/>
      <c r="T199" s="65" t="n">
        <f aca="false">IF(D199&gt;0,(I199/D199),"")</f>
        <v>0.156112068510736</v>
      </c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/>
      <c r="CM199" s="74"/>
      <c r="CN199" s="74"/>
      <c r="CO199" s="74"/>
      <c r="CP199" s="74"/>
      <c r="CQ199" s="74"/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</row>
    <row r="200" customFormat="false" ht="15.75" hidden="false" customHeight="false" outlineLevel="0" collapsed="false">
      <c r="A200" s="120" t="s">
        <v>185</v>
      </c>
      <c r="B200" s="95" t="n">
        <v>37083</v>
      </c>
      <c r="C200" s="118" t="s">
        <v>186</v>
      </c>
      <c r="D200" s="92" t="n">
        <v>2400</v>
      </c>
      <c r="E200" s="93" t="n">
        <v>55.939</v>
      </c>
      <c r="F200" s="81" t="n">
        <v>-2.588</v>
      </c>
      <c r="G200" s="81" t="n">
        <v>0</v>
      </c>
      <c r="H200" s="81" t="n">
        <v>0</v>
      </c>
      <c r="I200" s="94" t="n">
        <f aca="false">SUM(E200:H200)</f>
        <v>53.351</v>
      </c>
      <c r="J200" s="118" t="s">
        <v>70</v>
      </c>
      <c r="K200" s="74"/>
      <c r="L200" s="74"/>
      <c r="M200" s="119"/>
      <c r="N200" s="74"/>
      <c r="O200" s="74"/>
      <c r="P200" s="74"/>
      <c r="Q200" s="74"/>
      <c r="R200" s="74"/>
      <c r="S200" s="74"/>
      <c r="T200" s="65" t="n">
        <f aca="false">IF(D200&gt;0,(I200/D200),"")</f>
        <v>0.0222295833333333</v>
      </c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/>
      <c r="CN200" s="74"/>
      <c r="CO200" s="74"/>
      <c r="CP200" s="74"/>
      <c r="CQ200" s="74"/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</row>
    <row r="201" customFormat="false" ht="15.75" hidden="false" customHeight="false" outlineLevel="0" collapsed="false">
      <c r="A201" s="120" t="s">
        <v>187</v>
      </c>
      <c r="B201" s="95" t="n">
        <v>37091</v>
      </c>
      <c r="C201" s="118" t="s">
        <v>186</v>
      </c>
      <c r="D201" s="92" t="n">
        <v>5616.426</v>
      </c>
      <c r="E201" s="93" t="n">
        <v>450.785</v>
      </c>
      <c r="F201" s="81" t="n">
        <v>-76.2</v>
      </c>
      <c r="G201" s="81" t="n">
        <v>0</v>
      </c>
      <c r="H201" s="81" t="n">
        <v>0</v>
      </c>
      <c r="I201" s="94" t="n">
        <f aca="false">SUM(E201:H201)</f>
        <v>374.585</v>
      </c>
      <c r="J201" s="118" t="s">
        <v>70</v>
      </c>
      <c r="K201" s="74"/>
      <c r="L201" s="74"/>
      <c r="M201" s="119"/>
      <c r="N201" s="74"/>
      <c r="O201" s="74"/>
      <c r="P201" s="74"/>
      <c r="Q201" s="74"/>
      <c r="R201" s="74"/>
      <c r="S201" s="74"/>
      <c r="T201" s="65" t="n">
        <f aca="false">IF(D201&gt;0,(I201/D201),"")</f>
        <v>0.0666945491670326</v>
      </c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/>
      <c r="CM201" s="74"/>
      <c r="CN201" s="74"/>
      <c r="CO201" s="74"/>
      <c r="CP201" s="74"/>
      <c r="CQ201" s="74"/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</row>
    <row r="202" customFormat="false" ht="15.75" hidden="false" customHeight="false" outlineLevel="0" collapsed="false">
      <c r="A202" s="120" t="s">
        <v>188</v>
      </c>
      <c r="B202" s="95" t="n">
        <v>37091</v>
      </c>
      <c r="C202" s="118" t="s">
        <v>186</v>
      </c>
      <c r="D202" s="92" t="n">
        <v>7249.231</v>
      </c>
      <c r="E202" s="93" t="n">
        <v>346.237</v>
      </c>
      <c r="F202" s="81" t="n">
        <v>-145.7</v>
      </c>
      <c r="G202" s="81" t="n">
        <v>0</v>
      </c>
      <c r="H202" s="81" t="n">
        <v>0</v>
      </c>
      <c r="I202" s="94" t="n">
        <f aca="false">SUM(E202:H202)</f>
        <v>200.537</v>
      </c>
      <c r="J202" s="118" t="s">
        <v>25</v>
      </c>
      <c r="K202" s="74"/>
      <c r="L202" s="74"/>
      <c r="M202" s="119"/>
      <c r="N202" s="74"/>
      <c r="O202" s="74"/>
      <c r="P202" s="74"/>
      <c r="Q202" s="74"/>
      <c r="R202" s="74"/>
      <c r="S202" s="74"/>
      <c r="T202" s="65" t="n">
        <f aca="false">IF(D202&gt;0,(I202/D202),"")</f>
        <v>0.027663210070144</v>
      </c>
      <c r="U202" s="74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4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/>
      <c r="CM202" s="74"/>
      <c r="CN202" s="74"/>
      <c r="CO202" s="74"/>
      <c r="CP202" s="74"/>
      <c r="CQ202" s="74"/>
      <c r="CR202" s="74"/>
      <c r="CS202" s="74"/>
      <c r="CT202" s="74"/>
      <c r="CU202" s="74"/>
      <c r="CV202" s="74"/>
      <c r="CW202" s="74"/>
      <c r="CX202" s="74"/>
      <c r="CY202" s="74"/>
      <c r="CZ202" s="74"/>
      <c r="DA202" s="74"/>
      <c r="DB202" s="74"/>
      <c r="DC202" s="74"/>
      <c r="DD202" s="74"/>
      <c r="DE202" s="74"/>
      <c r="DF202" s="74"/>
      <c r="DG202" s="74"/>
      <c r="DH202" s="74"/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</row>
    <row r="203" customFormat="false" ht="15.75" hidden="false" customHeight="false" outlineLevel="0" collapsed="false">
      <c r="A203" s="120" t="s">
        <v>189</v>
      </c>
      <c r="B203" s="95" t="n">
        <v>37091</v>
      </c>
      <c r="C203" s="118" t="s">
        <v>186</v>
      </c>
      <c r="D203" s="92" t="n">
        <v>170</v>
      </c>
      <c r="E203" s="93" t="n">
        <v>274.763</v>
      </c>
      <c r="F203" s="81" t="n">
        <v>-33.676</v>
      </c>
      <c r="G203" s="81" t="n">
        <v>0</v>
      </c>
      <c r="H203" s="81" t="n">
        <v>0</v>
      </c>
      <c r="I203" s="94" t="n">
        <f aca="false">SUM(E203:H203)</f>
        <v>241.087</v>
      </c>
      <c r="J203" s="118" t="s">
        <v>70</v>
      </c>
      <c r="K203" s="74"/>
      <c r="L203" s="74"/>
      <c r="M203" s="119"/>
      <c r="N203" s="74"/>
      <c r="O203" s="74"/>
      <c r="P203" s="74"/>
      <c r="Q203" s="74"/>
      <c r="R203" s="74"/>
      <c r="S203" s="74"/>
      <c r="T203" s="65" t="n">
        <f aca="false">IF(D203&gt;0,(I203/D203),"")</f>
        <v>1.41815882352941</v>
      </c>
      <c r="U203" s="74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4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/>
      <c r="CN203" s="74"/>
      <c r="CO203" s="74"/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</row>
    <row r="204" customFormat="false" ht="15.75" hidden="false" customHeight="false" outlineLevel="0" collapsed="false">
      <c r="A204" s="120" t="s">
        <v>190</v>
      </c>
      <c r="B204" s="95" t="n">
        <v>37091</v>
      </c>
      <c r="C204" s="118" t="s">
        <v>186</v>
      </c>
      <c r="D204" s="92" t="n">
        <v>674.2</v>
      </c>
      <c r="E204" s="93" t="n">
        <v>55.509</v>
      </c>
      <c r="F204" s="81" t="n">
        <v>-11.423</v>
      </c>
      <c r="G204" s="81" t="n">
        <v>0</v>
      </c>
      <c r="H204" s="81" t="n">
        <v>0</v>
      </c>
      <c r="I204" s="94" t="n">
        <f aca="false">SUM(E204:H204)</f>
        <v>44.086</v>
      </c>
      <c r="J204" s="118" t="s">
        <v>70</v>
      </c>
      <c r="K204" s="74"/>
      <c r="L204" s="74"/>
      <c r="M204" s="119"/>
      <c r="N204" s="74"/>
      <c r="O204" s="74"/>
      <c r="P204" s="74"/>
      <c r="Q204" s="74"/>
      <c r="R204" s="74"/>
      <c r="S204" s="74"/>
      <c r="T204" s="65" t="n">
        <f aca="false">IF(D204&gt;0,(I204/D204),"")</f>
        <v>0.0653900919608425</v>
      </c>
      <c r="U204" s="74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4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/>
      <c r="CN204" s="74"/>
      <c r="CO204" s="74"/>
      <c r="CP204" s="74"/>
      <c r="CQ204" s="74"/>
      <c r="CR204" s="74"/>
      <c r="CS204" s="74"/>
      <c r="CT204" s="74"/>
      <c r="CU204" s="74"/>
      <c r="CV204" s="74"/>
      <c r="CW204" s="74"/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</row>
    <row r="205" customFormat="false" ht="15.75" hidden="false" customHeight="false" outlineLevel="0" collapsed="false">
      <c r="A205" s="120" t="s">
        <v>191</v>
      </c>
      <c r="B205" s="95" t="n">
        <v>37091</v>
      </c>
      <c r="C205" s="118" t="s">
        <v>186</v>
      </c>
      <c r="D205" s="92" t="n">
        <v>350</v>
      </c>
      <c r="E205" s="93" t="n">
        <v>86.87</v>
      </c>
      <c r="F205" s="81" t="n">
        <v>-4.013</v>
      </c>
      <c r="G205" s="81" t="n">
        <v>0</v>
      </c>
      <c r="H205" s="81" t="n">
        <v>0</v>
      </c>
      <c r="I205" s="94" t="n">
        <f aca="false">SUM(E205:H205)</f>
        <v>82.857</v>
      </c>
      <c r="J205" s="118" t="s">
        <v>70</v>
      </c>
      <c r="K205" s="74"/>
      <c r="L205" s="74"/>
      <c r="M205" s="119"/>
      <c r="N205" s="74"/>
      <c r="O205" s="74"/>
      <c r="P205" s="74"/>
      <c r="Q205" s="74"/>
      <c r="R205" s="74"/>
      <c r="S205" s="74"/>
      <c r="T205" s="65" t="n">
        <f aca="false">IF(D205&gt;0,(I205/D205),"")</f>
        <v>0.236734285714286</v>
      </c>
      <c r="U205" s="74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4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/>
      <c r="CN205" s="74"/>
      <c r="CO205" s="74"/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</row>
    <row r="206" customFormat="false" ht="18" hidden="false" customHeight="true" outlineLevel="0" collapsed="false">
      <c r="A206" s="120" t="s">
        <v>192</v>
      </c>
      <c r="B206" s="95" t="n">
        <v>37091</v>
      </c>
      <c r="C206" s="118" t="s">
        <v>186</v>
      </c>
      <c r="D206" s="92" t="n">
        <v>1094.5</v>
      </c>
      <c r="E206" s="93" t="n">
        <v>77.313</v>
      </c>
      <c r="F206" s="81" t="n">
        <v>-15.261</v>
      </c>
      <c r="G206" s="81" t="n">
        <v>0</v>
      </c>
      <c r="H206" s="81" t="n">
        <v>0</v>
      </c>
      <c r="I206" s="94" t="n">
        <f aca="false">SUM(E206:H206)</f>
        <v>62.052</v>
      </c>
      <c r="J206" s="118" t="s">
        <v>70</v>
      </c>
      <c r="K206" s="74"/>
      <c r="L206" s="74"/>
      <c r="M206" s="119"/>
      <c r="N206" s="74"/>
      <c r="O206" s="74"/>
      <c r="P206" s="74"/>
      <c r="Q206" s="74"/>
      <c r="R206" s="74"/>
      <c r="S206" s="74"/>
      <c r="T206" s="65" t="n">
        <f aca="false">IF(D206&gt;0,(I206/D206),"")</f>
        <v>0.0566943809958885</v>
      </c>
      <c r="U206" s="74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4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/>
      <c r="CM206" s="74"/>
      <c r="CN206" s="74"/>
      <c r="CO206" s="74"/>
      <c r="CP206" s="74"/>
      <c r="CQ206" s="74"/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</row>
    <row r="207" customFormat="false" ht="18" hidden="false" customHeight="true" outlineLevel="0" collapsed="false">
      <c r="A207" s="120" t="s">
        <v>193</v>
      </c>
      <c r="B207" s="95" t="n">
        <v>37091</v>
      </c>
      <c r="C207" s="118" t="s">
        <v>186</v>
      </c>
      <c r="D207" s="92" t="n">
        <v>523.7</v>
      </c>
      <c r="E207" s="93" t="n">
        <v>61.772</v>
      </c>
      <c r="F207" s="81" t="n">
        <v>-11.181</v>
      </c>
      <c r="G207" s="81" t="n">
        <v>0</v>
      </c>
      <c r="H207" s="81" t="n">
        <v>0</v>
      </c>
      <c r="I207" s="94" t="n">
        <f aca="false">SUM(E207:H207)</f>
        <v>50.591</v>
      </c>
      <c r="J207" s="118" t="s">
        <v>70</v>
      </c>
      <c r="K207" s="74"/>
      <c r="L207" s="74"/>
      <c r="M207" s="119"/>
      <c r="N207" s="74"/>
      <c r="O207" s="74"/>
      <c r="P207" s="74"/>
      <c r="Q207" s="74"/>
      <c r="R207" s="74"/>
      <c r="S207" s="74"/>
      <c r="T207" s="65" t="n">
        <f aca="false">IF(D207&gt;0,(I207/D207),"")</f>
        <v>0.0966030169944625</v>
      </c>
      <c r="U207" s="74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4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/>
      <c r="CN207" s="74"/>
      <c r="CO207" s="74"/>
      <c r="CP207" s="74"/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</row>
    <row r="208" customFormat="false" ht="15.75" hidden="false" customHeight="false" outlineLevel="0" collapsed="false">
      <c r="A208" s="120" t="s">
        <v>194</v>
      </c>
      <c r="B208" s="95" t="n">
        <v>37105</v>
      </c>
      <c r="C208" s="118" t="s">
        <v>186</v>
      </c>
      <c r="D208" s="92" t="n">
        <v>-524</v>
      </c>
      <c r="E208" s="93" t="n">
        <v>-119.336</v>
      </c>
      <c r="F208" s="81" t="n">
        <v>11.254</v>
      </c>
      <c r="G208" s="81" t="n">
        <v>0</v>
      </c>
      <c r="H208" s="81"/>
      <c r="I208" s="94" t="n">
        <v>-108.082</v>
      </c>
      <c r="J208" s="118" t="s">
        <v>70</v>
      </c>
      <c r="K208" s="74"/>
      <c r="L208" s="142"/>
      <c r="M208" s="119"/>
      <c r="N208" s="74"/>
      <c r="O208" s="74"/>
      <c r="P208" s="74"/>
      <c r="Q208" s="74"/>
      <c r="R208" s="74"/>
      <c r="S208" s="74"/>
      <c r="T208" s="65" t="str">
        <f aca="false">IF(D208&gt;0,(I208/D208),"")</f>
        <v/>
      </c>
      <c r="U208" s="74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4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/>
      <c r="CM208" s="74"/>
      <c r="CN208" s="74"/>
      <c r="CO208" s="74"/>
      <c r="CP208" s="74"/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142"/>
      <c r="IW208" s="142"/>
    </row>
    <row r="209" customFormat="false" ht="18" hidden="false" customHeight="true" outlineLevel="0" collapsed="false">
      <c r="A209" s="120" t="s">
        <v>195</v>
      </c>
      <c r="B209" s="95" t="n">
        <v>37091</v>
      </c>
      <c r="C209" s="118" t="s">
        <v>186</v>
      </c>
      <c r="D209" s="96" t="n">
        <f aca="false">I209/0.015</f>
        <v>24174.6666666667</v>
      </c>
      <c r="E209" s="93" t="n">
        <v>410.1</v>
      </c>
      <c r="F209" s="81" t="n">
        <v>-47.48</v>
      </c>
      <c r="G209" s="81" t="n">
        <v>0</v>
      </c>
      <c r="H209" s="81"/>
      <c r="I209" s="94" t="n">
        <f aca="false">SUM(E209:H209)</f>
        <v>362.62</v>
      </c>
      <c r="J209" s="118" t="s">
        <v>70</v>
      </c>
      <c r="K209" s="74"/>
      <c r="L209" s="74"/>
      <c r="M209" s="119"/>
      <c r="N209" s="74"/>
      <c r="O209" s="74"/>
      <c r="P209" s="74"/>
      <c r="Q209" s="74"/>
      <c r="R209" s="74"/>
      <c r="S209" s="74"/>
      <c r="T209" s="65" t="n">
        <f aca="false">IF(D209&gt;0,(I209/D209),"")</f>
        <v>0.015</v>
      </c>
      <c r="U209" s="74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4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/>
      <c r="CM209" s="74"/>
      <c r="CN209" s="74"/>
      <c r="CO209" s="74"/>
      <c r="CP209" s="74"/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</row>
    <row r="210" customFormat="false" ht="18" hidden="false" customHeight="true" outlineLevel="0" collapsed="false">
      <c r="A210" s="120" t="s">
        <v>196</v>
      </c>
      <c r="B210" s="95" t="n">
        <v>37091</v>
      </c>
      <c r="C210" s="118" t="s">
        <v>184</v>
      </c>
      <c r="D210" s="92" t="n">
        <v>6359.603</v>
      </c>
      <c r="E210" s="93" t="n">
        <v>788.656</v>
      </c>
      <c r="F210" s="81" t="n">
        <v>-100.381</v>
      </c>
      <c r="G210" s="81" t="n">
        <v>0</v>
      </c>
      <c r="H210" s="81" t="n">
        <v>0</v>
      </c>
      <c r="I210" s="94" t="n">
        <f aca="false">SUM(E210:H210)</f>
        <v>688.275</v>
      </c>
      <c r="J210" s="118" t="s">
        <v>114</v>
      </c>
      <c r="K210" s="74"/>
      <c r="L210" s="74"/>
      <c r="M210" s="119"/>
      <c r="N210" s="74"/>
      <c r="O210" s="74"/>
      <c r="P210" s="74"/>
      <c r="Q210" s="74"/>
      <c r="R210" s="74"/>
      <c r="S210" s="74"/>
      <c r="T210" s="65" t="n">
        <f aca="false">IF(D210&gt;0,(I210/D210),"")</f>
        <v>0.108226095245254</v>
      </c>
      <c r="U210" s="74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4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/>
      <c r="CM210" s="74"/>
      <c r="CN210" s="74"/>
      <c r="CO210" s="74"/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</row>
    <row r="211" customFormat="false" ht="15.75" hidden="false" customHeight="false" outlineLevel="0" collapsed="false">
      <c r="A211" s="120" t="s">
        <v>197</v>
      </c>
      <c r="B211" s="95" t="n">
        <v>37098</v>
      </c>
      <c r="C211" s="118" t="s">
        <v>186</v>
      </c>
      <c r="D211" s="96" t="n">
        <f aca="false">I211/0.03</f>
        <v>-12</v>
      </c>
      <c r="E211" s="93" t="n">
        <v>0</v>
      </c>
      <c r="F211" s="81" t="n">
        <v>-0.36</v>
      </c>
      <c r="G211" s="81" t="n">
        <v>0</v>
      </c>
      <c r="H211" s="81"/>
      <c r="I211" s="94" t="n">
        <f aca="false">SUM(E211:H211)</f>
        <v>-0.36</v>
      </c>
      <c r="J211" s="118" t="s">
        <v>70</v>
      </c>
      <c r="K211" s="74"/>
      <c r="L211" s="74"/>
      <c r="M211" s="119"/>
      <c r="N211" s="74"/>
      <c r="O211" s="74"/>
      <c r="P211" s="74"/>
      <c r="Q211" s="74"/>
      <c r="R211" s="74"/>
      <c r="S211" s="74"/>
      <c r="T211" s="65" t="str">
        <f aca="false">IF(D211&gt;0,(I211/D211),"")</f>
        <v/>
      </c>
      <c r="U211" s="74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4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/>
      <c r="CM211" s="74"/>
      <c r="CN211" s="74"/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</row>
    <row r="212" customFormat="false" ht="15.75" hidden="false" customHeight="false" outlineLevel="0" collapsed="false">
      <c r="A212" s="120" t="s">
        <v>198</v>
      </c>
      <c r="B212" s="95" t="n">
        <v>37098</v>
      </c>
      <c r="C212" s="118" t="s">
        <v>186</v>
      </c>
      <c r="D212" s="96" t="n">
        <v>0</v>
      </c>
      <c r="E212" s="93" t="n">
        <v>-628.054</v>
      </c>
      <c r="F212" s="81" t="n">
        <v>41.272</v>
      </c>
      <c r="G212" s="81" t="n">
        <v>0</v>
      </c>
      <c r="H212" s="81"/>
      <c r="I212" s="94" t="n">
        <f aca="false">SUM(E212:H212)</f>
        <v>-586.782</v>
      </c>
      <c r="J212" s="118" t="s">
        <v>70</v>
      </c>
      <c r="K212" s="74"/>
      <c r="L212" s="74"/>
      <c r="M212" s="119"/>
      <c r="N212" s="74"/>
      <c r="O212" s="74"/>
      <c r="P212" s="74"/>
      <c r="Q212" s="74"/>
      <c r="R212" s="74"/>
      <c r="S212" s="74"/>
      <c r="T212" s="65" t="str">
        <f aca="false">IF(D212&gt;0,(I212/D212),"")</f>
        <v/>
      </c>
      <c r="U212" s="74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4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/>
      <c r="CM212" s="74"/>
      <c r="CN212" s="74"/>
      <c r="CO212" s="74"/>
      <c r="CP212" s="74"/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</row>
    <row r="213" customFormat="false" ht="15.75" hidden="false" customHeight="false" outlineLevel="0" collapsed="false">
      <c r="A213" s="120" t="s">
        <v>199</v>
      </c>
      <c r="B213" s="95" t="n">
        <v>37098</v>
      </c>
      <c r="C213" s="118" t="s">
        <v>186</v>
      </c>
      <c r="D213" s="96" t="n">
        <f aca="false">I213/0.03</f>
        <v>1109.43333333333</v>
      </c>
      <c r="E213" s="93" t="n">
        <v>36.71</v>
      </c>
      <c r="F213" s="81" t="n">
        <v>-3.427</v>
      </c>
      <c r="G213" s="81" t="n">
        <v>0</v>
      </c>
      <c r="H213" s="81"/>
      <c r="I213" s="94" t="n">
        <f aca="false">SUM(E213:H213)</f>
        <v>33.283</v>
      </c>
      <c r="J213" s="118" t="s">
        <v>70</v>
      </c>
      <c r="K213" s="74"/>
      <c r="L213" s="74"/>
      <c r="M213" s="119"/>
      <c r="N213" s="74"/>
      <c r="O213" s="74"/>
      <c r="P213" s="74"/>
      <c r="Q213" s="74"/>
      <c r="R213" s="74"/>
      <c r="S213" s="74"/>
      <c r="T213" s="65" t="n">
        <f aca="false">IF(D213&gt;0,(I213/D213),"")</f>
        <v>0.03</v>
      </c>
      <c r="U213" s="74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4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/>
      <c r="CM213" s="74"/>
      <c r="CN213" s="74"/>
      <c r="CO213" s="74"/>
      <c r="CP213" s="74"/>
      <c r="CQ213" s="74"/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</row>
    <row r="214" customFormat="false" ht="15.75" hidden="false" customHeight="false" outlineLevel="0" collapsed="false">
      <c r="A214" s="120" t="s">
        <v>200</v>
      </c>
      <c r="B214" s="95" t="n">
        <v>37105</v>
      </c>
      <c r="C214" s="118" t="s">
        <v>184</v>
      </c>
      <c r="D214" s="92" t="n">
        <f aca="false">I214/0.06</f>
        <v>2625.5</v>
      </c>
      <c r="E214" s="93" t="n">
        <v>172.546</v>
      </c>
      <c r="F214" s="81" t="n">
        <v>-15.016</v>
      </c>
      <c r="G214" s="81" t="n">
        <v>0</v>
      </c>
      <c r="H214" s="81"/>
      <c r="I214" s="94" t="n">
        <v>157.53</v>
      </c>
      <c r="J214" s="118" t="s">
        <v>114</v>
      </c>
      <c r="K214" s="74"/>
      <c r="L214" s="142"/>
      <c r="M214" s="119"/>
      <c r="N214" s="74"/>
      <c r="O214" s="74"/>
      <c r="P214" s="74"/>
      <c r="Q214" s="74"/>
      <c r="R214" s="74"/>
      <c r="S214" s="74"/>
      <c r="T214" s="65" t="n">
        <f aca="false">IF(D214&gt;0,(I214/D214),"")</f>
        <v>0.06</v>
      </c>
      <c r="U214" s="74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4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/>
      <c r="CM214" s="74"/>
      <c r="CN214" s="74"/>
      <c r="CO214" s="74"/>
      <c r="CP214" s="74"/>
      <c r="CQ214" s="74"/>
      <c r="CR214" s="74"/>
      <c r="CS214" s="74"/>
      <c r="CT214" s="74"/>
      <c r="CU214" s="74"/>
      <c r="CV214" s="74"/>
      <c r="CW214" s="74"/>
      <c r="CX214" s="74"/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142"/>
      <c r="IW214" s="142"/>
    </row>
    <row r="215" customFormat="false" ht="15.75" hidden="false" customHeight="false" outlineLevel="0" collapsed="false">
      <c r="A215" s="120" t="s">
        <v>201</v>
      </c>
      <c r="B215" s="95" t="n">
        <v>37105</v>
      </c>
      <c r="C215" s="118" t="s">
        <v>184</v>
      </c>
      <c r="D215" s="185" t="n">
        <v>446.6</v>
      </c>
      <c r="E215" s="93" t="n">
        <v>68.594</v>
      </c>
      <c r="F215" s="81" t="n">
        <v>-13.857</v>
      </c>
      <c r="G215" s="81" t="n">
        <v>0</v>
      </c>
      <c r="H215" s="81"/>
      <c r="I215" s="94" t="n">
        <v>54.737</v>
      </c>
      <c r="J215" s="118" t="s">
        <v>114</v>
      </c>
      <c r="K215" s="74"/>
      <c r="L215" s="142"/>
      <c r="M215" s="119"/>
      <c r="N215" s="74"/>
      <c r="O215" s="74"/>
      <c r="P215" s="74"/>
      <c r="Q215" s="74"/>
      <c r="R215" s="74"/>
      <c r="S215" s="74"/>
      <c r="T215" s="65" t="n">
        <f aca="false">IF(D215&gt;0,(I215/D215),"")</f>
        <v>0.12256381549485</v>
      </c>
      <c r="U215" s="74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4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/>
      <c r="CN215" s="74"/>
      <c r="CO215" s="74"/>
      <c r="CP215" s="74"/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142"/>
      <c r="IW215" s="142"/>
    </row>
    <row r="216" customFormat="false" ht="15.75" hidden="false" customHeight="false" outlineLevel="0" collapsed="false">
      <c r="A216" s="120" t="s">
        <v>202</v>
      </c>
      <c r="B216" s="95"/>
      <c r="C216" s="118"/>
      <c r="D216" s="185" t="n">
        <f aca="false">I216/0.04</f>
        <v>0</v>
      </c>
      <c r="E216" s="93" t="n">
        <v>0</v>
      </c>
      <c r="F216" s="81" t="n">
        <v>0</v>
      </c>
      <c r="G216" s="81" t="n">
        <v>0</v>
      </c>
      <c r="H216" s="81" t="n">
        <v>0</v>
      </c>
      <c r="I216" s="94" t="n">
        <f aca="false">SUM(E216:H216)</f>
        <v>0</v>
      </c>
      <c r="J216" s="118" t="s">
        <v>18</v>
      </c>
      <c r="K216" s="74"/>
      <c r="L216" s="142"/>
      <c r="M216" s="186"/>
      <c r="N216" s="187"/>
      <c r="O216" s="74"/>
      <c r="P216" s="74"/>
      <c r="Q216" s="74"/>
      <c r="R216" s="74"/>
      <c r="S216" s="74"/>
      <c r="T216" s="65" t="str">
        <f aca="false">IF(D216&gt;0,(I216/D216),"")</f>
        <v/>
      </c>
      <c r="U216" s="74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4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/>
      <c r="CN216" s="74"/>
      <c r="CO216" s="74"/>
      <c r="CP216" s="74"/>
      <c r="CQ216" s="74"/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142"/>
      <c r="IW216" s="142"/>
    </row>
    <row r="217" customFormat="false" ht="15.75" hidden="false" customHeight="false" outlineLevel="0" collapsed="false">
      <c r="A217" s="120" t="s">
        <v>203</v>
      </c>
      <c r="B217" s="95"/>
      <c r="C217" s="188"/>
      <c r="D217" s="92" t="n">
        <f aca="false">I217/0.08</f>
        <v>-211636.022</v>
      </c>
      <c r="E217" s="189" t="n">
        <f aca="false">+D797/1000</f>
        <v>-16930.88176</v>
      </c>
      <c r="F217" s="81" t="n">
        <v>0</v>
      </c>
      <c r="G217" s="81" t="n">
        <v>0</v>
      </c>
      <c r="H217" s="81" t="n">
        <v>0</v>
      </c>
      <c r="I217" s="94" t="n">
        <f aca="false">SUM(E217:H217)</f>
        <v>-16930.88176</v>
      </c>
      <c r="J217" s="118"/>
      <c r="K217" s="74"/>
      <c r="L217" s="74"/>
      <c r="M217" s="74"/>
      <c r="N217" s="74"/>
      <c r="O217" s="74"/>
      <c r="P217" s="74"/>
      <c r="Q217" s="74"/>
      <c r="R217" s="74"/>
      <c r="S217" s="74"/>
      <c r="T217" s="65" t="str">
        <f aca="false">IF(D217&gt;0,(I217/D217),"")</f>
        <v/>
      </c>
      <c r="U217" s="74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4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/>
      <c r="CN217" s="74"/>
      <c r="CO217" s="74"/>
      <c r="CP217" s="74"/>
      <c r="CQ217" s="74"/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</row>
    <row r="218" customFormat="false" ht="15.75" hidden="false" customHeight="false" outlineLevel="0" collapsed="false">
      <c r="A218" s="137" t="s">
        <v>204</v>
      </c>
      <c r="B218" s="190"/>
      <c r="C218" s="139"/>
      <c r="D218" s="85"/>
      <c r="E218" s="191" t="n">
        <v>2.292</v>
      </c>
      <c r="F218" s="87" t="n">
        <v>0</v>
      </c>
      <c r="G218" s="87" t="n">
        <v>0</v>
      </c>
      <c r="H218" s="87" t="n">
        <v>0</v>
      </c>
      <c r="I218" s="88" t="n">
        <f aca="false">SUM(E218:H218)</f>
        <v>2.292</v>
      </c>
      <c r="J218" s="118" t="s">
        <v>18</v>
      </c>
      <c r="K218" s="74"/>
      <c r="L218" s="74"/>
      <c r="M218" s="74"/>
      <c r="N218" s="74"/>
      <c r="O218" s="74"/>
      <c r="P218" s="74"/>
      <c r="Q218" s="74"/>
      <c r="R218" s="74"/>
      <c r="S218" s="74"/>
      <c r="T218" s="65" t="str">
        <f aca="false">IF(D218&gt;0,(I218/D218),"")</f>
        <v/>
      </c>
      <c r="U218" s="74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4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/>
      <c r="CM218" s="74"/>
      <c r="CN218" s="74"/>
      <c r="CO218" s="74"/>
      <c r="CP218" s="74"/>
      <c r="CQ218" s="74"/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</row>
    <row r="219" customFormat="false" ht="15.75" hidden="false" customHeight="false" outlineLevel="0" collapsed="false">
      <c r="A219" s="137" t="s">
        <v>205</v>
      </c>
      <c r="B219" s="190"/>
      <c r="C219" s="139"/>
      <c r="D219" s="85"/>
      <c r="E219" s="191" t="n">
        <f aca="false">-(2.777+78.154+27.469+27.822)</f>
        <v>-136.222</v>
      </c>
      <c r="F219" s="87" t="n">
        <v>0</v>
      </c>
      <c r="G219" s="87" t="n">
        <v>0</v>
      </c>
      <c r="H219" s="87"/>
      <c r="I219" s="88" t="n">
        <f aca="false">SUM(E219:G219)</f>
        <v>-136.222</v>
      </c>
      <c r="J219" s="118"/>
      <c r="K219" s="74"/>
      <c r="L219" s="74"/>
      <c r="M219" s="74"/>
      <c r="N219" s="74"/>
      <c r="O219" s="74"/>
      <c r="P219" s="74"/>
      <c r="Q219" s="74"/>
      <c r="R219" s="74"/>
      <c r="S219" s="74"/>
      <c r="T219" s="65" t="str">
        <f aca="false">IF(D219&gt;0,(I219/D219),"")</f>
        <v/>
      </c>
      <c r="U219" s="74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4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/>
      <c r="CN219" s="74"/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</row>
    <row r="220" customFormat="false" ht="15.75" hidden="false" customHeight="false" outlineLevel="0" collapsed="false">
      <c r="A220" s="120" t="s">
        <v>206</v>
      </c>
      <c r="B220" s="90"/>
      <c r="C220" s="118" t="s">
        <v>184</v>
      </c>
      <c r="D220" s="96" t="n">
        <f aca="false">I220/0.04</f>
        <v>12147.975</v>
      </c>
      <c r="E220" s="93" t="n">
        <v>485.919</v>
      </c>
      <c r="F220" s="81" t="n">
        <v>0</v>
      </c>
      <c r="G220" s="81" t="n">
        <v>0</v>
      </c>
      <c r="H220" s="81" t="n">
        <v>0</v>
      </c>
      <c r="I220" s="94" t="n">
        <f aca="false">SUM(E220:H220)</f>
        <v>485.919</v>
      </c>
      <c r="J220" s="192" t="s">
        <v>18</v>
      </c>
      <c r="K220" s="74"/>
      <c r="L220" s="74"/>
      <c r="M220" s="74"/>
      <c r="N220" s="74"/>
      <c r="O220" s="74"/>
      <c r="P220" s="74"/>
      <c r="Q220" s="74"/>
      <c r="R220" s="74"/>
      <c r="S220" s="74"/>
      <c r="T220" s="65" t="n">
        <f aca="false">IF(D220&gt;0,(I220/D220),"")</f>
        <v>0.04</v>
      </c>
      <c r="U220" s="74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4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/>
      <c r="CO220" s="74"/>
      <c r="CP220" s="74"/>
      <c r="CQ220" s="74"/>
      <c r="CR220" s="74"/>
      <c r="CS220" s="74"/>
      <c r="CT220" s="74"/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</row>
    <row r="221" customFormat="false" ht="15" hidden="false" customHeight="false" outlineLevel="0" collapsed="false">
      <c r="A221" s="120" t="s">
        <v>207</v>
      </c>
      <c r="B221" s="90"/>
      <c r="C221" s="118" t="s">
        <v>182</v>
      </c>
      <c r="D221" s="135" t="n">
        <f aca="false">I221/0.04</f>
        <v>101418.419</v>
      </c>
      <c r="E221" s="193" t="n">
        <f aca="false">-12874.145-E217</f>
        <v>4056.73676</v>
      </c>
      <c r="F221" s="132" t="n">
        <v>0</v>
      </c>
      <c r="G221" s="132" t="n">
        <v>0</v>
      </c>
      <c r="H221" s="132" t="n">
        <v>0</v>
      </c>
      <c r="I221" s="133" t="n">
        <f aca="false">SUM(E221:H221)</f>
        <v>4056.73676</v>
      </c>
      <c r="J221" s="118" t="s">
        <v>18</v>
      </c>
      <c r="K221" s="97"/>
      <c r="L221" s="97"/>
      <c r="M221" s="97"/>
      <c r="N221" s="97"/>
      <c r="O221" s="97"/>
      <c r="P221" s="97"/>
      <c r="Q221" s="97"/>
      <c r="R221" s="97"/>
      <c r="S221" s="97"/>
      <c r="T221" s="65" t="n">
        <f aca="false">IF(D221&gt;0,(I221/D221),"")</f>
        <v>0.04</v>
      </c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  <c r="BU221" s="97"/>
      <c r="BV221" s="97"/>
      <c r="BW221" s="97"/>
      <c r="BX221" s="97"/>
      <c r="BY221" s="97"/>
      <c r="BZ221" s="97"/>
      <c r="CA221" s="97"/>
      <c r="CB221" s="97"/>
      <c r="CC221" s="97"/>
      <c r="CD221" s="97"/>
      <c r="CE221" s="97"/>
      <c r="CF221" s="97"/>
      <c r="CG221" s="97"/>
      <c r="CH221" s="97"/>
      <c r="CI221" s="97"/>
      <c r="CJ221" s="97"/>
      <c r="CK221" s="97"/>
      <c r="CL221" s="97"/>
      <c r="CM221" s="97"/>
      <c r="CN221" s="97"/>
      <c r="CO221" s="97"/>
      <c r="CP221" s="97"/>
      <c r="CQ221" s="97"/>
      <c r="CR221" s="97"/>
      <c r="CS221" s="97"/>
      <c r="CT221" s="97"/>
      <c r="CU221" s="97"/>
      <c r="CV221" s="97"/>
      <c r="CW221" s="97"/>
      <c r="CX221" s="97"/>
      <c r="CY221" s="97"/>
      <c r="CZ221" s="97"/>
      <c r="DA221" s="97"/>
      <c r="DB221" s="97"/>
      <c r="DC221" s="97"/>
      <c r="DD221" s="97"/>
      <c r="DE221" s="97"/>
      <c r="DF221" s="97"/>
      <c r="DG221" s="97"/>
      <c r="DH221" s="97"/>
      <c r="DI221" s="97"/>
      <c r="DJ221" s="97"/>
      <c r="DK221" s="97"/>
      <c r="DL221" s="97"/>
      <c r="DM221" s="97"/>
      <c r="DN221" s="97"/>
      <c r="DO221" s="97"/>
      <c r="DP221" s="97"/>
      <c r="DQ221" s="97"/>
      <c r="DR221" s="97"/>
      <c r="DS221" s="97"/>
      <c r="DT221" s="97"/>
      <c r="DU221" s="97"/>
      <c r="DV221" s="97"/>
      <c r="DW221" s="97"/>
      <c r="DX221" s="97"/>
      <c r="DY221" s="97"/>
      <c r="DZ221" s="97"/>
      <c r="EA221" s="97"/>
      <c r="EB221" s="97"/>
      <c r="EC221" s="97"/>
      <c r="ED221" s="97"/>
      <c r="EE221" s="97"/>
      <c r="EF221" s="97"/>
      <c r="EG221" s="97"/>
      <c r="EH221" s="97"/>
      <c r="EI221" s="97"/>
      <c r="EJ221" s="97"/>
      <c r="EK221" s="97"/>
      <c r="EL221" s="97"/>
      <c r="EM221" s="97"/>
      <c r="EN221" s="97"/>
      <c r="EO221" s="97"/>
      <c r="EP221" s="97"/>
      <c r="EQ221" s="97"/>
      <c r="ER221" s="97"/>
      <c r="ES221" s="97"/>
      <c r="ET221" s="97"/>
      <c r="EU221" s="97"/>
      <c r="EV221" s="97"/>
      <c r="EW221" s="97"/>
      <c r="EX221" s="97"/>
      <c r="EY221" s="97"/>
      <c r="EZ221" s="97"/>
      <c r="FA221" s="97"/>
      <c r="FB221" s="97"/>
      <c r="FC221" s="97"/>
      <c r="FD221" s="97"/>
      <c r="FE221" s="97"/>
      <c r="FF221" s="97"/>
      <c r="FG221" s="97"/>
      <c r="FH221" s="97"/>
      <c r="FI221" s="97"/>
      <c r="FJ221" s="97"/>
      <c r="FK221" s="97"/>
      <c r="FL221" s="97"/>
      <c r="FM221" s="97"/>
      <c r="FN221" s="97"/>
      <c r="FO221" s="97"/>
      <c r="FP221" s="97"/>
      <c r="FQ221" s="97"/>
      <c r="FR221" s="97"/>
      <c r="FS221" s="97"/>
      <c r="FT221" s="97"/>
      <c r="FU221" s="97"/>
      <c r="FV221" s="97"/>
      <c r="FW221" s="97"/>
      <c r="FX221" s="97"/>
      <c r="FY221" s="97"/>
      <c r="FZ221" s="97"/>
      <c r="GA221" s="97"/>
      <c r="GB221" s="97"/>
      <c r="GC221" s="97"/>
      <c r="GD221" s="97"/>
      <c r="GE221" s="97"/>
      <c r="GF221" s="97"/>
      <c r="GG221" s="97"/>
      <c r="GH221" s="97"/>
      <c r="GI221" s="97"/>
      <c r="GJ221" s="97"/>
      <c r="GK221" s="97"/>
      <c r="GL221" s="97"/>
      <c r="GM221" s="97"/>
      <c r="GN221" s="97"/>
      <c r="GO221" s="97"/>
      <c r="GP221" s="97"/>
      <c r="GQ221" s="97"/>
      <c r="GR221" s="97"/>
      <c r="GS221" s="97"/>
      <c r="GT221" s="97"/>
      <c r="GU221" s="97"/>
      <c r="GV221" s="97"/>
      <c r="GW221" s="97"/>
      <c r="GX221" s="97"/>
      <c r="GY221" s="97"/>
      <c r="GZ221" s="97"/>
      <c r="HA221" s="97"/>
      <c r="HB221" s="97"/>
      <c r="HC221" s="97"/>
      <c r="HD221" s="97"/>
      <c r="HE221" s="97"/>
      <c r="HF221" s="97"/>
      <c r="HG221" s="97"/>
      <c r="HH221" s="97"/>
      <c r="HI221" s="97"/>
      <c r="HJ221" s="97"/>
      <c r="HK221" s="97"/>
      <c r="HL221" s="97"/>
      <c r="HM221" s="97"/>
      <c r="HN221" s="97"/>
      <c r="HO221" s="97"/>
      <c r="HP221" s="97"/>
      <c r="HQ221" s="97"/>
      <c r="HR221" s="97"/>
      <c r="HS221" s="97"/>
      <c r="HT221" s="97"/>
      <c r="HU221" s="97"/>
      <c r="HV221" s="97"/>
      <c r="HW221" s="97"/>
      <c r="HX221" s="97"/>
      <c r="HY221" s="97"/>
      <c r="HZ221" s="97"/>
      <c r="IA221" s="97"/>
      <c r="IB221" s="97"/>
      <c r="IC221" s="97"/>
      <c r="ID221" s="97"/>
      <c r="IE221" s="97"/>
      <c r="IF221" s="97"/>
      <c r="IG221" s="97"/>
      <c r="IH221" s="97"/>
      <c r="II221" s="97"/>
      <c r="IJ221" s="97"/>
      <c r="IK221" s="97"/>
      <c r="IL221" s="97"/>
      <c r="IM221" s="97"/>
      <c r="IN221" s="97"/>
      <c r="IO221" s="97"/>
      <c r="IP221" s="97"/>
      <c r="IQ221" s="97"/>
      <c r="IR221" s="97"/>
      <c r="IS221" s="97"/>
      <c r="IT221" s="97"/>
      <c r="IU221" s="97"/>
      <c r="IV221" s="97"/>
      <c r="IW221" s="97"/>
    </row>
    <row r="222" customFormat="false" ht="15" hidden="false" customHeight="false" outlineLevel="0" collapsed="false">
      <c r="A222" s="194" t="s">
        <v>208</v>
      </c>
      <c r="B222" s="195"/>
      <c r="C222" s="188"/>
      <c r="D222" s="92" t="n">
        <f aca="false">SUM(D157:D221)</f>
        <v>46272.9896234183</v>
      </c>
      <c r="E222" s="93" t="n">
        <f aca="false">SUM(E157:E221)</f>
        <v>-4272.559</v>
      </c>
      <c r="F222" s="81" t="n">
        <f aca="false">SUM(F157:F221)</f>
        <v>-1694.92</v>
      </c>
      <c r="G222" s="81" t="n">
        <f aca="false">SUM(G157:G221)</f>
        <v>0</v>
      </c>
      <c r="H222" s="81" t="n">
        <f aca="false">SUM(H157:H221)</f>
        <v>0</v>
      </c>
      <c r="I222" s="94" t="n">
        <f aca="false">SUM(I157:I221)</f>
        <v>-5967.479</v>
      </c>
      <c r="J222" s="118"/>
      <c r="K222" s="97"/>
      <c r="L222" s="97"/>
      <c r="M222" s="97"/>
      <c r="N222" s="97"/>
      <c r="O222" s="97"/>
      <c r="P222" s="97"/>
      <c r="Q222" s="97"/>
      <c r="R222" s="97"/>
      <c r="S222" s="97"/>
      <c r="T222" s="65" t="n">
        <f aca="false">IF(D222&gt;0,(I222/D222),"")</f>
        <v>-0.128962469219407</v>
      </c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  <c r="BU222" s="97"/>
      <c r="BV222" s="97"/>
      <c r="BW222" s="97"/>
      <c r="BX222" s="97"/>
      <c r="BY222" s="97"/>
      <c r="BZ222" s="97"/>
      <c r="CA222" s="97"/>
      <c r="CB222" s="97"/>
      <c r="CC222" s="97"/>
      <c r="CD222" s="97"/>
      <c r="CE222" s="97"/>
      <c r="CF222" s="97"/>
      <c r="CG222" s="97"/>
      <c r="CH222" s="97"/>
      <c r="CI222" s="97"/>
      <c r="CJ222" s="97"/>
      <c r="CK222" s="97"/>
      <c r="CL222" s="97"/>
      <c r="CM222" s="97"/>
      <c r="CN222" s="97"/>
      <c r="CO222" s="97"/>
      <c r="CP222" s="97"/>
      <c r="CQ222" s="97"/>
      <c r="CR222" s="97"/>
      <c r="CS222" s="97"/>
      <c r="CT222" s="97"/>
      <c r="CU222" s="97"/>
      <c r="CV222" s="97"/>
      <c r="CW222" s="97"/>
      <c r="CX222" s="97"/>
      <c r="CY222" s="97"/>
      <c r="CZ222" s="97"/>
      <c r="DA222" s="97"/>
      <c r="DB222" s="97"/>
      <c r="DC222" s="97"/>
      <c r="DD222" s="97"/>
      <c r="DE222" s="97"/>
      <c r="DF222" s="97"/>
      <c r="DG222" s="97"/>
      <c r="DH222" s="97"/>
      <c r="DI222" s="97"/>
      <c r="DJ222" s="97"/>
      <c r="DK222" s="97"/>
      <c r="DL222" s="97"/>
      <c r="DM222" s="97"/>
      <c r="DN222" s="97"/>
      <c r="DO222" s="97"/>
      <c r="DP222" s="97"/>
      <c r="DQ222" s="97"/>
      <c r="DR222" s="97"/>
      <c r="DS222" s="97"/>
      <c r="DT222" s="97"/>
      <c r="DU222" s="97"/>
      <c r="DV222" s="97"/>
      <c r="DW222" s="97"/>
      <c r="DX222" s="97"/>
      <c r="DY222" s="97"/>
      <c r="DZ222" s="97"/>
      <c r="EA222" s="97"/>
      <c r="EB222" s="97"/>
      <c r="EC222" s="97"/>
      <c r="ED222" s="97"/>
      <c r="EE222" s="97"/>
      <c r="EF222" s="97"/>
      <c r="EG222" s="97"/>
      <c r="EH222" s="97"/>
      <c r="EI222" s="97"/>
      <c r="EJ222" s="97"/>
      <c r="EK222" s="97"/>
      <c r="EL222" s="97"/>
      <c r="EM222" s="97"/>
      <c r="EN222" s="97"/>
      <c r="EO222" s="97"/>
      <c r="EP222" s="97"/>
      <c r="EQ222" s="97"/>
      <c r="ER222" s="97"/>
      <c r="ES222" s="97"/>
      <c r="ET222" s="97"/>
      <c r="EU222" s="97"/>
      <c r="EV222" s="97"/>
      <c r="EW222" s="97"/>
      <c r="EX222" s="97"/>
      <c r="EY222" s="97"/>
      <c r="EZ222" s="97"/>
      <c r="FA222" s="97"/>
      <c r="FB222" s="97"/>
      <c r="FC222" s="97"/>
      <c r="FD222" s="97"/>
      <c r="FE222" s="97"/>
      <c r="FF222" s="97"/>
      <c r="FG222" s="97"/>
      <c r="FH222" s="97"/>
      <c r="FI222" s="97"/>
      <c r="FJ222" s="97"/>
      <c r="FK222" s="97"/>
      <c r="FL222" s="97"/>
      <c r="FM222" s="97"/>
      <c r="FN222" s="97"/>
      <c r="FO222" s="97"/>
      <c r="FP222" s="97"/>
      <c r="FQ222" s="97"/>
      <c r="FR222" s="97"/>
      <c r="FS222" s="97"/>
      <c r="FT222" s="97"/>
      <c r="FU222" s="97"/>
      <c r="FV222" s="97"/>
      <c r="FW222" s="97"/>
      <c r="FX222" s="97"/>
      <c r="FY222" s="97"/>
      <c r="FZ222" s="97"/>
      <c r="GA222" s="97"/>
      <c r="GB222" s="97"/>
      <c r="GC222" s="97"/>
      <c r="GD222" s="97"/>
      <c r="GE222" s="97"/>
      <c r="GF222" s="97"/>
      <c r="GG222" s="97"/>
      <c r="GH222" s="97"/>
      <c r="GI222" s="97"/>
      <c r="GJ222" s="97"/>
      <c r="GK222" s="97"/>
      <c r="GL222" s="97"/>
      <c r="GM222" s="97"/>
      <c r="GN222" s="97"/>
      <c r="GO222" s="97"/>
      <c r="GP222" s="97"/>
      <c r="GQ222" s="97"/>
      <c r="GR222" s="97"/>
      <c r="GS222" s="97"/>
      <c r="GT222" s="97"/>
      <c r="GU222" s="97"/>
      <c r="GV222" s="97"/>
      <c r="GW222" s="97"/>
      <c r="GX222" s="97"/>
      <c r="GY222" s="97"/>
      <c r="GZ222" s="97"/>
      <c r="HA222" s="97"/>
      <c r="HB222" s="97"/>
      <c r="HC222" s="97"/>
      <c r="HD222" s="97"/>
      <c r="HE222" s="97"/>
      <c r="HF222" s="97"/>
      <c r="HG222" s="97"/>
      <c r="HH222" s="97"/>
      <c r="HI222" s="97"/>
      <c r="HJ222" s="97"/>
      <c r="HK222" s="97"/>
      <c r="HL222" s="97"/>
      <c r="HM222" s="97"/>
      <c r="HN222" s="97"/>
      <c r="HO222" s="97"/>
      <c r="HP222" s="97"/>
      <c r="HQ222" s="97"/>
      <c r="HR222" s="97"/>
      <c r="HS222" s="97"/>
      <c r="HT222" s="97"/>
      <c r="HU222" s="97"/>
      <c r="HV222" s="97"/>
      <c r="HW222" s="97"/>
      <c r="HX222" s="97"/>
      <c r="HY222" s="97"/>
      <c r="HZ222" s="97"/>
      <c r="IA222" s="97"/>
      <c r="IB222" s="97"/>
      <c r="IC222" s="97"/>
      <c r="ID222" s="97"/>
      <c r="IE222" s="97"/>
      <c r="IF222" s="97"/>
      <c r="IG222" s="97"/>
      <c r="IH222" s="97"/>
      <c r="II222" s="97"/>
      <c r="IJ222" s="97"/>
      <c r="IK222" s="97"/>
      <c r="IL222" s="97"/>
      <c r="IM222" s="97"/>
      <c r="IN222" s="97"/>
      <c r="IO222" s="97"/>
      <c r="IP222" s="97"/>
      <c r="IQ222" s="97"/>
      <c r="IR222" s="97"/>
      <c r="IS222" s="97"/>
      <c r="IT222" s="97"/>
      <c r="IU222" s="97"/>
      <c r="IV222" s="97"/>
      <c r="IW222" s="97"/>
    </row>
    <row r="223" customFormat="false" ht="15" hidden="false" customHeight="false" outlineLevel="0" collapsed="false">
      <c r="A223" s="196"/>
      <c r="B223" s="195"/>
      <c r="C223" s="188"/>
      <c r="D223" s="92"/>
      <c r="E223" s="93"/>
      <c r="F223" s="81"/>
      <c r="G223" s="81"/>
      <c r="H223" s="81"/>
      <c r="I223" s="94"/>
      <c r="J223" s="118"/>
      <c r="K223" s="97"/>
      <c r="L223" s="97"/>
      <c r="M223" s="97"/>
      <c r="N223" s="97"/>
      <c r="O223" s="97"/>
      <c r="P223" s="97"/>
      <c r="Q223" s="97"/>
      <c r="R223" s="97"/>
      <c r="S223" s="97"/>
      <c r="T223" s="65" t="str">
        <f aca="false">IF(D223&gt;0,(I223/D223),"")</f>
        <v/>
      </c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7"/>
      <c r="BS223" s="97"/>
      <c r="BT223" s="97"/>
      <c r="BU223" s="97"/>
      <c r="BV223" s="97"/>
      <c r="BW223" s="97"/>
      <c r="BX223" s="97"/>
      <c r="BY223" s="97"/>
      <c r="BZ223" s="97"/>
      <c r="CA223" s="97"/>
      <c r="CB223" s="97"/>
      <c r="CC223" s="97"/>
      <c r="CD223" s="97"/>
      <c r="CE223" s="97"/>
      <c r="CF223" s="97"/>
      <c r="CG223" s="97"/>
      <c r="CH223" s="97"/>
      <c r="CI223" s="97"/>
      <c r="CJ223" s="97"/>
      <c r="CK223" s="97"/>
      <c r="CL223" s="97"/>
      <c r="CM223" s="97"/>
      <c r="CN223" s="97"/>
      <c r="CO223" s="97"/>
      <c r="CP223" s="97"/>
      <c r="CQ223" s="97"/>
      <c r="CR223" s="97"/>
      <c r="CS223" s="97"/>
      <c r="CT223" s="97"/>
      <c r="CU223" s="97"/>
      <c r="CV223" s="97"/>
      <c r="CW223" s="97"/>
      <c r="CX223" s="97"/>
      <c r="CY223" s="97"/>
      <c r="CZ223" s="97"/>
      <c r="DA223" s="97"/>
      <c r="DB223" s="97"/>
      <c r="DC223" s="97"/>
      <c r="DD223" s="97"/>
      <c r="DE223" s="97"/>
      <c r="DF223" s="97"/>
      <c r="DG223" s="97"/>
      <c r="DH223" s="97"/>
      <c r="DI223" s="97"/>
      <c r="DJ223" s="97"/>
      <c r="DK223" s="97"/>
      <c r="DL223" s="97"/>
      <c r="DM223" s="97"/>
      <c r="DN223" s="97"/>
      <c r="DO223" s="97"/>
      <c r="DP223" s="97"/>
      <c r="DQ223" s="97"/>
      <c r="DR223" s="97"/>
      <c r="DS223" s="97"/>
      <c r="DT223" s="97"/>
      <c r="DU223" s="97"/>
      <c r="DV223" s="97"/>
      <c r="DW223" s="97"/>
      <c r="DX223" s="97"/>
      <c r="DY223" s="97"/>
      <c r="DZ223" s="97"/>
      <c r="EA223" s="97"/>
      <c r="EB223" s="97"/>
      <c r="EC223" s="97"/>
      <c r="ED223" s="97"/>
      <c r="EE223" s="97"/>
      <c r="EF223" s="97"/>
      <c r="EG223" s="97"/>
      <c r="EH223" s="97"/>
      <c r="EI223" s="97"/>
      <c r="EJ223" s="97"/>
      <c r="EK223" s="97"/>
      <c r="EL223" s="97"/>
      <c r="EM223" s="97"/>
      <c r="EN223" s="97"/>
      <c r="EO223" s="97"/>
      <c r="EP223" s="97"/>
      <c r="EQ223" s="97"/>
      <c r="ER223" s="97"/>
      <c r="ES223" s="97"/>
      <c r="ET223" s="97"/>
      <c r="EU223" s="97"/>
      <c r="EV223" s="97"/>
      <c r="EW223" s="97"/>
      <c r="EX223" s="97"/>
      <c r="EY223" s="97"/>
      <c r="EZ223" s="97"/>
      <c r="FA223" s="97"/>
      <c r="FB223" s="97"/>
      <c r="FC223" s="97"/>
      <c r="FD223" s="97"/>
      <c r="FE223" s="97"/>
      <c r="FF223" s="97"/>
      <c r="FG223" s="97"/>
      <c r="FH223" s="97"/>
      <c r="FI223" s="97"/>
      <c r="FJ223" s="97"/>
      <c r="FK223" s="97"/>
      <c r="FL223" s="97"/>
      <c r="FM223" s="97"/>
      <c r="FN223" s="97"/>
      <c r="FO223" s="97"/>
      <c r="FP223" s="97"/>
      <c r="FQ223" s="97"/>
      <c r="FR223" s="97"/>
      <c r="FS223" s="97"/>
      <c r="FT223" s="97"/>
      <c r="FU223" s="97"/>
      <c r="FV223" s="97"/>
      <c r="FW223" s="97"/>
      <c r="FX223" s="97"/>
      <c r="FY223" s="97"/>
      <c r="FZ223" s="97"/>
      <c r="GA223" s="97"/>
      <c r="GB223" s="97"/>
      <c r="GC223" s="97"/>
      <c r="GD223" s="97"/>
      <c r="GE223" s="97"/>
      <c r="GF223" s="97"/>
      <c r="GG223" s="97"/>
      <c r="GH223" s="97"/>
      <c r="GI223" s="97"/>
      <c r="GJ223" s="97"/>
      <c r="GK223" s="97"/>
      <c r="GL223" s="97"/>
      <c r="GM223" s="97"/>
      <c r="GN223" s="97"/>
      <c r="GO223" s="97"/>
      <c r="GP223" s="97"/>
      <c r="GQ223" s="97"/>
      <c r="GR223" s="97"/>
      <c r="GS223" s="97"/>
      <c r="GT223" s="97"/>
      <c r="GU223" s="97"/>
      <c r="GV223" s="97"/>
      <c r="GW223" s="97"/>
      <c r="GX223" s="97"/>
      <c r="GY223" s="97"/>
      <c r="GZ223" s="97"/>
      <c r="HA223" s="97"/>
      <c r="HB223" s="97"/>
      <c r="HC223" s="97"/>
      <c r="HD223" s="97"/>
      <c r="HE223" s="97"/>
      <c r="HF223" s="97"/>
      <c r="HG223" s="97"/>
      <c r="HH223" s="97"/>
      <c r="HI223" s="97"/>
      <c r="HJ223" s="97"/>
      <c r="HK223" s="97"/>
      <c r="HL223" s="97"/>
      <c r="HM223" s="97"/>
      <c r="HN223" s="97"/>
      <c r="HO223" s="97"/>
      <c r="HP223" s="97"/>
      <c r="HQ223" s="97"/>
      <c r="HR223" s="97"/>
      <c r="HS223" s="97"/>
      <c r="HT223" s="97"/>
      <c r="HU223" s="97"/>
      <c r="HV223" s="97"/>
      <c r="HW223" s="97"/>
      <c r="HX223" s="97"/>
      <c r="HY223" s="97"/>
      <c r="HZ223" s="97"/>
      <c r="IA223" s="97"/>
      <c r="IB223" s="97"/>
      <c r="IC223" s="97"/>
      <c r="ID223" s="97"/>
      <c r="IE223" s="97"/>
      <c r="IF223" s="97"/>
      <c r="IG223" s="97"/>
      <c r="IH223" s="97"/>
      <c r="II223" s="97"/>
      <c r="IJ223" s="97"/>
      <c r="IK223" s="97"/>
      <c r="IL223" s="97"/>
      <c r="IM223" s="97"/>
      <c r="IN223" s="97"/>
      <c r="IO223" s="97"/>
      <c r="IP223" s="97"/>
      <c r="IQ223" s="97"/>
      <c r="IR223" s="97"/>
      <c r="IS223" s="97"/>
      <c r="IT223" s="97"/>
      <c r="IU223" s="97"/>
      <c r="IV223" s="97"/>
      <c r="IW223" s="97"/>
    </row>
    <row r="224" customFormat="false" ht="15" hidden="false" customHeight="false" outlineLevel="0" collapsed="false">
      <c r="A224" s="197" t="s">
        <v>209</v>
      </c>
      <c r="B224" s="198"/>
      <c r="C224" s="188"/>
      <c r="D224" s="92"/>
      <c r="E224" s="93"/>
      <c r="F224" s="81"/>
      <c r="G224" s="81"/>
      <c r="H224" s="81"/>
      <c r="I224" s="94"/>
      <c r="J224" s="118"/>
      <c r="K224" s="97"/>
      <c r="L224" s="199"/>
      <c r="M224" s="97"/>
      <c r="N224" s="97"/>
      <c r="O224" s="97"/>
      <c r="P224" s="97"/>
      <c r="Q224" s="97"/>
      <c r="R224" s="97"/>
      <c r="S224" s="97"/>
      <c r="T224" s="65" t="str">
        <f aca="false">IF(D224&gt;0,(I224/D224),"")</f>
        <v/>
      </c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  <c r="BG224" s="97"/>
      <c r="BH224" s="97"/>
      <c r="BI224" s="97"/>
      <c r="BJ224" s="97"/>
      <c r="BK224" s="97"/>
      <c r="BL224" s="97"/>
      <c r="BM224" s="97"/>
      <c r="BN224" s="97"/>
      <c r="BO224" s="97"/>
      <c r="BP224" s="97"/>
      <c r="BQ224" s="97"/>
      <c r="BR224" s="97"/>
      <c r="BS224" s="97"/>
      <c r="BT224" s="97"/>
      <c r="BU224" s="97"/>
      <c r="BV224" s="199"/>
      <c r="BW224" s="199"/>
      <c r="BX224" s="199"/>
      <c r="BY224" s="199"/>
      <c r="BZ224" s="199"/>
      <c r="CA224" s="199"/>
      <c r="CB224" s="199"/>
      <c r="CC224" s="199"/>
      <c r="CD224" s="199"/>
      <c r="CE224" s="199"/>
      <c r="CF224" s="199"/>
      <c r="CG224" s="199"/>
      <c r="CH224" s="199"/>
      <c r="CI224" s="199"/>
      <c r="CJ224" s="199"/>
      <c r="CK224" s="199"/>
      <c r="CL224" s="199"/>
      <c r="CM224" s="199"/>
      <c r="CN224" s="199"/>
      <c r="CO224" s="199"/>
      <c r="CP224" s="199"/>
      <c r="CQ224" s="199"/>
      <c r="CR224" s="199"/>
      <c r="CS224" s="199"/>
      <c r="CT224" s="199"/>
      <c r="CU224" s="199"/>
      <c r="CV224" s="199"/>
      <c r="CW224" s="199"/>
      <c r="CX224" s="199"/>
      <c r="CY224" s="199"/>
      <c r="CZ224" s="199"/>
      <c r="DA224" s="199"/>
      <c r="DB224" s="199"/>
      <c r="DC224" s="199"/>
      <c r="DD224" s="199"/>
      <c r="DE224" s="199"/>
      <c r="DF224" s="199"/>
      <c r="DG224" s="199"/>
      <c r="DH224" s="199"/>
      <c r="DI224" s="199"/>
      <c r="DJ224" s="199"/>
      <c r="DK224" s="199"/>
      <c r="DL224" s="199"/>
      <c r="DM224" s="199"/>
      <c r="DN224" s="199"/>
      <c r="DO224" s="199"/>
      <c r="DP224" s="199"/>
      <c r="DQ224" s="199"/>
      <c r="DR224" s="199"/>
      <c r="DS224" s="199"/>
      <c r="DT224" s="199"/>
      <c r="DU224" s="199"/>
      <c r="DV224" s="199"/>
      <c r="DW224" s="199"/>
      <c r="DX224" s="199"/>
      <c r="DY224" s="199"/>
      <c r="DZ224" s="199"/>
      <c r="EA224" s="199"/>
      <c r="EB224" s="199"/>
      <c r="EC224" s="199"/>
      <c r="ED224" s="199"/>
      <c r="EE224" s="199"/>
      <c r="EF224" s="199"/>
      <c r="EG224" s="199"/>
      <c r="EH224" s="199"/>
      <c r="EI224" s="199"/>
      <c r="EJ224" s="199"/>
      <c r="EK224" s="199"/>
      <c r="EL224" s="199"/>
      <c r="EM224" s="199"/>
      <c r="EN224" s="199"/>
      <c r="EO224" s="199"/>
      <c r="EP224" s="199"/>
      <c r="EQ224" s="199"/>
      <c r="ER224" s="199"/>
      <c r="ES224" s="199"/>
      <c r="ET224" s="199"/>
      <c r="EU224" s="199"/>
      <c r="EV224" s="199"/>
      <c r="EW224" s="199"/>
      <c r="EX224" s="199"/>
      <c r="EY224" s="199"/>
      <c r="EZ224" s="199"/>
      <c r="FA224" s="199"/>
      <c r="FB224" s="199"/>
      <c r="FC224" s="199"/>
      <c r="FD224" s="199"/>
      <c r="FE224" s="199"/>
      <c r="FF224" s="199"/>
      <c r="FG224" s="199"/>
      <c r="FH224" s="199"/>
      <c r="FI224" s="199"/>
      <c r="FJ224" s="199"/>
      <c r="FK224" s="199"/>
      <c r="FL224" s="199"/>
      <c r="FM224" s="199"/>
      <c r="FN224" s="199"/>
      <c r="FO224" s="199"/>
      <c r="FP224" s="199"/>
      <c r="FQ224" s="199"/>
      <c r="FR224" s="199"/>
      <c r="FS224" s="199"/>
      <c r="FT224" s="199"/>
      <c r="FU224" s="199"/>
      <c r="FV224" s="199"/>
      <c r="FW224" s="199"/>
      <c r="FX224" s="199"/>
      <c r="FY224" s="199"/>
      <c r="FZ224" s="199"/>
      <c r="GA224" s="199"/>
      <c r="GB224" s="199"/>
      <c r="GC224" s="199"/>
      <c r="GD224" s="199"/>
      <c r="GE224" s="199"/>
      <c r="GF224" s="199"/>
      <c r="GG224" s="199"/>
      <c r="GH224" s="199"/>
      <c r="GI224" s="199"/>
      <c r="GJ224" s="199"/>
      <c r="GK224" s="199"/>
      <c r="GL224" s="199"/>
      <c r="GM224" s="199"/>
      <c r="GN224" s="199"/>
      <c r="GO224" s="199"/>
      <c r="GP224" s="199"/>
      <c r="GQ224" s="199"/>
      <c r="GR224" s="199"/>
      <c r="GS224" s="199"/>
      <c r="GT224" s="199"/>
      <c r="GU224" s="199"/>
      <c r="GV224" s="199"/>
      <c r="GW224" s="199"/>
      <c r="GX224" s="199"/>
      <c r="GY224" s="199"/>
      <c r="GZ224" s="199"/>
      <c r="HA224" s="199"/>
      <c r="HB224" s="199"/>
      <c r="HC224" s="199"/>
      <c r="HD224" s="199"/>
      <c r="HE224" s="199"/>
      <c r="HF224" s="199"/>
      <c r="HG224" s="199"/>
      <c r="HH224" s="199"/>
      <c r="HI224" s="199"/>
      <c r="HJ224" s="199"/>
      <c r="HK224" s="199"/>
      <c r="HL224" s="199"/>
      <c r="HM224" s="199"/>
      <c r="HN224" s="199"/>
      <c r="HO224" s="199"/>
      <c r="HP224" s="199"/>
      <c r="HQ224" s="199"/>
      <c r="HR224" s="199"/>
      <c r="HS224" s="199"/>
      <c r="HT224" s="199"/>
      <c r="HU224" s="199"/>
      <c r="HV224" s="199"/>
      <c r="HW224" s="199"/>
      <c r="HX224" s="199"/>
      <c r="HY224" s="199"/>
      <c r="HZ224" s="199"/>
      <c r="IA224" s="199"/>
      <c r="IB224" s="199"/>
      <c r="IC224" s="199"/>
      <c r="ID224" s="199"/>
      <c r="IE224" s="199"/>
      <c r="IF224" s="199"/>
      <c r="IG224" s="199"/>
      <c r="IH224" s="199"/>
      <c r="II224" s="199"/>
      <c r="IJ224" s="199"/>
      <c r="IK224" s="199"/>
      <c r="IL224" s="199"/>
      <c r="IM224" s="199"/>
      <c r="IN224" s="199"/>
      <c r="IO224" s="199"/>
      <c r="IP224" s="199"/>
      <c r="IQ224" s="199"/>
      <c r="IR224" s="199"/>
      <c r="IS224" s="199"/>
      <c r="IT224" s="199"/>
      <c r="IU224" s="199"/>
      <c r="IV224" s="199"/>
      <c r="IW224" s="199"/>
    </row>
    <row r="225" customFormat="false" ht="6.75" hidden="false" customHeight="true" outlineLevel="0" collapsed="false">
      <c r="A225" s="200"/>
      <c r="B225" s="198"/>
      <c r="C225" s="188"/>
      <c r="D225" s="92"/>
      <c r="E225" s="93"/>
      <c r="F225" s="81"/>
      <c r="G225" s="81"/>
      <c r="H225" s="81"/>
      <c r="I225" s="94"/>
      <c r="J225" s="118"/>
      <c r="K225" s="97"/>
      <c r="L225" s="199"/>
      <c r="M225" s="97"/>
      <c r="N225" s="97"/>
      <c r="O225" s="97"/>
      <c r="P225" s="97"/>
      <c r="Q225" s="97"/>
      <c r="R225" s="97"/>
      <c r="S225" s="97"/>
      <c r="T225" s="65" t="str">
        <f aca="false">IF(D225&gt;0,(I225/D225),"")</f>
        <v/>
      </c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7"/>
      <c r="BS225" s="97"/>
      <c r="BT225" s="97"/>
      <c r="BU225" s="97"/>
      <c r="BV225" s="199"/>
      <c r="BW225" s="199"/>
      <c r="BX225" s="199"/>
      <c r="BY225" s="199"/>
      <c r="BZ225" s="199"/>
      <c r="CA225" s="199"/>
      <c r="CB225" s="199"/>
      <c r="CC225" s="199"/>
      <c r="CD225" s="199"/>
      <c r="CE225" s="199"/>
      <c r="CF225" s="199"/>
      <c r="CG225" s="199"/>
      <c r="CH225" s="199"/>
      <c r="CI225" s="199"/>
      <c r="CJ225" s="199"/>
      <c r="CK225" s="199"/>
      <c r="CL225" s="199"/>
      <c r="CM225" s="199"/>
      <c r="CN225" s="199"/>
      <c r="CO225" s="199"/>
      <c r="CP225" s="199"/>
      <c r="CQ225" s="199"/>
      <c r="CR225" s="199"/>
      <c r="CS225" s="199"/>
      <c r="CT225" s="199"/>
      <c r="CU225" s="199"/>
      <c r="CV225" s="199"/>
      <c r="CW225" s="199"/>
      <c r="CX225" s="199"/>
      <c r="CY225" s="199"/>
      <c r="CZ225" s="199"/>
      <c r="DA225" s="199"/>
      <c r="DB225" s="199"/>
      <c r="DC225" s="199"/>
      <c r="DD225" s="199"/>
      <c r="DE225" s="199"/>
      <c r="DF225" s="199"/>
      <c r="DG225" s="199"/>
      <c r="DH225" s="199"/>
      <c r="DI225" s="199"/>
      <c r="DJ225" s="199"/>
      <c r="DK225" s="199"/>
      <c r="DL225" s="199"/>
      <c r="DM225" s="199"/>
      <c r="DN225" s="199"/>
      <c r="DO225" s="199"/>
      <c r="DP225" s="199"/>
      <c r="DQ225" s="199"/>
      <c r="DR225" s="199"/>
      <c r="DS225" s="199"/>
      <c r="DT225" s="199"/>
      <c r="DU225" s="199"/>
      <c r="DV225" s="199"/>
      <c r="DW225" s="199"/>
      <c r="DX225" s="199"/>
      <c r="DY225" s="199"/>
      <c r="DZ225" s="199"/>
      <c r="EA225" s="199"/>
      <c r="EB225" s="199"/>
      <c r="EC225" s="199"/>
      <c r="ED225" s="199"/>
      <c r="EE225" s="199"/>
      <c r="EF225" s="199"/>
      <c r="EG225" s="199"/>
      <c r="EH225" s="199"/>
      <c r="EI225" s="199"/>
      <c r="EJ225" s="199"/>
      <c r="EK225" s="199"/>
      <c r="EL225" s="199"/>
      <c r="EM225" s="199"/>
      <c r="EN225" s="199"/>
      <c r="EO225" s="199"/>
      <c r="EP225" s="199"/>
      <c r="EQ225" s="199"/>
      <c r="ER225" s="199"/>
      <c r="ES225" s="199"/>
      <c r="ET225" s="199"/>
      <c r="EU225" s="199"/>
      <c r="EV225" s="199"/>
      <c r="EW225" s="199"/>
      <c r="EX225" s="199"/>
      <c r="EY225" s="199"/>
      <c r="EZ225" s="199"/>
      <c r="FA225" s="199"/>
      <c r="FB225" s="199"/>
      <c r="FC225" s="199"/>
      <c r="FD225" s="199"/>
      <c r="FE225" s="199"/>
      <c r="FF225" s="199"/>
      <c r="FG225" s="199"/>
      <c r="FH225" s="199"/>
      <c r="FI225" s="199"/>
      <c r="FJ225" s="199"/>
      <c r="FK225" s="199"/>
      <c r="FL225" s="199"/>
      <c r="FM225" s="199"/>
      <c r="FN225" s="199"/>
      <c r="FO225" s="199"/>
      <c r="FP225" s="199"/>
      <c r="FQ225" s="199"/>
      <c r="FR225" s="199"/>
      <c r="FS225" s="199"/>
      <c r="FT225" s="199"/>
      <c r="FU225" s="199"/>
      <c r="FV225" s="199"/>
      <c r="FW225" s="199"/>
      <c r="FX225" s="199"/>
      <c r="FY225" s="199"/>
      <c r="FZ225" s="199"/>
      <c r="GA225" s="199"/>
      <c r="GB225" s="199"/>
      <c r="GC225" s="199"/>
      <c r="GD225" s="199"/>
      <c r="GE225" s="199"/>
      <c r="GF225" s="199"/>
      <c r="GG225" s="199"/>
      <c r="GH225" s="199"/>
      <c r="GI225" s="199"/>
      <c r="GJ225" s="199"/>
      <c r="GK225" s="199"/>
      <c r="GL225" s="199"/>
      <c r="GM225" s="199"/>
      <c r="GN225" s="199"/>
      <c r="GO225" s="199"/>
      <c r="GP225" s="199"/>
      <c r="GQ225" s="199"/>
      <c r="GR225" s="199"/>
      <c r="GS225" s="199"/>
      <c r="GT225" s="199"/>
      <c r="GU225" s="199"/>
      <c r="GV225" s="199"/>
      <c r="GW225" s="199"/>
      <c r="GX225" s="199"/>
      <c r="GY225" s="199"/>
      <c r="GZ225" s="199"/>
      <c r="HA225" s="199"/>
      <c r="HB225" s="199"/>
      <c r="HC225" s="199"/>
      <c r="HD225" s="199"/>
      <c r="HE225" s="199"/>
      <c r="HF225" s="199"/>
      <c r="HG225" s="199"/>
      <c r="HH225" s="199"/>
      <c r="HI225" s="199"/>
      <c r="HJ225" s="199"/>
      <c r="HK225" s="199"/>
      <c r="HL225" s="199"/>
      <c r="HM225" s="199"/>
      <c r="HN225" s="199"/>
      <c r="HO225" s="199"/>
      <c r="HP225" s="199"/>
      <c r="HQ225" s="199"/>
      <c r="HR225" s="199"/>
      <c r="HS225" s="199"/>
      <c r="HT225" s="199"/>
      <c r="HU225" s="199"/>
      <c r="HV225" s="199"/>
      <c r="HW225" s="199"/>
      <c r="HX225" s="199"/>
      <c r="HY225" s="199"/>
      <c r="HZ225" s="199"/>
      <c r="IA225" s="199"/>
      <c r="IB225" s="199"/>
      <c r="IC225" s="199"/>
      <c r="ID225" s="199"/>
      <c r="IE225" s="199"/>
      <c r="IF225" s="199"/>
      <c r="IG225" s="199"/>
      <c r="IH225" s="199"/>
      <c r="II225" s="199"/>
      <c r="IJ225" s="199"/>
      <c r="IK225" s="199"/>
      <c r="IL225" s="199"/>
      <c r="IM225" s="199"/>
      <c r="IN225" s="199"/>
      <c r="IO225" s="199"/>
      <c r="IP225" s="199"/>
      <c r="IQ225" s="199"/>
      <c r="IR225" s="199"/>
      <c r="IS225" s="199"/>
      <c r="IT225" s="199"/>
      <c r="IU225" s="199"/>
      <c r="IV225" s="199"/>
      <c r="IW225" s="199"/>
    </row>
    <row r="226" customFormat="false" ht="18" hidden="false" customHeight="false" outlineLevel="0" collapsed="false">
      <c r="A226" s="112" t="s">
        <v>210</v>
      </c>
      <c r="B226" s="113"/>
      <c r="C226" s="114"/>
      <c r="D226" s="115" t="n">
        <f aca="false">I226/0.015</f>
        <v>6561.4</v>
      </c>
      <c r="E226" s="116" t="n">
        <f aca="false">100494/1000</f>
        <v>100.494</v>
      </c>
      <c r="F226" s="116" t="n">
        <v>-2.073</v>
      </c>
      <c r="G226" s="116"/>
      <c r="H226" s="116"/>
      <c r="I226" s="117" t="n">
        <f aca="false">SUM(E226:G226)</f>
        <v>98.421</v>
      </c>
      <c r="J226" s="118" t="s">
        <v>21</v>
      </c>
      <c r="K226" s="119"/>
      <c r="L226" s="119"/>
      <c r="M226" s="119"/>
      <c r="N226" s="119"/>
      <c r="O226" s="119"/>
      <c r="P226" s="119"/>
      <c r="Q226" s="119"/>
      <c r="R226" s="119"/>
      <c r="S226" s="119"/>
      <c r="T226" s="65" t="n">
        <f aca="false">IF(D226&gt;0,(I226/D226),"")</f>
        <v>0.015</v>
      </c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19"/>
      <c r="AP226" s="119"/>
      <c r="AQ226" s="119"/>
      <c r="AR226" s="119"/>
      <c r="AS226" s="119"/>
      <c r="AT226" s="119"/>
      <c r="AU226" s="119"/>
      <c r="AV226" s="119"/>
      <c r="AW226" s="119"/>
      <c r="AX226" s="119"/>
      <c r="AY226" s="119"/>
      <c r="AZ226" s="119"/>
      <c r="BA226" s="119"/>
      <c r="BB226" s="119"/>
      <c r="BC226" s="119"/>
      <c r="BD226" s="119"/>
      <c r="BE226" s="119"/>
      <c r="BF226" s="119"/>
      <c r="BG226" s="119"/>
      <c r="BH226" s="119"/>
      <c r="BI226" s="119"/>
      <c r="BJ226" s="119"/>
      <c r="BK226" s="119"/>
      <c r="BL226" s="119"/>
      <c r="BM226" s="119"/>
      <c r="BN226" s="119"/>
      <c r="BO226" s="119"/>
      <c r="BP226" s="119"/>
      <c r="BQ226" s="119"/>
      <c r="BR226" s="119"/>
      <c r="BS226" s="119"/>
      <c r="BT226" s="119"/>
      <c r="BU226" s="119"/>
      <c r="BV226" s="119"/>
      <c r="BW226" s="119"/>
      <c r="BX226" s="119"/>
      <c r="BY226" s="119"/>
      <c r="BZ226" s="119"/>
      <c r="CA226" s="119"/>
      <c r="CB226" s="119"/>
      <c r="CC226" s="119"/>
      <c r="CD226" s="119"/>
      <c r="CE226" s="119"/>
      <c r="CF226" s="119"/>
      <c r="CG226" s="119"/>
      <c r="CH226" s="119"/>
      <c r="CI226" s="119"/>
      <c r="CJ226" s="119"/>
      <c r="CK226" s="119"/>
      <c r="CL226" s="119"/>
      <c r="CM226" s="119"/>
      <c r="CN226" s="119"/>
      <c r="CO226" s="119"/>
      <c r="CP226" s="119"/>
      <c r="CQ226" s="119"/>
      <c r="CR226" s="119"/>
      <c r="CS226" s="119"/>
      <c r="CT226" s="119"/>
      <c r="CU226" s="119"/>
      <c r="CV226" s="119"/>
      <c r="CW226" s="119"/>
      <c r="CX226" s="119"/>
      <c r="CY226" s="119"/>
      <c r="CZ226" s="119"/>
      <c r="DA226" s="119"/>
      <c r="DB226" s="119"/>
      <c r="DC226" s="119"/>
      <c r="DD226" s="119"/>
      <c r="DE226" s="119"/>
      <c r="DF226" s="119"/>
      <c r="DG226" s="119"/>
      <c r="DH226" s="119"/>
      <c r="DI226" s="119"/>
      <c r="DJ226" s="119"/>
      <c r="DK226" s="119"/>
      <c r="DL226" s="119"/>
      <c r="DM226" s="119"/>
      <c r="DN226" s="119"/>
      <c r="DO226" s="119"/>
      <c r="DP226" s="119"/>
      <c r="DQ226" s="119"/>
      <c r="DR226" s="119"/>
      <c r="DS226" s="119"/>
      <c r="DT226" s="119"/>
      <c r="DU226" s="119"/>
      <c r="DV226" s="119"/>
      <c r="DW226" s="119"/>
      <c r="DX226" s="119"/>
      <c r="DY226" s="119"/>
      <c r="DZ226" s="119"/>
      <c r="EA226" s="119"/>
      <c r="EB226" s="119"/>
      <c r="EC226" s="119"/>
      <c r="ED226" s="119"/>
      <c r="EE226" s="119"/>
      <c r="EF226" s="119"/>
      <c r="EG226" s="119"/>
      <c r="EH226" s="119"/>
      <c r="EI226" s="119"/>
      <c r="EJ226" s="119"/>
      <c r="EK226" s="119"/>
      <c r="EL226" s="119"/>
      <c r="EM226" s="119"/>
      <c r="EN226" s="119"/>
      <c r="EO226" s="119"/>
      <c r="EP226" s="119"/>
      <c r="EQ226" s="119"/>
      <c r="ER226" s="119"/>
      <c r="ES226" s="119"/>
      <c r="ET226" s="119"/>
      <c r="EU226" s="119"/>
      <c r="EV226" s="119"/>
      <c r="EW226" s="119"/>
      <c r="EX226" s="119"/>
      <c r="EY226" s="119"/>
      <c r="EZ226" s="119"/>
      <c r="FA226" s="119"/>
      <c r="FB226" s="119"/>
      <c r="FC226" s="119"/>
      <c r="FD226" s="119"/>
      <c r="FE226" s="119"/>
      <c r="FF226" s="119"/>
      <c r="FG226" s="119"/>
      <c r="FH226" s="119"/>
      <c r="FI226" s="119"/>
      <c r="FJ226" s="119"/>
      <c r="FK226" s="119"/>
      <c r="FL226" s="119"/>
      <c r="FM226" s="119"/>
      <c r="FN226" s="119"/>
      <c r="FO226" s="119"/>
      <c r="FP226" s="119"/>
      <c r="FQ226" s="119"/>
      <c r="FR226" s="119"/>
      <c r="FS226" s="119"/>
      <c r="FT226" s="119"/>
      <c r="FU226" s="119"/>
      <c r="FV226" s="119"/>
      <c r="FW226" s="119"/>
      <c r="FX226" s="119"/>
      <c r="FY226" s="119"/>
      <c r="FZ226" s="119"/>
      <c r="GA226" s="119"/>
      <c r="GB226" s="119"/>
      <c r="GC226" s="119"/>
      <c r="GD226" s="119"/>
      <c r="GE226" s="119"/>
      <c r="GF226" s="119"/>
      <c r="GG226" s="119"/>
      <c r="GH226" s="119"/>
      <c r="GI226" s="119"/>
      <c r="GJ226" s="119"/>
      <c r="GK226" s="119"/>
      <c r="GL226" s="119"/>
      <c r="GM226" s="119"/>
      <c r="GN226" s="119"/>
      <c r="GO226" s="119"/>
      <c r="GP226" s="119"/>
      <c r="GQ226" s="119"/>
      <c r="GR226" s="119"/>
      <c r="GS226" s="119"/>
      <c r="GT226" s="119"/>
      <c r="GU226" s="119"/>
      <c r="GV226" s="119"/>
      <c r="GW226" s="119"/>
      <c r="GX226" s="119"/>
      <c r="GY226" s="119"/>
      <c r="GZ226" s="119"/>
      <c r="HA226" s="119"/>
      <c r="HB226" s="119"/>
      <c r="HC226" s="119"/>
      <c r="HD226" s="119"/>
      <c r="HE226" s="119"/>
      <c r="HF226" s="119"/>
      <c r="HG226" s="119"/>
      <c r="HH226" s="119"/>
      <c r="HI226" s="119"/>
      <c r="HJ226" s="119"/>
      <c r="HK226" s="119"/>
      <c r="HL226" s="119"/>
      <c r="HM226" s="119"/>
      <c r="HN226" s="119"/>
      <c r="HO226" s="119"/>
      <c r="HP226" s="119"/>
      <c r="HQ226" s="119"/>
      <c r="HR226" s="119"/>
      <c r="HS226" s="119"/>
      <c r="HT226" s="119"/>
      <c r="HU226" s="119"/>
      <c r="HV226" s="119"/>
      <c r="HW226" s="119"/>
      <c r="HX226" s="119"/>
      <c r="HY226" s="119"/>
      <c r="HZ226" s="119"/>
      <c r="IA226" s="119"/>
      <c r="IB226" s="119"/>
      <c r="IC226" s="119"/>
      <c r="ID226" s="119"/>
      <c r="IE226" s="119"/>
      <c r="IF226" s="119"/>
      <c r="IG226" s="119"/>
      <c r="IH226" s="119"/>
      <c r="II226" s="119"/>
      <c r="IJ226" s="119"/>
      <c r="IK226" s="119"/>
      <c r="IL226" s="119"/>
      <c r="IM226" s="119"/>
      <c r="IN226" s="119"/>
      <c r="IO226" s="119"/>
      <c r="IP226" s="119"/>
      <c r="IQ226" s="119"/>
      <c r="IR226" s="119"/>
      <c r="IS226" s="119"/>
      <c r="IT226" s="119"/>
      <c r="IU226" s="119"/>
      <c r="IV226" s="119"/>
      <c r="IW226" s="119"/>
    </row>
    <row r="227" customFormat="false" ht="18" hidden="false" customHeight="false" outlineLevel="0" collapsed="false">
      <c r="A227" s="112" t="s">
        <v>211</v>
      </c>
      <c r="B227" s="113"/>
      <c r="C227" s="114"/>
      <c r="D227" s="115" t="n">
        <v>454.32113046661</v>
      </c>
      <c r="E227" s="116" t="n">
        <f aca="false">85020/1000</f>
        <v>85.02</v>
      </c>
      <c r="F227" s="116" t="n">
        <v>-3.567</v>
      </c>
      <c r="G227" s="116"/>
      <c r="H227" s="116"/>
      <c r="I227" s="117" t="n">
        <f aca="false">SUM(E227:G227)</f>
        <v>81.453</v>
      </c>
      <c r="J227" s="118" t="s">
        <v>21</v>
      </c>
      <c r="K227" s="119"/>
      <c r="L227" s="119"/>
      <c r="M227" s="119"/>
      <c r="N227" s="119"/>
      <c r="O227" s="119"/>
      <c r="P227" s="119"/>
      <c r="Q227" s="119"/>
      <c r="R227" s="119"/>
      <c r="S227" s="119"/>
      <c r="T227" s="65" t="n">
        <f aca="false">IF(D227&gt;0,(I227/D227),"")</f>
        <v>0.179285079512687</v>
      </c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19"/>
      <c r="AS227" s="119"/>
      <c r="AT227" s="119"/>
      <c r="AU227" s="119"/>
      <c r="AV227" s="119"/>
      <c r="AW227" s="119"/>
      <c r="AX227" s="119"/>
      <c r="AY227" s="119"/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19"/>
      <c r="BL227" s="119"/>
      <c r="BM227" s="119"/>
      <c r="BN227" s="119"/>
      <c r="BO227" s="119"/>
      <c r="BP227" s="119"/>
      <c r="BQ227" s="119"/>
      <c r="BR227" s="119"/>
      <c r="BS227" s="119"/>
      <c r="BT227" s="119"/>
      <c r="BU227" s="119"/>
      <c r="BV227" s="119"/>
      <c r="BW227" s="119"/>
      <c r="BX227" s="119"/>
      <c r="BY227" s="119"/>
      <c r="BZ227" s="119"/>
      <c r="CA227" s="119"/>
      <c r="CB227" s="119"/>
      <c r="CC227" s="119"/>
      <c r="CD227" s="119"/>
      <c r="CE227" s="119"/>
      <c r="CF227" s="119"/>
      <c r="CG227" s="119"/>
      <c r="CH227" s="119"/>
      <c r="CI227" s="119"/>
      <c r="CJ227" s="119"/>
      <c r="CK227" s="119"/>
      <c r="CL227" s="119"/>
      <c r="CM227" s="119"/>
      <c r="CN227" s="119"/>
      <c r="CO227" s="119"/>
      <c r="CP227" s="119"/>
      <c r="CQ227" s="119"/>
      <c r="CR227" s="119"/>
      <c r="CS227" s="119"/>
      <c r="CT227" s="119"/>
      <c r="CU227" s="119"/>
      <c r="CV227" s="119"/>
      <c r="CW227" s="119"/>
      <c r="CX227" s="119"/>
      <c r="CY227" s="119"/>
      <c r="CZ227" s="119"/>
      <c r="DA227" s="119"/>
      <c r="DB227" s="119"/>
      <c r="DC227" s="119"/>
      <c r="DD227" s="119"/>
      <c r="DE227" s="119"/>
      <c r="DF227" s="119"/>
      <c r="DG227" s="119"/>
      <c r="DH227" s="119"/>
      <c r="DI227" s="119"/>
      <c r="DJ227" s="119"/>
      <c r="DK227" s="119"/>
      <c r="DL227" s="119"/>
      <c r="DM227" s="119"/>
      <c r="DN227" s="119"/>
      <c r="DO227" s="119"/>
      <c r="DP227" s="119"/>
      <c r="DQ227" s="119"/>
      <c r="DR227" s="119"/>
      <c r="DS227" s="119"/>
      <c r="DT227" s="119"/>
      <c r="DU227" s="119"/>
      <c r="DV227" s="119"/>
      <c r="DW227" s="119"/>
      <c r="DX227" s="119"/>
      <c r="DY227" s="119"/>
      <c r="DZ227" s="119"/>
      <c r="EA227" s="119"/>
      <c r="EB227" s="119"/>
      <c r="EC227" s="119"/>
      <c r="ED227" s="119"/>
      <c r="EE227" s="119"/>
      <c r="EF227" s="119"/>
      <c r="EG227" s="119"/>
      <c r="EH227" s="119"/>
      <c r="EI227" s="119"/>
      <c r="EJ227" s="119"/>
      <c r="EK227" s="119"/>
      <c r="EL227" s="119"/>
      <c r="EM227" s="119"/>
      <c r="EN227" s="119"/>
      <c r="EO227" s="119"/>
      <c r="EP227" s="119"/>
      <c r="EQ227" s="119"/>
      <c r="ER227" s="119"/>
      <c r="ES227" s="119"/>
      <c r="ET227" s="119"/>
      <c r="EU227" s="119"/>
      <c r="EV227" s="119"/>
      <c r="EW227" s="119"/>
      <c r="EX227" s="119"/>
      <c r="EY227" s="119"/>
      <c r="EZ227" s="119"/>
      <c r="FA227" s="119"/>
      <c r="FB227" s="119"/>
      <c r="FC227" s="119"/>
      <c r="FD227" s="119"/>
      <c r="FE227" s="119"/>
      <c r="FF227" s="119"/>
      <c r="FG227" s="119"/>
      <c r="FH227" s="119"/>
      <c r="FI227" s="119"/>
      <c r="FJ227" s="119"/>
      <c r="FK227" s="119"/>
      <c r="FL227" s="119"/>
      <c r="FM227" s="119"/>
      <c r="FN227" s="119"/>
      <c r="FO227" s="119"/>
      <c r="FP227" s="119"/>
      <c r="FQ227" s="119"/>
      <c r="FR227" s="119"/>
      <c r="FS227" s="119"/>
      <c r="FT227" s="119"/>
      <c r="FU227" s="119"/>
      <c r="FV227" s="119"/>
      <c r="FW227" s="119"/>
      <c r="FX227" s="119"/>
      <c r="FY227" s="119"/>
      <c r="FZ227" s="119"/>
      <c r="GA227" s="119"/>
      <c r="GB227" s="119"/>
      <c r="GC227" s="119"/>
      <c r="GD227" s="119"/>
      <c r="GE227" s="119"/>
      <c r="GF227" s="119"/>
      <c r="GG227" s="119"/>
      <c r="GH227" s="119"/>
      <c r="GI227" s="119"/>
      <c r="GJ227" s="119"/>
      <c r="GK227" s="119"/>
      <c r="GL227" s="119"/>
      <c r="GM227" s="119"/>
      <c r="GN227" s="119"/>
      <c r="GO227" s="119"/>
      <c r="GP227" s="119"/>
      <c r="GQ227" s="119"/>
      <c r="GR227" s="119"/>
      <c r="GS227" s="119"/>
      <c r="GT227" s="119"/>
      <c r="GU227" s="119"/>
      <c r="GV227" s="119"/>
      <c r="GW227" s="119"/>
      <c r="GX227" s="119"/>
      <c r="GY227" s="119"/>
      <c r="GZ227" s="119"/>
      <c r="HA227" s="119"/>
      <c r="HB227" s="119"/>
      <c r="HC227" s="119"/>
      <c r="HD227" s="119"/>
      <c r="HE227" s="119"/>
      <c r="HF227" s="119"/>
      <c r="HG227" s="119"/>
      <c r="HH227" s="119"/>
      <c r="HI227" s="119"/>
      <c r="HJ227" s="119"/>
      <c r="HK227" s="119"/>
      <c r="HL227" s="119"/>
      <c r="HM227" s="119"/>
      <c r="HN227" s="119"/>
      <c r="HO227" s="119"/>
      <c r="HP227" s="119"/>
      <c r="HQ227" s="119"/>
      <c r="HR227" s="119"/>
      <c r="HS227" s="119"/>
      <c r="HT227" s="119"/>
      <c r="HU227" s="119"/>
      <c r="HV227" s="119"/>
      <c r="HW227" s="119"/>
      <c r="HX227" s="119"/>
      <c r="HY227" s="119"/>
      <c r="HZ227" s="119"/>
      <c r="IA227" s="119"/>
      <c r="IB227" s="119"/>
      <c r="IC227" s="119"/>
      <c r="ID227" s="119"/>
      <c r="IE227" s="119"/>
      <c r="IF227" s="119"/>
      <c r="IG227" s="119"/>
      <c r="IH227" s="119"/>
      <c r="II227" s="119"/>
      <c r="IJ227" s="119"/>
      <c r="IK227" s="119"/>
      <c r="IL227" s="119"/>
      <c r="IM227" s="119"/>
      <c r="IN227" s="119"/>
      <c r="IO227" s="119"/>
      <c r="IP227" s="119"/>
      <c r="IQ227" s="119"/>
      <c r="IR227" s="119"/>
      <c r="IS227" s="119"/>
      <c r="IT227" s="119"/>
      <c r="IU227" s="119"/>
      <c r="IV227" s="119"/>
      <c r="IW227" s="119"/>
    </row>
    <row r="228" customFormat="false" ht="18" hidden="false" customHeight="false" outlineLevel="0" collapsed="false">
      <c r="A228" s="112" t="s">
        <v>212</v>
      </c>
      <c r="B228" s="176"/>
      <c r="C228" s="177"/>
      <c r="D228" s="178" t="n">
        <v>533.374</v>
      </c>
      <c r="E228" s="104" t="n">
        <f aca="false">114726/1000</f>
        <v>114.726</v>
      </c>
      <c r="F228" s="104" t="n">
        <v>-19.1</v>
      </c>
      <c r="G228" s="104"/>
      <c r="H228" s="104"/>
      <c r="I228" s="179" t="n">
        <f aca="false">SUM(E228:G228)</f>
        <v>95.626</v>
      </c>
      <c r="J228" s="118" t="s">
        <v>105</v>
      </c>
      <c r="K228" s="180"/>
      <c r="L228" s="180"/>
      <c r="M228" s="119"/>
      <c r="N228" s="180"/>
      <c r="O228" s="180"/>
      <c r="P228" s="180"/>
      <c r="Q228" s="180"/>
      <c r="R228" s="180"/>
      <c r="S228" s="180"/>
      <c r="T228" s="65" t="n">
        <f aca="false">IF(D228&gt;0,(I228/D228),"")</f>
        <v>0.179285079512687</v>
      </c>
      <c r="U228" s="180"/>
      <c r="V228" s="180"/>
      <c r="W228" s="180"/>
      <c r="X228" s="180"/>
      <c r="Y228" s="180"/>
      <c r="Z228" s="180"/>
      <c r="AA228" s="180"/>
      <c r="AB228" s="180"/>
      <c r="AC228" s="180"/>
      <c r="AD228" s="180"/>
      <c r="AE228" s="180"/>
      <c r="AF228" s="180"/>
      <c r="AG228" s="180"/>
      <c r="AH228" s="180"/>
      <c r="AI228" s="180"/>
      <c r="AJ228" s="180"/>
      <c r="AK228" s="180"/>
      <c r="AL228" s="180"/>
      <c r="AM228" s="180"/>
      <c r="AN228" s="180"/>
      <c r="AO228" s="180"/>
      <c r="AP228" s="180"/>
      <c r="AQ228" s="180"/>
      <c r="AR228" s="180"/>
      <c r="AS228" s="180"/>
      <c r="AT228" s="180"/>
      <c r="AU228" s="180"/>
      <c r="AV228" s="180"/>
      <c r="AW228" s="180"/>
      <c r="AX228" s="180"/>
      <c r="AY228" s="180"/>
      <c r="AZ228" s="180"/>
      <c r="BA228" s="180"/>
      <c r="BB228" s="180"/>
      <c r="BC228" s="180"/>
      <c r="BD228" s="180"/>
      <c r="BE228" s="180"/>
      <c r="BF228" s="180"/>
      <c r="BG228" s="180"/>
      <c r="BH228" s="180"/>
      <c r="BI228" s="180"/>
      <c r="BJ228" s="180"/>
      <c r="BK228" s="180"/>
      <c r="BL228" s="180"/>
      <c r="BM228" s="180"/>
      <c r="BN228" s="180"/>
      <c r="BO228" s="180"/>
      <c r="BP228" s="180"/>
      <c r="BQ228" s="180"/>
      <c r="BR228" s="180"/>
      <c r="BS228" s="180"/>
      <c r="BT228" s="180"/>
      <c r="BU228" s="180"/>
      <c r="BV228" s="180"/>
      <c r="BW228" s="180"/>
      <c r="BX228" s="180"/>
      <c r="BY228" s="180"/>
      <c r="BZ228" s="180"/>
      <c r="CA228" s="180"/>
      <c r="CB228" s="180"/>
      <c r="CC228" s="180"/>
      <c r="CD228" s="180"/>
      <c r="CE228" s="180"/>
      <c r="CF228" s="180"/>
      <c r="CG228" s="180"/>
      <c r="CH228" s="180"/>
      <c r="CI228" s="180"/>
      <c r="CJ228" s="180"/>
      <c r="CK228" s="180"/>
      <c r="CL228" s="180"/>
      <c r="CM228" s="180"/>
      <c r="CN228" s="180"/>
      <c r="CO228" s="180"/>
      <c r="CP228" s="180"/>
      <c r="CQ228" s="180"/>
      <c r="CR228" s="180"/>
      <c r="CS228" s="180"/>
      <c r="CT228" s="180"/>
      <c r="CU228" s="180"/>
      <c r="CV228" s="180"/>
      <c r="CW228" s="180"/>
      <c r="CX228" s="180"/>
      <c r="CY228" s="180"/>
      <c r="CZ228" s="180"/>
      <c r="DA228" s="180"/>
      <c r="DB228" s="180"/>
      <c r="DC228" s="180"/>
      <c r="DD228" s="180"/>
      <c r="DE228" s="180"/>
      <c r="DF228" s="180"/>
      <c r="DG228" s="180"/>
      <c r="DH228" s="180"/>
      <c r="DI228" s="180"/>
      <c r="DJ228" s="180"/>
      <c r="DK228" s="180"/>
      <c r="DL228" s="180"/>
      <c r="DM228" s="180"/>
      <c r="DN228" s="180"/>
      <c r="DO228" s="180"/>
      <c r="DP228" s="180"/>
      <c r="DQ228" s="180"/>
      <c r="DR228" s="180"/>
      <c r="DS228" s="180"/>
      <c r="DT228" s="180"/>
      <c r="DU228" s="180"/>
      <c r="DV228" s="180"/>
      <c r="DW228" s="180"/>
      <c r="DX228" s="180"/>
      <c r="DY228" s="180"/>
      <c r="DZ228" s="180"/>
      <c r="EA228" s="180"/>
      <c r="EB228" s="180"/>
      <c r="EC228" s="180"/>
      <c r="ED228" s="180"/>
      <c r="EE228" s="180"/>
      <c r="EF228" s="180"/>
      <c r="EG228" s="180"/>
      <c r="EH228" s="180"/>
      <c r="EI228" s="180"/>
      <c r="EJ228" s="180"/>
      <c r="EK228" s="180"/>
      <c r="EL228" s="180"/>
      <c r="EM228" s="180"/>
      <c r="EN228" s="180"/>
      <c r="EO228" s="180"/>
      <c r="EP228" s="180"/>
      <c r="EQ228" s="180"/>
      <c r="ER228" s="180"/>
      <c r="ES228" s="180"/>
      <c r="ET228" s="180"/>
      <c r="EU228" s="180"/>
      <c r="EV228" s="180"/>
      <c r="EW228" s="180"/>
      <c r="EX228" s="180"/>
      <c r="EY228" s="180"/>
      <c r="EZ228" s="180"/>
      <c r="FA228" s="180"/>
      <c r="FB228" s="180"/>
      <c r="FC228" s="180"/>
      <c r="FD228" s="180"/>
      <c r="FE228" s="180"/>
      <c r="FF228" s="180"/>
      <c r="FG228" s="180"/>
      <c r="FH228" s="180"/>
      <c r="FI228" s="180"/>
      <c r="FJ228" s="180"/>
      <c r="FK228" s="180"/>
      <c r="FL228" s="180"/>
      <c r="FM228" s="180"/>
      <c r="FN228" s="180"/>
      <c r="FO228" s="180"/>
      <c r="FP228" s="180"/>
      <c r="FQ228" s="180"/>
      <c r="FR228" s="180"/>
      <c r="FS228" s="180"/>
      <c r="FT228" s="180"/>
      <c r="FU228" s="180"/>
      <c r="FV228" s="180"/>
      <c r="FW228" s="180"/>
      <c r="FX228" s="180"/>
      <c r="FY228" s="180"/>
      <c r="FZ228" s="180"/>
      <c r="GA228" s="180"/>
      <c r="GB228" s="180"/>
      <c r="GC228" s="180"/>
      <c r="GD228" s="180"/>
      <c r="GE228" s="180"/>
      <c r="GF228" s="180"/>
      <c r="GG228" s="180"/>
      <c r="GH228" s="180"/>
      <c r="GI228" s="180"/>
      <c r="GJ228" s="180"/>
      <c r="GK228" s="180"/>
      <c r="GL228" s="180"/>
      <c r="GM228" s="180"/>
      <c r="GN228" s="180"/>
      <c r="GO228" s="180"/>
      <c r="GP228" s="180"/>
      <c r="GQ228" s="180"/>
      <c r="GR228" s="180"/>
      <c r="GS228" s="180"/>
      <c r="GT228" s="180"/>
      <c r="GU228" s="180"/>
      <c r="GV228" s="180"/>
      <c r="GW228" s="180"/>
      <c r="GX228" s="180"/>
      <c r="GY228" s="180"/>
      <c r="GZ228" s="180"/>
      <c r="HA228" s="180"/>
      <c r="HB228" s="180"/>
      <c r="HC228" s="180"/>
      <c r="HD228" s="180"/>
      <c r="HE228" s="180"/>
      <c r="HF228" s="180"/>
      <c r="HG228" s="180"/>
      <c r="HH228" s="180"/>
      <c r="HI228" s="180"/>
      <c r="HJ228" s="180"/>
      <c r="HK228" s="180"/>
      <c r="HL228" s="180"/>
      <c r="HM228" s="180"/>
      <c r="HN228" s="180"/>
      <c r="HO228" s="180"/>
      <c r="HP228" s="180"/>
      <c r="HQ228" s="180"/>
      <c r="HR228" s="180"/>
      <c r="HS228" s="180"/>
      <c r="HT228" s="180"/>
      <c r="HU228" s="180"/>
      <c r="HV228" s="180"/>
      <c r="HW228" s="180"/>
      <c r="HX228" s="180"/>
      <c r="HY228" s="180"/>
      <c r="HZ228" s="180"/>
      <c r="IA228" s="180"/>
      <c r="IB228" s="180"/>
      <c r="IC228" s="180"/>
      <c r="ID228" s="180"/>
      <c r="IE228" s="180"/>
      <c r="IF228" s="180"/>
      <c r="IG228" s="180"/>
      <c r="IH228" s="180"/>
      <c r="II228" s="180"/>
      <c r="IJ228" s="180"/>
      <c r="IK228" s="180"/>
      <c r="IL228" s="180"/>
      <c r="IM228" s="180"/>
      <c r="IN228" s="180"/>
      <c r="IO228" s="180"/>
      <c r="IP228" s="180"/>
      <c r="IQ228" s="180"/>
      <c r="IR228" s="180"/>
      <c r="IS228" s="180"/>
      <c r="IT228" s="180"/>
      <c r="IU228" s="180"/>
      <c r="IV228" s="180"/>
      <c r="IW228" s="180"/>
    </row>
    <row r="229" customFormat="false" ht="18" hidden="false" customHeight="false" outlineLevel="0" collapsed="false">
      <c r="A229" s="112" t="s">
        <v>213</v>
      </c>
      <c r="B229" s="67"/>
      <c r="C229" s="175"/>
      <c r="D229" s="69" t="n">
        <v>837.598</v>
      </c>
      <c r="E229" s="71" t="n">
        <f aca="false">110805/1000</f>
        <v>110.805</v>
      </c>
      <c r="F229" s="71" t="n">
        <f aca="false">-40700/1000</f>
        <v>-40.7</v>
      </c>
      <c r="G229" s="71"/>
      <c r="H229" s="71"/>
      <c r="I229" s="72" t="n">
        <f aca="false">SUM(E229:G229)</f>
        <v>70.105</v>
      </c>
      <c r="J229" s="118" t="s">
        <v>105</v>
      </c>
      <c r="K229" s="74"/>
      <c r="L229" s="74"/>
      <c r="M229" s="119"/>
      <c r="N229" s="74"/>
      <c r="O229" s="74"/>
      <c r="P229" s="74"/>
      <c r="Q229" s="74"/>
      <c r="R229" s="74"/>
      <c r="S229" s="74"/>
      <c r="T229" s="65" t="n">
        <f aca="false">IF(D229&gt;0,(I229/D229),"")</f>
        <v>0.0836976688100975</v>
      </c>
      <c r="U229" s="74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4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/>
      <c r="CN229" s="74"/>
      <c r="CO229" s="74"/>
      <c r="CP229" s="74"/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</row>
    <row r="230" customFormat="false" ht="18" hidden="false" customHeight="false" outlineLevel="0" collapsed="false">
      <c r="A230" s="112" t="s">
        <v>214</v>
      </c>
      <c r="B230" s="67"/>
      <c r="C230" s="175"/>
      <c r="D230" s="69" t="n">
        <v>2568.618</v>
      </c>
      <c r="E230" s="71" t="n">
        <f aca="false">562615/1000</f>
        <v>562.615</v>
      </c>
      <c r="F230" s="71" t="n">
        <f aca="false">-156300/1000</f>
        <v>-156.3</v>
      </c>
      <c r="G230" s="71"/>
      <c r="H230" s="71"/>
      <c r="I230" s="72" t="n">
        <f aca="false">SUM(E230:G230)</f>
        <v>406.315</v>
      </c>
      <c r="J230" s="118" t="s">
        <v>105</v>
      </c>
      <c r="K230" s="74"/>
      <c r="L230" s="74"/>
      <c r="M230" s="119"/>
      <c r="N230" s="74"/>
      <c r="O230" s="74"/>
      <c r="P230" s="74"/>
      <c r="Q230" s="74"/>
      <c r="R230" s="74"/>
      <c r="S230" s="74"/>
      <c r="T230" s="65" t="n">
        <f aca="false">IF(D230&gt;0,(I230/D230),"")</f>
        <v>0.158184284311642</v>
      </c>
      <c r="U230" s="74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4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/>
      <c r="CM230" s="74"/>
      <c r="CN230" s="74"/>
      <c r="CO230" s="74"/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</row>
    <row r="231" customFormat="false" ht="18" hidden="false" customHeight="false" outlineLevel="0" collapsed="false">
      <c r="A231" s="112" t="s">
        <v>215</v>
      </c>
      <c r="B231" s="67"/>
      <c r="C231" s="175"/>
      <c r="D231" s="69" t="n">
        <f aca="false">I231/0.06</f>
        <v>104.85</v>
      </c>
      <c r="E231" s="71" t="n">
        <f aca="false">6955/1000</f>
        <v>6.955</v>
      </c>
      <c r="F231" s="71" t="n">
        <v>-0.664</v>
      </c>
      <c r="G231" s="71"/>
      <c r="H231" s="71"/>
      <c r="I231" s="72" t="n">
        <f aca="false">SUM(E231:G231)</f>
        <v>6.291</v>
      </c>
      <c r="J231" s="118" t="s">
        <v>105</v>
      </c>
      <c r="K231" s="74"/>
      <c r="L231" s="74"/>
      <c r="M231" s="119"/>
      <c r="N231" s="74"/>
      <c r="O231" s="74"/>
      <c r="P231" s="74"/>
      <c r="Q231" s="74"/>
      <c r="R231" s="74"/>
      <c r="S231" s="74"/>
      <c r="T231" s="65" t="n">
        <f aca="false">IF(D231&gt;0,(I231/D231),"")</f>
        <v>0.06</v>
      </c>
      <c r="U231" s="74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4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/>
      <c r="CN231" s="74"/>
      <c r="CO231" s="74"/>
      <c r="CP231" s="74"/>
      <c r="CQ231" s="74"/>
      <c r="CR231" s="74"/>
      <c r="CS231" s="74"/>
      <c r="CT231" s="74"/>
      <c r="CU231" s="74"/>
      <c r="CV231" s="74"/>
      <c r="CW231" s="74"/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</row>
    <row r="232" customFormat="false" ht="18" hidden="false" customHeight="false" outlineLevel="0" collapsed="false">
      <c r="A232" s="112" t="s">
        <v>216</v>
      </c>
      <c r="B232" s="67"/>
      <c r="C232" s="175"/>
      <c r="D232" s="69" t="n">
        <f aca="false">I232/0.06</f>
        <v>7885.5</v>
      </c>
      <c r="E232" s="71" t="n">
        <f aca="false">497701/1000</f>
        <v>497.701</v>
      </c>
      <c r="F232" s="71" t="n">
        <v>-24.571</v>
      </c>
      <c r="G232" s="71"/>
      <c r="H232" s="71"/>
      <c r="I232" s="72" t="n">
        <f aca="false">SUM(E232:G232)</f>
        <v>473.13</v>
      </c>
      <c r="J232" s="118" t="s">
        <v>105</v>
      </c>
      <c r="K232" s="74"/>
      <c r="L232" s="74"/>
      <c r="M232" s="119"/>
      <c r="N232" s="74"/>
      <c r="O232" s="74"/>
      <c r="P232" s="74"/>
      <c r="Q232" s="74"/>
      <c r="R232" s="74"/>
      <c r="S232" s="74"/>
      <c r="T232" s="65" t="n">
        <f aca="false">IF(D232&gt;0,(I232/D232),"")</f>
        <v>0.06</v>
      </c>
      <c r="U232" s="74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4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/>
      <c r="CO232" s="74"/>
      <c r="CP232" s="74"/>
      <c r="CQ232" s="74"/>
      <c r="CR232" s="74"/>
      <c r="CS232" s="74"/>
      <c r="CT232" s="74"/>
      <c r="CU232" s="74"/>
      <c r="CV232" s="74"/>
      <c r="CW232" s="74"/>
      <c r="CX232" s="74"/>
      <c r="CY232" s="74"/>
      <c r="CZ232" s="74"/>
      <c r="DA232" s="74"/>
      <c r="DB232" s="74"/>
      <c r="DC232" s="74"/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</row>
    <row r="233" customFormat="false" ht="18" hidden="false" customHeight="false" outlineLevel="0" collapsed="false">
      <c r="A233" s="112" t="s">
        <v>217</v>
      </c>
      <c r="B233" s="67"/>
      <c r="C233" s="175"/>
      <c r="D233" s="69" t="n">
        <f aca="false">I233/0.06</f>
        <v>191.233333333333</v>
      </c>
      <c r="E233" s="71" t="n">
        <f aca="false">12408/1000</f>
        <v>12.408</v>
      </c>
      <c r="F233" s="71" t="n">
        <v>-0.934</v>
      </c>
      <c r="G233" s="71"/>
      <c r="H233" s="71"/>
      <c r="I233" s="72" t="n">
        <f aca="false">SUM(E233:G233)</f>
        <v>11.474</v>
      </c>
      <c r="J233" s="118" t="s">
        <v>105</v>
      </c>
      <c r="K233" s="74"/>
      <c r="L233" s="74"/>
      <c r="M233" s="119"/>
      <c r="N233" s="74"/>
      <c r="O233" s="74"/>
      <c r="P233" s="74"/>
      <c r="Q233" s="74"/>
      <c r="R233" s="74"/>
      <c r="S233" s="74"/>
      <c r="T233" s="65" t="n">
        <f aca="false">IF(D233&gt;0,(I233/D233),"")</f>
        <v>0.06</v>
      </c>
      <c r="U233" s="74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4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/>
      <c r="CN233" s="74"/>
      <c r="CO233" s="74"/>
      <c r="CP233" s="74"/>
      <c r="CQ233" s="74"/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</row>
    <row r="234" customFormat="false" ht="18" hidden="false" customHeight="false" outlineLevel="0" collapsed="false">
      <c r="A234" s="112" t="s">
        <v>218</v>
      </c>
      <c r="B234" s="67"/>
      <c r="C234" s="175"/>
      <c r="D234" s="69" t="n">
        <f aca="false">I234/0.06</f>
        <v>45.2666666666667</v>
      </c>
      <c r="E234" s="71" t="n">
        <f aca="false">3060/1000</f>
        <v>3.06</v>
      </c>
      <c r="F234" s="71" t="n">
        <v>-0.344</v>
      </c>
      <c r="G234" s="71"/>
      <c r="H234" s="71"/>
      <c r="I234" s="72" t="n">
        <f aca="false">SUM(E234:G234)</f>
        <v>2.716</v>
      </c>
      <c r="J234" s="118" t="s">
        <v>105</v>
      </c>
      <c r="K234" s="74"/>
      <c r="L234" s="74"/>
      <c r="M234" s="119"/>
      <c r="N234" s="74"/>
      <c r="O234" s="74"/>
      <c r="P234" s="74"/>
      <c r="Q234" s="74"/>
      <c r="R234" s="74"/>
      <c r="S234" s="74"/>
      <c r="T234" s="65" t="n">
        <f aca="false">IF(D234&gt;0,(I234/D234),"")</f>
        <v>0.06</v>
      </c>
      <c r="U234" s="74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4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/>
      <c r="CO234" s="74"/>
      <c r="CP234" s="74"/>
      <c r="CQ234" s="74"/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</row>
    <row r="235" customFormat="false" ht="18" hidden="false" customHeight="false" outlineLevel="0" collapsed="false">
      <c r="A235" s="112" t="s">
        <v>219</v>
      </c>
      <c r="B235" s="67"/>
      <c r="C235" s="175"/>
      <c r="D235" s="69" t="n">
        <v>3810.041</v>
      </c>
      <c r="E235" s="71" t="n">
        <f aca="false">559949/1000</f>
        <v>559.949</v>
      </c>
      <c r="F235" s="71" t="n">
        <f aca="false">-90780/1000</f>
        <v>-90.78</v>
      </c>
      <c r="G235" s="71"/>
      <c r="H235" s="71"/>
      <c r="I235" s="72" t="n">
        <f aca="false">SUM(E235:G235)</f>
        <v>469.169</v>
      </c>
      <c r="J235" s="118" t="s">
        <v>114</v>
      </c>
      <c r="K235" s="74"/>
      <c r="L235" s="74"/>
      <c r="M235" s="119"/>
      <c r="N235" s="74"/>
      <c r="O235" s="74"/>
      <c r="P235" s="74"/>
      <c r="Q235" s="74"/>
      <c r="R235" s="74"/>
      <c r="S235" s="74"/>
      <c r="T235" s="65" t="n">
        <f aca="false">IF(D235&gt;0,(I235/D235),"")</f>
        <v>0.123140144686107</v>
      </c>
      <c r="U235" s="74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4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/>
      <c r="CM235" s="74"/>
      <c r="CN235" s="74"/>
      <c r="CO235" s="74"/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</row>
    <row r="236" customFormat="false" ht="18" hidden="false" customHeight="false" outlineLevel="0" collapsed="false">
      <c r="A236" s="112" t="s">
        <v>220</v>
      </c>
      <c r="B236" s="67"/>
      <c r="C236" s="175"/>
      <c r="D236" s="69" t="n">
        <v>13195.696</v>
      </c>
      <c r="E236" s="71" t="n">
        <f aca="false">2231116/1000</f>
        <v>2231.116</v>
      </c>
      <c r="F236" s="71" t="n">
        <f aca="false">-279000/1000</f>
        <v>-279</v>
      </c>
      <c r="G236" s="71"/>
      <c r="H236" s="71"/>
      <c r="I236" s="72" t="n">
        <f aca="false">SUM(E236:G236)</f>
        <v>1952.116</v>
      </c>
      <c r="J236" s="118" t="s">
        <v>114</v>
      </c>
      <c r="K236" s="74"/>
      <c r="L236" s="74"/>
      <c r="M236" s="119"/>
      <c r="N236" s="74"/>
      <c r="O236" s="74"/>
      <c r="P236" s="74"/>
      <c r="Q236" s="74"/>
      <c r="R236" s="74"/>
      <c r="S236" s="74"/>
      <c r="T236" s="65" t="n">
        <f aca="false">IF(D236&gt;0,(I236/D236),"")</f>
        <v>0.147935811798029</v>
      </c>
      <c r="U236" s="74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4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/>
      <c r="CO236" s="74"/>
      <c r="CP236" s="74"/>
      <c r="CQ236" s="74"/>
      <c r="CR236" s="74"/>
      <c r="CS236" s="74"/>
      <c r="CT236" s="74"/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</row>
    <row r="237" customFormat="false" ht="18" hidden="false" customHeight="false" outlineLevel="0" collapsed="false">
      <c r="A237" s="112" t="s">
        <v>221</v>
      </c>
      <c r="B237" s="67"/>
      <c r="C237" s="175"/>
      <c r="D237" s="69" t="n">
        <v>1300.077</v>
      </c>
      <c r="E237" s="71" t="n">
        <f aca="false">191548/1000</f>
        <v>191.548</v>
      </c>
      <c r="F237" s="71" t="n">
        <v>-24.625</v>
      </c>
      <c r="G237" s="71"/>
      <c r="H237" s="71"/>
      <c r="I237" s="72" t="n">
        <f aca="false">SUM(E237:G237)</f>
        <v>166.923</v>
      </c>
      <c r="J237" s="118" t="s">
        <v>114</v>
      </c>
      <c r="K237" s="74"/>
      <c r="L237" s="74"/>
      <c r="M237" s="119"/>
      <c r="N237" s="74"/>
      <c r="O237" s="74"/>
      <c r="P237" s="74"/>
      <c r="Q237" s="74"/>
      <c r="R237" s="74"/>
      <c r="S237" s="74"/>
      <c r="T237" s="65" t="n">
        <f aca="false">IF(D237&gt;0,(I237/D237),"")</f>
        <v>0.128394702775297</v>
      </c>
      <c r="U237" s="74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4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/>
      <c r="CO237" s="74"/>
      <c r="CP237" s="74"/>
      <c r="CQ237" s="74"/>
      <c r="CR237" s="74"/>
      <c r="CS237" s="74"/>
      <c r="CT237" s="74"/>
      <c r="CU237" s="74"/>
      <c r="CV237" s="74"/>
      <c r="CW237" s="74"/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</row>
    <row r="238" customFormat="false" ht="18" hidden="false" customHeight="false" outlineLevel="0" collapsed="false">
      <c r="A238" s="112" t="s">
        <v>222</v>
      </c>
      <c r="B238" s="67"/>
      <c r="C238" s="175"/>
      <c r="D238" s="69" t="n">
        <v>652.269</v>
      </c>
      <c r="E238" s="71" t="n">
        <f aca="false">88944/1000</f>
        <v>88.944</v>
      </c>
      <c r="F238" s="71" t="n">
        <v>-8.155</v>
      </c>
      <c r="G238" s="71"/>
      <c r="H238" s="71"/>
      <c r="I238" s="72" t="n">
        <f aca="false">SUM(E238:G238)</f>
        <v>80.789</v>
      </c>
      <c r="J238" s="118" t="s">
        <v>114</v>
      </c>
      <c r="K238" s="74"/>
      <c r="L238" s="74"/>
      <c r="M238" s="119"/>
      <c r="N238" s="74"/>
      <c r="O238" s="74"/>
      <c r="P238" s="74"/>
      <c r="Q238" s="74"/>
      <c r="R238" s="74"/>
      <c r="S238" s="74"/>
      <c r="T238" s="65" t="n">
        <f aca="false">IF(D238&gt;0,(I238/D238),"")</f>
        <v>0.123858408110764</v>
      </c>
      <c r="U238" s="74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4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/>
      <c r="CP238" s="74"/>
      <c r="CQ238" s="74"/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</row>
    <row r="239" customFormat="false" ht="18" hidden="false" customHeight="false" outlineLevel="0" collapsed="false">
      <c r="A239" s="112" t="s">
        <v>223</v>
      </c>
      <c r="B239" s="67"/>
      <c r="C239" s="175"/>
      <c r="D239" s="69" t="n">
        <v>190.903</v>
      </c>
      <c r="E239" s="71" t="n">
        <f aca="false">33319/1000</f>
        <v>33.319</v>
      </c>
      <c r="F239" s="71" t="n">
        <v>-10.5</v>
      </c>
      <c r="G239" s="71"/>
      <c r="H239" s="71"/>
      <c r="I239" s="72" t="n">
        <f aca="false">SUM(E239:G239)</f>
        <v>22.819</v>
      </c>
      <c r="J239" s="118" t="s">
        <v>114</v>
      </c>
      <c r="K239" s="74"/>
      <c r="L239" s="74"/>
      <c r="M239" s="119"/>
      <c r="N239" s="74"/>
      <c r="O239" s="74"/>
      <c r="P239" s="74"/>
      <c r="Q239" s="74"/>
      <c r="R239" s="74"/>
      <c r="S239" s="74"/>
      <c r="T239" s="65" t="n">
        <f aca="false">IF(D239&gt;0,(I239/D239),"")</f>
        <v>0.119531908875188</v>
      </c>
      <c r="U239" s="74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4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/>
      <c r="CN239" s="74"/>
      <c r="CO239" s="74"/>
      <c r="CP239" s="74"/>
      <c r="CQ239" s="74"/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</row>
    <row r="240" customFormat="false" ht="18" hidden="false" customHeight="false" outlineLevel="0" collapsed="false">
      <c r="A240" s="112" t="s">
        <v>224</v>
      </c>
      <c r="B240" s="67"/>
      <c r="C240" s="175"/>
      <c r="D240" s="69" t="n">
        <v>401.306</v>
      </c>
      <c r="E240" s="71" t="n">
        <f aca="false">41416/1000</f>
        <v>41.416</v>
      </c>
      <c r="F240" s="71" t="n">
        <v>-10</v>
      </c>
      <c r="G240" s="71"/>
      <c r="H240" s="71"/>
      <c r="I240" s="72" t="n">
        <f aca="false">SUM(E240:G240)</f>
        <v>31.416</v>
      </c>
      <c r="J240" s="118" t="s">
        <v>114</v>
      </c>
      <c r="K240" s="74"/>
      <c r="L240" s="74"/>
      <c r="M240" s="119"/>
      <c r="N240" s="74"/>
      <c r="O240" s="74"/>
      <c r="P240" s="74"/>
      <c r="Q240" s="74"/>
      <c r="R240" s="74"/>
      <c r="S240" s="74"/>
      <c r="T240" s="65" t="n">
        <f aca="false">IF(D240&gt;0,(I240/D240),"")</f>
        <v>0.0782844014293332</v>
      </c>
      <c r="U240" s="74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4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/>
      <c r="CO240" s="74"/>
      <c r="CP240" s="74"/>
      <c r="CQ240" s="74"/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</row>
    <row r="241" customFormat="false" ht="18" hidden="false" customHeight="false" outlineLevel="0" collapsed="false">
      <c r="A241" s="112" t="s">
        <v>225</v>
      </c>
      <c r="B241" s="67"/>
      <c r="C241" s="175"/>
      <c r="D241" s="69" t="n">
        <v>607.589</v>
      </c>
      <c r="E241" s="71" t="n">
        <f aca="false">54892/1000</f>
        <v>54.892</v>
      </c>
      <c r="F241" s="71" t="n">
        <v>-13.4</v>
      </c>
      <c r="G241" s="71"/>
      <c r="H241" s="71"/>
      <c r="I241" s="72" t="n">
        <f aca="false">SUM(E241:G241)</f>
        <v>41.492</v>
      </c>
      <c r="J241" s="118" t="s">
        <v>226</v>
      </c>
      <c r="K241" s="74"/>
      <c r="L241" s="74"/>
      <c r="M241" s="119"/>
      <c r="N241" s="74"/>
      <c r="O241" s="74"/>
      <c r="P241" s="74"/>
      <c r="Q241" s="74"/>
      <c r="R241" s="74"/>
      <c r="S241" s="74"/>
      <c r="T241" s="65" t="n">
        <f aca="false">IF(D241&gt;0,(I241/D241),"")</f>
        <v>0.0682895839128095</v>
      </c>
      <c r="U241" s="74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4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/>
      <c r="CO241" s="74"/>
      <c r="CP241" s="74"/>
      <c r="CQ241" s="74"/>
      <c r="CR241" s="74"/>
      <c r="CS241" s="74"/>
      <c r="CT241" s="74"/>
      <c r="CU241" s="74"/>
      <c r="CV241" s="74"/>
      <c r="CW241" s="74"/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</row>
    <row r="242" customFormat="false" ht="18" hidden="false" customHeight="false" outlineLevel="0" collapsed="false">
      <c r="A242" s="112" t="s">
        <v>227</v>
      </c>
      <c r="B242" s="67"/>
      <c r="C242" s="175"/>
      <c r="D242" s="69" t="n">
        <v>582.298</v>
      </c>
      <c r="E242" s="71" t="n">
        <f aca="false">59633/1000</f>
        <v>59.633</v>
      </c>
      <c r="F242" s="71" t="n">
        <v>-9.075</v>
      </c>
      <c r="G242" s="71"/>
      <c r="H242" s="71"/>
      <c r="I242" s="72" t="n">
        <f aca="false">SUM(E242:G242)</f>
        <v>50.558</v>
      </c>
      <c r="J242" s="118" t="s">
        <v>226</v>
      </c>
      <c r="K242" s="74"/>
      <c r="L242" s="74"/>
      <c r="M242" s="119"/>
      <c r="N242" s="74"/>
      <c r="O242" s="74"/>
      <c r="P242" s="74"/>
      <c r="Q242" s="74"/>
      <c r="R242" s="74"/>
      <c r="S242" s="74"/>
      <c r="T242" s="65" t="n">
        <f aca="false">IF(D242&gt;0,(I242/D242),"")</f>
        <v>0.0868249590415904</v>
      </c>
      <c r="U242" s="74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4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/>
      <c r="CP242" s="74"/>
      <c r="CQ242" s="74"/>
      <c r="CR242" s="74"/>
      <c r="CS242" s="74"/>
      <c r="CT242" s="74"/>
      <c r="CU242" s="74"/>
      <c r="CV242" s="74"/>
      <c r="CW242" s="74"/>
      <c r="CX242" s="74"/>
      <c r="CY242" s="74"/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</row>
    <row r="243" customFormat="false" ht="18" hidden="false" customHeight="false" outlineLevel="0" collapsed="false">
      <c r="A243" s="181" t="s">
        <v>228</v>
      </c>
      <c r="B243" s="182"/>
      <c r="C243" s="183"/>
      <c r="D243" s="92" t="n">
        <f aca="false">I243/0.06</f>
        <v>4740.55</v>
      </c>
      <c r="E243" s="93" t="n">
        <f aca="false">296592/1000</f>
        <v>296.592</v>
      </c>
      <c r="F243" s="81" t="n">
        <v>-12.159</v>
      </c>
      <c r="G243" s="81"/>
      <c r="H243" s="81"/>
      <c r="I243" s="94" t="n">
        <f aca="false">F243+E243</f>
        <v>284.433</v>
      </c>
      <c r="J243" s="118" t="s">
        <v>21</v>
      </c>
      <c r="K243" s="74"/>
      <c r="L243" s="74"/>
      <c r="M243" s="119"/>
      <c r="N243" s="74"/>
      <c r="O243" s="74"/>
      <c r="P243" s="74"/>
      <c r="Q243" s="74"/>
      <c r="R243" s="74"/>
      <c r="S243" s="74"/>
      <c r="T243" s="65" t="n">
        <f aca="false">IF(D243&gt;0,(I243/D243),"")</f>
        <v>0.06</v>
      </c>
      <c r="U243" s="74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4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/>
      <c r="CP243" s="74"/>
      <c r="CQ243" s="74"/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</row>
    <row r="244" customFormat="false" ht="18" hidden="false" customHeight="false" outlineLevel="0" collapsed="false">
      <c r="A244" s="181" t="s">
        <v>229</v>
      </c>
      <c r="B244" s="182"/>
      <c r="C244" s="183"/>
      <c r="D244" s="92" t="n">
        <f aca="false">I244/0.06</f>
        <v>1786.58333333333</v>
      </c>
      <c r="E244" s="93" t="n">
        <f aca="false">110029/1000</f>
        <v>110.029</v>
      </c>
      <c r="F244" s="81" t="n">
        <v>-2.834</v>
      </c>
      <c r="G244" s="81"/>
      <c r="H244" s="81"/>
      <c r="I244" s="94" t="n">
        <f aca="false">F244+E244</f>
        <v>107.195</v>
      </c>
      <c r="J244" s="118" t="s">
        <v>21</v>
      </c>
      <c r="K244" s="74"/>
      <c r="L244" s="74"/>
      <c r="M244" s="119"/>
      <c r="N244" s="74"/>
      <c r="O244" s="74"/>
      <c r="P244" s="74"/>
      <c r="Q244" s="74"/>
      <c r="R244" s="74"/>
      <c r="S244" s="74"/>
      <c r="T244" s="65" t="n">
        <f aca="false">IF(D244&gt;0,(I244/D244),"")</f>
        <v>0.06</v>
      </c>
      <c r="U244" s="74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4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/>
      <c r="CP244" s="74"/>
      <c r="CQ244" s="74"/>
      <c r="CR244" s="74"/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</row>
    <row r="245" customFormat="false" ht="18" hidden="false" customHeight="false" outlineLevel="0" collapsed="false">
      <c r="A245" s="181" t="s">
        <v>230</v>
      </c>
      <c r="B245" s="182"/>
      <c r="C245" s="183"/>
      <c r="D245" s="92" t="n">
        <v>560.474</v>
      </c>
      <c r="E245" s="93" t="n">
        <f aca="false">95730/1000</f>
        <v>95.73</v>
      </c>
      <c r="F245" s="81" t="n">
        <v>-29.5</v>
      </c>
      <c r="G245" s="81"/>
      <c r="H245" s="81"/>
      <c r="I245" s="94" t="n">
        <f aca="false">F245+E245</f>
        <v>66.23</v>
      </c>
      <c r="J245" s="118" t="s">
        <v>105</v>
      </c>
      <c r="K245" s="74"/>
      <c r="L245" s="74"/>
      <c r="M245" s="119"/>
      <c r="N245" s="74"/>
      <c r="O245" s="74"/>
      <c r="P245" s="74"/>
      <c r="Q245" s="74"/>
      <c r="R245" s="74"/>
      <c r="S245" s="74"/>
      <c r="T245" s="65" t="n">
        <f aca="false">IF(D245&gt;0,(I245/D245),"")</f>
        <v>0.118167836509811</v>
      </c>
      <c r="U245" s="74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4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/>
      <c r="CO245" s="74"/>
      <c r="CP245" s="74"/>
      <c r="CQ245" s="74"/>
      <c r="CR245" s="74"/>
      <c r="CS245" s="74"/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</row>
    <row r="246" customFormat="false" ht="15.75" hidden="false" customHeight="false" outlineLevel="0" collapsed="false">
      <c r="A246" s="120" t="s">
        <v>231</v>
      </c>
      <c r="B246" s="90"/>
      <c r="C246" s="183"/>
      <c r="D246" s="92" t="n">
        <f aca="false">I246/0.015</f>
        <v>12989.4666666667</v>
      </c>
      <c r="E246" s="93" t="n">
        <v>200.212</v>
      </c>
      <c r="F246" s="81" t="n">
        <v>-5.37</v>
      </c>
      <c r="G246" s="81"/>
      <c r="H246" s="81"/>
      <c r="I246" s="94" t="n">
        <f aca="false">SUM(E246:H246)</f>
        <v>194.842</v>
      </c>
      <c r="J246" s="118" t="s">
        <v>21</v>
      </c>
      <c r="K246" s="74"/>
      <c r="L246" s="74"/>
      <c r="M246" s="119"/>
      <c r="N246" s="74"/>
      <c r="O246" s="74"/>
      <c r="P246" s="74"/>
      <c r="Q246" s="74"/>
      <c r="R246" s="74"/>
      <c r="S246" s="74"/>
      <c r="T246" s="65" t="n">
        <f aca="false">IF(D246&gt;0,(I246/D246),"")</f>
        <v>0.015</v>
      </c>
      <c r="U246" s="74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4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/>
      <c r="CN246" s="74"/>
      <c r="CO246" s="74"/>
      <c r="CP246" s="74"/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</row>
    <row r="247" customFormat="false" ht="15.75" hidden="false" customHeight="false" outlineLevel="0" collapsed="false">
      <c r="A247" s="120" t="s">
        <v>232</v>
      </c>
      <c r="B247" s="90"/>
      <c r="C247" s="183"/>
      <c r="D247" s="92" t="n">
        <v>330</v>
      </c>
      <c r="E247" s="93" t="n">
        <v>28.909</v>
      </c>
      <c r="F247" s="81" t="n">
        <v>-9</v>
      </c>
      <c r="G247" s="81"/>
      <c r="H247" s="81"/>
      <c r="I247" s="94" t="n">
        <f aca="false">SUM(E247:G247)</f>
        <v>19.909</v>
      </c>
      <c r="J247" s="118" t="s">
        <v>226</v>
      </c>
      <c r="K247" s="74"/>
      <c r="L247" s="74"/>
      <c r="M247" s="119"/>
      <c r="N247" s="74"/>
      <c r="O247" s="74"/>
      <c r="P247" s="74"/>
      <c r="Q247" s="74"/>
      <c r="R247" s="74"/>
      <c r="S247" s="74"/>
      <c r="T247" s="65" t="n">
        <f aca="false">IF(D247&gt;0,(I247/D247),"")</f>
        <v>0.060330303030303</v>
      </c>
      <c r="U247" s="74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4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/>
      <c r="CO247" s="74"/>
      <c r="CP247" s="74"/>
      <c r="CQ247" s="74"/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</row>
    <row r="248" customFormat="false" ht="15.75" hidden="false" customHeight="false" outlineLevel="0" collapsed="false">
      <c r="A248" s="120" t="s">
        <v>233</v>
      </c>
      <c r="B248" s="90"/>
      <c r="C248" s="183"/>
      <c r="D248" s="92" t="n">
        <f aca="false">I248/0.06</f>
        <v>8701.28333333333</v>
      </c>
      <c r="E248" s="93" t="n">
        <v>536.334</v>
      </c>
      <c r="F248" s="81" t="n">
        <v>-14.257</v>
      </c>
      <c r="G248" s="81"/>
      <c r="H248" s="81"/>
      <c r="I248" s="94" t="n">
        <f aca="false">SUM(E248:G248)</f>
        <v>522.077</v>
      </c>
      <c r="J248" s="118" t="s">
        <v>21</v>
      </c>
      <c r="K248" s="74"/>
      <c r="L248" s="74"/>
      <c r="M248" s="119"/>
      <c r="N248" s="74"/>
      <c r="O248" s="74"/>
      <c r="P248" s="74"/>
      <c r="Q248" s="74"/>
      <c r="R248" s="74"/>
      <c r="S248" s="74"/>
      <c r="T248" s="65" t="n">
        <f aca="false">IF(D248&gt;0,(I248/D248),"")</f>
        <v>0.06</v>
      </c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/>
      <c r="CP248" s="74"/>
      <c r="CQ248" s="74"/>
      <c r="CR248" s="74"/>
      <c r="CS248" s="74"/>
      <c r="CT248" s="74"/>
      <c r="CU248" s="74"/>
      <c r="CV248" s="74"/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74"/>
      <c r="FY248" s="74"/>
      <c r="FZ248" s="74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</row>
    <row r="249" customFormat="false" ht="15.75" hidden="false" customHeight="false" outlineLevel="0" collapsed="false">
      <c r="A249" s="120" t="s">
        <v>234</v>
      </c>
      <c r="B249" s="90"/>
      <c r="C249" s="183"/>
      <c r="D249" s="92" t="n">
        <v>191</v>
      </c>
      <c r="E249" s="93" t="n">
        <v>28.93</v>
      </c>
      <c r="F249" s="81" t="n">
        <v>-3.2</v>
      </c>
      <c r="G249" s="81"/>
      <c r="H249" s="81"/>
      <c r="I249" s="94" t="n">
        <f aca="false">SUM(E249:G249)</f>
        <v>25.73</v>
      </c>
      <c r="J249" s="118" t="s">
        <v>105</v>
      </c>
      <c r="K249" s="74"/>
      <c r="L249" s="74"/>
      <c r="M249" s="119"/>
      <c r="N249" s="74"/>
      <c r="O249" s="74"/>
      <c r="P249" s="74"/>
      <c r="Q249" s="74"/>
      <c r="R249" s="74"/>
      <c r="S249" s="74"/>
      <c r="T249" s="65" t="n">
        <f aca="false">IF(D249&gt;0,(I249/D249),"")</f>
        <v>0.134712041884817</v>
      </c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/>
      <c r="CP249" s="74"/>
      <c r="CQ249" s="74"/>
      <c r="CR249" s="74"/>
      <c r="CS249" s="74"/>
      <c r="CT249" s="74"/>
      <c r="CU249" s="74"/>
      <c r="CV249" s="74"/>
      <c r="CW249" s="74"/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</row>
    <row r="250" customFormat="false" ht="15.75" hidden="false" customHeight="false" outlineLevel="0" collapsed="false">
      <c r="A250" s="120" t="s">
        <v>235</v>
      </c>
      <c r="B250" s="90"/>
      <c r="C250" s="183"/>
      <c r="D250" s="92" t="n">
        <f aca="false">I250/0.06</f>
        <v>1356.36666666667</v>
      </c>
      <c r="E250" s="93" t="n">
        <v>82.863</v>
      </c>
      <c r="F250" s="81" t="n">
        <v>-1.481</v>
      </c>
      <c r="G250" s="81"/>
      <c r="H250" s="81"/>
      <c r="I250" s="94" t="n">
        <f aca="false">SUM(E250:G250)</f>
        <v>81.382</v>
      </c>
      <c r="J250" s="118" t="s">
        <v>21</v>
      </c>
      <c r="K250" s="74"/>
      <c r="L250" s="74"/>
      <c r="M250" s="119"/>
      <c r="N250" s="74"/>
      <c r="O250" s="74"/>
      <c r="P250" s="74"/>
      <c r="Q250" s="74"/>
      <c r="R250" s="74"/>
      <c r="S250" s="74"/>
      <c r="T250" s="65" t="n">
        <f aca="false">IF(D250&gt;0,(I250/D250),"")</f>
        <v>0.06</v>
      </c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/>
      <c r="CM250" s="74"/>
      <c r="CN250" s="74"/>
      <c r="CO250" s="74"/>
      <c r="CP250" s="74"/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</row>
    <row r="251" customFormat="false" ht="15.75" hidden="false" customHeight="false" outlineLevel="0" collapsed="false">
      <c r="A251" s="120" t="s">
        <v>236</v>
      </c>
      <c r="B251" s="90"/>
      <c r="C251" s="183"/>
      <c r="D251" s="92" t="n">
        <f aca="false">I251/0.06</f>
        <v>381.7</v>
      </c>
      <c r="E251" s="93" t="n">
        <v>23.409</v>
      </c>
      <c r="F251" s="81" t="n">
        <v>-0.507</v>
      </c>
      <c r="G251" s="81"/>
      <c r="H251" s="81"/>
      <c r="I251" s="94" t="n">
        <f aca="false">SUM(E251:G251)</f>
        <v>22.902</v>
      </c>
      <c r="J251" s="118" t="s">
        <v>21</v>
      </c>
      <c r="K251" s="74"/>
      <c r="L251" s="74"/>
      <c r="M251" s="119"/>
      <c r="N251" s="74"/>
      <c r="O251" s="74"/>
      <c r="P251" s="74"/>
      <c r="Q251" s="74"/>
      <c r="R251" s="74"/>
      <c r="S251" s="74"/>
      <c r="T251" s="65" t="n">
        <f aca="false">IF(D251&gt;0,(I251/D251),"")</f>
        <v>0.06</v>
      </c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/>
      <c r="CP251" s="74"/>
      <c r="CQ251" s="74"/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</row>
    <row r="252" customFormat="false" ht="15.75" hidden="false" customHeight="false" outlineLevel="0" collapsed="false">
      <c r="A252" s="120" t="s">
        <v>237</v>
      </c>
      <c r="B252" s="128"/>
      <c r="C252" s="129" t="s">
        <v>107</v>
      </c>
      <c r="D252" s="92" t="n">
        <v>7938.735</v>
      </c>
      <c r="E252" s="93" t="n">
        <v>1302.661</v>
      </c>
      <c r="F252" s="81" t="n">
        <v>-210.5</v>
      </c>
      <c r="G252" s="81"/>
      <c r="H252" s="81"/>
      <c r="I252" s="94" t="n">
        <f aca="false">SUM(E252:G252)</f>
        <v>1092.161</v>
      </c>
      <c r="J252" s="118" t="s">
        <v>21</v>
      </c>
      <c r="K252" s="74"/>
      <c r="L252" s="74"/>
      <c r="M252" s="119"/>
      <c r="N252" s="74"/>
      <c r="O252" s="74"/>
      <c r="P252" s="74"/>
      <c r="Q252" s="74"/>
      <c r="R252" s="74"/>
      <c r="S252" s="74"/>
      <c r="T252" s="65" t="n">
        <f aca="false">IF(D252&gt;0,(I252/D252),"")</f>
        <v>0.137573681449249</v>
      </c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/>
      <c r="CQ252" s="74"/>
      <c r="CR252" s="74"/>
      <c r="CS252" s="74"/>
      <c r="CT252" s="74"/>
      <c r="CU252" s="74"/>
      <c r="CV252" s="74"/>
      <c r="CW252" s="74"/>
      <c r="CX252" s="74"/>
      <c r="CY252" s="74"/>
      <c r="CZ252" s="74"/>
      <c r="DA252" s="74"/>
      <c r="DB252" s="74"/>
      <c r="DC252" s="74"/>
      <c r="DD252" s="74"/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</row>
    <row r="253" customFormat="false" ht="15.75" hidden="false" customHeight="false" outlineLevel="0" collapsed="false">
      <c r="A253" s="120" t="s">
        <v>238</v>
      </c>
      <c r="B253" s="122"/>
      <c r="C253" s="129" t="s">
        <v>239</v>
      </c>
      <c r="D253" s="185" t="n">
        <f aca="false">I253/0.04</f>
        <v>39986.225</v>
      </c>
      <c r="E253" s="93" t="n">
        <v>1599.449</v>
      </c>
      <c r="F253" s="81" t="n">
        <v>0</v>
      </c>
      <c r="G253" s="81"/>
      <c r="H253" s="81"/>
      <c r="I253" s="94" t="n">
        <f aca="false">SUM(E253:G253)</f>
        <v>1599.449</v>
      </c>
      <c r="J253" s="118" t="s">
        <v>18</v>
      </c>
      <c r="K253" s="74"/>
      <c r="L253" s="74"/>
      <c r="M253" s="119"/>
      <c r="N253" s="74"/>
      <c r="O253" s="74"/>
      <c r="P253" s="74"/>
      <c r="Q253" s="74"/>
      <c r="R253" s="74"/>
      <c r="S253" s="74"/>
      <c r="T253" s="65" t="n">
        <f aca="false">IF(D253&gt;0,(I253/D253),"")</f>
        <v>0.04</v>
      </c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/>
      <c r="CP253" s="74"/>
      <c r="CQ253" s="74"/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</row>
    <row r="254" customFormat="false" ht="15.75" hidden="false" customHeight="false" outlineLevel="0" collapsed="false">
      <c r="A254" s="120" t="s">
        <v>240</v>
      </c>
      <c r="B254" s="95" t="n">
        <v>37083</v>
      </c>
      <c r="C254" s="188" t="s">
        <v>107</v>
      </c>
      <c r="D254" s="92" t="n">
        <v>1700</v>
      </c>
      <c r="E254" s="93" t="n">
        <v>411.807</v>
      </c>
      <c r="F254" s="81" t="n">
        <v>-10.647</v>
      </c>
      <c r="G254" s="81" t="n">
        <v>0</v>
      </c>
      <c r="H254" s="81" t="n">
        <v>0</v>
      </c>
      <c r="I254" s="94" t="n">
        <f aca="false">SUM(E254:H254)</f>
        <v>401.16</v>
      </c>
      <c r="J254" s="118" t="s">
        <v>21</v>
      </c>
      <c r="K254" s="74"/>
      <c r="L254" s="74"/>
      <c r="M254" s="119"/>
      <c r="N254" s="74"/>
      <c r="O254" s="74"/>
      <c r="P254" s="74"/>
      <c r="Q254" s="74"/>
      <c r="R254" s="74"/>
      <c r="S254" s="74"/>
      <c r="T254" s="65" t="n">
        <f aca="false">IF(D254&gt;0,(I254/D254),"")</f>
        <v>0.235976470588235</v>
      </c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/>
      <c r="CQ254" s="74"/>
      <c r="CR254" s="74"/>
      <c r="CS254" s="74"/>
      <c r="CT254" s="74"/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</row>
    <row r="255" customFormat="false" ht="15.75" hidden="false" customHeight="false" outlineLevel="0" collapsed="false">
      <c r="A255" s="120" t="s">
        <v>241</v>
      </c>
      <c r="B255" s="95" t="n">
        <v>37083</v>
      </c>
      <c r="C255" s="118" t="s">
        <v>242</v>
      </c>
      <c r="D255" s="92" t="n">
        <v>15000</v>
      </c>
      <c r="E255" s="93" t="n">
        <v>1730.669</v>
      </c>
      <c r="F255" s="81" t="n">
        <v>-150</v>
      </c>
      <c r="G255" s="81" t="n">
        <v>0</v>
      </c>
      <c r="H255" s="81" t="n">
        <v>0</v>
      </c>
      <c r="I255" s="94" t="n">
        <f aca="false">SUM(E255:H255)</f>
        <v>1580.669</v>
      </c>
      <c r="J255" s="118" t="s">
        <v>243</v>
      </c>
      <c r="K255" s="74"/>
      <c r="L255" s="74"/>
      <c r="M255" s="119"/>
      <c r="N255" s="74"/>
      <c r="O255" s="74"/>
      <c r="P255" s="74"/>
      <c r="Q255" s="74"/>
      <c r="R255" s="74"/>
      <c r="S255" s="74"/>
      <c r="T255" s="65" t="n">
        <f aca="false">IF(D255&gt;0,(I255/D255),"")</f>
        <v>0.105377933333333</v>
      </c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/>
      <c r="CQ255" s="74"/>
      <c r="CR255" s="74"/>
      <c r="CS255" s="74"/>
      <c r="CT255" s="74"/>
      <c r="CU255" s="74"/>
      <c r="CV255" s="74"/>
      <c r="CW255" s="74"/>
      <c r="CX255" s="74"/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</row>
    <row r="256" customFormat="false" ht="15.75" hidden="false" customHeight="false" outlineLevel="0" collapsed="false">
      <c r="A256" s="120" t="s">
        <v>244</v>
      </c>
      <c r="B256" s="95" t="n">
        <v>37083</v>
      </c>
      <c r="C256" s="118" t="s">
        <v>242</v>
      </c>
      <c r="D256" s="92" t="n">
        <f aca="false">I256/0.015</f>
        <v>7050.46666666667</v>
      </c>
      <c r="E256" s="93" t="n">
        <v>118.589</v>
      </c>
      <c r="F256" s="81" t="n">
        <v>-12.832</v>
      </c>
      <c r="G256" s="81" t="n">
        <v>0</v>
      </c>
      <c r="H256" s="81" t="n">
        <v>0</v>
      </c>
      <c r="I256" s="94" t="n">
        <f aca="false">SUM(E256:H256)</f>
        <v>105.757</v>
      </c>
      <c r="J256" s="118" t="s">
        <v>243</v>
      </c>
      <c r="K256" s="74"/>
      <c r="L256" s="74"/>
      <c r="M256" s="119"/>
      <c r="N256" s="74"/>
      <c r="O256" s="74"/>
      <c r="P256" s="74"/>
      <c r="Q256" s="74"/>
      <c r="R256" s="74"/>
      <c r="S256" s="74"/>
      <c r="T256" s="65" t="n">
        <f aca="false">IF(D256&gt;0,(I256/D256),"")</f>
        <v>0.015</v>
      </c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/>
      <c r="CQ256" s="74"/>
      <c r="CR256" s="74"/>
      <c r="CS256" s="74"/>
      <c r="CT256" s="74"/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</row>
    <row r="257" customFormat="false" ht="15.75" hidden="false" customHeight="false" outlineLevel="0" collapsed="false">
      <c r="A257" s="120" t="s">
        <v>245</v>
      </c>
      <c r="B257" s="95" t="n">
        <v>37105</v>
      </c>
      <c r="C257" s="118" t="s">
        <v>239</v>
      </c>
      <c r="D257" s="92" t="n">
        <f aca="false">I257/0.015</f>
        <v>12580.8</v>
      </c>
      <c r="E257" s="93" t="n">
        <v>191.854</v>
      </c>
      <c r="F257" s="81" t="n">
        <v>-3.142</v>
      </c>
      <c r="G257" s="81" t="n">
        <v>0</v>
      </c>
      <c r="H257" s="81"/>
      <c r="I257" s="94" t="n">
        <v>188.712</v>
      </c>
      <c r="J257" s="118" t="s">
        <v>21</v>
      </c>
      <c r="K257" s="74"/>
      <c r="L257" s="142"/>
      <c r="M257" s="119"/>
      <c r="N257" s="74"/>
      <c r="O257" s="74"/>
      <c r="P257" s="74"/>
      <c r="Q257" s="74"/>
      <c r="R257" s="74"/>
      <c r="S257" s="74"/>
      <c r="T257" s="65" t="n">
        <f aca="false">IF(D257&gt;0,(I257/D257),"")</f>
        <v>0.015</v>
      </c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/>
      <c r="CQ257" s="74"/>
      <c r="CR257" s="74"/>
      <c r="CS257" s="74"/>
      <c r="CT257" s="74"/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142"/>
      <c r="IW257" s="142"/>
    </row>
    <row r="258" customFormat="false" ht="15.75" hidden="false" customHeight="false" outlineLevel="0" collapsed="false">
      <c r="A258" s="120" t="s">
        <v>246</v>
      </c>
      <c r="B258" s="95" t="n">
        <v>37105</v>
      </c>
      <c r="C258" s="118" t="s">
        <v>239</v>
      </c>
      <c r="D258" s="185" t="n">
        <v>2000</v>
      </c>
      <c r="E258" s="93" t="n">
        <v>109.925</v>
      </c>
      <c r="F258" s="81" t="n">
        <v>-3.56</v>
      </c>
      <c r="G258" s="81" t="n">
        <v>0</v>
      </c>
      <c r="H258" s="81"/>
      <c r="I258" s="94" t="n">
        <v>106.365</v>
      </c>
      <c r="J258" s="118" t="s">
        <v>105</v>
      </c>
      <c r="K258" s="74"/>
      <c r="L258" s="142"/>
      <c r="M258" s="119"/>
      <c r="N258" s="74"/>
      <c r="O258" s="74"/>
      <c r="P258" s="74"/>
      <c r="Q258" s="74"/>
      <c r="R258" s="74"/>
      <c r="S258" s="74"/>
      <c r="T258" s="65" t="n">
        <f aca="false">IF(D258&gt;0,(I258/D258),"")</f>
        <v>0.0531825</v>
      </c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/>
      <c r="CP258" s="74"/>
      <c r="CQ258" s="74"/>
      <c r="CR258" s="74"/>
      <c r="CS258" s="74"/>
      <c r="CT258" s="74"/>
      <c r="CU258" s="74"/>
      <c r="CV258" s="74"/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142"/>
      <c r="IW258" s="142"/>
    </row>
    <row r="259" customFormat="false" ht="15.75" hidden="false" customHeight="false" outlineLevel="0" collapsed="false">
      <c r="A259" s="120" t="s">
        <v>247</v>
      </c>
      <c r="B259" s="95"/>
      <c r="C259" s="118"/>
      <c r="D259" s="185" t="n">
        <f aca="false">I259/0.04</f>
        <v>71.575</v>
      </c>
      <c r="E259" s="93" t="n">
        <v>2.863</v>
      </c>
      <c r="F259" s="81" t="n">
        <v>0</v>
      </c>
      <c r="G259" s="81" t="n">
        <v>0</v>
      </c>
      <c r="H259" s="81" t="n">
        <v>0</v>
      </c>
      <c r="I259" s="94" t="n">
        <f aca="false">SUM(E259:H259)</f>
        <v>2.863</v>
      </c>
      <c r="J259" s="118" t="s">
        <v>18</v>
      </c>
      <c r="K259" s="74"/>
      <c r="L259" s="142"/>
      <c r="M259" s="201"/>
      <c r="N259" s="187"/>
      <c r="O259" s="74"/>
      <c r="P259" s="74"/>
      <c r="Q259" s="74"/>
      <c r="R259" s="74"/>
      <c r="S259" s="74"/>
      <c r="T259" s="65" t="n">
        <f aca="false">IF(D259&gt;0,(I259/D259),"")</f>
        <v>0.04</v>
      </c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/>
      <c r="CP259" s="74"/>
      <c r="CQ259" s="74"/>
      <c r="CR259" s="74"/>
      <c r="CS259" s="74"/>
      <c r="CT259" s="74"/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142"/>
      <c r="IW259" s="142"/>
    </row>
    <row r="260" customFormat="false" ht="15.75" hidden="false" customHeight="false" outlineLevel="0" collapsed="false">
      <c r="A260" s="137" t="s">
        <v>205</v>
      </c>
      <c r="B260" s="190"/>
      <c r="C260" s="202"/>
      <c r="D260" s="203"/>
      <c r="E260" s="204" t="n">
        <f aca="false">-(21.691+18+2.498+1.526)</f>
        <v>-43.715</v>
      </c>
      <c r="F260" s="87" t="n">
        <v>0</v>
      </c>
      <c r="G260" s="87" t="n">
        <v>0</v>
      </c>
      <c r="H260" s="87"/>
      <c r="I260" s="88" t="n">
        <f aca="false">SUM(E260:H260)</f>
        <v>-43.715</v>
      </c>
      <c r="J260" s="118"/>
      <c r="K260" s="74"/>
      <c r="L260" s="142"/>
      <c r="M260" s="119"/>
      <c r="N260" s="74"/>
      <c r="O260" s="74"/>
      <c r="P260" s="74"/>
      <c r="Q260" s="74"/>
      <c r="R260" s="74"/>
      <c r="S260" s="74"/>
      <c r="T260" s="65" t="str">
        <f aca="false">IF(D260&gt;0,(I260/D260),"")</f>
        <v/>
      </c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/>
      <c r="CQ260" s="74"/>
      <c r="CR260" s="74"/>
      <c r="CS260" s="74"/>
      <c r="CT260" s="74"/>
      <c r="CU260" s="74"/>
      <c r="CV260" s="74"/>
      <c r="CW260" s="74"/>
      <c r="CX260" s="74"/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142"/>
      <c r="IW260" s="142"/>
    </row>
    <row r="261" customFormat="false" ht="15.75" hidden="false" customHeight="false" outlineLevel="0" collapsed="false">
      <c r="A261" s="120" t="s">
        <v>248</v>
      </c>
      <c r="B261" s="90"/>
      <c r="C261" s="118" t="s">
        <v>242</v>
      </c>
      <c r="D261" s="185" t="n">
        <f aca="false">I261/0.04</f>
        <v>60951.475</v>
      </c>
      <c r="E261" s="93" t="n">
        <v>2438.059</v>
      </c>
      <c r="F261" s="81" t="n">
        <v>0</v>
      </c>
      <c r="G261" s="81" t="n">
        <v>0</v>
      </c>
      <c r="H261" s="81" t="n">
        <v>0</v>
      </c>
      <c r="I261" s="94" t="n">
        <f aca="false">SUM(E261:H261)</f>
        <v>2438.059</v>
      </c>
      <c r="J261" s="118" t="s">
        <v>18</v>
      </c>
      <c r="M261" s="119"/>
      <c r="T261" s="65" t="n">
        <f aca="false">IF(D261&gt;0,(I261/D261),"")</f>
        <v>0.04</v>
      </c>
    </row>
    <row r="262" customFormat="false" ht="15.75" hidden="false" customHeight="false" outlineLevel="0" collapsed="false">
      <c r="A262" s="120" t="s">
        <v>249</v>
      </c>
      <c r="B262" s="90"/>
      <c r="C262" s="188" t="s">
        <v>107</v>
      </c>
      <c r="D262" s="135" t="n">
        <f aca="false">I262/0.04</f>
        <v>41212.9</v>
      </c>
      <c r="E262" s="193" t="n">
        <v>1648.516</v>
      </c>
      <c r="F262" s="132" t="n">
        <v>0</v>
      </c>
      <c r="G262" s="132" t="n">
        <v>0</v>
      </c>
      <c r="H262" s="132" t="n">
        <v>0</v>
      </c>
      <c r="I262" s="133" t="n">
        <f aca="false">SUM(E262:H262)</f>
        <v>1648.516</v>
      </c>
      <c r="J262" s="118" t="s">
        <v>18</v>
      </c>
      <c r="K262" s="97"/>
      <c r="L262" s="97"/>
      <c r="M262" s="119"/>
      <c r="N262" s="97"/>
      <c r="O262" s="97"/>
      <c r="P262" s="97"/>
      <c r="Q262" s="97"/>
      <c r="R262" s="97"/>
      <c r="S262" s="97"/>
      <c r="T262" s="65" t="n">
        <f aca="false">IF(D262&gt;0,(I262/D262),"")</f>
        <v>0.04</v>
      </c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97"/>
      <c r="CB262" s="97"/>
      <c r="CC262" s="97"/>
      <c r="CD262" s="97"/>
      <c r="CE262" s="97"/>
      <c r="CF262" s="97"/>
      <c r="CG262" s="97"/>
      <c r="CH262" s="97"/>
      <c r="CI262" s="97"/>
      <c r="CJ262" s="97"/>
      <c r="CK262" s="97"/>
      <c r="CL262" s="97"/>
      <c r="CM262" s="97"/>
      <c r="CN262" s="97"/>
      <c r="CO262" s="97"/>
      <c r="CP262" s="97"/>
      <c r="CQ262" s="97"/>
      <c r="CR262" s="97"/>
      <c r="CS262" s="97"/>
      <c r="CT262" s="97"/>
      <c r="CU262" s="97"/>
      <c r="CV262" s="97"/>
      <c r="CW262" s="97"/>
      <c r="CX262" s="97"/>
      <c r="CY262" s="97"/>
      <c r="CZ262" s="97"/>
      <c r="DA262" s="97"/>
      <c r="DB262" s="97"/>
      <c r="DC262" s="97"/>
      <c r="DD262" s="97"/>
      <c r="DE262" s="97"/>
      <c r="DF262" s="97"/>
      <c r="DG262" s="97"/>
      <c r="DH262" s="97"/>
      <c r="DI262" s="97"/>
      <c r="DJ262" s="97"/>
      <c r="DK262" s="97"/>
      <c r="DL262" s="97"/>
      <c r="DM262" s="97"/>
      <c r="DN262" s="97"/>
      <c r="DO262" s="97"/>
      <c r="DP262" s="97"/>
      <c r="DQ262" s="97"/>
      <c r="DR262" s="97"/>
      <c r="DS262" s="97"/>
      <c r="DT262" s="97"/>
      <c r="DU262" s="97"/>
      <c r="DV262" s="97"/>
      <c r="DW262" s="97"/>
      <c r="DX262" s="97"/>
      <c r="DY262" s="97"/>
      <c r="DZ262" s="97"/>
      <c r="EA262" s="97"/>
      <c r="EB262" s="97"/>
      <c r="EC262" s="97"/>
      <c r="ED262" s="97"/>
      <c r="EE262" s="97"/>
      <c r="EF262" s="97"/>
      <c r="EG262" s="97"/>
      <c r="EH262" s="97"/>
      <c r="EI262" s="97"/>
      <c r="EJ262" s="97"/>
      <c r="EK262" s="97"/>
      <c r="EL262" s="97"/>
      <c r="EM262" s="97"/>
      <c r="EN262" s="97"/>
      <c r="EO262" s="97"/>
      <c r="EP262" s="97"/>
      <c r="EQ262" s="97"/>
      <c r="ER262" s="97"/>
      <c r="ES262" s="97"/>
      <c r="ET262" s="97"/>
      <c r="EU262" s="97"/>
      <c r="EV262" s="97"/>
      <c r="EW262" s="97"/>
      <c r="EX262" s="97"/>
      <c r="EY262" s="97"/>
      <c r="EZ262" s="97"/>
      <c r="FA262" s="97"/>
      <c r="FB262" s="97"/>
      <c r="FC262" s="97"/>
      <c r="FD262" s="97"/>
      <c r="FE262" s="97"/>
      <c r="FF262" s="97"/>
      <c r="FG262" s="97"/>
      <c r="FH262" s="97"/>
      <c r="FI262" s="97"/>
      <c r="FJ262" s="97"/>
      <c r="FK262" s="97"/>
      <c r="FL262" s="97"/>
      <c r="FM262" s="97"/>
      <c r="FN262" s="97"/>
      <c r="FO262" s="97"/>
      <c r="FP262" s="97"/>
      <c r="FQ262" s="97"/>
      <c r="FR262" s="97"/>
      <c r="FS262" s="97"/>
      <c r="FT262" s="97"/>
      <c r="FU262" s="97"/>
      <c r="FV262" s="97"/>
      <c r="FW262" s="97"/>
      <c r="FX262" s="97"/>
      <c r="FY262" s="97"/>
      <c r="FZ262" s="97"/>
      <c r="GA262" s="97"/>
      <c r="GB262" s="97"/>
      <c r="GC262" s="97"/>
      <c r="GD262" s="97"/>
      <c r="GE262" s="97"/>
      <c r="GF262" s="97"/>
      <c r="GG262" s="97"/>
      <c r="GH262" s="97"/>
      <c r="GI262" s="97"/>
      <c r="GJ262" s="97"/>
      <c r="GK262" s="97"/>
      <c r="GL262" s="97"/>
      <c r="GM262" s="97"/>
      <c r="GN262" s="97"/>
      <c r="GO262" s="97"/>
      <c r="GP262" s="97"/>
      <c r="GQ262" s="97"/>
      <c r="GR262" s="97"/>
      <c r="GS262" s="97"/>
      <c r="GT262" s="97"/>
      <c r="GU262" s="97"/>
      <c r="GV262" s="97"/>
      <c r="GW262" s="97"/>
      <c r="GX262" s="97"/>
      <c r="GY262" s="97"/>
      <c r="GZ262" s="97"/>
      <c r="HA262" s="97"/>
      <c r="HB262" s="97"/>
      <c r="HC262" s="97"/>
      <c r="HD262" s="97"/>
      <c r="HE262" s="97"/>
      <c r="HF262" s="97"/>
      <c r="HG262" s="97"/>
      <c r="HH262" s="97"/>
      <c r="HI262" s="97"/>
      <c r="HJ262" s="97"/>
      <c r="HK262" s="97"/>
      <c r="HL262" s="97"/>
      <c r="HM262" s="97"/>
      <c r="HN262" s="97"/>
      <c r="HO262" s="97"/>
      <c r="HP262" s="97"/>
      <c r="HQ262" s="97"/>
      <c r="HR262" s="97"/>
      <c r="HS262" s="97"/>
      <c r="HT262" s="97"/>
      <c r="HU262" s="97"/>
      <c r="HV262" s="97"/>
      <c r="HW262" s="97"/>
      <c r="HX262" s="97"/>
      <c r="HY262" s="97"/>
      <c r="HZ262" s="97"/>
      <c r="IA262" s="97"/>
      <c r="IB262" s="97"/>
      <c r="IC262" s="97"/>
      <c r="ID262" s="97"/>
      <c r="IE262" s="97"/>
      <c r="IF262" s="97"/>
      <c r="IG262" s="97"/>
      <c r="IH262" s="97"/>
      <c r="II262" s="97"/>
      <c r="IJ262" s="97"/>
      <c r="IK262" s="97"/>
      <c r="IL262" s="97"/>
      <c r="IM262" s="97"/>
      <c r="IN262" s="97"/>
      <c r="IO262" s="97"/>
      <c r="IP262" s="97"/>
      <c r="IQ262" s="97"/>
      <c r="IR262" s="97"/>
      <c r="IS262" s="97"/>
      <c r="IT262" s="97"/>
      <c r="IU262" s="97"/>
      <c r="IV262" s="97"/>
      <c r="IW262" s="97"/>
    </row>
    <row r="263" customFormat="false" ht="15.75" hidden="false" customHeight="false" outlineLevel="0" collapsed="false">
      <c r="A263" s="194" t="s">
        <v>250</v>
      </c>
      <c r="B263" s="195"/>
      <c r="C263" s="188"/>
      <c r="D263" s="92" t="n">
        <f aca="false">SUM(D225:D262)</f>
        <v>259451.940797133</v>
      </c>
      <c r="E263" s="205" t="n">
        <f aca="false">SUM(E225:E262)</f>
        <v>15668.286</v>
      </c>
      <c r="F263" s="206" t="n">
        <f aca="false">SUM(F225:F262)</f>
        <v>-1162.777</v>
      </c>
      <c r="G263" s="206" t="n">
        <f aca="false">SUM(G225:G262)</f>
        <v>0</v>
      </c>
      <c r="H263" s="206" t="n">
        <f aca="false">SUM(H225:H262)</f>
        <v>0</v>
      </c>
      <c r="I263" s="207" t="n">
        <f aca="false">SUM(I225:I262)</f>
        <v>14505.509</v>
      </c>
      <c r="J263" s="208"/>
      <c r="K263" s="97"/>
      <c r="L263" s="97"/>
      <c r="M263" s="119"/>
      <c r="N263" s="97"/>
      <c r="O263" s="97"/>
      <c r="P263" s="97"/>
      <c r="Q263" s="97"/>
      <c r="R263" s="97"/>
      <c r="S263" s="97"/>
      <c r="T263" s="65" t="n">
        <f aca="false">IF(D263&gt;0,(I263/D263),"")</f>
        <v>0.0559082693905995</v>
      </c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97"/>
      <c r="CB263" s="97"/>
      <c r="CC263" s="97"/>
      <c r="CD263" s="97"/>
      <c r="CE263" s="97"/>
      <c r="CF263" s="97"/>
      <c r="CG263" s="97"/>
      <c r="CH263" s="97"/>
      <c r="CI263" s="97"/>
      <c r="CJ263" s="97"/>
      <c r="CK263" s="97"/>
      <c r="CL263" s="97"/>
      <c r="CM263" s="97"/>
      <c r="CN263" s="97"/>
      <c r="CO263" s="97"/>
      <c r="CP263" s="97"/>
      <c r="CQ263" s="97"/>
      <c r="CR263" s="97"/>
      <c r="CS263" s="97"/>
      <c r="CT263" s="97"/>
      <c r="CU263" s="97"/>
      <c r="CV263" s="97"/>
      <c r="CW263" s="97"/>
      <c r="CX263" s="97"/>
      <c r="CY263" s="97"/>
      <c r="CZ263" s="97"/>
      <c r="DA263" s="97"/>
      <c r="DB263" s="97"/>
      <c r="DC263" s="97"/>
      <c r="DD263" s="97"/>
      <c r="DE263" s="97"/>
      <c r="DF263" s="97"/>
      <c r="DG263" s="97"/>
      <c r="DH263" s="97"/>
      <c r="DI263" s="97"/>
      <c r="DJ263" s="97"/>
      <c r="DK263" s="97"/>
      <c r="DL263" s="97"/>
      <c r="DM263" s="97"/>
      <c r="DN263" s="97"/>
      <c r="DO263" s="97"/>
      <c r="DP263" s="97"/>
      <c r="DQ263" s="97"/>
      <c r="DR263" s="97"/>
      <c r="DS263" s="97"/>
      <c r="DT263" s="97"/>
      <c r="DU263" s="97"/>
      <c r="DV263" s="97"/>
      <c r="DW263" s="97"/>
      <c r="DX263" s="97"/>
      <c r="DY263" s="97"/>
      <c r="DZ263" s="97"/>
      <c r="EA263" s="97"/>
      <c r="EB263" s="97"/>
      <c r="EC263" s="97"/>
      <c r="ED263" s="97"/>
      <c r="EE263" s="97"/>
      <c r="EF263" s="97"/>
      <c r="EG263" s="97"/>
      <c r="EH263" s="97"/>
      <c r="EI263" s="97"/>
      <c r="EJ263" s="97"/>
      <c r="EK263" s="97"/>
      <c r="EL263" s="97"/>
      <c r="EM263" s="97"/>
      <c r="EN263" s="97"/>
      <c r="EO263" s="97"/>
      <c r="EP263" s="97"/>
      <c r="EQ263" s="97"/>
      <c r="ER263" s="97"/>
      <c r="ES263" s="97"/>
      <c r="ET263" s="97"/>
      <c r="EU263" s="97"/>
      <c r="EV263" s="97"/>
      <c r="EW263" s="97"/>
      <c r="EX263" s="97"/>
      <c r="EY263" s="97"/>
      <c r="EZ263" s="97"/>
      <c r="FA263" s="97"/>
      <c r="FB263" s="97"/>
      <c r="FC263" s="97"/>
      <c r="FD263" s="97"/>
      <c r="FE263" s="97"/>
      <c r="FF263" s="97"/>
      <c r="FG263" s="97"/>
      <c r="FH263" s="97"/>
      <c r="FI263" s="97"/>
      <c r="FJ263" s="97"/>
      <c r="FK263" s="97"/>
      <c r="FL263" s="97"/>
      <c r="FM263" s="97"/>
      <c r="FN263" s="97"/>
      <c r="FO263" s="97"/>
      <c r="FP263" s="97"/>
      <c r="FQ263" s="97"/>
      <c r="FR263" s="97"/>
      <c r="FS263" s="97"/>
      <c r="FT263" s="97"/>
      <c r="FU263" s="97"/>
      <c r="FV263" s="97"/>
      <c r="FW263" s="97"/>
      <c r="FX263" s="97"/>
      <c r="FY263" s="97"/>
      <c r="FZ263" s="97"/>
      <c r="GA263" s="97"/>
      <c r="GB263" s="97"/>
      <c r="GC263" s="97"/>
      <c r="GD263" s="97"/>
      <c r="GE263" s="97"/>
      <c r="GF263" s="97"/>
      <c r="GG263" s="97"/>
      <c r="GH263" s="97"/>
      <c r="GI263" s="97"/>
      <c r="GJ263" s="97"/>
      <c r="GK263" s="97"/>
      <c r="GL263" s="97"/>
      <c r="GM263" s="97"/>
      <c r="GN263" s="97"/>
      <c r="GO263" s="97"/>
      <c r="GP263" s="97"/>
      <c r="GQ263" s="97"/>
      <c r="GR263" s="97"/>
      <c r="GS263" s="97"/>
      <c r="GT263" s="97"/>
      <c r="GU263" s="97"/>
      <c r="GV263" s="97"/>
      <c r="GW263" s="97"/>
      <c r="GX263" s="97"/>
      <c r="GY263" s="97"/>
      <c r="GZ263" s="97"/>
      <c r="HA263" s="97"/>
      <c r="HB263" s="97"/>
      <c r="HC263" s="97"/>
      <c r="HD263" s="97"/>
      <c r="HE263" s="97"/>
      <c r="HF263" s="97"/>
      <c r="HG263" s="97"/>
      <c r="HH263" s="97"/>
      <c r="HI263" s="97"/>
      <c r="HJ263" s="97"/>
      <c r="HK263" s="97"/>
      <c r="HL263" s="97"/>
      <c r="HM263" s="97"/>
      <c r="HN263" s="97"/>
      <c r="HO263" s="97"/>
      <c r="HP263" s="97"/>
      <c r="HQ263" s="97"/>
      <c r="HR263" s="97"/>
      <c r="HS263" s="97"/>
      <c r="HT263" s="97"/>
      <c r="HU263" s="97"/>
      <c r="HV263" s="97"/>
      <c r="HW263" s="97"/>
      <c r="HX263" s="97"/>
      <c r="HY263" s="97"/>
      <c r="HZ263" s="97"/>
      <c r="IA263" s="97"/>
      <c r="IB263" s="97"/>
      <c r="IC263" s="97"/>
      <c r="ID263" s="97"/>
      <c r="IE263" s="97"/>
      <c r="IF263" s="97"/>
      <c r="IG263" s="97"/>
      <c r="IH263" s="97"/>
      <c r="II263" s="97"/>
      <c r="IJ263" s="97"/>
      <c r="IK263" s="97"/>
      <c r="IL263" s="97"/>
      <c r="IM263" s="97"/>
      <c r="IN263" s="97"/>
      <c r="IO263" s="97"/>
      <c r="IP263" s="97"/>
      <c r="IQ263" s="97"/>
      <c r="IR263" s="97"/>
      <c r="IS263" s="97"/>
      <c r="IT263" s="97"/>
      <c r="IU263" s="97"/>
      <c r="IV263" s="97"/>
      <c r="IW263" s="97"/>
    </row>
    <row r="264" customFormat="false" ht="15.75" hidden="false" customHeight="false" outlineLevel="0" collapsed="false">
      <c r="A264" s="209"/>
      <c r="B264" s="210"/>
      <c r="C264" s="188"/>
      <c r="D264" s="92"/>
      <c r="E264" s="93"/>
      <c r="F264" s="81"/>
      <c r="G264" s="81"/>
      <c r="H264" s="81"/>
      <c r="I264" s="94"/>
      <c r="J264" s="118"/>
      <c r="K264" s="97"/>
      <c r="L264" s="97"/>
      <c r="M264" s="119"/>
      <c r="N264" s="97"/>
      <c r="O264" s="97"/>
      <c r="P264" s="97"/>
      <c r="Q264" s="97"/>
      <c r="R264" s="97"/>
      <c r="S264" s="97"/>
      <c r="T264" s="65" t="str">
        <f aca="false">IF(D264&gt;0,(I264/D264),"")</f>
        <v/>
      </c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97"/>
      <c r="CB264" s="97"/>
      <c r="CC264" s="97"/>
      <c r="CD264" s="97"/>
      <c r="CE264" s="97"/>
      <c r="CF264" s="97"/>
      <c r="CG264" s="97"/>
      <c r="CH264" s="97"/>
      <c r="CI264" s="97"/>
      <c r="CJ264" s="97"/>
      <c r="CK264" s="97"/>
      <c r="CL264" s="97"/>
      <c r="CM264" s="97"/>
      <c r="CN264" s="97"/>
      <c r="CO264" s="97"/>
      <c r="CP264" s="97"/>
      <c r="CQ264" s="97"/>
      <c r="CR264" s="97"/>
      <c r="CS264" s="97"/>
      <c r="CT264" s="97"/>
      <c r="CU264" s="97"/>
      <c r="CV264" s="97"/>
      <c r="CW264" s="97"/>
      <c r="CX264" s="97"/>
      <c r="CY264" s="97"/>
      <c r="CZ264" s="97"/>
      <c r="DA264" s="97"/>
      <c r="DB264" s="97"/>
      <c r="DC264" s="97"/>
      <c r="DD264" s="97"/>
      <c r="DE264" s="97"/>
      <c r="DF264" s="97"/>
      <c r="DG264" s="97"/>
      <c r="DH264" s="97"/>
      <c r="DI264" s="97"/>
      <c r="DJ264" s="97"/>
      <c r="DK264" s="97"/>
      <c r="DL264" s="97"/>
      <c r="DM264" s="97"/>
      <c r="DN264" s="97"/>
      <c r="DO264" s="97"/>
      <c r="DP264" s="97"/>
      <c r="DQ264" s="97"/>
      <c r="DR264" s="97"/>
      <c r="DS264" s="97"/>
      <c r="DT264" s="97"/>
      <c r="DU264" s="97"/>
      <c r="DV264" s="97"/>
      <c r="DW264" s="97"/>
      <c r="DX264" s="97"/>
      <c r="DY264" s="97"/>
      <c r="DZ264" s="97"/>
      <c r="EA264" s="97"/>
      <c r="EB264" s="97"/>
      <c r="EC264" s="97"/>
      <c r="ED264" s="97"/>
      <c r="EE264" s="97"/>
      <c r="EF264" s="97"/>
      <c r="EG264" s="97"/>
      <c r="EH264" s="97"/>
      <c r="EI264" s="97"/>
      <c r="EJ264" s="97"/>
      <c r="EK264" s="97"/>
      <c r="EL264" s="97"/>
      <c r="EM264" s="97"/>
      <c r="EN264" s="97"/>
      <c r="EO264" s="97"/>
      <c r="EP264" s="97"/>
      <c r="EQ264" s="97"/>
      <c r="ER264" s="97"/>
      <c r="ES264" s="97"/>
      <c r="ET264" s="97"/>
      <c r="EU264" s="97"/>
      <c r="EV264" s="97"/>
      <c r="EW264" s="97"/>
      <c r="EX264" s="97"/>
      <c r="EY264" s="97"/>
      <c r="EZ264" s="97"/>
      <c r="FA264" s="97"/>
      <c r="FB264" s="97"/>
      <c r="FC264" s="97"/>
      <c r="FD264" s="97"/>
      <c r="FE264" s="97"/>
      <c r="FF264" s="97"/>
      <c r="FG264" s="97"/>
      <c r="FH264" s="97"/>
      <c r="FI264" s="97"/>
      <c r="FJ264" s="97"/>
      <c r="FK264" s="97"/>
      <c r="FL264" s="97"/>
      <c r="FM264" s="97"/>
      <c r="FN264" s="97"/>
      <c r="FO264" s="97"/>
      <c r="FP264" s="97"/>
      <c r="FQ264" s="97"/>
      <c r="FR264" s="97"/>
      <c r="FS264" s="97"/>
      <c r="FT264" s="97"/>
      <c r="FU264" s="97"/>
      <c r="FV264" s="97"/>
      <c r="FW264" s="97"/>
      <c r="FX264" s="97"/>
      <c r="FY264" s="97"/>
      <c r="FZ264" s="97"/>
      <c r="GA264" s="97"/>
      <c r="GB264" s="97"/>
      <c r="GC264" s="97"/>
      <c r="GD264" s="97"/>
      <c r="GE264" s="97"/>
      <c r="GF264" s="97"/>
      <c r="GG264" s="97"/>
      <c r="GH264" s="97"/>
      <c r="GI264" s="97"/>
      <c r="GJ264" s="97"/>
      <c r="GK264" s="97"/>
      <c r="GL264" s="97"/>
      <c r="GM264" s="97"/>
      <c r="GN264" s="97"/>
      <c r="GO264" s="97"/>
      <c r="GP264" s="97"/>
      <c r="GQ264" s="97"/>
      <c r="GR264" s="97"/>
      <c r="GS264" s="97"/>
      <c r="GT264" s="97"/>
      <c r="GU264" s="97"/>
      <c r="GV264" s="97"/>
      <c r="GW264" s="97"/>
      <c r="GX264" s="97"/>
      <c r="GY264" s="97"/>
      <c r="GZ264" s="97"/>
      <c r="HA264" s="97"/>
      <c r="HB264" s="97"/>
      <c r="HC264" s="97"/>
      <c r="HD264" s="97"/>
      <c r="HE264" s="97"/>
      <c r="HF264" s="97"/>
      <c r="HG264" s="97"/>
      <c r="HH264" s="97"/>
      <c r="HI264" s="97"/>
      <c r="HJ264" s="97"/>
      <c r="HK264" s="97"/>
      <c r="HL264" s="97"/>
      <c r="HM264" s="97"/>
      <c r="HN264" s="97"/>
      <c r="HO264" s="97"/>
      <c r="HP264" s="97"/>
      <c r="HQ264" s="97"/>
      <c r="HR264" s="97"/>
      <c r="HS264" s="97"/>
      <c r="HT264" s="97"/>
      <c r="HU264" s="97"/>
      <c r="HV264" s="97"/>
      <c r="HW264" s="97"/>
      <c r="HX264" s="97"/>
      <c r="HY264" s="97"/>
      <c r="HZ264" s="97"/>
      <c r="IA264" s="97"/>
      <c r="IB264" s="97"/>
      <c r="IC264" s="97"/>
      <c r="ID264" s="97"/>
      <c r="IE264" s="97"/>
      <c r="IF264" s="97"/>
      <c r="IG264" s="97"/>
      <c r="IH264" s="97"/>
      <c r="II264" s="97"/>
      <c r="IJ264" s="97"/>
      <c r="IK264" s="97"/>
      <c r="IL264" s="97"/>
      <c r="IM264" s="97"/>
      <c r="IN264" s="97"/>
      <c r="IO264" s="97"/>
      <c r="IP264" s="97"/>
      <c r="IQ264" s="97"/>
      <c r="IR264" s="97"/>
      <c r="IS264" s="97"/>
      <c r="IT264" s="97"/>
      <c r="IU264" s="97"/>
      <c r="IV264" s="97"/>
      <c r="IW264" s="97"/>
    </row>
    <row r="265" customFormat="false" ht="15.75" hidden="false" customHeight="false" outlineLevel="0" collapsed="false">
      <c r="A265" s="197" t="s">
        <v>251</v>
      </c>
      <c r="B265" s="211"/>
      <c r="C265" s="188"/>
      <c r="D265" s="92"/>
      <c r="E265" s="93"/>
      <c r="F265" s="81"/>
      <c r="G265" s="81"/>
      <c r="H265" s="81"/>
      <c r="I265" s="94"/>
      <c r="J265" s="118"/>
      <c r="K265" s="97"/>
      <c r="L265" s="97"/>
      <c r="M265" s="119"/>
      <c r="N265" s="97"/>
      <c r="O265" s="97"/>
      <c r="P265" s="97"/>
      <c r="Q265" s="97"/>
      <c r="R265" s="97"/>
      <c r="S265" s="97"/>
      <c r="T265" s="65" t="str">
        <f aca="false">IF(D265&gt;0,(I265/D265),"")</f>
        <v/>
      </c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97"/>
      <c r="CB265" s="97"/>
      <c r="CC265" s="97"/>
      <c r="CD265" s="97"/>
      <c r="CE265" s="97"/>
      <c r="CF265" s="97"/>
      <c r="CG265" s="97"/>
      <c r="CH265" s="97"/>
      <c r="CI265" s="97"/>
      <c r="CJ265" s="97"/>
      <c r="CK265" s="97"/>
      <c r="CL265" s="97"/>
      <c r="CM265" s="97"/>
      <c r="CN265" s="97"/>
      <c r="CO265" s="97"/>
      <c r="CP265" s="97"/>
      <c r="CQ265" s="97"/>
      <c r="CR265" s="97"/>
      <c r="CS265" s="97"/>
      <c r="CT265" s="97"/>
      <c r="CU265" s="97"/>
      <c r="CV265" s="97"/>
      <c r="CW265" s="97"/>
      <c r="CX265" s="97"/>
      <c r="CY265" s="97"/>
      <c r="CZ265" s="97"/>
      <c r="DA265" s="97"/>
      <c r="DB265" s="97"/>
      <c r="DC265" s="97"/>
      <c r="DD265" s="97"/>
      <c r="DE265" s="97"/>
      <c r="DF265" s="97"/>
      <c r="DG265" s="97"/>
      <c r="DH265" s="97"/>
      <c r="DI265" s="97"/>
      <c r="DJ265" s="97"/>
      <c r="DK265" s="97"/>
      <c r="DL265" s="97"/>
      <c r="DM265" s="97"/>
      <c r="DN265" s="97"/>
      <c r="DO265" s="97"/>
      <c r="DP265" s="97"/>
      <c r="DQ265" s="97"/>
      <c r="DR265" s="97"/>
      <c r="DS265" s="97"/>
      <c r="DT265" s="97"/>
      <c r="DU265" s="97"/>
      <c r="DV265" s="97"/>
      <c r="DW265" s="97"/>
      <c r="DX265" s="97"/>
      <c r="DY265" s="97"/>
      <c r="DZ265" s="97"/>
      <c r="EA265" s="97"/>
      <c r="EB265" s="97"/>
      <c r="EC265" s="97"/>
      <c r="ED265" s="97"/>
      <c r="EE265" s="97"/>
      <c r="EF265" s="97"/>
      <c r="EG265" s="97"/>
      <c r="EH265" s="97"/>
      <c r="EI265" s="97"/>
      <c r="EJ265" s="97"/>
      <c r="EK265" s="97"/>
      <c r="EL265" s="97"/>
      <c r="EM265" s="97"/>
      <c r="EN265" s="97"/>
      <c r="EO265" s="97"/>
      <c r="EP265" s="97"/>
      <c r="EQ265" s="97"/>
      <c r="ER265" s="97"/>
      <c r="ES265" s="97"/>
      <c r="ET265" s="97"/>
      <c r="EU265" s="97"/>
      <c r="EV265" s="97"/>
      <c r="EW265" s="97"/>
      <c r="EX265" s="97"/>
      <c r="EY265" s="97"/>
      <c r="EZ265" s="97"/>
      <c r="FA265" s="97"/>
      <c r="FB265" s="97"/>
      <c r="FC265" s="97"/>
      <c r="FD265" s="97"/>
      <c r="FE265" s="97"/>
      <c r="FF265" s="97"/>
      <c r="FG265" s="97"/>
      <c r="FH265" s="97"/>
      <c r="FI265" s="97"/>
      <c r="FJ265" s="97"/>
      <c r="FK265" s="97"/>
      <c r="FL265" s="97"/>
      <c r="FM265" s="97"/>
      <c r="FN265" s="97"/>
      <c r="FO265" s="97"/>
      <c r="FP265" s="97"/>
      <c r="FQ265" s="97"/>
      <c r="FR265" s="97"/>
      <c r="FS265" s="97"/>
      <c r="FT265" s="97"/>
      <c r="FU265" s="97"/>
      <c r="FV265" s="97"/>
      <c r="FW265" s="97"/>
      <c r="FX265" s="97"/>
      <c r="FY265" s="97"/>
      <c r="FZ265" s="97"/>
      <c r="GA265" s="97"/>
      <c r="GB265" s="97"/>
      <c r="GC265" s="97"/>
      <c r="GD265" s="97"/>
      <c r="GE265" s="97"/>
      <c r="GF265" s="97"/>
      <c r="GG265" s="97"/>
      <c r="GH265" s="97"/>
      <c r="GI265" s="97"/>
      <c r="GJ265" s="97"/>
      <c r="GK265" s="97"/>
      <c r="GL265" s="97"/>
      <c r="GM265" s="97"/>
      <c r="GN265" s="97"/>
      <c r="GO265" s="97"/>
      <c r="GP265" s="97"/>
      <c r="GQ265" s="97"/>
      <c r="GR265" s="97"/>
      <c r="GS265" s="97"/>
      <c r="GT265" s="97"/>
      <c r="GU265" s="97"/>
      <c r="GV265" s="97"/>
      <c r="GW265" s="97"/>
      <c r="GX265" s="97"/>
      <c r="GY265" s="97"/>
      <c r="GZ265" s="97"/>
      <c r="HA265" s="97"/>
      <c r="HB265" s="97"/>
      <c r="HC265" s="97"/>
      <c r="HD265" s="97"/>
      <c r="HE265" s="97"/>
      <c r="HF265" s="97"/>
      <c r="HG265" s="97"/>
      <c r="HH265" s="97"/>
      <c r="HI265" s="97"/>
      <c r="HJ265" s="97"/>
      <c r="HK265" s="97"/>
      <c r="HL265" s="97"/>
      <c r="HM265" s="97"/>
      <c r="HN265" s="97"/>
      <c r="HO265" s="97"/>
      <c r="HP265" s="97"/>
      <c r="HQ265" s="97"/>
      <c r="HR265" s="97"/>
      <c r="HS265" s="97"/>
      <c r="HT265" s="97"/>
      <c r="HU265" s="97"/>
      <c r="HV265" s="97"/>
      <c r="HW265" s="97"/>
      <c r="HX265" s="97"/>
      <c r="HY265" s="97"/>
      <c r="HZ265" s="97"/>
      <c r="IA265" s="97"/>
      <c r="IB265" s="97"/>
      <c r="IC265" s="97"/>
      <c r="ID265" s="97"/>
      <c r="IE265" s="97"/>
      <c r="IF265" s="97"/>
      <c r="IG265" s="97"/>
      <c r="IH265" s="97"/>
      <c r="II265" s="97"/>
      <c r="IJ265" s="97"/>
      <c r="IK265" s="97"/>
      <c r="IL265" s="97"/>
      <c r="IM265" s="97"/>
      <c r="IN265" s="97"/>
      <c r="IO265" s="97"/>
      <c r="IP265" s="97"/>
      <c r="IQ265" s="97"/>
      <c r="IR265" s="97"/>
      <c r="IS265" s="97"/>
      <c r="IT265" s="97"/>
      <c r="IU265" s="97"/>
      <c r="IV265" s="97"/>
      <c r="IW265" s="97"/>
    </row>
    <row r="266" customFormat="false" ht="4.5" hidden="false" customHeight="true" outlineLevel="0" collapsed="false">
      <c r="A266" s="212"/>
      <c r="B266" s="211"/>
      <c r="C266" s="188"/>
      <c r="D266" s="92"/>
      <c r="E266" s="93"/>
      <c r="F266" s="81"/>
      <c r="G266" s="81"/>
      <c r="H266" s="81"/>
      <c r="I266" s="94"/>
      <c r="J266" s="118"/>
      <c r="K266" s="97"/>
      <c r="L266" s="97"/>
      <c r="M266" s="119"/>
      <c r="N266" s="97"/>
      <c r="O266" s="97"/>
      <c r="P266" s="97"/>
      <c r="Q266" s="97"/>
      <c r="R266" s="97"/>
      <c r="S266" s="97"/>
      <c r="T266" s="65" t="str">
        <f aca="false">IF(D266&gt;0,(I266/D266),"")</f>
        <v/>
      </c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97"/>
      <c r="CB266" s="97"/>
      <c r="CC266" s="97"/>
      <c r="CD266" s="97"/>
      <c r="CE266" s="97"/>
      <c r="CF266" s="97"/>
      <c r="CG266" s="97"/>
      <c r="CH266" s="97"/>
      <c r="CI266" s="97"/>
      <c r="CJ266" s="97"/>
      <c r="CK266" s="97"/>
      <c r="CL266" s="97"/>
      <c r="CM266" s="97"/>
      <c r="CN266" s="97"/>
      <c r="CO266" s="97"/>
      <c r="CP266" s="97"/>
      <c r="CQ266" s="97"/>
      <c r="CR266" s="97"/>
      <c r="CS266" s="97"/>
      <c r="CT266" s="97"/>
      <c r="CU266" s="97"/>
      <c r="CV266" s="97"/>
      <c r="CW266" s="97"/>
      <c r="CX266" s="97"/>
      <c r="CY266" s="97"/>
      <c r="CZ266" s="97"/>
      <c r="DA266" s="97"/>
      <c r="DB266" s="97"/>
      <c r="DC266" s="97"/>
      <c r="DD266" s="97"/>
      <c r="DE266" s="97"/>
      <c r="DF266" s="97"/>
      <c r="DG266" s="97"/>
      <c r="DH266" s="97"/>
      <c r="DI266" s="97"/>
      <c r="DJ266" s="97"/>
      <c r="DK266" s="97"/>
      <c r="DL266" s="97"/>
      <c r="DM266" s="97"/>
      <c r="DN266" s="97"/>
      <c r="DO266" s="97"/>
      <c r="DP266" s="97"/>
      <c r="DQ266" s="97"/>
      <c r="DR266" s="97"/>
      <c r="DS266" s="97"/>
      <c r="DT266" s="97"/>
      <c r="DU266" s="97"/>
      <c r="DV266" s="97"/>
      <c r="DW266" s="97"/>
      <c r="DX266" s="97"/>
      <c r="DY266" s="97"/>
      <c r="DZ266" s="97"/>
      <c r="EA266" s="97"/>
      <c r="EB266" s="97"/>
      <c r="EC266" s="97"/>
      <c r="ED266" s="97"/>
      <c r="EE266" s="97"/>
      <c r="EF266" s="97"/>
      <c r="EG266" s="97"/>
      <c r="EH266" s="97"/>
      <c r="EI266" s="97"/>
      <c r="EJ266" s="97"/>
      <c r="EK266" s="97"/>
      <c r="EL266" s="97"/>
      <c r="EM266" s="97"/>
      <c r="EN266" s="97"/>
      <c r="EO266" s="97"/>
      <c r="EP266" s="97"/>
      <c r="EQ266" s="97"/>
      <c r="ER266" s="97"/>
      <c r="ES266" s="97"/>
      <c r="ET266" s="97"/>
      <c r="EU266" s="97"/>
      <c r="EV266" s="97"/>
      <c r="EW266" s="97"/>
      <c r="EX266" s="97"/>
      <c r="EY266" s="97"/>
      <c r="EZ266" s="97"/>
      <c r="FA266" s="97"/>
      <c r="FB266" s="97"/>
      <c r="FC266" s="97"/>
      <c r="FD266" s="97"/>
      <c r="FE266" s="97"/>
      <c r="FF266" s="97"/>
      <c r="FG266" s="97"/>
      <c r="FH266" s="97"/>
      <c r="FI266" s="97"/>
      <c r="FJ266" s="97"/>
      <c r="FK266" s="97"/>
      <c r="FL266" s="97"/>
      <c r="FM266" s="97"/>
      <c r="FN266" s="97"/>
      <c r="FO266" s="97"/>
      <c r="FP266" s="97"/>
      <c r="FQ266" s="97"/>
      <c r="FR266" s="97"/>
      <c r="FS266" s="97"/>
      <c r="FT266" s="97"/>
      <c r="FU266" s="97"/>
      <c r="FV266" s="97"/>
      <c r="FW266" s="97"/>
      <c r="FX266" s="97"/>
      <c r="FY266" s="97"/>
      <c r="FZ266" s="97"/>
      <c r="GA266" s="97"/>
      <c r="GB266" s="97"/>
      <c r="GC266" s="97"/>
      <c r="GD266" s="97"/>
      <c r="GE266" s="97"/>
      <c r="GF266" s="97"/>
      <c r="GG266" s="97"/>
      <c r="GH266" s="97"/>
      <c r="GI266" s="97"/>
      <c r="GJ266" s="97"/>
      <c r="GK266" s="97"/>
      <c r="GL266" s="97"/>
      <c r="GM266" s="97"/>
      <c r="GN266" s="97"/>
      <c r="GO266" s="97"/>
      <c r="GP266" s="97"/>
      <c r="GQ266" s="97"/>
      <c r="GR266" s="97"/>
      <c r="GS266" s="97"/>
      <c r="GT266" s="97"/>
      <c r="GU266" s="97"/>
      <c r="GV266" s="97"/>
      <c r="GW266" s="97"/>
      <c r="GX266" s="97"/>
      <c r="GY266" s="97"/>
      <c r="GZ266" s="97"/>
      <c r="HA266" s="97"/>
      <c r="HB266" s="97"/>
      <c r="HC266" s="97"/>
      <c r="HD266" s="97"/>
      <c r="HE266" s="97"/>
      <c r="HF266" s="97"/>
      <c r="HG266" s="97"/>
      <c r="HH266" s="97"/>
      <c r="HI266" s="97"/>
      <c r="HJ266" s="97"/>
      <c r="HK266" s="97"/>
      <c r="HL266" s="97"/>
      <c r="HM266" s="97"/>
      <c r="HN266" s="97"/>
      <c r="HO266" s="97"/>
      <c r="HP266" s="97"/>
      <c r="HQ266" s="97"/>
      <c r="HR266" s="97"/>
      <c r="HS266" s="97"/>
      <c r="HT266" s="97"/>
      <c r="HU266" s="97"/>
      <c r="HV266" s="97"/>
      <c r="HW266" s="97"/>
      <c r="HX266" s="97"/>
      <c r="HY266" s="97"/>
      <c r="HZ266" s="97"/>
      <c r="IA266" s="97"/>
      <c r="IB266" s="97"/>
      <c r="IC266" s="97"/>
      <c r="ID266" s="97"/>
      <c r="IE266" s="97"/>
      <c r="IF266" s="97"/>
      <c r="IG266" s="97"/>
      <c r="IH266" s="97"/>
      <c r="II266" s="97"/>
      <c r="IJ266" s="97"/>
      <c r="IK266" s="97"/>
      <c r="IL266" s="97"/>
      <c r="IM266" s="97"/>
      <c r="IN266" s="97"/>
      <c r="IO266" s="97"/>
      <c r="IP266" s="97"/>
      <c r="IQ266" s="97"/>
      <c r="IR266" s="97"/>
      <c r="IS266" s="97"/>
      <c r="IT266" s="97"/>
      <c r="IU266" s="97"/>
      <c r="IV266" s="97"/>
      <c r="IW266" s="97"/>
    </row>
    <row r="267" customFormat="false" ht="15.75" hidden="false" customHeight="false" outlineLevel="0" collapsed="false">
      <c r="A267" s="120" t="s">
        <v>252</v>
      </c>
      <c r="B267" s="195"/>
      <c r="C267" s="188"/>
      <c r="D267" s="92" t="n">
        <f aca="false">SUM(D268:D282)</f>
        <v>17188.9166666667</v>
      </c>
      <c r="E267" s="93" t="n">
        <f aca="false">SUM(E268:E282)</f>
        <v>1144.42</v>
      </c>
      <c r="F267" s="81" t="n">
        <f aca="false">SUM(F268:F282)</f>
        <v>-113.085</v>
      </c>
      <c r="G267" s="81" t="n">
        <f aca="false">SUM(G268:G282)</f>
        <v>0</v>
      </c>
      <c r="H267" s="81" t="n">
        <f aca="false">SUM(H269:H282)</f>
        <v>0</v>
      </c>
      <c r="I267" s="94" t="n">
        <f aca="false">SUM(I269:I282)</f>
        <v>1031.335</v>
      </c>
      <c r="J267" s="118" t="s">
        <v>70</v>
      </c>
      <c r="K267" s="97"/>
      <c r="L267" s="97"/>
      <c r="M267" s="119"/>
      <c r="N267" s="97"/>
      <c r="O267" s="97"/>
      <c r="P267" s="97"/>
      <c r="Q267" s="97"/>
      <c r="R267" s="97"/>
      <c r="S267" s="97"/>
      <c r="T267" s="65" t="n">
        <f aca="false">IF(D267&gt;0,(I267/D267),"")</f>
        <v>0.06</v>
      </c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97"/>
      <c r="CB267" s="97"/>
      <c r="CC267" s="97"/>
      <c r="CD267" s="97"/>
      <c r="CE267" s="97"/>
      <c r="CF267" s="97"/>
      <c r="CG267" s="97"/>
      <c r="CH267" s="97"/>
      <c r="CI267" s="97"/>
      <c r="CJ267" s="97"/>
      <c r="CK267" s="97"/>
      <c r="CL267" s="97"/>
      <c r="CM267" s="97"/>
      <c r="CN267" s="97"/>
      <c r="CO267" s="97"/>
      <c r="CP267" s="97"/>
      <c r="CQ267" s="97"/>
      <c r="CR267" s="97"/>
      <c r="CS267" s="97"/>
      <c r="CT267" s="97"/>
      <c r="CU267" s="97"/>
      <c r="CV267" s="97"/>
      <c r="CW267" s="97"/>
      <c r="CX267" s="97"/>
      <c r="CY267" s="97"/>
      <c r="CZ267" s="97"/>
      <c r="DA267" s="97"/>
      <c r="DB267" s="97"/>
      <c r="DC267" s="97"/>
      <c r="DD267" s="97"/>
      <c r="DE267" s="97"/>
      <c r="DF267" s="97"/>
      <c r="DG267" s="97"/>
      <c r="DH267" s="97"/>
      <c r="DI267" s="97"/>
      <c r="DJ267" s="97"/>
      <c r="DK267" s="97"/>
      <c r="DL267" s="97"/>
      <c r="DM267" s="97"/>
      <c r="DN267" s="97"/>
      <c r="DO267" s="97"/>
      <c r="DP267" s="97"/>
      <c r="DQ267" s="97"/>
      <c r="DR267" s="97"/>
      <c r="DS267" s="97"/>
      <c r="DT267" s="97"/>
      <c r="DU267" s="97"/>
      <c r="DV267" s="97"/>
      <c r="DW267" s="97"/>
      <c r="DX267" s="97"/>
      <c r="DY267" s="97"/>
      <c r="DZ267" s="97"/>
      <c r="EA267" s="97"/>
      <c r="EB267" s="97"/>
      <c r="EC267" s="97"/>
      <c r="ED267" s="97"/>
      <c r="EE267" s="97"/>
      <c r="EF267" s="97"/>
      <c r="EG267" s="97"/>
      <c r="EH267" s="97"/>
      <c r="EI267" s="97"/>
      <c r="EJ267" s="97"/>
      <c r="EK267" s="97"/>
      <c r="EL267" s="97"/>
      <c r="EM267" s="97"/>
      <c r="EN267" s="97"/>
      <c r="EO267" s="97"/>
      <c r="EP267" s="97"/>
      <c r="EQ267" s="97"/>
      <c r="ER267" s="97"/>
      <c r="ES267" s="97"/>
      <c r="ET267" s="97"/>
      <c r="EU267" s="97"/>
      <c r="EV267" s="97"/>
      <c r="EW267" s="97"/>
      <c r="EX267" s="97"/>
      <c r="EY267" s="97"/>
      <c r="EZ267" s="97"/>
      <c r="FA267" s="97"/>
      <c r="FB267" s="97"/>
      <c r="FC267" s="97"/>
      <c r="FD267" s="97"/>
      <c r="FE267" s="97"/>
      <c r="FF267" s="97"/>
      <c r="FG267" s="97"/>
      <c r="FH267" s="97"/>
      <c r="FI267" s="97"/>
      <c r="FJ267" s="97"/>
      <c r="FK267" s="97"/>
      <c r="FL267" s="97"/>
      <c r="FM267" s="97"/>
      <c r="FN267" s="97"/>
      <c r="FO267" s="97"/>
      <c r="FP267" s="97"/>
      <c r="FQ267" s="97"/>
      <c r="FR267" s="97"/>
      <c r="FS267" s="97"/>
      <c r="FT267" s="97"/>
      <c r="FU267" s="97"/>
      <c r="FV267" s="97"/>
      <c r="FW267" s="97"/>
      <c r="FX267" s="97"/>
      <c r="FY267" s="97"/>
      <c r="FZ267" s="97"/>
      <c r="GA267" s="97"/>
      <c r="GB267" s="97"/>
      <c r="GC267" s="97"/>
      <c r="GD267" s="97"/>
      <c r="GE267" s="97"/>
      <c r="GF267" s="97"/>
      <c r="GG267" s="97"/>
      <c r="GH267" s="97"/>
      <c r="GI267" s="97"/>
      <c r="GJ267" s="97"/>
      <c r="GK267" s="97"/>
      <c r="GL267" s="97"/>
      <c r="GM267" s="97"/>
      <c r="GN267" s="97"/>
      <c r="GO267" s="97"/>
      <c r="GP267" s="97"/>
      <c r="GQ267" s="97"/>
      <c r="GR267" s="97"/>
      <c r="GS267" s="97"/>
      <c r="GT267" s="97"/>
      <c r="GU267" s="97"/>
      <c r="GV267" s="97"/>
      <c r="GW267" s="97"/>
      <c r="GX267" s="97"/>
      <c r="GY267" s="97"/>
      <c r="GZ267" s="97"/>
      <c r="HA267" s="97"/>
      <c r="HB267" s="97"/>
      <c r="HC267" s="97"/>
      <c r="HD267" s="97"/>
      <c r="HE267" s="97"/>
      <c r="HF267" s="97"/>
      <c r="HG267" s="97"/>
      <c r="HH267" s="97"/>
      <c r="HI267" s="97"/>
      <c r="HJ267" s="97"/>
      <c r="HK267" s="97"/>
      <c r="HL267" s="97"/>
      <c r="HM267" s="97"/>
      <c r="HN267" s="97"/>
      <c r="HO267" s="97"/>
      <c r="HP267" s="97"/>
      <c r="HQ267" s="97"/>
      <c r="HR267" s="97"/>
      <c r="HS267" s="97"/>
      <c r="HT267" s="97"/>
      <c r="HU267" s="97"/>
      <c r="HV267" s="97"/>
      <c r="HW267" s="97"/>
      <c r="HX267" s="97"/>
      <c r="HY267" s="97"/>
      <c r="HZ267" s="97"/>
      <c r="IA267" s="97"/>
      <c r="IB267" s="97"/>
      <c r="IC267" s="97"/>
      <c r="ID267" s="97"/>
      <c r="IE267" s="97"/>
      <c r="IF267" s="97"/>
      <c r="IG267" s="97"/>
      <c r="IH267" s="97"/>
      <c r="II267" s="97"/>
      <c r="IJ267" s="97"/>
      <c r="IK267" s="97"/>
      <c r="IL267" s="97"/>
      <c r="IM267" s="97"/>
      <c r="IN267" s="97"/>
      <c r="IO267" s="97"/>
      <c r="IP267" s="97"/>
      <c r="IQ267" s="97"/>
      <c r="IR267" s="97"/>
      <c r="IS267" s="97"/>
      <c r="IT267" s="97"/>
      <c r="IU267" s="97"/>
      <c r="IV267" s="97"/>
      <c r="IW267" s="97"/>
    </row>
    <row r="268" customFormat="false" ht="5.1" hidden="true" customHeight="true" outlineLevel="0" collapsed="false">
      <c r="A268" s="213"/>
      <c r="B268" s="214"/>
      <c r="C268" s="215"/>
      <c r="D268" s="216"/>
      <c r="E268" s="217"/>
      <c r="F268" s="218"/>
      <c r="G268" s="218"/>
      <c r="H268" s="218"/>
      <c r="I268" s="219" t="n">
        <f aca="false">SUM(E268:G268)</f>
        <v>0</v>
      </c>
      <c r="J268" s="118"/>
      <c r="K268" s="97"/>
      <c r="L268" s="97"/>
      <c r="M268" s="119"/>
      <c r="N268" s="97"/>
      <c r="O268" s="97"/>
      <c r="P268" s="97"/>
      <c r="Q268" s="97"/>
      <c r="R268" s="97"/>
      <c r="S268" s="97"/>
      <c r="T268" s="65" t="str">
        <f aca="false">IF(D268&gt;0,(I268/D268),"")</f>
        <v/>
      </c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  <c r="BF268" s="97"/>
      <c r="BG268" s="97"/>
      <c r="BH268" s="97"/>
      <c r="BI268" s="97"/>
      <c r="BJ268" s="97"/>
      <c r="BK268" s="97"/>
      <c r="BL268" s="97"/>
      <c r="BM268" s="97"/>
      <c r="BN268" s="97"/>
      <c r="BO268" s="97"/>
      <c r="BP268" s="97"/>
      <c r="BQ268" s="97"/>
      <c r="BR268" s="97"/>
      <c r="BS268" s="97"/>
      <c r="BT268" s="97"/>
      <c r="BU268" s="97"/>
      <c r="BV268" s="97"/>
      <c r="BW268" s="97"/>
      <c r="BX268" s="97"/>
      <c r="BY268" s="97"/>
      <c r="BZ268" s="97"/>
      <c r="CA268" s="97"/>
      <c r="CB268" s="97"/>
      <c r="CC268" s="97"/>
      <c r="CD268" s="97"/>
      <c r="CE268" s="97"/>
      <c r="CF268" s="97"/>
      <c r="CG268" s="97"/>
      <c r="CH268" s="97"/>
      <c r="CI268" s="97"/>
      <c r="CJ268" s="97"/>
      <c r="CK268" s="97"/>
      <c r="CL268" s="97"/>
      <c r="CM268" s="97"/>
      <c r="CN268" s="97"/>
      <c r="CO268" s="97"/>
      <c r="CP268" s="97"/>
      <c r="CQ268" s="97"/>
      <c r="CR268" s="97"/>
      <c r="CS268" s="97"/>
      <c r="CT268" s="97"/>
      <c r="CU268" s="97"/>
      <c r="CV268" s="97"/>
      <c r="CW268" s="97"/>
      <c r="CX268" s="97"/>
      <c r="CY268" s="97"/>
      <c r="CZ268" s="97"/>
      <c r="DA268" s="97"/>
      <c r="DB268" s="97"/>
      <c r="DC268" s="97"/>
      <c r="DD268" s="97"/>
      <c r="DE268" s="97"/>
      <c r="DF268" s="97"/>
      <c r="DG268" s="97"/>
      <c r="DH268" s="97"/>
      <c r="DI268" s="97"/>
      <c r="DJ268" s="97"/>
      <c r="DK268" s="97"/>
      <c r="DL268" s="97"/>
      <c r="DM268" s="97"/>
      <c r="DN268" s="97"/>
      <c r="DO268" s="97"/>
      <c r="DP268" s="97"/>
      <c r="DQ268" s="97"/>
      <c r="DR268" s="97"/>
      <c r="DS268" s="97"/>
      <c r="DT268" s="97"/>
      <c r="DU268" s="97"/>
      <c r="DV268" s="97"/>
      <c r="DW268" s="97"/>
      <c r="DX268" s="97"/>
      <c r="DY268" s="97"/>
      <c r="DZ268" s="97"/>
      <c r="EA268" s="97"/>
      <c r="EB268" s="97"/>
      <c r="EC268" s="97"/>
      <c r="ED268" s="97"/>
      <c r="EE268" s="97"/>
      <c r="EF268" s="97"/>
      <c r="EG268" s="97"/>
      <c r="EH268" s="97"/>
      <c r="EI268" s="97"/>
      <c r="EJ268" s="97"/>
      <c r="EK268" s="97"/>
      <c r="EL268" s="97"/>
      <c r="EM268" s="97"/>
      <c r="EN268" s="97"/>
      <c r="EO268" s="97"/>
      <c r="EP268" s="97"/>
      <c r="EQ268" s="97"/>
      <c r="ER268" s="97"/>
      <c r="ES268" s="97"/>
      <c r="ET268" s="97"/>
      <c r="EU268" s="97"/>
      <c r="EV268" s="97"/>
      <c r="EW268" s="97"/>
      <c r="EX268" s="97"/>
      <c r="EY268" s="97"/>
      <c r="EZ268" s="97"/>
      <c r="FA268" s="97"/>
      <c r="FB268" s="97"/>
      <c r="FC268" s="97"/>
      <c r="FD268" s="97"/>
      <c r="FE268" s="97"/>
      <c r="FF268" s="97"/>
      <c r="FG268" s="97"/>
      <c r="FH268" s="97"/>
      <c r="FI268" s="97"/>
      <c r="FJ268" s="97"/>
      <c r="FK268" s="97"/>
      <c r="FL268" s="97"/>
      <c r="FM268" s="97"/>
      <c r="FN268" s="97"/>
      <c r="FO268" s="97"/>
      <c r="FP268" s="97"/>
      <c r="FQ268" s="97"/>
      <c r="FR268" s="97"/>
      <c r="FS268" s="97"/>
      <c r="FT268" s="97"/>
      <c r="FU268" s="97"/>
      <c r="FV268" s="97"/>
      <c r="FW268" s="97"/>
      <c r="FX268" s="97"/>
      <c r="FY268" s="97"/>
      <c r="FZ268" s="97"/>
      <c r="GA268" s="97"/>
      <c r="GB268" s="97"/>
      <c r="GC268" s="97"/>
      <c r="GD268" s="97"/>
      <c r="GE268" s="97"/>
      <c r="GF268" s="97"/>
      <c r="GG268" s="97"/>
      <c r="GH268" s="97"/>
      <c r="GI268" s="97"/>
      <c r="GJ268" s="97"/>
      <c r="GK268" s="97"/>
      <c r="GL268" s="97"/>
      <c r="GM268" s="97"/>
      <c r="GN268" s="97"/>
      <c r="GO268" s="97"/>
      <c r="GP268" s="97"/>
      <c r="GQ268" s="97"/>
      <c r="GR268" s="97"/>
      <c r="GS268" s="97"/>
      <c r="GT268" s="97"/>
      <c r="GU268" s="97"/>
      <c r="GV268" s="97"/>
      <c r="GW268" s="97"/>
      <c r="GX268" s="97"/>
      <c r="GY268" s="97"/>
      <c r="GZ268" s="97"/>
      <c r="HA268" s="97"/>
      <c r="HB268" s="97"/>
      <c r="HC268" s="97"/>
      <c r="HD268" s="97"/>
      <c r="HE268" s="97"/>
      <c r="HF268" s="97"/>
      <c r="HG268" s="97"/>
      <c r="HH268" s="97"/>
      <c r="HI268" s="97"/>
      <c r="HJ268" s="97"/>
      <c r="HK268" s="97"/>
      <c r="HL268" s="97"/>
      <c r="HM268" s="97"/>
      <c r="HN268" s="97"/>
      <c r="HO268" s="97"/>
      <c r="HP268" s="97"/>
      <c r="HQ268" s="97"/>
      <c r="HR268" s="97"/>
      <c r="HS268" s="97"/>
      <c r="HT268" s="97"/>
      <c r="HU268" s="97"/>
      <c r="HV268" s="97"/>
      <c r="HW268" s="97"/>
      <c r="HX268" s="97"/>
      <c r="HY268" s="97"/>
      <c r="HZ268" s="97"/>
      <c r="IA268" s="97"/>
      <c r="IB268" s="97"/>
      <c r="IC268" s="97"/>
      <c r="ID268" s="97"/>
      <c r="IE268" s="97"/>
      <c r="IF268" s="97"/>
      <c r="IG268" s="97"/>
      <c r="IH268" s="97"/>
      <c r="II268" s="97"/>
      <c r="IJ268" s="97"/>
      <c r="IK268" s="97"/>
      <c r="IL268" s="97"/>
      <c r="IM268" s="97"/>
      <c r="IN268" s="97"/>
      <c r="IO268" s="97"/>
      <c r="IP268" s="97"/>
      <c r="IQ268" s="97"/>
      <c r="IR268" s="97"/>
      <c r="IS268" s="97"/>
      <c r="IT268" s="97"/>
      <c r="IU268" s="97"/>
      <c r="IV268" s="97"/>
      <c r="IW268" s="97"/>
    </row>
    <row r="269" customFormat="false" ht="15.75" hidden="true" customHeight="false" outlineLevel="0" collapsed="false">
      <c r="A269" s="220" t="s">
        <v>253</v>
      </c>
      <c r="B269" s="90"/>
      <c r="C269" s="183"/>
      <c r="D269" s="92" t="n">
        <f aca="false">I269/0.06</f>
        <v>825.266666666667</v>
      </c>
      <c r="E269" s="93" t="n">
        <v>55.934</v>
      </c>
      <c r="F269" s="81" t="n">
        <v>-6.418</v>
      </c>
      <c r="G269" s="81"/>
      <c r="H269" s="81"/>
      <c r="I269" s="94" t="n">
        <f aca="false">SUM(E269:G269)</f>
        <v>49.516</v>
      </c>
      <c r="J269" s="118" t="s">
        <v>70</v>
      </c>
      <c r="K269" s="74"/>
      <c r="L269" s="74"/>
      <c r="M269" s="119"/>
      <c r="N269" s="74"/>
      <c r="O269" s="74"/>
      <c r="P269" s="74"/>
      <c r="Q269" s="74"/>
      <c r="R269" s="74"/>
      <c r="S269" s="74"/>
      <c r="T269" s="65" t="n">
        <f aca="false">IF(D269&gt;0,(I269/D269),"")</f>
        <v>0.06</v>
      </c>
      <c r="U269" s="74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4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/>
      <c r="CP269" s="74"/>
      <c r="CQ269" s="74"/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</row>
    <row r="270" customFormat="false" ht="15.75" hidden="true" customHeight="false" outlineLevel="0" collapsed="false">
      <c r="A270" s="220" t="s">
        <v>254</v>
      </c>
      <c r="B270" s="90"/>
      <c r="C270" s="183"/>
      <c r="D270" s="92" t="n">
        <f aca="false">I270/0.06</f>
        <v>631.8</v>
      </c>
      <c r="E270" s="93" t="n">
        <v>42.005</v>
      </c>
      <c r="F270" s="81" t="n">
        <v>-4.097</v>
      </c>
      <c r="G270" s="81"/>
      <c r="H270" s="81"/>
      <c r="I270" s="94" t="n">
        <f aca="false">SUM(E270:G270)</f>
        <v>37.908</v>
      </c>
      <c r="J270" s="118" t="s">
        <v>70</v>
      </c>
      <c r="K270" s="74"/>
      <c r="L270" s="74"/>
      <c r="M270" s="119"/>
      <c r="N270" s="74"/>
      <c r="O270" s="74"/>
      <c r="P270" s="74"/>
      <c r="Q270" s="74"/>
      <c r="R270" s="74"/>
      <c r="S270" s="74"/>
      <c r="T270" s="65" t="n">
        <f aca="false">IF(D270&gt;0,(I270/D270),"")</f>
        <v>0.06</v>
      </c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/>
      <c r="CP270" s="74"/>
      <c r="CQ270" s="74"/>
      <c r="CR270" s="74"/>
      <c r="CS270" s="74"/>
      <c r="CT270" s="74"/>
      <c r="CU270" s="74"/>
      <c r="CV270" s="74"/>
      <c r="CW270" s="74"/>
      <c r="CX270" s="74"/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</row>
    <row r="271" customFormat="false" ht="15.75" hidden="true" customHeight="false" outlineLevel="0" collapsed="false">
      <c r="A271" s="220" t="s">
        <v>255</v>
      </c>
      <c r="B271" s="90"/>
      <c r="C271" s="183"/>
      <c r="D271" s="92" t="n">
        <f aca="false">I271/0.06</f>
        <v>955.066666666667</v>
      </c>
      <c r="E271" s="93" t="n">
        <v>64.307</v>
      </c>
      <c r="F271" s="81" t="n">
        <v>-7.003</v>
      </c>
      <c r="G271" s="81"/>
      <c r="H271" s="81"/>
      <c r="I271" s="94" t="n">
        <f aca="false">SUM(E271:G271)</f>
        <v>57.304</v>
      </c>
      <c r="J271" s="118" t="s">
        <v>70</v>
      </c>
      <c r="K271" s="74"/>
      <c r="L271" s="74"/>
      <c r="M271" s="119"/>
      <c r="N271" s="74"/>
      <c r="O271" s="74"/>
      <c r="P271" s="74"/>
      <c r="Q271" s="74"/>
      <c r="R271" s="74"/>
      <c r="S271" s="74"/>
      <c r="T271" s="65" t="n">
        <f aca="false">IF(D271&gt;0,(I271/D271),"")</f>
        <v>0.06</v>
      </c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/>
      <c r="CQ271" s="74"/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</row>
    <row r="272" customFormat="false" ht="15.75" hidden="true" customHeight="false" outlineLevel="0" collapsed="false">
      <c r="A272" s="220" t="s">
        <v>256</v>
      </c>
      <c r="B272" s="90"/>
      <c r="C272" s="183"/>
      <c r="D272" s="92" t="n">
        <f aca="false">I272/0.06</f>
        <v>1339.05</v>
      </c>
      <c r="E272" s="93" t="n">
        <v>95.88</v>
      </c>
      <c r="F272" s="81" t="n">
        <v>-15.537</v>
      </c>
      <c r="G272" s="81"/>
      <c r="H272" s="81"/>
      <c r="I272" s="94" t="n">
        <f aca="false">SUM(E272:G272)</f>
        <v>80.343</v>
      </c>
      <c r="J272" s="118" t="s">
        <v>70</v>
      </c>
      <c r="K272" s="74"/>
      <c r="L272" s="74"/>
      <c r="M272" s="119"/>
      <c r="N272" s="74"/>
      <c r="O272" s="74"/>
      <c r="P272" s="74"/>
      <c r="Q272" s="74"/>
      <c r="R272" s="74"/>
      <c r="S272" s="74"/>
      <c r="T272" s="65" t="n">
        <f aca="false">IF(D272&gt;0,(I272/D272),"")</f>
        <v>0.06</v>
      </c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/>
      <c r="CU272" s="74"/>
      <c r="CV272" s="74"/>
      <c r="CW272" s="74"/>
      <c r="CX272" s="74"/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</row>
    <row r="273" customFormat="false" ht="15.75" hidden="true" customHeight="false" outlineLevel="0" collapsed="false">
      <c r="A273" s="220" t="s">
        <v>257</v>
      </c>
      <c r="B273" s="90"/>
      <c r="C273" s="183"/>
      <c r="D273" s="92" t="n">
        <f aca="false">I273/0.06</f>
        <v>449.916666666667</v>
      </c>
      <c r="E273" s="93" t="n">
        <v>30.23</v>
      </c>
      <c r="F273" s="81" t="n">
        <v>-3.235</v>
      </c>
      <c r="G273" s="81"/>
      <c r="H273" s="81"/>
      <c r="I273" s="94" t="n">
        <f aca="false">SUM(E273:G273)</f>
        <v>26.995</v>
      </c>
      <c r="J273" s="118" t="s">
        <v>70</v>
      </c>
      <c r="K273" s="74"/>
      <c r="L273" s="74"/>
      <c r="M273" s="119"/>
      <c r="N273" s="74"/>
      <c r="O273" s="74"/>
      <c r="P273" s="74"/>
      <c r="Q273" s="74"/>
      <c r="R273" s="74"/>
      <c r="S273" s="74"/>
      <c r="T273" s="65" t="n">
        <f aca="false">IF(D273&gt;0,(I273/D273),"")</f>
        <v>0.06</v>
      </c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/>
      <c r="CQ273" s="74"/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</row>
    <row r="274" customFormat="false" ht="15.75" hidden="true" customHeight="false" outlineLevel="0" collapsed="false">
      <c r="A274" s="220" t="s">
        <v>258</v>
      </c>
      <c r="B274" s="90"/>
      <c r="C274" s="183"/>
      <c r="D274" s="92" t="n">
        <f aca="false">I274/0.06</f>
        <v>5647.45</v>
      </c>
      <c r="E274" s="93" t="n">
        <v>365.071</v>
      </c>
      <c r="F274" s="81" t="n">
        <v>-26.224</v>
      </c>
      <c r="G274" s="81"/>
      <c r="H274" s="81"/>
      <c r="I274" s="94" t="n">
        <f aca="false">SUM(E274:G274)</f>
        <v>338.847</v>
      </c>
      <c r="J274" s="118" t="s">
        <v>70</v>
      </c>
      <c r="K274" s="74"/>
      <c r="L274" s="74"/>
      <c r="M274" s="119"/>
      <c r="N274" s="74"/>
      <c r="O274" s="74"/>
      <c r="P274" s="74"/>
      <c r="Q274" s="74"/>
      <c r="R274" s="74"/>
      <c r="S274" s="74"/>
      <c r="T274" s="65" t="n">
        <f aca="false">IF(D274&gt;0,(I274/D274),"")</f>
        <v>0.06</v>
      </c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/>
      <c r="CQ274" s="74"/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</row>
    <row r="275" customFormat="false" ht="15.75" hidden="true" customHeight="false" outlineLevel="0" collapsed="false">
      <c r="A275" s="220" t="s">
        <v>259</v>
      </c>
      <c r="B275" s="90"/>
      <c r="C275" s="183"/>
      <c r="D275" s="92" t="n">
        <f aca="false">I275/0.06</f>
        <v>153.716666666667</v>
      </c>
      <c r="E275" s="93" t="n">
        <v>10.571</v>
      </c>
      <c r="F275" s="81" t="n">
        <v>-1.348</v>
      </c>
      <c r="G275" s="81"/>
      <c r="H275" s="81"/>
      <c r="I275" s="94" t="n">
        <f aca="false">SUM(E275:G275)</f>
        <v>9.223</v>
      </c>
      <c r="J275" s="118" t="s">
        <v>70</v>
      </c>
      <c r="K275" s="74"/>
      <c r="L275" s="74"/>
      <c r="M275" s="119"/>
      <c r="N275" s="74"/>
      <c r="O275" s="74"/>
      <c r="P275" s="74"/>
      <c r="Q275" s="74"/>
      <c r="R275" s="74"/>
      <c r="S275" s="74"/>
      <c r="T275" s="65" t="n">
        <f aca="false">IF(D275&gt;0,(I275/D275),"")</f>
        <v>0.06</v>
      </c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/>
      <c r="CV275" s="74"/>
      <c r="CW275" s="74"/>
      <c r="CX275" s="74"/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</row>
    <row r="276" customFormat="false" ht="15.75" hidden="true" customHeight="false" outlineLevel="0" collapsed="false">
      <c r="A276" s="220" t="s">
        <v>260</v>
      </c>
      <c r="B276" s="90"/>
      <c r="C276" s="183"/>
      <c r="D276" s="92" t="n">
        <f aca="false">I276/0.06</f>
        <v>55.3166666666667</v>
      </c>
      <c r="E276" s="93" t="n">
        <v>3.877</v>
      </c>
      <c r="F276" s="81" t="n">
        <v>-0.558</v>
      </c>
      <c r="G276" s="81"/>
      <c r="H276" s="81"/>
      <c r="I276" s="94" t="n">
        <f aca="false">SUM(E276:G276)</f>
        <v>3.319</v>
      </c>
      <c r="J276" s="118" t="s">
        <v>70</v>
      </c>
      <c r="K276" s="74"/>
      <c r="L276" s="74"/>
      <c r="M276" s="119"/>
      <c r="N276" s="74"/>
      <c r="O276" s="74"/>
      <c r="P276" s="74"/>
      <c r="Q276" s="74"/>
      <c r="R276" s="74"/>
      <c r="S276" s="74"/>
      <c r="T276" s="65" t="n">
        <f aca="false">IF(D276&gt;0,(I276/D276),"")</f>
        <v>0.06</v>
      </c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/>
      <c r="CU276" s="74"/>
      <c r="CV276" s="74"/>
      <c r="CW276" s="74"/>
      <c r="CX276" s="74"/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</row>
    <row r="277" customFormat="false" ht="15.75" hidden="true" customHeight="false" outlineLevel="0" collapsed="false">
      <c r="A277" s="220" t="s">
        <v>261</v>
      </c>
      <c r="B277" s="90"/>
      <c r="C277" s="183"/>
      <c r="D277" s="92" t="n">
        <f aca="false">I277/0.06</f>
        <v>104.933333333333</v>
      </c>
      <c r="E277" s="93" t="n">
        <v>7.202</v>
      </c>
      <c r="F277" s="81" t="n">
        <v>-0.906</v>
      </c>
      <c r="G277" s="81"/>
      <c r="H277" s="81"/>
      <c r="I277" s="94" t="n">
        <f aca="false">SUM(E277:G277)</f>
        <v>6.296</v>
      </c>
      <c r="J277" s="118" t="s">
        <v>70</v>
      </c>
      <c r="K277" s="74"/>
      <c r="L277" s="74"/>
      <c r="M277" s="119"/>
      <c r="N277" s="74"/>
      <c r="O277" s="74"/>
      <c r="P277" s="74"/>
      <c r="Q277" s="74"/>
      <c r="R277" s="74"/>
      <c r="S277" s="74"/>
      <c r="T277" s="65" t="n">
        <f aca="false">IF(D277&gt;0,(I277/D277),"")</f>
        <v>0.06</v>
      </c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/>
      <c r="CU277" s="74"/>
      <c r="CV277" s="74"/>
      <c r="CW277" s="74"/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</row>
    <row r="278" customFormat="false" ht="15.75" hidden="true" customHeight="false" outlineLevel="0" collapsed="false">
      <c r="A278" s="220" t="s">
        <v>262</v>
      </c>
      <c r="B278" s="90"/>
      <c r="C278" s="183"/>
      <c r="D278" s="92" t="n">
        <f aca="false">I278/0.06</f>
        <v>1168.6</v>
      </c>
      <c r="E278" s="93" t="n">
        <v>80.325</v>
      </c>
      <c r="F278" s="81" t="n">
        <v>-10.209</v>
      </c>
      <c r="G278" s="81"/>
      <c r="H278" s="81"/>
      <c r="I278" s="94" t="n">
        <f aca="false">SUM(E278:G278)</f>
        <v>70.116</v>
      </c>
      <c r="J278" s="118" t="s">
        <v>70</v>
      </c>
      <c r="K278" s="74"/>
      <c r="L278" s="74"/>
      <c r="M278" s="119"/>
      <c r="N278" s="74"/>
      <c r="O278" s="74"/>
      <c r="P278" s="74"/>
      <c r="Q278" s="74"/>
      <c r="R278" s="74"/>
      <c r="S278" s="74"/>
      <c r="T278" s="65" t="n">
        <f aca="false">IF(D278&gt;0,(I278/D278),"")</f>
        <v>0.06</v>
      </c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/>
      <c r="CU278" s="74"/>
      <c r="CV278" s="74"/>
      <c r="CW278" s="74"/>
      <c r="CX278" s="74"/>
      <c r="CY278" s="74"/>
      <c r="CZ278" s="74"/>
      <c r="DA278" s="74"/>
      <c r="DB278" s="74"/>
      <c r="DC278" s="74"/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</row>
    <row r="279" customFormat="false" ht="15.75" hidden="true" customHeight="false" outlineLevel="0" collapsed="false">
      <c r="A279" s="220" t="s">
        <v>263</v>
      </c>
      <c r="B279" s="90"/>
      <c r="C279" s="183"/>
      <c r="D279" s="92" t="n">
        <f aca="false">I279/0.06</f>
        <v>568.583333333333</v>
      </c>
      <c r="E279" s="93" t="n">
        <v>38.561</v>
      </c>
      <c r="F279" s="81" t="n">
        <v>-4.446</v>
      </c>
      <c r="G279" s="81"/>
      <c r="H279" s="81"/>
      <c r="I279" s="94" t="n">
        <f aca="false">SUM(E279:G279)</f>
        <v>34.115</v>
      </c>
      <c r="J279" s="118" t="s">
        <v>70</v>
      </c>
      <c r="K279" s="74"/>
      <c r="L279" s="74"/>
      <c r="M279" s="119"/>
      <c r="N279" s="74"/>
      <c r="O279" s="74"/>
      <c r="P279" s="74"/>
      <c r="Q279" s="74"/>
      <c r="R279" s="74"/>
      <c r="S279" s="74"/>
      <c r="T279" s="65" t="n">
        <f aca="false">IF(D279&gt;0,(I279/D279),"")</f>
        <v>0.06</v>
      </c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/>
      <c r="CU279" s="74"/>
      <c r="CV279" s="74"/>
      <c r="CW279" s="74"/>
      <c r="CX279" s="74"/>
      <c r="CY279" s="74"/>
      <c r="CZ279" s="74"/>
      <c r="DA279" s="74"/>
      <c r="DB279" s="74"/>
      <c r="DC279" s="74"/>
      <c r="DD279" s="74"/>
      <c r="DE279" s="74"/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</row>
    <row r="280" customFormat="false" ht="15.75" hidden="true" customHeight="false" outlineLevel="0" collapsed="false">
      <c r="A280" s="220" t="s">
        <v>264</v>
      </c>
      <c r="B280" s="90"/>
      <c r="C280" s="183"/>
      <c r="D280" s="92" t="n">
        <f aca="false">I280/0.06</f>
        <v>844.383333333333</v>
      </c>
      <c r="E280" s="93" t="n">
        <v>56.801</v>
      </c>
      <c r="F280" s="81" t="n">
        <v>-6.138</v>
      </c>
      <c r="G280" s="81"/>
      <c r="H280" s="81"/>
      <c r="I280" s="94" t="n">
        <f aca="false">SUM(E280:G280)</f>
        <v>50.663</v>
      </c>
      <c r="J280" s="118" t="s">
        <v>70</v>
      </c>
      <c r="K280" s="74"/>
      <c r="L280" s="74"/>
      <c r="M280" s="119"/>
      <c r="N280" s="74"/>
      <c r="O280" s="74"/>
      <c r="P280" s="74"/>
      <c r="Q280" s="74"/>
      <c r="R280" s="74"/>
      <c r="S280" s="74"/>
      <c r="T280" s="65" t="n">
        <f aca="false">IF(D280&gt;0,(I280/D280),"")</f>
        <v>0.06</v>
      </c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/>
      <c r="CU280" s="74"/>
      <c r="CV280" s="74"/>
      <c r="CW280" s="74"/>
      <c r="CX280" s="74"/>
      <c r="CY280" s="74"/>
      <c r="CZ280" s="74"/>
      <c r="DA280" s="74"/>
      <c r="DB280" s="74"/>
      <c r="DC280" s="74"/>
      <c r="DD280" s="74"/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</row>
    <row r="281" customFormat="false" ht="15.75" hidden="true" customHeight="false" outlineLevel="0" collapsed="false">
      <c r="A281" s="220" t="s">
        <v>265</v>
      </c>
      <c r="B281" s="90"/>
      <c r="C281" s="183"/>
      <c r="D281" s="92" t="n">
        <f aca="false">I281/0.06</f>
        <v>2457.28333333333</v>
      </c>
      <c r="E281" s="93" t="n">
        <v>162.446</v>
      </c>
      <c r="F281" s="81" t="n">
        <v>-15.009</v>
      </c>
      <c r="G281" s="81"/>
      <c r="H281" s="81"/>
      <c r="I281" s="94" t="n">
        <f aca="false">SUM(E281:G281)</f>
        <v>147.437</v>
      </c>
      <c r="J281" s="118" t="s">
        <v>70</v>
      </c>
      <c r="K281" s="74"/>
      <c r="L281" s="74"/>
      <c r="M281" s="119"/>
      <c r="N281" s="74"/>
      <c r="O281" s="74"/>
      <c r="P281" s="74"/>
      <c r="Q281" s="74"/>
      <c r="R281" s="74"/>
      <c r="S281" s="74"/>
      <c r="T281" s="65" t="n">
        <f aca="false">IF(D281&gt;0,(I281/D281),"")</f>
        <v>0.06</v>
      </c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/>
      <c r="CU281" s="74"/>
      <c r="CV281" s="74"/>
      <c r="CW281" s="74"/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</row>
    <row r="282" customFormat="false" ht="15.75" hidden="true" customHeight="false" outlineLevel="0" collapsed="false">
      <c r="A282" s="220" t="s">
        <v>266</v>
      </c>
      <c r="B282" s="90"/>
      <c r="C282" s="183"/>
      <c r="D282" s="92" t="n">
        <f aca="false">I282/0.06</f>
        <v>1987.55</v>
      </c>
      <c r="E282" s="93" t="n">
        <v>131.21</v>
      </c>
      <c r="F282" s="81" t="n">
        <v>-11.957</v>
      </c>
      <c r="G282" s="81"/>
      <c r="H282" s="81"/>
      <c r="I282" s="94" t="n">
        <f aca="false">SUM(E282:G282)</f>
        <v>119.253</v>
      </c>
      <c r="J282" s="118" t="s">
        <v>70</v>
      </c>
      <c r="K282" s="74"/>
      <c r="L282" s="74"/>
      <c r="M282" s="119"/>
      <c r="N282" s="74"/>
      <c r="O282" s="74"/>
      <c r="P282" s="74"/>
      <c r="Q282" s="74"/>
      <c r="R282" s="74"/>
      <c r="S282" s="74"/>
      <c r="T282" s="65" t="n">
        <f aca="false">IF(D282&gt;0,(I282/D282),"")</f>
        <v>0.06</v>
      </c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/>
      <c r="CU282" s="74"/>
      <c r="CV282" s="74"/>
      <c r="CW282" s="74"/>
      <c r="CX282" s="74"/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</row>
    <row r="283" customFormat="false" ht="5.1" hidden="true" customHeight="true" outlineLevel="0" collapsed="false">
      <c r="A283" s="213"/>
      <c r="B283" s="221"/>
      <c r="C283" s="222"/>
      <c r="D283" s="216"/>
      <c r="E283" s="217"/>
      <c r="F283" s="218"/>
      <c r="G283" s="218"/>
      <c r="H283" s="218"/>
      <c r="I283" s="219"/>
      <c r="J283" s="118"/>
      <c r="K283" s="74"/>
      <c r="L283" s="74"/>
      <c r="M283" s="119"/>
      <c r="N283" s="74"/>
      <c r="O283" s="74"/>
      <c r="P283" s="74"/>
      <c r="Q283" s="74"/>
      <c r="R283" s="74"/>
      <c r="S283" s="74"/>
      <c r="T283" s="65" t="str">
        <f aca="false">IF(D283&gt;0,(I283/D283),"")</f>
        <v/>
      </c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/>
      <c r="CU283" s="74"/>
      <c r="CV283" s="74"/>
      <c r="CW283" s="74"/>
      <c r="CX283" s="74"/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</row>
    <row r="284" customFormat="false" ht="15.75" hidden="false" customHeight="false" outlineLevel="0" collapsed="false">
      <c r="A284" s="120" t="s">
        <v>267</v>
      </c>
      <c r="B284" s="90"/>
      <c r="C284" s="183"/>
      <c r="D284" s="92" t="n">
        <f aca="false">+I284/0.03</f>
        <v>307.2</v>
      </c>
      <c r="E284" s="93" t="n">
        <v>9.595</v>
      </c>
      <c r="F284" s="81" t="n">
        <v>-0.379</v>
      </c>
      <c r="G284" s="81"/>
      <c r="H284" s="81"/>
      <c r="I284" s="94" t="n">
        <f aca="false">SUM(E284:G284)</f>
        <v>9.216</v>
      </c>
      <c r="J284" s="118" t="s">
        <v>21</v>
      </c>
      <c r="K284" s="74"/>
      <c r="L284" s="74"/>
      <c r="M284" s="119"/>
      <c r="N284" s="74"/>
      <c r="O284" s="74"/>
      <c r="P284" s="74"/>
      <c r="Q284" s="74"/>
      <c r="R284" s="74"/>
      <c r="S284" s="74"/>
      <c r="T284" s="65" t="n">
        <f aca="false">IF(D284&gt;0,(I284/D284),"")</f>
        <v>0.03</v>
      </c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/>
      <c r="CU284" s="74"/>
      <c r="CV284" s="74"/>
      <c r="CW284" s="74"/>
      <c r="CX284" s="74"/>
      <c r="CY284" s="74"/>
      <c r="CZ284" s="74"/>
      <c r="DA284" s="74"/>
      <c r="DB284" s="74"/>
      <c r="DC284" s="74"/>
      <c r="DD284" s="74"/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</row>
    <row r="285" customFormat="false" ht="15.75" hidden="false" customHeight="false" outlineLevel="0" collapsed="false">
      <c r="A285" s="120" t="s">
        <v>268</v>
      </c>
      <c r="B285" s="90"/>
      <c r="C285" s="183"/>
      <c r="D285" s="92" t="n">
        <v>8517.888</v>
      </c>
      <c r="E285" s="93" t="n">
        <v>312.79</v>
      </c>
      <c r="F285" s="81" t="n">
        <v>-110.15</v>
      </c>
      <c r="G285" s="81"/>
      <c r="H285" s="81"/>
      <c r="I285" s="94" t="n">
        <f aca="false">SUM(E285:H285)</f>
        <v>202.64</v>
      </c>
      <c r="J285" s="118" t="s">
        <v>226</v>
      </c>
      <c r="K285" s="74"/>
      <c r="L285" s="74"/>
      <c r="M285" s="119"/>
      <c r="N285" s="74"/>
      <c r="O285" s="74"/>
      <c r="P285" s="74"/>
      <c r="Q285" s="74"/>
      <c r="R285" s="74"/>
      <c r="S285" s="74"/>
      <c r="T285" s="65" t="n">
        <f aca="false">IF(D285&gt;0,(I285/D285),"")</f>
        <v>0.0237899347819553</v>
      </c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/>
      <c r="CU285" s="74"/>
      <c r="CV285" s="74"/>
      <c r="CW285" s="74"/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</row>
    <row r="286" customFormat="false" ht="15.75" hidden="false" customHeight="false" outlineLevel="0" collapsed="false">
      <c r="A286" s="120" t="s">
        <v>269</v>
      </c>
      <c r="B286" s="95" t="n">
        <v>37105</v>
      </c>
      <c r="C286" s="188" t="s">
        <v>270</v>
      </c>
      <c r="D286" s="92" t="n">
        <f aca="false">I286/0.06</f>
        <v>266.616666666667</v>
      </c>
      <c r="E286" s="93" t="n">
        <v>24.311</v>
      </c>
      <c r="F286" s="81" t="n">
        <v>-8.314</v>
      </c>
      <c r="G286" s="81" t="n">
        <v>0</v>
      </c>
      <c r="H286" s="81"/>
      <c r="I286" s="94" t="n">
        <v>15.997</v>
      </c>
      <c r="J286" s="118" t="s">
        <v>226</v>
      </c>
      <c r="K286" s="74"/>
      <c r="L286" s="142"/>
      <c r="M286" s="119"/>
      <c r="N286" s="187"/>
      <c r="O286" s="74"/>
      <c r="P286" s="74"/>
      <c r="Q286" s="74"/>
      <c r="R286" s="74"/>
      <c r="S286" s="74"/>
      <c r="T286" s="65" t="n">
        <f aca="false">IF(D286&gt;0,(I286/D286),"")</f>
        <v>0.06</v>
      </c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/>
      <c r="CU286" s="74"/>
      <c r="CV286" s="74"/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142"/>
      <c r="IW286" s="142"/>
    </row>
    <row r="287" customFormat="false" ht="15.75" hidden="false" customHeight="false" outlineLevel="0" collapsed="false">
      <c r="A287" s="120" t="s">
        <v>271</v>
      </c>
      <c r="B287" s="95" t="n">
        <v>37105</v>
      </c>
      <c r="C287" s="118" t="s">
        <v>239</v>
      </c>
      <c r="D287" s="92" t="n">
        <f aca="false">+I287/0.03</f>
        <v>656.9</v>
      </c>
      <c r="E287" s="93" t="n">
        <v>31.05</v>
      </c>
      <c r="F287" s="81" t="n">
        <v>-11.343</v>
      </c>
      <c r="G287" s="81" t="n">
        <v>0</v>
      </c>
      <c r="H287" s="81"/>
      <c r="I287" s="94" t="n">
        <v>19.707</v>
      </c>
      <c r="J287" s="118" t="s">
        <v>226</v>
      </c>
      <c r="K287" s="74"/>
      <c r="L287" s="142"/>
      <c r="M287" s="223"/>
      <c r="N287" s="187"/>
      <c r="O287" s="74"/>
      <c r="P287" s="74"/>
      <c r="Q287" s="74"/>
      <c r="R287" s="74"/>
      <c r="S287" s="74"/>
      <c r="T287" s="65" t="n">
        <f aca="false">IF(D287&gt;0,(I287/D287),"")</f>
        <v>0.03</v>
      </c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/>
      <c r="CU287" s="74"/>
      <c r="CV287" s="74"/>
      <c r="CW287" s="74"/>
      <c r="CX287" s="74"/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142"/>
      <c r="IW287" s="142"/>
    </row>
    <row r="288" customFormat="false" ht="15.75" hidden="false" customHeight="false" outlineLevel="0" collapsed="false">
      <c r="A288" s="120" t="s">
        <v>272</v>
      </c>
      <c r="B288" s="95" t="n">
        <v>37083</v>
      </c>
      <c r="C288" s="188" t="s">
        <v>273</v>
      </c>
      <c r="D288" s="92" t="n">
        <v>0</v>
      </c>
      <c r="E288" s="93" t="n">
        <v>-35.099</v>
      </c>
      <c r="F288" s="81" t="n">
        <v>0.501</v>
      </c>
      <c r="G288" s="81" t="n">
        <v>0</v>
      </c>
      <c r="H288" s="81" t="n">
        <v>0</v>
      </c>
      <c r="I288" s="94" t="n">
        <f aca="false">SUM(E288:H288)</f>
        <v>-34.598</v>
      </c>
      <c r="J288" s="118" t="s">
        <v>21</v>
      </c>
      <c r="K288" s="74"/>
      <c r="L288" s="74"/>
      <c r="M288" s="119"/>
      <c r="N288" s="74"/>
      <c r="O288" s="74"/>
      <c r="P288" s="74"/>
      <c r="Q288" s="74"/>
      <c r="R288" s="74"/>
      <c r="S288" s="74"/>
      <c r="T288" s="65" t="str">
        <f aca="false">IF(D288&gt;0,(I288/D288),"")</f>
        <v/>
      </c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/>
      <c r="CV288" s="74"/>
      <c r="CW288" s="74"/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</row>
    <row r="289" customFormat="false" ht="15.75" hidden="false" customHeight="false" outlineLevel="0" collapsed="false">
      <c r="A289" s="120" t="s">
        <v>274</v>
      </c>
      <c r="B289" s="95" t="n">
        <v>37083</v>
      </c>
      <c r="C289" s="188" t="s">
        <v>273</v>
      </c>
      <c r="D289" s="92" t="n">
        <v>0</v>
      </c>
      <c r="E289" s="93" t="n">
        <v>-25.67</v>
      </c>
      <c r="F289" s="81" t="n">
        <v>0.459</v>
      </c>
      <c r="G289" s="81" t="n">
        <v>0</v>
      </c>
      <c r="H289" s="81" t="n">
        <v>0</v>
      </c>
      <c r="I289" s="94" t="n">
        <f aca="false">SUM(E289:H289)</f>
        <v>-25.211</v>
      </c>
      <c r="J289" s="118" t="s">
        <v>21</v>
      </c>
      <c r="K289" s="74"/>
      <c r="L289" s="74"/>
      <c r="M289" s="119"/>
      <c r="N289" s="74"/>
      <c r="O289" s="74"/>
      <c r="P289" s="74"/>
      <c r="Q289" s="74"/>
      <c r="R289" s="74"/>
      <c r="S289" s="74"/>
      <c r="T289" s="65" t="str">
        <f aca="false">IF(D289&gt;0,(I289/D289),"")</f>
        <v/>
      </c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/>
      <c r="CV289" s="74"/>
      <c r="CW289" s="74"/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</row>
    <row r="290" customFormat="false" ht="15.75" hidden="false" customHeight="false" outlineLevel="0" collapsed="false">
      <c r="A290" s="120" t="s">
        <v>275</v>
      </c>
      <c r="B290" s="90"/>
      <c r="C290" s="183"/>
      <c r="D290" s="92" t="n">
        <f aca="false">+I290/0.03</f>
        <v>350.4</v>
      </c>
      <c r="E290" s="93" t="n">
        <v>10.795</v>
      </c>
      <c r="F290" s="81" t="n">
        <v>-0.283</v>
      </c>
      <c r="G290" s="81" t="n">
        <v>0</v>
      </c>
      <c r="H290" s="81"/>
      <c r="I290" s="94" t="n">
        <f aca="false">SUM(E290:G290)</f>
        <v>10.512</v>
      </c>
      <c r="J290" s="118" t="s">
        <v>21</v>
      </c>
      <c r="K290" s="74"/>
      <c r="L290" s="74"/>
      <c r="M290" s="119"/>
      <c r="N290" s="74"/>
      <c r="O290" s="74"/>
      <c r="P290" s="74"/>
      <c r="Q290" s="74"/>
      <c r="R290" s="74"/>
      <c r="S290" s="74"/>
      <c r="T290" s="65" t="n">
        <f aca="false">IF(D290&gt;0,(I290/D290),"")</f>
        <v>0.03</v>
      </c>
      <c r="U290" s="74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4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/>
      <c r="CU290" s="74"/>
      <c r="CV290" s="74"/>
      <c r="CW290" s="74"/>
      <c r="CX290" s="74"/>
      <c r="CY290" s="74"/>
      <c r="CZ290" s="74"/>
      <c r="DA290" s="74"/>
      <c r="DB290" s="74"/>
      <c r="DC290" s="74"/>
      <c r="DD290" s="74"/>
      <c r="DE290" s="74"/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</row>
    <row r="291" customFormat="false" ht="18" hidden="false" customHeight="true" outlineLevel="0" collapsed="false">
      <c r="A291" s="120" t="s">
        <v>276</v>
      </c>
      <c r="B291" s="95" t="n">
        <v>37083</v>
      </c>
      <c r="C291" s="188" t="s">
        <v>273</v>
      </c>
      <c r="D291" s="92" t="n">
        <v>0</v>
      </c>
      <c r="E291" s="93" t="n">
        <v>-59.41</v>
      </c>
      <c r="F291" s="81" t="n">
        <v>2.285</v>
      </c>
      <c r="G291" s="81" t="n">
        <v>0</v>
      </c>
      <c r="H291" s="81" t="n">
        <v>0</v>
      </c>
      <c r="I291" s="94" t="n">
        <f aca="false">SUM(E291:H291)</f>
        <v>-57.125</v>
      </c>
      <c r="J291" s="118" t="s">
        <v>226</v>
      </c>
      <c r="K291" s="74"/>
      <c r="L291" s="74"/>
      <c r="M291" s="119"/>
      <c r="N291" s="74"/>
      <c r="O291" s="74"/>
      <c r="P291" s="74"/>
      <c r="Q291" s="74"/>
      <c r="R291" s="74"/>
      <c r="S291" s="74"/>
      <c r="T291" s="65" t="str">
        <f aca="false">IF(D291&gt;0,(I291/D291),"")</f>
        <v/>
      </c>
      <c r="U291" s="74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4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/>
      <c r="CU291" s="74"/>
      <c r="CV291" s="74"/>
      <c r="CW291" s="74"/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</row>
    <row r="292" customFormat="false" ht="4.5" hidden="true" customHeight="true" outlineLevel="0" collapsed="false">
      <c r="A292" s="213"/>
      <c r="B292" s="221"/>
      <c r="C292" s="215"/>
      <c r="D292" s="216"/>
      <c r="E292" s="217"/>
      <c r="F292" s="218"/>
      <c r="G292" s="218"/>
      <c r="H292" s="218"/>
      <c r="I292" s="219"/>
      <c r="J292" s="118"/>
      <c r="K292" s="97"/>
      <c r="L292" s="97"/>
      <c r="M292" s="119"/>
      <c r="N292" s="97"/>
      <c r="O292" s="97"/>
      <c r="P292" s="97"/>
      <c r="Q292" s="97"/>
      <c r="R292" s="97"/>
      <c r="S292" s="97"/>
      <c r="T292" s="65" t="str">
        <f aca="false">IF(D292&gt;0,(I292/D292),"")</f>
        <v/>
      </c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97"/>
      <c r="CB292" s="97"/>
      <c r="CC292" s="97"/>
      <c r="CD292" s="97"/>
      <c r="CE292" s="97"/>
      <c r="CF292" s="97"/>
      <c r="CG292" s="97"/>
      <c r="CH292" s="97"/>
      <c r="CI292" s="97"/>
      <c r="CJ292" s="97"/>
      <c r="CK292" s="97"/>
      <c r="CL292" s="97"/>
      <c r="CM292" s="97"/>
      <c r="CN292" s="97"/>
      <c r="CO292" s="97"/>
      <c r="CP292" s="97"/>
      <c r="CQ292" s="97"/>
      <c r="CR292" s="97"/>
      <c r="CS292" s="97"/>
      <c r="CT292" s="97"/>
      <c r="CU292" s="97"/>
      <c r="CV292" s="97"/>
      <c r="CW292" s="97"/>
      <c r="CX292" s="97"/>
      <c r="CY292" s="97"/>
      <c r="CZ292" s="97"/>
      <c r="DA292" s="97"/>
      <c r="DB292" s="97"/>
      <c r="DC292" s="97"/>
      <c r="DD292" s="97"/>
      <c r="DE292" s="97"/>
      <c r="DF292" s="97"/>
      <c r="DG292" s="97"/>
      <c r="DH292" s="97"/>
      <c r="DI292" s="97"/>
      <c r="DJ292" s="97"/>
      <c r="DK292" s="97"/>
      <c r="DL292" s="97"/>
      <c r="DM292" s="97"/>
      <c r="DN292" s="97"/>
      <c r="DO292" s="97"/>
      <c r="DP292" s="97"/>
      <c r="DQ292" s="97"/>
      <c r="DR292" s="97"/>
      <c r="DS292" s="97"/>
      <c r="DT292" s="97"/>
      <c r="DU292" s="97"/>
      <c r="DV292" s="97"/>
      <c r="DW292" s="97"/>
      <c r="DX292" s="97"/>
      <c r="DY292" s="97"/>
      <c r="DZ292" s="97"/>
      <c r="EA292" s="97"/>
      <c r="EB292" s="97"/>
      <c r="EC292" s="97"/>
      <c r="ED292" s="97"/>
      <c r="EE292" s="97"/>
      <c r="EF292" s="97"/>
      <c r="EG292" s="97"/>
      <c r="EH292" s="97"/>
      <c r="EI292" s="97"/>
      <c r="EJ292" s="97"/>
      <c r="EK292" s="97"/>
      <c r="EL292" s="97"/>
      <c r="EM292" s="97"/>
      <c r="EN292" s="97"/>
      <c r="EO292" s="97"/>
      <c r="EP292" s="97"/>
      <c r="EQ292" s="97"/>
      <c r="ER292" s="97"/>
      <c r="ES292" s="97"/>
      <c r="ET292" s="97"/>
      <c r="EU292" s="97"/>
      <c r="EV292" s="97"/>
      <c r="EW292" s="97"/>
      <c r="EX292" s="97"/>
      <c r="EY292" s="97"/>
      <c r="EZ292" s="97"/>
      <c r="FA292" s="97"/>
      <c r="FB292" s="97"/>
      <c r="FC292" s="97"/>
      <c r="FD292" s="97"/>
      <c r="FE292" s="97"/>
      <c r="FF292" s="97"/>
      <c r="FG292" s="97"/>
      <c r="FH292" s="97"/>
      <c r="FI292" s="97"/>
      <c r="FJ292" s="97"/>
      <c r="FK292" s="97"/>
      <c r="FL292" s="97"/>
      <c r="FM292" s="97"/>
      <c r="FN292" s="97"/>
      <c r="FO292" s="97"/>
      <c r="FP292" s="97"/>
      <c r="FQ292" s="97"/>
      <c r="FR292" s="97"/>
      <c r="FS292" s="97"/>
      <c r="FT292" s="97"/>
      <c r="FU292" s="97"/>
      <c r="FV292" s="97"/>
      <c r="FW292" s="97"/>
      <c r="FX292" s="97"/>
      <c r="FY292" s="97"/>
      <c r="FZ292" s="97"/>
      <c r="GA292" s="97"/>
      <c r="GB292" s="97"/>
      <c r="GC292" s="97"/>
      <c r="GD292" s="97"/>
      <c r="GE292" s="97"/>
      <c r="GF292" s="97"/>
      <c r="GG292" s="97"/>
      <c r="GH292" s="97"/>
      <c r="GI292" s="97"/>
      <c r="GJ292" s="97"/>
      <c r="GK292" s="97"/>
      <c r="GL292" s="97"/>
      <c r="GM292" s="97"/>
      <c r="GN292" s="97"/>
      <c r="GO292" s="97"/>
      <c r="GP292" s="97"/>
      <c r="GQ292" s="97"/>
      <c r="GR292" s="97"/>
      <c r="GS292" s="97"/>
      <c r="GT292" s="97"/>
      <c r="GU292" s="97"/>
      <c r="GV292" s="97"/>
      <c r="GW292" s="97"/>
      <c r="GX292" s="97"/>
      <c r="GY292" s="97"/>
      <c r="GZ292" s="97"/>
      <c r="HA292" s="97"/>
      <c r="HB292" s="97"/>
      <c r="HC292" s="97"/>
      <c r="HD292" s="97"/>
      <c r="HE292" s="97"/>
      <c r="HF292" s="97"/>
      <c r="HG292" s="97"/>
      <c r="HH292" s="97"/>
      <c r="HI292" s="97"/>
      <c r="HJ292" s="97"/>
      <c r="HK292" s="97"/>
      <c r="HL292" s="97"/>
      <c r="HM292" s="97"/>
      <c r="HN292" s="97"/>
      <c r="HO292" s="97"/>
      <c r="HP292" s="97"/>
      <c r="HQ292" s="97"/>
      <c r="HR292" s="97"/>
      <c r="HS292" s="97"/>
      <c r="HT292" s="97"/>
      <c r="HU292" s="97"/>
      <c r="HV292" s="97"/>
      <c r="HW292" s="97"/>
      <c r="HX292" s="97"/>
      <c r="HY292" s="97"/>
      <c r="HZ292" s="97"/>
      <c r="IA292" s="97"/>
      <c r="IB292" s="97"/>
      <c r="IC292" s="97"/>
      <c r="ID292" s="97"/>
      <c r="IE292" s="97"/>
      <c r="IF292" s="97"/>
      <c r="IG292" s="97"/>
      <c r="IH292" s="97"/>
      <c r="II292" s="97"/>
      <c r="IJ292" s="97"/>
      <c r="IK292" s="97"/>
      <c r="IL292" s="97"/>
      <c r="IM292" s="97"/>
      <c r="IN292" s="97"/>
      <c r="IO292" s="97"/>
      <c r="IP292" s="97"/>
      <c r="IQ292" s="97"/>
      <c r="IR292" s="97"/>
      <c r="IS292" s="97"/>
      <c r="IT292" s="97"/>
      <c r="IU292" s="97"/>
      <c r="IV292" s="97"/>
      <c r="IW292" s="97"/>
    </row>
    <row r="293" customFormat="false" ht="18" hidden="true" customHeight="true" outlineLevel="0" collapsed="false">
      <c r="A293" s="220" t="s">
        <v>277</v>
      </c>
      <c r="B293" s="95" t="n">
        <v>37091</v>
      </c>
      <c r="C293" s="188" t="s">
        <v>273</v>
      </c>
      <c r="D293" s="92" t="n">
        <f aca="false">I293/0.015</f>
        <v>-4615.6</v>
      </c>
      <c r="E293" s="93" t="n">
        <v>-70.338</v>
      </c>
      <c r="F293" s="81" t="n">
        <v>1.104</v>
      </c>
      <c r="G293" s="81" t="n">
        <v>0</v>
      </c>
      <c r="H293" s="81" t="n">
        <v>0</v>
      </c>
      <c r="I293" s="94" t="n">
        <f aca="false">SUM(E293:H293)</f>
        <v>-69.234</v>
      </c>
      <c r="J293" s="118" t="s">
        <v>21</v>
      </c>
      <c r="K293" s="74"/>
      <c r="L293" s="74"/>
      <c r="M293" s="119"/>
      <c r="N293" s="74"/>
      <c r="O293" s="74"/>
      <c r="P293" s="74"/>
      <c r="Q293" s="74"/>
      <c r="R293" s="74"/>
      <c r="S293" s="74"/>
      <c r="T293" s="65" t="str">
        <f aca="false">IF(D293&gt;0,(I293/D293),"")</f>
        <v/>
      </c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/>
      <c r="CQ293" s="74"/>
      <c r="CR293" s="74"/>
      <c r="CS293" s="74"/>
      <c r="CT293" s="74"/>
      <c r="CU293" s="74"/>
      <c r="CV293" s="74"/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</row>
    <row r="294" customFormat="false" ht="18" hidden="true" customHeight="true" outlineLevel="0" collapsed="false">
      <c r="A294" s="220" t="s">
        <v>278</v>
      </c>
      <c r="B294" s="95" t="n">
        <v>37091</v>
      </c>
      <c r="C294" s="188" t="s">
        <v>273</v>
      </c>
      <c r="D294" s="92" t="n">
        <f aca="false">I294/0.015</f>
        <v>-1268</v>
      </c>
      <c r="E294" s="93" t="n">
        <v>-19.651</v>
      </c>
      <c r="F294" s="81" t="n">
        <v>0.631</v>
      </c>
      <c r="G294" s="81" t="n">
        <v>0</v>
      </c>
      <c r="H294" s="81" t="n">
        <v>0</v>
      </c>
      <c r="I294" s="94" t="n">
        <f aca="false">SUM(E294:H294)</f>
        <v>-19.02</v>
      </c>
      <c r="J294" s="118" t="s">
        <v>21</v>
      </c>
      <c r="K294" s="74"/>
      <c r="L294" s="74"/>
      <c r="M294" s="119"/>
      <c r="N294" s="74"/>
      <c r="O294" s="74"/>
      <c r="P294" s="74"/>
      <c r="Q294" s="74"/>
      <c r="R294" s="74"/>
      <c r="S294" s="74"/>
      <c r="T294" s="65" t="str">
        <f aca="false">IF(D294&gt;0,(I294/D294),"")</f>
        <v/>
      </c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/>
      <c r="CQ294" s="74"/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</row>
    <row r="295" customFormat="false" ht="18" hidden="true" customHeight="true" outlineLevel="0" collapsed="false">
      <c r="A295" s="220" t="s">
        <v>279</v>
      </c>
      <c r="B295" s="95" t="n">
        <v>37091</v>
      </c>
      <c r="C295" s="188" t="s">
        <v>273</v>
      </c>
      <c r="D295" s="92" t="n">
        <f aca="false">I295/0.015</f>
        <v>-1358.93333333333</v>
      </c>
      <c r="E295" s="93" t="n">
        <v>-20.828</v>
      </c>
      <c r="F295" s="81" t="n">
        <v>0.444</v>
      </c>
      <c r="G295" s="81" t="n">
        <v>0</v>
      </c>
      <c r="H295" s="81" t="n">
        <v>0</v>
      </c>
      <c r="I295" s="94" t="n">
        <f aca="false">SUM(E295:H295)</f>
        <v>-20.384</v>
      </c>
      <c r="J295" s="118" t="s">
        <v>21</v>
      </c>
      <c r="K295" s="74"/>
      <c r="L295" s="74"/>
      <c r="M295" s="119"/>
      <c r="N295" s="74"/>
      <c r="O295" s="74"/>
      <c r="P295" s="74"/>
      <c r="Q295" s="74"/>
      <c r="R295" s="74"/>
      <c r="S295" s="74"/>
      <c r="T295" s="65" t="str">
        <f aca="false">IF(D295&gt;0,(I295/D295),"")</f>
        <v/>
      </c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/>
      <c r="CU295" s="74"/>
      <c r="CV295" s="74"/>
      <c r="CW295" s="74"/>
      <c r="CX295" s="74"/>
      <c r="CY295" s="74"/>
      <c r="CZ295" s="74"/>
      <c r="DA295" s="74"/>
      <c r="DB295" s="74"/>
      <c r="DC295" s="74"/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</row>
    <row r="296" customFormat="false" ht="18" hidden="true" customHeight="true" outlineLevel="0" collapsed="false">
      <c r="A296" s="220" t="s">
        <v>280</v>
      </c>
      <c r="B296" s="95" t="n">
        <v>37091</v>
      </c>
      <c r="C296" s="188" t="s">
        <v>273</v>
      </c>
      <c r="D296" s="92" t="n">
        <f aca="false">I296/0.015</f>
        <v>-1358.93333333333</v>
      </c>
      <c r="E296" s="93" t="n">
        <v>-20.828</v>
      </c>
      <c r="F296" s="81" t="n">
        <v>0.444</v>
      </c>
      <c r="G296" s="81" t="n">
        <v>0</v>
      </c>
      <c r="H296" s="81" t="n">
        <v>0</v>
      </c>
      <c r="I296" s="94" t="n">
        <f aca="false">SUM(E296:H296)</f>
        <v>-20.384</v>
      </c>
      <c r="J296" s="118" t="s">
        <v>21</v>
      </c>
      <c r="K296" s="74"/>
      <c r="L296" s="74"/>
      <c r="M296" s="119"/>
      <c r="N296" s="74"/>
      <c r="O296" s="74"/>
      <c r="P296" s="74"/>
      <c r="Q296" s="74"/>
      <c r="R296" s="74"/>
      <c r="S296" s="74"/>
      <c r="T296" s="65" t="str">
        <f aca="false">IF(D296&gt;0,(I296/D296),"")</f>
        <v/>
      </c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/>
      <c r="CV296" s="74"/>
      <c r="CW296" s="74"/>
      <c r="CX296" s="74"/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</row>
    <row r="297" customFormat="false" ht="18" hidden="true" customHeight="true" outlineLevel="0" collapsed="false">
      <c r="A297" s="220" t="s">
        <v>281</v>
      </c>
      <c r="B297" s="95" t="n">
        <v>37091</v>
      </c>
      <c r="C297" s="188" t="s">
        <v>273</v>
      </c>
      <c r="D297" s="92" t="n">
        <f aca="false">I297/0.015</f>
        <v>-1329.33333333333</v>
      </c>
      <c r="E297" s="93" t="n">
        <v>-20.384</v>
      </c>
      <c r="F297" s="81" t="n">
        <v>0.444</v>
      </c>
      <c r="G297" s="81" t="n">
        <v>0</v>
      </c>
      <c r="H297" s="81" t="n">
        <v>0</v>
      </c>
      <c r="I297" s="94" t="n">
        <f aca="false">SUM(E297:H297)</f>
        <v>-19.94</v>
      </c>
      <c r="J297" s="118" t="s">
        <v>21</v>
      </c>
      <c r="K297" s="74"/>
      <c r="L297" s="74"/>
      <c r="M297" s="119"/>
      <c r="N297" s="74"/>
      <c r="O297" s="74"/>
      <c r="P297" s="74"/>
      <c r="Q297" s="74"/>
      <c r="R297" s="74"/>
      <c r="S297" s="74"/>
      <c r="T297" s="65" t="str">
        <f aca="false">IF(D297&gt;0,(I297/D297),"")</f>
        <v/>
      </c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/>
      <c r="CU297" s="74"/>
      <c r="CV297" s="74"/>
      <c r="CW297" s="74"/>
      <c r="CX297" s="74"/>
      <c r="CY297" s="74"/>
      <c r="CZ297" s="74"/>
      <c r="DA297" s="74"/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</row>
    <row r="298" customFormat="false" ht="18" hidden="true" customHeight="true" outlineLevel="0" collapsed="false">
      <c r="A298" s="220" t="s">
        <v>282</v>
      </c>
      <c r="B298" s="95" t="n">
        <v>37091</v>
      </c>
      <c r="C298" s="188" t="s">
        <v>273</v>
      </c>
      <c r="D298" s="92" t="n">
        <f aca="false">I298/0.015</f>
        <v>-8646.6</v>
      </c>
      <c r="E298" s="93" t="n">
        <v>-131.957</v>
      </c>
      <c r="F298" s="81" t="n">
        <v>2.258</v>
      </c>
      <c r="G298" s="81" t="n">
        <v>0</v>
      </c>
      <c r="H298" s="81" t="n">
        <v>0</v>
      </c>
      <c r="I298" s="94" t="n">
        <f aca="false">SUM(E298:H298)</f>
        <v>-129.699</v>
      </c>
      <c r="J298" s="118" t="s">
        <v>21</v>
      </c>
      <c r="K298" s="74"/>
      <c r="L298" s="74"/>
      <c r="M298" s="119"/>
      <c r="N298" s="74"/>
      <c r="O298" s="74"/>
      <c r="P298" s="74"/>
      <c r="Q298" s="74"/>
      <c r="R298" s="74"/>
      <c r="S298" s="74"/>
      <c r="T298" s="65" t="str">
        <f aca="false">IF(D298&gt;0,(I298/D298),"")</f>
        <v/>
      </c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/>
      <c r="CU298" s="74"/>
      <c r="CV298" s="74"/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</row>
    <row r="299" customFormat="false" ht="18" hidden="true" customHeight="true" outlineLevel="0" collapsed="false">
      <c r="A299" s="220" t="s">
        <v>283</v>
      </c>
      <c r="B299" s="95" t="n">
        <v>37091</v>
      </c>
      <c r="C299" s="188" t="s">
        <v>273</v>
      </c>
      <c r="D299" s="92" t="n">
        <f aca="false">I299/0.015</f>
        <v>-2059.73333333333</v>
      </c>
      <c r="E299" s="93" t="n">
        <v>-31.369</v>
      </c>
      <c r="F299" s="81" t="n">
        <v>0.473</v>
      </c>
      <c r="G299" s="81" t="n">
        <v>0</v>
      </c>
      <c r="H299" s="81" t="n">
        <v>0</v>
      </c>
      <c r="I299" s="94" t="n">
        <f aca="false">SUM(E299:H299)</f>
        <v>-30.896</v>
      </c>
      <c r="J299" s="118" t="s">
        <v>21</v>
      </c>
      <c r="K299" s="74"/>
      <c r="L299" s="74"/>
      <c r="M299" s="119"/>
      <c r="N299" s="74"/>
      <c r="O299" s="74"/>
      <c r="P299" s="74"/>
      <c r="Q299" s="74"/>
      <c r="R299" s="74"/>
      <c r="S299" s="74"/>
      <c r="T299" s="65" t="str">
        <f aca="false">IF(D299&gt;0,(I299/D299),"")</f>
        <v/>
      </c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/>
      <c r="CU299" s="74"/>
      <c r="CV299" s="74"/>
      <c r="CW299" s="74"/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</row>
    <row r="300" customFormat="false" ht="18" hidden="true" customHeight="true" outlineLevel="0" collapsed="false">
      <c r="A300" s="220" t="s">
        <v>284</v>
      </c>
      <c r="B300" s="95" t="n">
        <v>37091</v>
      </c>
      <c r="C300" s="188" t="s">
        <v>273</v>
      </c>
      <c r="D300" s="92" t="n">
        <f aca="false">I300/0.015</f>
        <v>-5875</v>
      </c>
      <c r="E300" s="93" t="n">
        <v>-89.586</v>
      </c>
      <c r="F300" s="81" t="n">
        <v>1.461</v>
      </c>
      <c r="G300" s="81" t="n">
        <v>0</v>
      </c>
      <c r="H300" s="81" t="n">
        <v>0</v>
      </c>
      <c r="I300" s="94" t="n">
        <f aca="false">SUM(E300:H300)</f>
        <v>-88.125</v>
      </c>
      <c r="J300" s="118" t="s">
        <v>21</v>
      </c>
      <c r="K300" s="74"/>
      <c r="L300" s="74"/>
      <c r="M300" s="119"/>
      <c r="N300" s="74"/>
      <c r="O300" s="74"/>
      <c r="P300" s="74"/>
      <c r="Q300" s="74"/>
      <c r="R300" s="74"/>
      <c r="S300" s="74"/>
      <c r="T300" s="65" t="str">
        <f aca="false">IF(D300&gt;0,(I300/D300),"")</f>
        <v/>
      </c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/>
      <c r="CU300" s="74"/>
      <c r="CV300" s="74"/>
      <c r="CW300" s="74"/>
      <c r="CX300" s="74"/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</row>
    <row r="301" customFormat="false" ht="18" hidden="true" customHeight="true" outlineLevel="0" collapsed="false">
      <c r="A301" s="220" t="s">
        <v>285</v>
      </c>
      <c r="B301" s="95" t="n">
        <v>37091</v>
      </c>
      <c r="C301" s="188" t="s">
        <v>273</v>
      </c>
      <c r="D301" s="92" t="n">
        <f aca="false">I301/0.015</f>
        <v>-2039.93333333333</v>
      </c>
      <c r="E301" s="93" t="n">
        <v>-31.121</v>
      </c>
      <c r="F301" s="81" t="n">
        <v>0.522</v>
      </c>
      <c r="G301" s="81" t="n">
        <v>0</v>
      </c>
      <c r="H301" s="81" t="n">
        <v>0</v>
      </c>
      <c r="I301" s="94" t="n">
        <f aca="false">SUM(E301:H301)</f>
        <v>-30.599</v>
      </c>
      <c r="J301" s="118" t="s">
        <v>21</v>
      </c>
      <c r="K301" s="74"/>
      <c r="L301" s="74"/>
      <c r="M301" s="119"/>
      <c r="N301" s="74"/>
      <c r="O301" s="74"/>
      <c r="P301" s="74"/>
      <c r="Q301" s="74"/>
      <c r="R301" s="74"/>
      <c r="S301" s="74"/>
      <c r="T301" s="65" t="str">
        <f aca="false">IF(D301&gt;0,(I301/D301),"")</f>
        <v/>
      </c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/>
      <c r="CU301" s="74"/>
      <c r="CV301" s="74"/>
      <c r="CW301" s="74"/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</row>
    <row r="302" customFormat="false" ht="18" hidden="true" customHeight="true" outlineLevel="0" collapsed="false">
      <c r="A302" s="220" t="s">
        <v>286</v>
      </c>
      <c r="B302" s="95" t="n">
        <v>37091</v>
      </c>
      <c r="C302" s="188" t="s">
        <v>273</v>
      </c>
      <c r="D302" s="92" t="n">
        <f aca="false">I302/0.015</f>
        <v>-1329.33333333333</v>
      </c>
      <c r="E302" s="93" t="n">
        <v>-20.384</v>
      </c>
      <c r="F302" s="81" t="n">
        <v>0.444</v>
      </c>
      <c r="G302" s="81" t="n">
        <v>0</v>
      </c>
      <c r="H302" s="81" t="n">
        <v>0</v>
      </c>
      <c r="I302" s="94" t="n">
        <f aca="false">SUM(E302:H302)</f>
        <v>-19.94</v>
      </c>
      <c r="J302" s="118" t="s">
        <v>21</v>
      </c>
      <c r="K302" s="74"/>
      <c r="L302" s="74"/>
      <c r="M302" s="119"/>
      <c r="N302" s="74"/>
      <c r="O302" s="74"/>
      <c r="P302" s="74"/>
      <c r="Q302" s="74"/>
      <c r="R302" s="74"/>
      <c r="S302" s="74"/>
      <c r="T302" s="65" t="str">
        <f aca="false">IF(D302&gt;0,(I302/D302),"")</f>
        <v/>
      </c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/>
      <c r="CU302" s="74"/>
      <c r="CV302" s="74"/>
      <c r="CW302" s="74"/>
      <c r="CX302" s="74"/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</row>
    <row r="303" customFormat="false" ht="18" hidden="true" customHeight="true" outlineLevel="0" collapsed="false">
      <c r="A303" s="220" t="s">
        <v>287</v>
      </c>
      <c r="B303" s="95" t="n">
        <v>37091</v>
      </c>
      <c r="C303" s="188" t="s">
        <v>273</v>
      </c>
      <c r="D303" s="92" t="n">
        <f aca="false">I303/0.015</f>
        <v>-1329.33333333333</v>
      </c>
      <c r="E303" s="93" t="n">
        <v>-20.384</v>
      </c>
      <c r="F303" s="81" t="n">
        <v>0.444</v>
      </c>
      <c r="G303" s="81" t="n">
        <v>0</v>
      </c>
      <c r="H303" s="81" t="n">
        <v>0</v>
      </c>
      <c r="I303" s="94" t="n">
        <f aca="false">SUM(E303:H303)</f>
        <v>-19.94</v>
      </c>
      <c r="J303" s="118" t="s">
        <v>21</v>
      </c>
      <c r="K303" s="74"/>
      <c r="L303" s="74"/>
      <c r="M303" s="119"/>
      <c r="N303" s="74"/>
      <c r="O303" s="74"/>
      <c r="P303" s="74"/>
      <c r="Q303" s="74"/>
      <c r="R303" s="74"/>
      <c r="S303" s="74"/>
      <c r="T303" s="65" t="str">
        <f aca="false">IF(D303&gt;0,(I303/D303),"")</f>
        <v/>
      </c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/>
      <c r="CU303" s="74"/>
      <c r="CV303" s="74"/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</row>
    <row r="304" customFormat="false" ht="18" hidden="true" customHeight="true" outlineLevel="0" collapsed="false">
      <c r="A304" s="220" t="s">
        <v>288</v>
      </c>
      <c r="B304" s="95" t="n">
        <v>37091</v>
      </c>
      <c r="C304" s="188" t="s">
        <v>273</v>
      </c>
      <c r="D304" s="92" t="n">
        <f aca="false">I304/0.015</f>
        <v>-732.8</v>
      </c>
      <c r="E304" s="93" t="n">
        <v>-11.196</v>
      </c>
      <c r="F304" s="81" t="n">
        <v>0.204</v>
      </c>
      <c r="G304" s="81" t="n">
        <v>0</v>
      </c>
      <c r="H304" s="81" t="n">
        <v>0</v>
      </c>
      <c r="I304" s="94" t="n">
        <f aca="false">SUM(E304:H304)</f>
        <v>-10.992</v>
      </c>
      <c r="J304" s="118" t="s">
        <v>21</v>
      </c>
      <c r="K304" s="74"/>
      <c r="L304" s="74"/>
      <c r="M304" s="119"/>
      <c r="N304" s="74"/>
      <c r="O304" s="74"/>
      <c r="P304" s="74"/>
      <c r="Q304" s="74"/>
      <c r="R304" s="74"/>
      <c r="S304" s="74"/>
      <c r="T304" s="65" t="str">
        <f aca="false">IF(D304&gt;0,(I304/D304),"")</f>
        <v/>
      </c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/>
      <c r="CU304" s="74"/>
      <c r="CV304" s="74"/>
      <c r="CW304" s="74"/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</row>
    <row r="305" customFormat="false" ht="5.1" hidden="true" customHeight="true" outlineLevel="0" collapsed="false">
      <c r="A305" s="213"/>
      <c r="B305" s="224"/>
      <c r="C305" s="215"/>
      <c r="D305" s="216"/>
      <c r="E305" s="217"/>
      <c r="F305" s="218"/>
      <c r="G305" s="218"/>
      <c r="H305" s="218"/>
      <c r="I305" s="219"/>
      <c r="J305" s="118"/>
      <c r="K305" s="74"/>
      <c r="L305" s="74"/>
      <c r="M305" s="119"/>
      <c r="N305" s="74"/>
      <c r="O305" s="74"/>
      <c r="P305" s="74"/>
      <c r="Q305" s="74"/>
      <c r="R305" s="74"/>
      <c r="S305" s="74"/>
      <c r="T305" s="65" t="str">
        <f aca="false">IF(D305&gt;0,(I305/D305),"")</f>
        <v/>
      </c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/>
      <c r="CU305" s="74"/>
      <c r="CV305" s="74"/>
      <c r="CW305" s="74"/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</row>
    <row r="306" customFormat="false" ht="18" hidden="false" customHeight="true" outlineLevel="0" collapsed="false">
      <c r="A306" s="120" t="s">
        <v>289</v>
      </c>
      <c r="B306" s="95" t="n">
        <v>37091</v>
      </c>
      <c r="C306" s="188" t="s">
        <v>270</v>
      </c>
      <c r="D306" s="92" t="n">
        <f aca="false">SUM(D307:D390)</f>
        <v>8783.23333333333</v>
      </c>
      <c r="E306" s="93" t="n">
        <f aca="false">SUM(E307:E390)</f>
        <v>557.091</v>
      </c>
      <c r="F306" s="81" t="n">
        <f aca="false">SUM(F307:F390)</f>
        <v>-108.138</v>
      </c>
      <c r="G306" s="81" t="n">
        <f aca="false">SUM(G307:G390)</f>
        <v>0</v>
      </c>
      <c r="H306" s="81" t="n">
        <f aca="false">SUM(H317:H390)</f>
        <v>0</v>
      </c>
      <c r="I306" s="94" t="n">
        <f aca="false">SUM(I307:I390)</f>
        <v>448.953</v>
      </c>
      <c r="J306" s="118" t="s">
        <v>226</v>
      </c>
      <c r="K306" s="74"/>
      <c r="L306" s="74"/>
      <c r="M306" s="119"/>
      <c r="N306" s="74"/>
      <c r="O306" s="74"/>
      <c r="P306" s="74"/>
      <c r="Q306" s="74"/>
      <c r="R306" s="74"/>
      <c r="S306" s="74"/>
      <c r="T306" s="65" t="n">
        <f aca="false">IF(D306&gt;0,(I306/D306),"")</f>
        <v>0.0511147755002903</v>
      </c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/>
      <c r="CV306" s="74"/>
      <c r="CW306" s="74"/>
      <c r="CX306" s="74"/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</row>
    <row r="307" customFormat="false" ht="5.1" hidden="true" customHeight="true" outlineLevel="0" collapsed="false">
      <c r="A307" s="213"/>
      <c r="B307" s="224"/>
      <c r="C307" s="225"/>
      <c r="D307" s="216"/>
      <c r="E307" s="217"/>
      <c r="F307" s="218"/>
      <c r="G307" s="218"/>
      <c r="H307" s="218"/>
      <c r="I307" s="219"/>
      <c r="J307" s="118"/>
      <c r="K307" s="74"/>
      <c r="L307" s="74"/>
      <c r="M307" s="119"/>
      <c r="N307" s="74"/>
      <c r="O307" s="74"/>
      <c r="P307" s="74"/>
      <c r="Q307" s="74"/>
      <c r="R307" s="74"/>
      <c r="S307" s="74"/>
      <c r="T307" s="65" t="str">
        <f aca="false">IF(D307&gt;0,(I307/D307),"")</f>
        <v/>
      </c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/>
      <c r="CV307" s="74"/>
      <c r="CW307" s="74"/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</row>
    <row r="308" customFormat="false" ht="18" hidden="true" customHeight="false" outlineLevel="0" collapsed="false">
      <c r="A308" s="226" t="s">
        <v>290</v>
      </c>
      <c r="B308" s="67"/>
      <c r="C308" s="175"/>
      <c r="D308" s="69" t="n">
        <f aca="false">I308/0.06</f>
        <v>-412.066666666667</v>
      </c>
      <c r="E308" s="71" t="n">
        <v>-26.702</v>
      </c>
      <c r="F308" s="71" t="n">
        <f aca="false">1978/1000</f>
        <v>1.978</v>
      </c>
      <c r="G308" s="71"/>
      <c r="H308" s="71"/>
      <c r="I308" s="72" t="n">
        <f aca="false">SUM(E308:G308)</f>
        <v>-24.724</v>
      </c>
      <c r="J308" s="118" t="s">
        <v>226</v>
      </c>
      <c r="K308" s="74"/>
      <c r="L308" s="74"/>
      <c r="M308" s="119"/>
      <c r="N308" s="74"/>
      <c r="O308" s="74"/>
      <c r="P308" s="74"/>
      <c r="Q308" s="74"/>
      <c r="R308" s="74"/>
      <c r="S308" s="74"/>
      <c r="T308" s="65" t="str">
        <f aca="false">IF(D308&gt;0,(I308/D308),"")</f>
        <v/>
      </c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/>
      <c r="CV308" s="74"/>
      <c r="CW308" s="74"/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</row>
    <row r="309" customFormat="false" ht="18" hidden="true" customHeight="false" outlineLevel="0" collapsed="false">
      <c r="A309" s="226" t="s">
        <v>291</v>
      </c>
      <c r="B309" s="67"/>
      <c r="C309" s="175"/>
      <c r="D309" s="69" t="n">
        <f aca="false">I309/0.06</f>
        <v>-40.5666666666667</v>
      </c>
      <c r="E309" s="71" t="n">
        <v>-2.928</v>
      </c>
      <c r="F309" s="71" t="n">
        <f aca="false">494/1000</f>
        <v>0.494</v>
      </c>
      <c r="G309" s="71"/>
      <c r="H309" s="71"/>
      <c r="I309" s="72" t="n">
        <f aca="false">SUM(E309:G309)</f>
        <v>-2.434</v>
      </c>
      <c r="J309" s="118" t="s">
        <v>226</v>
      </c>
      <c r="K309" s="74"/>
      <c r="L309" s="74"/>
      <c r="M309" s="119"/>
      <c r="N309" s="74"/>
      <c r="O309" s="74"/>
      <c r="P309" s="74"/>
      <c r="Q309" s="74"/>
      <c r="R309" s="74"/>
      <c r="S309" s="74"/>
      <c r="T309" s="65" t="str">
        <f aca="false">IF(D309&gt;0,(I309/D309),"")</f>
        <v/>
      </c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/>
      <c r="CV309" s="74"/>
      <c r="CW309" s="74"/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</row>
    <row r="310" customFormat="false" ht="18" hidden="true" customHeight="false" outlineLevel="0" collapsed="false">
      <c r="A310" s="226" t="s">
        <v>292</v>
      </c>
      <c r="B310" s="67"/>
      <c r="C310" s="175"/>
      <c r="D310" s="69" t="n">
        <f aca="false">I310/0.06</f>
        <v>6.48333333333333</v>
      </c>
      <c r="E310" s="71" t="n">
        <v>0.765</v>
      </c>
      <c r="F310" s="71" t="n">
        <v>-0.376</v>
      </c>
      <c r="G310" s="71"/>
      <c r="H310" s="71"/>
      <c r="I310" s="72" t="n">
        <f aca="false">SUM(E310:G310)</f>
        <v>0.389</v>
      </c>
      <c r="J310" s="118" t="s">
        <v>226</v>
      </c>
      <c r="K310" s="74"/>
      <c r="L310" s="74"/>
      <c r="M310" s="119"/>
      <c r="N310" s="74"/>
      <c r="O310" s="74"/>
      <c r="P310" s="74"/>
      <c r="Q310" s="74"/>
      <c r="R310" s="74"/>
      <c r="S310" s="74"/>
      <c r="T310" s="65" t="n">
        <f aca="false">IF(D310&gt;0,(I310/D310),"")</f>
        <v>0.06</v>
      </c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/>
      <c r="CU310" s="74"/>
      <c r="CV310" s="74"/>
      <c r="CW310" s="74"/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</row>
    <row r="311" customFormat="false" ht="18" hidden="true" customHeight="false" outlineLevel="0" collapsed="false">
      <c r="A311" s="226" t="s">
        <v>293</v>
      </c>
      <c r="B311" s="67"/>
      <c r="C311" s="175"/>
      <c r="D311" s="69" t="n">
        <f aca="false">I311/0.06</f>
        <v>31.5666666666667</v>
      </c>
      <c r="E311" s="71" t="n">
        <f aca="false">2206/1000</f>
        <v>2.206</v>
      </c>
      <c r="F311" s="71" t="n">
        <v>-0.312</v>
      </c>
      <c r="G311" s="71"/>
      <c r="H311" s="71"/>
      <c r="I311" s="72" t="n">
        <f aca="false">SUM(E311:G311)</f>
        <v>1.894</v>
      </c>
      <c r="J311" s="118" t="s">
        <v>226</v>
      </c>
      <c r="K311" s="74"/>
      <c r="L311" s="74"/>
      <c r="M311" s="119"/>
      <c r="N311" s="74"/>
      <c r="O311" s="74"/>
      <c r="P311" s="74"/>
      <c r="Q311" s="74"/>
      <c r="R311" s="74"/>
      <c r="S311" s="74"/>
      <c r="T311" s="65" t="n">
        <f aca="false">IF(D311&gt;0,(I311/D311),"")</f>
        <v>0.06</v>
      </c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/>
      <c r="CU311" s="74"/>
      <c r="CV311" s="74"/>
      <c r="CW311" s="74"/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</row>
    <row r="312" customFormat="false" ht="18" hidden="true" customHeight="false" outlineLevel="0" collapsed="false">
      <c r="A312" s="226" t="s">
        <v>294</v>
      </c>
      <c r="B312" s="67"/>
      <c r="C312" s="175"/>
      <c r="D312" s="69" t="n">
        <f aca="false">I312/0.06</f>
        <v>115.666666666667</v>
      </c>
      <c r="E312" s="71" t="n">
        <f aca="false">9064/1000</f>
        <v>9.064</v>
      </c>
      <c r="F312" s="71" t="n">
        <v>-2.124</v>
      </c>
      <c r="G312" s="71"/>
      <c r="H312" s="71"/>
      <c r="I312" s="72" t="n">
        <f aca="false">SUM(E312:G312)</f>
        <v>6.94</v>
      </c>
      <c r="J312" s="118" t="s">
        <v>226</v>
      </c>
      <c r="K312" s="74"/>
      <c r="L312" s="74"/>
      <c r="M312" s="119"/>
      <c r="N312" s="74"/>
      <c r="O312" s="74"/>
      <c r="P312" s="74"/>
      <c r="Q312" s="74"/>
      <c r="R312" s="74"/>
      <c r="S312" s="74"/>
      <c r="T312" s="65" t="n">
        <f aca="false">IF(D312&gt;0,(I312/D312),"")</f>
        <v>0.06</v>
      </c>
      <c r="U312" s="74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4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/>
      <c r="CU312" s="74"/>
      <c r="CV312" s="74"/>
      <c r="CW312" s="74"/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</row>
    <row r="313" customFormat="false" ht="18" hidden="true" customHeight="false" outlineLevel="0" collapsed="false">
      <c r="A313" s="226" t="s">
        <v>295</v>
      </c>
      <c r="B313" s="67"/>
      <c r="C313" s="175"/>
      <c r="D313" s="69" t="n">
        <f aca="false">I313/0.06</f>
        <v>52.3833333333333</v>
      </c>
      <c r="E313" s="71" t="n">
        <f aca="false">3702/1000</f>
        <v>3.702</v>
      </c>
      <c r="F313" s="71" t="n">
        <v>-0.559</v>
      </c>
      <c r="G313" s="71"/>
      <c r="H313" s="71"/>
      <c r="I313" s="72" t="n">
        <f aca="false">SUM(E313:G313)</f>
        <v>3.143</v>
      </c>
      <c r="J313" s="118" t="s">
        <v>226</v>
      </c>
      <c r="K313" s="74"/>
      <c r="L313" s="74"/>
      <c r="M313" s="119"/>
      <c r="N313" s="74"/>
      <c r="O313" s="74"/>
      <c r="P313" s="74"/>
      <c r="Q313" s="74"/>
      <c r="R313" s="74"/>
      <c r="S313" s="74"/>
      <c r="T313" s="65" t="n">
        <f aca="false">IF(D313&gt;0,(I313/D313),"")</f>
        <v>0.06</v>
      </c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4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/>
      <c r="CU313" s="74"/>
      <c r="CV313" s="74"/>
      <c r="CW313" s="74"/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</row>
    <row r="314" customFormat="false" ht="18" hidden="true" customHeight="false" outlineLevel="0" collapsed="false">
      <c r="A314" s="226" t="s">
        <v>296</v>
      </c>
      <c r="B314" s="67"/>
      <c r="C314" s="175"/>
      <c r="D314" s="69" t="n">
        <f aca="false">I314/0.06</f>
        <v>88.55</v>
      </c>
      <c r="E314" s="71" t="n">
        <f aca="false">6995/1000</f>
        <v>6.995</v>
      </c>
      <c r="F314" s="71" t="n">
        <v>-1.682</v>
      </c>
      <c r="G314" s="71"/>
      <c r="H314" s="71"/>
      <c r="I314" s="72" t="n">
        <f aca="false">SUM(E314:G314)</f>
        <v>5.313</v>
      </c>
      <c r="J314" s="118" t="s">
        <v>226</v>
      </c>
      <c r="K314" s="74"/>
      <c r="L314" s="74"/>
      <c r="M314" s="119"/>
      <c r="N314" s="74"/>
      <c r="O314" s="74"/>
      <c r="P314" s="74"/>
      <c r="Q314" s="74"/>
      <c r="R314" s="74"/>
      <c r="S314" s="74"/>
      <c r="T314" s="65" t="n">
        <f aca="false">IF(D314&gt;0,(I314/D314),"")</f>
        <v>0.06</v>
      </c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/>
      <c r="CU314" s="74"/>
      <c r="CV314" s="74"/>
      <c r="CW314" s="74"/>
      <c r="CX314" s="74"/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</row>
    <row r="315" customFormat="false" ht="18" hidden="true" customHeight="false" outlineLevel="0" collapsed="false">
      <c r="A315" s="226" t="s">
        <v>297</v>
      </c>
      <c r="B315" s="67"/>
      <c r="C315" s="175"/>
      <c r="D315" s="69" t="n">
        <f aca="false">I315/0.06</f>
        <v>301.9</v>
      </c>
      <c r="E315" s="71" t="n">
        <f aca="false">24265/1000</f>
        <v>24.265</v>
      </c>
      <c r="F315" s="71" t="n">
        <v>-6.151</v>
      </c>
      <c r="G315" s="71"/>
      <c r="H315" s="71"/>
      <c r="I315" s="72" t="n">
        <f aca="false">SUM(E315:G315)</f>
        <v>18.114</v>
      </c>
      <c r="J315" s="118" t="s">
        <v>226</v>
      </c>
      <c r="K315" s="74"/>
      <c r="L315" s="74"/>
      <c r="M315" s="119"/>
      <c r="N315" s="74"/>
      <c r="O315" s="74"/>
      <c r="P315" s="74"/>
      <c r="Q315" s="74"/>
      <c r="R315" s="74"/>
      <c r="S315" s="74"/>
      <c r="T315" s="65" t="n">
        <f aca="false">IF(D315&gt;0,(I315/D315),"")</f>
        <v>0.06</v>
      </c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/>
      <c r="CV315" s="74"/>
      <c r="CW315" s="74"/>
      <c r="CX315" s="74"/>
      <c r="CY315" s="74"/>
      <c r="CZ315" s="74"/>
      <c r="DA315" s="74"/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</row>
    <row r="316" customFormat="false" ht="18" hidden="true" customHeight="false" outlineLevel="0" collapsed="false">
      <c r="A316" s="226" t="s">
        <v>298</v>
      </c>
      <c r="B316" s="67"/>
      <c r="C316" s="175"/>
      <c r="D316" s="69" t="n">
        <f aca="false">I316/0.06</f>
        <v>19.2333333333333</v>
      </c>
      <c r="E316" s="71" t="n">
        <f aca="false">1636/1000</f>
        <v>1.636</v>
      </c>
      <c r="F316" s="71" t="n">
        <v>-0.482</v>
      </c>
      <c r="G316" s="71"/>
      <c r="H316" s="71"/>
      <c r="I316" s="72" t="n">
        <f aca="false">SUM(E316:G316)</f>
        <v>1.154</v>
      </c>
      <c r="J316" s="118" t="s">
        <v>226</v>
      </c>
      <c r="K316" s="74"/>
      <c r="L316" s="74"/>
      <c r="M316" s="119"/>
      <c r="N316" s="74"/>
      <c r="O316" s="74"/>
      <c r="P316" s="74"/>
      <c r="Q316" s="74"/>
      <c r="R316" s="74"/>
      <c r="S316" s="74"/>
      <c r="T316" s="65" t="n">
        <f aca="false">IF(D316&gt;0,(I316/D316),"")</f>
        <v>0.06</v>
      </c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/>
      <c r="CV316" s="74"/>
      <c r="CW316" s="74"/>
      <c r="CX316" s="74"/>
      <c r="CY316" s="74"/>
      <c r="CZ316" s="74"/>
      <c r="DA316" s="74"/>
      <c r="DB316" s="74"/>
      <c r="DC316" s="74"/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</row>
    <row r="317" customFormat="false" ht="18" hidden="true" customHeight="true" outlineLevel="0" collapsed="false">
      <c r="A317" s="227" t="s">
        <v>299</v>
      </c>
      <c r="B317" s="182"/>
      <c r="C317" s="183"/>
      <c r="D317" s="92" t="n">
        <f aca="false">I317/0.06</f>
        <v>288.433333333333</v>
      </c>
      <c r="E317" s="93" t="n">
        <f aca="false">19669/1000</f>
        <v>19.669</v>
      </c>
      <c r="F317" s="81" t="n">
        <v>-2.363</v>
      </c>
      <c r="G317" s="81"/>
      <c r="H317" s="81"/>
      <c r="I317" s="94" t="n">
        <f aca="false">F317+E317</f>
        <v>17.306</v>
      </c>
      <c r="J317" s="118" t="s">
        <v>226</v>
      </c>
      <c r="K317" s="74"/>
      <c r="L317" s="74"/>
      <c r="M317" s="119"/>
      <c r="N317" s="74"/>
      <c r="O317" s="74"/>
      <c r="P317" s="74"/>
      <c r="Q317" s="74"/>
      <c r="R317" s="74"/>
      <c r="S317" s="74"/>
      <c r="T317" s="65" t="n">
        <f aca="false">IF(D317&gt;0,(I317/D317),"")</f>
        <v>0.06</v>
      </c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/>
      <c r="CV317" s="74"/>
      <c r="CW317" s="74"/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</row>
    <row r="318" customFormat="false" ht="18" hidden="true" customHeight="true" outlineLevel="0" collapsed="false">
      <c r="A318" s="227" t="s">
        <v>300</v>
      </c>
      <c r="B318" s="182"/>
      <c r="C318" s="183"/>
      <c r="D318" s="92" t="n">
        <f aca="false">I318/0.06</f>
        <v>159.733333333333</v>
      </c>
      <c r="E318" s="93" t="n">
        <f aca="false">10609/1000</f>
        <v>10.609</v>
      </c>
      <c r="F318" s="81" t="n">
        <v>-1.025</v>
      </c>
      <c r="G318" s="81"/>
      <c r="H318" s="81"/>
      <c r="I318" s="94" t="n">
        <f aca="false">F318+E318</f>
        <v>9.584</v>
      </c>
      <c r="J318" s="118" t="s">
        <v>226</v>
      </c>
      <c r="K318" s="74"/>
      <c r="L318" s="74"/>
      <c r="M318" s="119"/>
      <c r="N318" s="74"/>
      <c r="O318" s="74"/>
      <c r="P318" s="74"/>
      <c r="Q318" s="74"/>
      <c r="R318" s="74"/>
      <c r="S318" s="74"/>
      <c r="T318" s="65" t="n">
        <f aca="false">IF(D318&gt;0,(I318/D318),"")</f>
        <v>0.06</v>
      </c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/>
      <c r="CU318" s="74"/>
      <c r="CV318" s="74"/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</row>
    <row r="319" customFormat="false" ht="15.75" hidden="true" customHeight="true" outlineLevel="0" collapsed="false">
      <c r="A319" s="220" t="s">
        <v>301</v>
      </c>
      <c r="B319" s="90"/>
      <c r="C319" s="183"/>
      <c r="D319" s="92" t="n">
        <f aca="false">I319/0.06</f>
        <v>24.6666666666667</v>
      </c>
      <c r="E319" s="93" t="n">
        <v>1.748</v>
      </c>
      <c r="F319" s="81" t="n">
        <v>-0.268</v>
      </c>
      <c r="G319" s="81"/>
      <c r="H319" s="81"/>
      <c r="I319" s="94" t="n">
        <f aca="false">SUM(E319:G319)</f>
        <v>1.48</v>
      </c>
      <c r="J319" s="118" t="s">
        <v>226</v>
      </c>
      <c r="K319" s="74"/>
      <c r="L319" s="74"/>
      <c r="M319" s="119"/>
      <c r="N319" s="74"/>
      <c r="O319" s="74"/>
      <c r="P319" s="74"/>
      <c r="Q319" s="74"/>
      <c r="R319" s="74"/>
      <c r="S319" s="74"/>
      <c r="T319" s="65" t="n">
        <f aca="false">IF(D319&gt;0,(I319/D319),"")</f>
        <v>0.06</v>
      </c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/>
      <c r="CU319" s="74"/>
      <c r="CV319" s="74"/>
      <c r="CW319" s="74"/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</row>
    <row r="320" customFormat="false" ht="15.75" hidden="true" customHeight="true" outlineLevel="0" collapsed="false">
      <c r="A320" s="220" t="s">
        <v>302</v>
      </c>
      <c r="B320" s="90"/>
      <c r="C320" s="183"/>
      <c r="D320" s="92" t="n">
        <f aca="false">I320/0.06</f>
        <v>8.1</v>
      </c>
      <c r="E320" s="93" t="n">
        <v>0.609</v>
      </c>
      <c r="F320" s="81" t="n">
        <v>-0.123</v>
      </c>
      <c r="G320" s="81"/>
      <c r="H320" s="81"/>
      <c r="I320" s="94" t="n">
        <f aca="false">SUM(E320:G320)</f>
        <v>0.486</v>
      </c>
      <c r="J320" s="118" t="s">
        <v>226</v>
      </c>
      <c r="K320" s="74"/>
      <c r="L320" s="74"/>
      <c r="M320" s="119"/>
      <c r="N320" s="74"/>
      <c r="O320" s="74"/>
      <c r="P320" s="74"/>
      <c r="Q320" s="74"/>
      <c r="R320" s="74"/>
      <c r="S320" s="74"/>
      <c r="T320" s="65" t="n">
        <f aca="false">IF(D320&gt;0,(I320/D320),"")</f>
        <v>0.06</v>
      </c>
      <c r="U320" s="74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4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/>
      <c r="CU320" s="74"/>
      <c r="CV320" s="74"/>
      <c r="CW320" s="74"/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</row>
    <row r="321" customFormat="false" ht="15.75" hidden="true" customHeight="true" outlineLevel="0" collapsed="false">
      <c r="A321" s="220" t="s">
        <v>303</v>
      </c>
      <c r="B321" s="90"/>
      <c r="C321" s="183"/>
      <c r="D321" s="92" t="n">
        <f aca="false">I321/0.06</f>
        <v>47.5</v>
      </c>
      <c r="E321" s="93" t="n">
        <v>3.313</v>
      </c>
      <c r="F321" s="81" t="n">
        <v>-0.463</v>
      </c>
      <c r="G321" s="81"/>
      <c r="H321" s="81"/>
      <c r="I321" s="94" t="n">
        <f aca="false">SUM(E321:G321)</f>
        <v>2.85</v>
      </c>
      <c r="J321" s="118" t="s">
        <v>226</v>
      </c>
      <c r="K321" s="74"/>
      <c r="L321" s="74"/>
      <c r="M321" s="119"/>
      <c r="N321" s="74"/>
      <c r="O321" s="74"/>
      <c r="P321" s="74"/>
      <c r="Q321" s="74"/>
      <c r="R321" s="74"/>
      <c r="S321" s="74"/>
      <c r="T321" s="65" t="n">
        <f aca="false">IF(D321&gt;0,(I321/D321),"")</f>
        <v>0.06</v>
      </c>
      <c r="U321" s="74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4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/>
      <c r="CU321" s="74"/>
      <c r="CV321" s="74"/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</row>
    <row r="322" customFormat="false" ht="15.75" hidden="true" customHeight="true" outlineLevel="0" collapsed="false">
      <c r="A322" s="220" t="s">
        <v>304</v>
      </c>
      <c r="B322" s="90"/>
      <c r="C322" s="183"/>
      <c r="D322" s="92" t="n">
        <f aca="false">I322/0.06</f>
        <v>363.183333333333</v>
      </c>
      <c r="E322" s="93" t="n">
        <v>23.778</v>
      </c>
      <c r="F322" s="81" t="n">
        <v>-1.987</v>
      </c>
      <c r="G322" s="81"/>
      <c r="H322" s="81"/>
      <c r="I322" s="94" t="n">
        <f aca="false">SUM(E322:G322)</f>
        <v>21.791</v>
      </c>
      <c r="J322" s="118" t="s">
        <v>226</v>
      </c>
      <c r="K322" s="74"/>
      <c r="L322" s="74"/>
      <c r="M322" s="119"/>
      <c r="N322" s="74"/>
      <c r="O322" s="74"/>
      <c r="P322" s="74"/>
      <c r="Q322" s="74"/>
      <c r="R322" s="74"/>
      <c r="S322" s="74"/>
      <c r="T322" s="65" t="n">
        <f aca="false">IF(D322&gt;0,(I322/D322),"")</f>
        <v>0.06</v>
      </c>
      <c r="U322" s="74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4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/>
      <c r="CV322" s="74"/>
      <c r="CW322" s="74"/>
      <c r="CX322" s="74"/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</row>
    <row r="323" customFormat="false" ht="15.75" hidden="true" customHeight="true" outlineLevel="0" collapsed="false">
      <c r="A323" s="220" t="s">
        <v>305</v>
      </c>
      <c r="B323" s="90"/>
      <c r="C323" s="183"/>
      <c r="D323" s="92" t="n">
        <f aca="false">I323/0.06</f>
        <v>59.3666666666667</v>
      </c>
      <c r="E323" s="93" t="n">
        <v>4.181</v>
      </c>
      <c r="F323" s="81" t="n">
        <v>-0.619</v>
      </c>
      <c r="G323" s="81"/>
      <c r="H323" s="81"/>
      <c r="I323" s="94" t="n">
        <f aca="false">SUM(E323:G323)</f>
        <v>3.562</v>
      </c>
      <c r="J323" s="118" t="s">
        <v>226</v>
      </c>
      <c r="K323" s="74"/>
      <c r="L323" s="74"/>
      <c r="M323" s="119"/>
      <c r="N323" s="74"/>
      <c r="O323" s="74"/>
      <c r="P323" s="74"/>
      <c r="Q323" s="74"/>
      <c r="R323" s="74"/>
      <c r="S323" s="74"/>
      <c r="T323" s="65" t="n">
        <f aca="false">IF(D323&gt;0,(I323/D323),"")</f>
        <v>0.06</v>
      </c>
      <c r="U323" s="74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4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/>
      <c r="CV323" s="74"/>
      <c r="CW323" s="74"/>
      <c r="CX323" s="74"/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</row>
    <row r="324" customFormat="false" ht="15.75" hidden="true" customHeight="true" outlineLevel="0" collapsed="false">
      <c r="A324" s="220" t="s">
        <v>306</v>
      </c>
      <c r="B324" s="90"/>
      <c r="C324" s="183"/>
      <c r="D324" s="92" t="n">
        <f aca="false">I324/0.06</f>
        <v>119.05</v>
      </c>
      <c r="E324" s="93" t="n">
        <v>8.473</v>
      </c>
      <c r="F324" s="81" t="n">
        <v>-1.33</v>
      </c>
      <c r="G324" s="81"/>
      <c r="H324" s="81"/>
      <c r="I324" s="94" t="n">
        <f aca="false">SUM(E324:G324)</f>
        <v>7.143</v>
      </c>
      <c r="J324" s="118" t="s">
        <v>226</v>
      </c>
      <c r="K324" s="74"/>
      <c r="L324" s="74"/>
      <c r="M324" s="119"/>
      <c r="N324" s="74"/>
      <c r="O324" s="74"/>
      <c r="P324" s="74"/>
      <c r="Q324" s="74"/>
      <c r="R324" s="74"/>
      <c r="S324" s="74"/>
      <c r="T324" s="65" t="n">
        <f aca="false">IF(D324&gt;0,(I324/D324),"")</f>
        <v>0.06</v>
      </c>
      <c r="U324" s="74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4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/>
      <c r="CV324" s="74"/>
      <c r="CW324" s="74"/>
      <c r="CX324" s="74"/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</row>
    <row r="325" customFormat="false" ht="15.75" hidden="true" customHeight="true" outlineLevel="0" collapsed="false">
      <c r="A325" s="220" t="s">
        <v>307</v>
      </c>
      <c r="B325" s="90"/>
      <c r="C325" s="183"/>
      <c r="D325" s="92" t="n">
        <f aca="false">I325/0.06</f>
        <v>82.6833333333333</v>
      </c>
      <c r="E325" s="93" t="n">
        <v>5.622</v>
      </c>
      <c r="F325" s="81" t="n">
        <v>-0.661</v>
      </c>
      <c r="G325" s="81"/>
      <c r="H325" s="81"/>
      <c r="I325" s="94" t="n">
        <f aca="false">SUM(E325:G325)</f>
        <v>4.961</v>
      </c>
      <c r="J325" s="118" t="s">
        <v>226</v>
      </c>
      <c r="K325" s="74"/>
      <c r="L325" s="74"/>
      <c r="M325" s="119"/>
      <c r="N325" s="74"/>
      <c r="O325" s="74"/>
      <c r="P325" s="74"/>
      <c r="Q325" s="74"/>
      <c r="R325" s="74"/>
      <c r="S325" s="74"/>
      <c r="T325" s="65" t="n">
        <f aca="false">IF(D325&gt;0,(I325/D325),"")</f>
        <v>0.06</v>
      </c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4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/>
      <c r="CV325" s="74"/>
      <c r="CW325" s="74"/>
      <c r="CX325" s="74"/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</row>
    <row r="326" customFormat="false" ht="15.75" hidden="true" customHeight="true" outlineLevel="0" collapsed="false">
      <c r="A326" s="220" t="s">
        <v>308</v>
      </c>
      <c r="B326" s="90"/>
      <c r="C326" s="183"/>
      <c r="D326" s="92" t="n">
        <f aca="false">I326/0.06</f>
        <v>40.4666666666667</v>
      </c>
      <c r="E326" s="93" t="n">
        <v>2.922</v>
      </c>
      <c r="F326" s="81" t="n">
        <v>-0.494</v>
      </c>
      <c r="G326" s="81"/>
      <c r="H326" s="81"/>
      <c r="I326" s="94" t="n">
        <f aca="false">SUM(E326:G326)</f>
        <v>2.428</v>
      </c>
      <c r="J326" s="118" t="s">
        <v>226</v>
      </c>
      <c r="K326" s="74"/>
      <c r="L326" s="74"/>
      <c r="M326" s="119"/>
      <c r="N326" s="74"/>
      <c r="O326" s="74"/>
      <c r="P326" s="74"/>
      <c r="Q326" s="74"/>
      <c r="R326" s="74"/>
      <c r="S326" s="74"/>
      <c r="T326" s="65" t="n">
        <f aca="false">IF(D326&gt;0,(I326/D326),"")</f>
        <v>0.06</v>
      </c>
      <c r="U326" s="74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4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/>
      <c r="CU326" s="74"/>
      <c r="CV326" s="74"/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</row>
    <row r="327" customFormat="false" ht="15.75" hidden="true" customHeight="true" outlineLevel="0" collapsed="false">
      <c r="A327" s="220" t="s">
        <v>309</v>
      </c>
      <c r="B327" s="90"/>
      <c r="C327" s="183"/>
      <c r="D327" s="92" t="n">
        <f aca="false">I327/0.06</f>
        <v>1282.41666666667</v>
      </c>
      <c r="E327" s="93" t="n">
        <v>89.679</v>
      </c>
      <c r="F327" s="81" t="n">
        <v>-12.734</v>
      </c>
      <c r="G327" s="81"/>
      <c r="H327" s="81"/>
      <c r="I327" s="94" t="n">
        <f aca="false">SUM(E327:G327)</f>
        <v>76.945</v>
      </c>
      <c r="J327" s="118" t="s">
        <v>226</v>
      </c>
      <c r="K327" s="74"/>
      <c r="L327" s="74"/>
      <c r="M327" s="119"/>
      <c r="N327" s="74"/>
      <c r="O327" s="74"/>
      <c r="P327" s="74"/>
      <c r="Q327" s="74"/>
      <c r="R327" s="74"/>
      <c r="S327" s="74"/>
      <c r="T327" s="65" t="n">
        <f aca="false">IF(D327&gt;0,(I327/D327),"")</f>
        <v>0.06</v>
      </c>
      <c r="U327" s="74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4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/>
      <c r="CV327" s="74"/>
      <c r="CW327" s="74"/>
      <c r="CX327" s="74"/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</row>
    <row r="328" customFormat="false" ht="15.75" hidden="true" customHeight="true" outlineLevel="0" collapsed="false">
      <c r="A328" s="220" t="s">
        <v>310</v>
      </c>
      <c r="B328" s="90"/>
      <c r="C328" s="183"/>
      <c r="D328" s="92" t="n">
        <f aca="false">I328/0.06</f>
        <v>-46.2333333333333</v>
      </c>
      <c r="E328" s="93" t="n">
        <v>-3.192</v>
      </c>
      <c r="F328" s="81" t="n">
        <v>0.418</v>
      </c>
      <c r="G328" s="81"/>
      <c r="H328" s="81"/>
      <c r="I328" s="94" t="n">
        <f aca="false">SUM(E328:G328)</f>
        <v>-2.774</v>
      </c>
      <c r="J328" s="118" t="s">
        <v>226</v>
      </c>
      <c r="K328" s="74"/>
      <c r="L328" s="74"/>
      <c r="M328" s="119"/>
      <c r="N328" s="74"/>
      <c r="O328" s="74"/>
      <c r="P328" s="74"/>
      <c r="Q328" s="74"/>
      <c r="R328" s="74"/>
      <c r="S328" s="74"/>
      <c r="T328" s="65" t="str">
        <f aca="false">IF(D328&gt;0,(I328/D328),"")</f>
        <v/>
      </c>
      <c r="U328" s="74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4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/>
      <c r="CV328" s="74"/>
      <c r="CW328" s="74"/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</row>
    <row r="329" customFormat="false" ht="15.75" hidden="true" customHeight="true" outlineLevel="0" collapsed="false">
      <c r="A329" s="220" t="s">
        <v>311</v>
      </c>
      <c r="B329" s="90"/>
      <c r="C329" s="183"/>
      <c r="D329" s="92" t="n">
        <f aca="false">I329/0.06</f>
        <v>-9.95</v>
      </c>
      <c r="E329" s="93" t="n">
        <v>-0.683</v>
      </c>
      <c r="F329" s="81" t="n">
        <v>0.086</v>
      </c>
      <c r="G329" s="81"/>
      <c r="H329" s="81"/>
      <c r="I329" s="94" t="n">
        <f aca="false">SUM(E329:G329)</f>
        <v>-0.597</v>
      </c>
      <c r="J329" s="118" t="s">
        <v>226</v>
      </c>
      <c r="K329" s="74"/>
      <c r="L329" s="74"/>
      <c r="M329" s="119"/>
      <c r="N329" s="74"/>
      <c r="O329" s="74"/>
      <c r="P329" s="74"/>
      <c r="Q329" s="74"/>
      <c r="R329" s="74"/>
      <c r="S329" s="74"/>
      <c r="T329" s="65" t="str">
        <f aca="false">IF(D329&gt;0,(I329/D329),"")</f>
        <v/>
      </c>
      <c r="U329" s="74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4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/>
      <c r="CU329" s="74"/>
      <c r="CV329" s="74"/>
      <c r="CW329" s="74"/>
      <c r="CX329" s="74"/>
      <c r="CY329" s="74"/>
      <c r="CZ329" s="74"/>
      <c r="DA329" s="74"/>
      <c r="DB329" s="74"/>
      <c r="DC329" s="74"/>
      <c r="DD329" s="74"/>
      <c r="DE329" s="74"/>
      <c r="DF329" s="74"/>
      <c r="DG329" s="74"/>
      <c r="DH329" s="74"/>
      <c r="DI329" s="74"/>
      <c r="DJ329" s="74"/>
      <c r="DK329" s="74"/>
      <c r="DL329" s="74"/>
      <c r="DM329" s="74"/>
      <c r="DN329" s="74"/>
      <c r="DO329" s="74"/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</row>
    <row r="330" customFormat="false" ht="15.75" hidden="true" customHeight="true" outlineLevel="0" collapsed="false">
      <c r="A330" s="220" t="s">
        <v>312</v>
      </c>
      <c r="B330" s="90"/>
      <c r="C330" s="183"/>
      <c r="D330" s="92" t="n">
        <f aca="false">I330/0.06</f>
        <v>2.65</v>
      </c>
      <c r="E330" s="93" t="n">
        <v>0.186</v>
      </c>
      <c r="F330" s="81" t="n">
        <v>-0.027</v>
      </c>
      <c r="G330" s="81"/>
      <c r="H330" s="81"/>
      <c r="I330" s="94" t="n">
        <v>0.159</v>
      </c>
      <c r="J330" s="118" t="s">
        <v>226</v>
      </c>
      <c r="K330" s="74"/>
      <c r="L330" s="74"/>
      <c r="M330" s="119"/>
      <c r="N330" s="74"/>
      <c r="O330" s="74"/>
      <c r="P330" s="74"/>
      <c r="Q330" s="74"/>
      <c r="R330" s="74"/>
      <c r="S330" s="74"/>
      <c r="T330" s="65" t="n">
        <f aca="false">IF(D330&gt;0,(I330/D330),"")</f>
        <v>0.06</v>
      </c>
      <c r="U330" s="74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4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/>
      <c r="CV330" s="74"/>
      <c r="CW330" s="74"/>
      <c r="CX330" s="74"/>
      <c r="CY330" s="74"/>
      <c r="CZ330" s="74"/>
      <c r="DA330" s="74"/>
      <c r="DB330" s="74"/>
      <c r="DC330" s="74"/>
      <c r="DD330" s="74"/>
      <c r="DE330" s="74"/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</row>
    <row r="331" customFormat="false" ht="15.75" hidden="true" customHeight="true" outlineLevel="0" collapsed="false">
      <c r="A331" s="220" t="s">
        <v>313</v>
      </c>
      <c r="B331" s="90"/>
      <c r="C331" s="183"/>
      <c r="D331" s="92" t="n">
        <f aca="false">I331/0.06</f>
        <v>4.35</v>
      </c>
      <c r="E331" s="93" t="n">
        <v>0.314</v>
      </c>
      <c r="F331" s="81" t="n">
        <v>-0.053</v>
      </c>
      <c r="G331" s="81"/>
      <c r="H331" s="81"/>
      <c r="I331" s="94" t="n">
        <v>0.261</v>
      </c>
      <c r="J331" s="118" t="s">
        <v>226</v>
      </c>
      <c r="K331" s="74"/>
      <c r="L331" s="74"/>
      <c r="M331" s="119"/>
      <c r="N331" s="74"/>
      <c r="O331" s="74"/>
      <c r="P331" s="74"/>
      <c r="Q331" s="74"/>
      <c r="R331" s="74"/>
      <c r="S331" s="74"/>
      <c r="T331" s="65" t="n">
        <f aca="false">IF(D331&gt;0,(I331/D331),"")</f>
        <v>0.06</v>
      </c>
      <c r="U331" s="74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4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/>
      <c r="CW331" s="74"/>
      <c r="CX331" s="74"/>
      <c r="CY331" s="74"/>
      <c r="CZ331" s="74"/>
      <c r="DA331" s="74"/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</row>
    <row r="332" customFormat="false" ht="15.75" hidden="true" customHeight="true" outlineLevel="0" collapsed="false">
      <c r="A332" s="220" t="s">
        <v>314</v>
      </c>
      <c r="B332" s="90"/>
      <c r="C332" s="183"/>
      <c r="D332" s="92" t="n">
        <f aca="false">I332/0.06</f>
        <v>20.4</v>
      </c>
      <c r="E332" s="93" t="n">
        <v>1.856</v>
      </c>
      <c r="F332" s="81" t="n">
        <v>-0.632</v>
      </c>
      <c r="G332" s="81"/>
      <c r="H332" s="81"/>
      <c r="I332" s="94" t="n">
        <v>1.224</v>
      </c>
      <c r="J332" s="118" t="s">
        <v>226</v>
      </c>
      <c r="K332" s="74"/>
      <c r="L332" s="74"/>
      <c r="M332" s="119"/>
      <c r="N332" s="74"/>
      <c r="O332" s="74"/>
      <c r="P332" s="74"/>
      <c r="Q332" s="74"/>
      <c r="R332" s="74"/>
      <c r="S332" s="74"/>
      <c r="T332" s="65" t="n">
        <f aca="false">IF(D332&gt;0,(I332/D332),"")</f>
        <v>0.06</v>
      </c>
      <c r="U332" s="74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4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/>
      <c r="CV332" s="74"/>
      <c r="CW332" s="74"/>
      <c r="CX332" s="74"/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</row>
    <row r="333" customFormat="false" ht="15.75" hidden="true" customHeight="true" outlineLevel="0" collapsed="false">
      <c r="A333" s="220" t="s">
        <v>315</v>
      </c>
      <c r="B333" s="90"/>
      <c r="C333" s="183"/>
      <c r="D333" s="92" t="n">
        <f aca="false">I333/0.06</f>
        <v>74.7666666666667</v>
      </c>
      <c r="E333" s="93" t="n">
        <v>6.149</v>
      </c>
      <c r="F333" s="81" t="n">
        <v>-1.663</v>
      </c>
      <c r="G333" s="81"/>
      <c r="H333" s="81"/>
      <c r="I333" s="94" t="n">
        <v>4.486</v>
      </c>
      <c r="J333" s="118" t="s">
        <v>226</v>
      </c>
      <c r="K333" s="74"/>
      <c r="L333" s="74"/>
      <c r="M333" s="119"/>
      <c r="N333" s="74"/>
      <c r="O333" s="74"/>
      <c r="P333" s="74"/>
      <c r="Q333" s="74"/>
      <c r="R333" s="74"/>
      <c r="S333" s="74"/>
      <c r="T333" s="65" t="n">
        <f aca="false">IF(D333&gt;0,(I333/D333),"")</f>
        <v>0.06</v>
      </c>
      <c r="U333" s="74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4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/>
      <c r="CV333" s="74"/>
      <c r="CW333" s="74"/>
      <c r="CX333" s="74"/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</row>
    <row r="334" customFormat="false" ht="15.75" hidden="true" customHeight="true" outlineLevel="0" collapsed="false">
      <c r="A334" s="220" t="s">
        <v>316</v>
      </c>
      <c r="B334" s="90"/>
      <c r="C334" s="183"/>
      <c r="D334" s="92" t="n">
        <f aca="false">I334/0.06</f>
        <v>25.55</v>
      </c>
      <c r="E334" s="93" t="n">
        <v>2.139</v>
      </c>
      <c r="F334" s="81" t="n">
        <v>-0.606</v>
      </c>
      <c r="G334" s="81"/>
      <c r="H334" s="81"/>
      <c r="I334" s="94" t="n">
        <v>1.533</v>
      </c>
      <c r="J334" s="118" t="s">
        <v>226</v>
      </c>
      <c r="K334" s="74"/>
      <c r="L334" s="74"/>
      <c r="M334" s="119"/>
      <c r="N334" s="74"/>
      <c r="O334" s="74"/>
      <c r="P334" s="74"/>
      <c r="Q334" s="74"/>
      <c r="R334" s="74"/>
      <c r="S334" s="74"/>
      <c r="T334" s="65" t="n">
        <f aca="false">IF(D334&gt;0,(I334/D334),"")</f>
        <v>0.06</v>
      </c>
      <c r="U334" s="74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4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/>
      <c r="CV334" s="74"/>
      <c r="CW334" s="74"/>
      <c r="CX334" s="74"/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</row>
    <row r="335" customFormat="false" ht="15.75" hidden="true" customHeight="true" outlineLevel="0" collapsed="false">
      <c r="A335" s="220" t="s">
        <v>317</v>
      </c>
      <c r="B335" s="90"/>
      <c r="C335" s="183"/>
      <c r="D335" s="92" t="n">
        <f aca="false">I335/0.06</f>
        <v>37.1666666666667</v>
      </c>
      <c r="E335" s="93" t="n">
        <v>2.677</v>
      </c>
      <c r="F335" s="81" t="n">
        <v>-0.447</v>
      </c>
      <c r="G335" s="81"/>
      <c r="H335" s="81"/>
      <c r="I335" s="94" t="n">
        <v>2.23</v>
      </c>
      <c r="J335" s="118" t="s">
        <v>226</v>
      </c>
      <c r="K335" s="74"/>
      <c r="L335" s="74"/>
      <c r="M335" s="119"/>
      <c r="N335" s="74"/>
      <c r="O335" s="74"/>
      <c r="P335" s="74"/>
      <c r="Q335" s="74"/>
      <c r="R335" s="74"/>
      <c r="S335" s="74"/>
      <c r="T335" s="65" t="n">
        <f aca="false">IF(D335&gt;0,(I335/D335),"")</f>
        <v>0.06</v>
      </c>
      <c r="U335" s="74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4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/>
      <c r="CU335" s="74"/>
      <c r="CV335" s="74"/>
      <c r="CW335" s="74"/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</row>
    <row r="336" customFormat="false" ht="15.75" hidden="true" customHeight="true" outlineLevel="0" collapsed="false">
      <c r="A336" s="220" t="s">
        <v>318</v>
      </c>
      <c r="B336" s="90"/>
      <c r="C336" s="183"/>
      <c r="D336" s="92" t="n">
        <f aca="false">I336/0.06</f>
        <v>122.066666666667</v>
      </c>
      <c r="E336" s="93" t="n">
        <v>8.595</v>
      </c>
      <c r="F336" s="81" t="n">
        <v>-1.271</v>
      </c>
      <c r="G336" s="81"/>
      <c r="H336" s="81"/>
      <c r="I336" s="94" t="n">
        <v>7.324</v>
      </c>
      <c r="J336" s="118" t="s">
        <v>226</v>
      </c>
      <c r="K336" s="74"/>
      <c r="L336" s="74"/>
      <c r="M336" s="119"/>
      <c r="N336" s="74"/>
      <c r="O336" s="74"/>
      <c r="P336" s="74"/>
      <c r="Q336" s="74"/>
      <c r="R336" s="74"/>
      <c r="S336" s="74"/>
      <c r="T336" s="65" t="n">
        <f aca="false">IF(D336&gt;0,(I336/D336),"")</f>
        <v>0.06</v>
      </c>
      <c r="U336" s="74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4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/>
      <c r="CU336" s="74"/>
      <c r="CV336" s="74"/>
      <c r="CW336" s="74"/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</row>
    <row r="337" customFormat="false" ht="15.75" hidden="true" customHeight="true" outlineLevel="0" collapsed="false">
      <c r="A337" s="220" t="s">
        <v>319</v>
      </c>
      <c r="B337" s="90"/>
      <c r="C337" s="183"/>
      <c r="D337" s="92" t="n">
        <f aca="false">I337/0.06</f>
        <v>20.25</v>
      </c>
      <c r="E337" s="93" t="n">
        <v>1.434</v>
      </c>
      <c r="F337" s="81" t="n">
        <v>-0.219</v>
      </c>
      <c r="G337" s="81"/>
      <c r="H337" s="81"/>
      <c r="I337" s="94" t="n">
        <v>1.215</v>
      </c>
      <c r="J337" s="118" t="s">
        <v>226</v>
      </c>
      <c r="K337" s="74"/>
      <c r="L337" s="74"/>
      <c r="M337" s="119"/>
      <c r="N337" s="74"/>
      <c r="O337" s="74"/>
      <c r="P337" s="74"/>
      <c r="Q337" s="74"/>
      <c r="R337" s="74"/>
      <c r="S337" s="74"/>
      <c r="T337" s="65" t="n">
        <f aca="false">IF(D337&gt;0,(I337/D337),"")</f>
        <v>0.06</v>
      </c>
      <c r="U337" s="74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4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/>
      <c r="CW337" s="74"/>
      <c r="CX337" s="74"/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</row>
    <row r="338" customFormat="false" ht="15.75" hidden="true" customHeight="true" outlineLevel="0" collapsed="false">
      <c r="A338" s="220" t="s">
        <v>320</v>
      </c>
      <c r="B338" s="90"/>
      <c r="C338" s="183"/>
      <c r="D338" s="92" t="n">
        <f aca="false">I338/0.06</f>
        <v>23.1833333333333</v>
      </c>
      <c r="E338" s="93" t="n">
        <v>1.848</v>
      </c>
      <c r="F338" s="81" t="n">
        <v>-0.457</v>
      </c>
      <c r="G338" s="81"/>
      <c r="H338" s="81"/>
      <c r="I338" s="94" t="n">
        <f aca="false">SUM(E338:H338)</f>
        <v>1.391</v>
      </c>
      <c r="J338" s="118" t="s">
        <v>226</v>
      </c>
      <c r="K338" s="74"/>
      <c r="L338" s="74"/>
      <c r="M338" s="119"/>
      <c r="N338" s="74"/>
      <c r="O338" s="74"/>
      <c r="P338" s="74"/>
      <c r="Q338" s="74"/>
      <c r="R338" s="74"/>
      <c r="S338" s="74"/>
      <c r="T338" s="65" t="n">
        <f aca="false">IF(D338&gt;0,(I338/D338),"")</f>
        <v>0.06</v>
      </c>
      <c r="U338" s="74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4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/>
      <c r="CV338" s="74"/>
      <c r="CW338" s="74"/>
      <c r="CX338" s="74"/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</row>
    <row r="339" customFormat="false" ht="15.75" hidden="true" customHeight="true" outlineLevel="0" collapsed="false">
      <c r="A339" s="220" t="s">
        <v>321</v>
      </c>
      <c r="B339" s="90"/>
      <c r="C339" s="183"/>
      <c r="D339" s="92" t="n">
        <f aca="false">I339/0.06</f>
        <v>68.1</v>
      </c>
      <c r="E339" s="93" t="n">
        <v>5.401</v>
      </c>
      <c r="F339" s="81" t="n">
        <v>-1.315</v>
      </c>
      <c r="G339" s="81"/>
      <c r="H339" s="81"/>
      <c r="I339" s="94" t="n">
        <v>4.086</v>
      </c>
      <c r="J339" s="118" t="s">
        <v>226</v>
      </c>
      <c r="K339" s="74"/>
      <c r="L339" s="74"/>
      <c r="M339" s="119"/>
      <c r="N339" s="74"/>
      <c r="O339" s="74"/>
      <c r="P339" s="74"/>
      <c r="Q339" s="74"/>
      <c r="R339" s="74"/>
      <c r="S339" s="74"/>
      <c r="T339" s="65" t="n">
        <f aca="false">IF(D339&gt;0,(I339/D339),"")</f>
        <v>0.06</v>
      </c>
      <c r="U339" s="74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4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/>
      <c r="CX339" s="74"/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</row>
    <row r="340" customFormat="false" ht="15.75" hidden="true" customHeight="true" outlineLevel="0" collapsed="false">
      <c r="A340" s="220" t="s">
        <v>322</v>
      </c>
      <c r="B340" s="90"/>
      <c r="C340" s="183"/>
      <c r="D340" s="92" t="n">
        <f aca="false">I340/0.06</f>
        <v>30.85</v>
      </c>
      <c r="E340" s="93" t="n">
        <v>2.453</v>
      </c>
      <c r="F340" s="81" t="n">
        <v>-0.602</v>
      </c>
      <c r="G340" s="81"/>
      <c r="H340" s="81"/>
      <c r="I340" s="94" t="n">
        <v>1.851</v>
      </c>
      <c r="J340" s="118" t="s">
        <v>226</v>
      </c>
      <c r="K340" s="74"/>
      <c r="L340" s="74"/>
      <c r="M340" s="119"/>
      <c r="N340" s="74"/>
      <c r="O340" s="74"/>
      <c r="P340" s="74"/>
      <c r="Q340" s="74"/>
      <c r="R340" s="74"/>
      <c r="S340" s="74"/>
      <c r="T340" s="65" t="n">
        <f aca="false">IF(D340&gt;0,(I340/D340),"")</f>
        <v>0.06</v>
      </c>
      <c r="U340" s="74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4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/>
      <c r="CX340" s="74"/>
      <c r="CY340" s="74"/>
      <c r="CZ340" s="74"/>
      <c r="DA340" s="74"/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</row>
    <row r="341" customFormat="false" ht="15.75" hidden="true" customHeight="true" outlineLevel="0" collapsed="false">
      <c r="A341" s="220" t="s">
        <v>323</v>
      </c>
      <c r="B341" s="90"/>
      <c r="C341" s="183"/>
      <c r="D341" s="92" t="n">
        <f aca="false">I341/0.06</f>
        <v>37.0666666666667</v>
      </c>
      <c r="E341" s="93" t="n">
        <v>3.482</v>
      </c>
      <c r="F341" s="81" t="n">
        <v>-1.258</v>
      </c>
      <c r="G341" s="81"/>
      <c r="H341" s="81"/>
      <c r="I341" s="94" t="n">
        <v>2.224</v>
      </c>
      <c r="J341" s="118" t="s">
        <v>226</v>
      </c>
      <c r="K341" s="74"/>
      <c r="L341" s="74"/>
      <c r="M341" s="119"/>
      <c r="N341" s="74"/>
      <c r="O341" s="74"/>
      <c r="P341" s="74"/>
      <c r="Q341" s="74"/>
      <c r="R341" s="74"/>
      <c r="S341" s="74"/>
      <c r="T341" s="65" t="n">
        <f aca="false">IF(D341&gt;0,(I341/D341),"")</f>
        <v>0.06</v>
      </c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4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/>
      <c r="DA341" s="74"/>
      <c r="DB341" s="74"/>
      <c r="DC341" s="74"/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</row>
    <row r="342" customFormat="false" ht="18" hidden="true" customHeight="true" outlineLevel="0" collapsed="false">
      <c r="A342" s="220" t="s">
        <v>324</v>
      </c>
      <c r="B342" s="228"/>
      <c r="C342" s="129" t="s">
        <v>270</v>
      </c>
      <c r="D342" s="92" t="n">
        <f aca="false">I342/0.06</f>
        <v>77.4666666666667</v>
      </c>
      <c r="E342" s="93" t="n">
        <v>5.676</v>
      </c>
      <c r="F342" s="81" t="n">
        <v>-1.028</v>
      </c>
      <c r="G342" s="81"/>
      <c r="H342" s="81"/>
      <c r="I342" s="94" t="n">
        <f aca="false">SUM(E342:G342)</f>
        <v>4.648</v>
      </c>
      <c r="J342" s="118" t="s">
        <v>226</v>
      </c>
      <c r="K342" s="74"/>
      <c r="L342" s="74"/>
      <c r="M342" s="119"/>
      <c r="N342" s="74"/>
      <c r="O342" s="74"/>
      <c r="P342" s="74"/>
      <c r="Q342" s="74"/>
      <c r="R342" s="74"/>
      <c r="S342" s="74"/>
      <c r="T342" s="65" t="n">
        <f aca="false">IF(D342&gt;0,(I342/D342),"")</f>
        <v>0.06</v>
      </c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4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/>
      <c r="CX342" s="74"/>
      <c r="CY342" s="74"/>
      <c r="CZ342" s="74"/>
      <c r="DA342" s="74"/>
      <c r="DB342" s="74"/>
      <c r="DC342" s="74"/>
      <c r="DD342" s="74"/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</row>
    <row r="343" customFormat="false" ht="18" hidden="true" customHeight="true" outlineLevel="0" collapsed="false">
      <c r="A343" s="220" t="s">
        <v>325</v>
      </c>
      <c r="B343" s="228"/>
      <c r="C343" s="129" t="s">
        <v>270</v>
      </c>
      <c r="D343" s="92" t="n">
        <f aca="false">I343/0.06</f>
        <v>170.45</v>
      </c>
      <c r="E343" s="93" t="n">
        <v>13.545</v>
      </c>
      <c r="F343" s="81" t="n">
        <v>-3.318</v>
      </c>
      <c r="G343" s="81"/>
      <c r="H343" s="81"/>
      <c r="I343" s="94" t="n">
        <f aca="false">SUM(E343:G343)</f>
        <v>10.227</v>
      </c>
      <c r="J343" s="118" t="s">
        <v>226</v>
      </c>
      <c r="K343" s="74"/>
      <c r="L343" s="74"/>
      <c r="M343" s="119"/>
      <c r="N343" s="74"/>
      <c r="O343" s="74"/>
      <c r="P343" s="74"/>
      <c r="Q343" s="74"/>
      <c r="R343" s="74"/>
      <c r="S343" s="74"/>
      <c r="T343" s="65" t="n">
        <f aca="false">IF(D343&gt;0,(I343/D343),"")</f>
        <v>0.06</v>
      </c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4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/>
      <c r="CU343" s="74"/>
      <c r="CV343" s="74"/>
      <c r="CW343" s="74"/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</row>
    <row r="344" customFormat="false" ht="18" hidden="true" customHeight="true" outlineLevel="0" collapsed="false">
      <c r="A344" s="220" t="s">
        <v>326</v>
      </c>
      <c r="B344" s="228"/>
      <c r="C344" s="129" t="s">
        <v>270</v>
      </c>
      <c r="D344" s="92" t="n">
        <f aca="false">I344/0.06</f>
        <v>77.8833333333333</v>
      </c>
      <c r="E344" s="93" t="n">
        <v>5.682</v>
      </c>
      <c r="F344" s="81" t="n">
        <v>-1.009</v>
      </c>
      <c r="G344" s="81"/>
      <c r="H344" s="81"/>
      <c r="I344" s="94" t="n">
        <f aca="false">SUM(E344:G344)</f>
        <v>4.673</v>
      </c>
      <c r="J344" s="118" t="s">
        <v>226</v>
      </c>
      <c r="K344" s="74"/>
      <c r="L344" s="74"/>
      <c r="M344" s="119"/>
      <c r="N344" s="74"/>
      <c r="O344" s="74"/>
      <c r="P344" s="74"/>
      <c r="Q344" s="74"/>
      <c r="R344" s="74"/>
      <c r="S344" s="74"/>
      <c r="T344" s="65" t="n">
        <f aca="false">IF(D344&gt;0,(I344/D344),"")</f>
        <v>0.06</v>
      </c>
      <c r="U344" s="74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4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/>
      <c r="CV344" s="74"/>
      <c r="CW344" s="74"/>
      <c r="CX344" s="74"/>
      <c r="CY344" s="74"/>
      <c r="CZ344" s="74"/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</row>
    <row r="345" customFormat="false" ht="18" hidden="true" customHeight="true" outlineLevel="0" collapsed="false">
      <c r="A345" s="220" t="s">
        <v>327</v>
      </c>
      <c r="B345" s="228"/>
      <c r="C345" s="129" t="s">
        <v>270</v>
      </c>
      <c r="D345" s="92" t="n">
        <f aca="false">I345/0.06</f>
        <v>133.5</v>
      </c>
      <c r="E345" s="93" t="n">
        <v>10.789</v>
      </c>
      <c r="F345" s="81" t="n">
        <v>-2.779</v>
      </c>
      <c r="G345" s="81"/>
      <c r="H345" s="81"/>
      <c r="I345" s="94" t="n">
        <f aca="false">SUM(E345:G345)</f>
        <v>8.01</v>
      </c>
      <c r="J345" s="118" t="s">
        <v>226</v>
      </c>
      <c r="K345" s="74"/>
      <c r="L345" s="74"/>
      <c r="M345" s="119"/>
      <c r="N345" s="74"/>
      <c r="O345" s="74"/>
      <c r="P345" s="74"/>
      <c r="Q345" s="74"/>
      <c r="R345" s="74"/>
      <c r="S345" s="74"/>
      <c r="T345" s="65" t="n">
        <f aca="false">IF(D345&gt;0,(I345/D345),"")</f>
        <v>0.06</v>
      </c>
      <c r="U345" s="74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4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/>
      <c r="CX345" s="74"/>
      <c r="CY345" s="74"/>
      <c r="CZ345" s="74"/>
      <c r="DA345" s="74"/>
      <c r="DB345" s="74"/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</row>
    <row r="346" customFormat="false" ht="18" hidden="true" customHeight="true" outlineLevel="0" collapsed="false">
      <c r="A346" s="220" t="s">
        <v>328</v>
      </c>
      <c r="B346" s="228"/>
      <c r="C346" s="129" t="s">
        <v>270</v>
      </c>
      <c r="D346" s="92" t="n">
        <f aca="false">I346/0.06</f>
        <v>89.3166666666667</v>
      </c>
      <c r="E346" s="93" t="n">
        <v>7.265</v>
      </c>
      <c r="F346" s="81" t="n">
        <v>-1.906</v>
      </c>
      <c r="G346" s="81"/>
      <c r="H346" s="81"/>
      <c r="I346" s="94" t="n">
        <f aca="false">SUM(E346:G346)</f>
        <v>5.359</v>
      </c>
      <c r="J346" s="118" t="s">
        <v>226</v>
      </c>
      <c r="K346" s="74"/>
      <c r="L346" s="74"/>
      <c r="M346" s="119"/>
      <c r="N346" s="74"/>
      <c r="O346" s="74"/>
      <c r="P346" s="74"/>
      <c r="Q346" s="74"/>
      <c r="R346" s="74"/>
      <c r="S346" s="74"/>
      <c r="T346" s="65" t="n">
        <f aca="false">IF(D346&gt;0,(I346/D346),"")</f>
        <v>0.06</v>
      </c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4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/>
      <c r="CX346" s="74"/>
      <c r="CY346" s="74"/>
      <c r="CZ346" s="74"/>
      <c r="DA346" s="74"/>
      <c r="DB346" s="74"/>
      <c r="DC346" s="74"/>
      <c r="DD346" s="74"/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</row>
    <row r="347" customFormat="false" ht="18" hidden="true" customHeight="true" outlineLevel="0" collapsed="false">
      <c r="A347" s="220" t="s">
        <v>329</v>
      </c>
      <c r="B347" s="228"/>
      <c r="C347" s="129" t="s">
        <v>270</v>
      </c>
      <c r="D347" s="92" t="n">
        <f aca="false">I347/0.06</f>
        <v>223.783333333333</v>
      </c>
      <c r="E347" s="93" t="n">
        <v>15.977</v>
      </c>
      <c r="F347" s="81" t="n">
        <v>-2.55</v>
      </c>
      <c r="G347" s="81"/>
      <c r="H347" s="81"/>
      <c r="I347" s="94" t="n">
        <f aca="false">SUM(E347:G347)</f>
        <v>13.427</v>
      </c>
      <c r="J347" s="118" t="s">
        <v>226</v>
      </c>
      <c r="K347" s="74"/>
      <c r="L347" s="74"/>
      <c r="M347" s="119"/>
      <c r="N347" s="74"/>
      <c r="O347" s="74"/>
      <c r="P347" s="74"/>
      <c r="Q347" s="74"/>
      <c r="R347" s="74"/>
      <c r="S347" s="74"/>
      <c r="T347" s="65" t="n">
        <f aca="false">IF(D347&gt;0,(I347/D347),"")</f>
        <v>0.06</v>
      </c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4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/>
      <c r="CX347" s="74"/>
      <c r="CY347" s="74"/>
      <c r="CZ347" s="74"/>
      <c r="DA347" s="74"/>
      <c r="DB347" s="74"/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</row>
    <row r="348" customFormat="false" ht="18" hidden="true" customHeight="true" outlineLevel="0" collapsed="false">
      <c r="A348" s="220" t="s">
        <v>330</v>
      </c>
      <c r="B348" s="228"/>
      <c r="C348" s="129" t="s">
        <v>270</v>
      </c>
      <c r="D348" s="92" t="n">
        <f aca="false">I348/0.06</f>
        <v>9.18333333333333</v>
      </c>
      <c r="E348" s="93" t="n">
        <v>0.848</v>
      </c>
      <c r="F348" s="81" t="n">
        <v>-0.297</v>
      </c>
      <c r="G348" s="81"/>
      <c r="H348" s="81"/>
      <c r="I348" s="94" t="n">
        <f aca="false">SUM(E348:G348)</f>
        <v>0.551</v>
      </c>
      <c r="J348" s="118" t="s">
        <v>226</v>
      </c>
      <c r="K348" s="74"/>
      <c r="L348" s="74"/>
      <c r="M348" s="119"/>
      <c r="N348" s="74"/>
      <c r="O348" s="74"/>
      <c r="P348" s="74"/>
      <c r="Q348" s="74"/>
      <c r="R348" s="74"/>
      <c r="S348" s="74"/>
      <c r="T348" s="65" t="n">
        <f aca="false">IF(D348&gt;0,(I348/D348),"")</f>
        <v>0.06</v>
      </c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4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/>
      <c r="CX348" s="74"/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</row>
    <row r="349" customFormat="false" ht="18" hidden="true" customHeight="true" outlineLevel="0" collapsed="false">
      <c r="A349" s="220" t="s">
        <v>331</v>
      </c>
      <c r="B349" s="228"/>
      <c r="C349" s="129" t="s">
        <v>270</v>
      </c>
      <c r="D349" s="92" t="n">
        <f aca="false">I349/0.06</f>
        <v>99.95</v>
      </c>
      <c r="E349" s="93" t="n">
        <v>7.231</v>
      </c>
      <c r="F349" s="81" t="n">
        <v>-1.234</v>
      </c>
      <c r="G349" s="81"/>
      <c r="H349" s="81"/>
      <c r="I349" s="94" t="n">
        <f aca="false">SUM(E349:G349)</f>
        <v>5.997</v>
      </c>
      <c r="J349" s="118" t="s">
        <v>226</v>
      </c>
      <c r="K349" s="74"/>
      <c r="L349" s="74"/>
      <c r="M349" s="119"/>
      <c r="N349" s="74"/>
      <c r="O349" s="74"/>
      <c r="P349" s="74"/>
      <c r="Q349" s="74"/>
      <c r="R349" s="74"/>
      <c r="S349" s="74"/>
      <c r="T349" s="65" t="n">
        <f aca="false">IF(D349&gt;0,(I349/D349),"")</f>
        <v>0.06</v>
      </c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4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/>
      <c r="CX349" s="74"/>
      <c r="CY349" s="74"/>
      <c r="CZ349" s="74"/>
      <c r="DA349" s="74"/>
      <c r="DB349" s="74"/>
      <c r="DC349" s="74"/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</row>
    <row r="350" customFormat="false" ht="18" hidden="true" customHeight="true" outlineLevel="0" collapsed="false">
      <c r="A350" s="220" t="s">
        <v>332</v>
      </c>
      <c r="B350" s="228"/>
      <c r="C350" s="129" t="s">
        <v>270</v>
      </c>
      <c r="D350" s="92" t="n">
        <f aca="false">I350/0.06</f>
        <v>76.5333333333334</v>
      </c>
      <c r="E350" s="93" t="n">
        <v>5.798</v>
      </c>
      <c r="F350" s="81" t="n">
        <v>-1.206</v>
      </c>
      <c r="G350" s="81"/>
      <c r="H350" s="81"/>
      <c r="I350" s="94" t="n">
        <f aca="false">SUM(E350:G350)</f>
        <v>4.592</v>
      </c>
      <c r="J350" s="118" t="s">
        <v>226</v>
      </c>
      <c r="K350" s="74"/>
      <c r="L350" s="74"/>
      <c r="M350" s="119"/>
      <c r="N350" s="74"/>
      <c r="O350" s="74"/>
      <c r="P350" s="74"/>
      <c r="Q350" s="74"/>
      <c r="R350" s="74"/>
      <c r="S350" s="74"/>
      <c r="T350" s="65" t="n">
        <f aca="false">IF(D350&gt;0,(I350/D350),"")</f>
        <v>0.06</v>
      </c>
      <c r="U350" s="74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4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/>
      <c r="CX350" s="74"/>
      <c r="CY350" s="74"/>
      <c r="CZ350" s="74"/>
      <c r="DA350" s="74"/>
      <c r="DB350" s="74"/>
      <c r="DC350" s="74"/>
      <c r="DD350" s="74"/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</row>
    <row r="351" customFormat="false" ht="18" hidden="true" customHeight="true" outlineLevel="0" collapsed="false">
      <c r="A351" s="220" t="s">
        <v>333</v>
      </c>
      <c r="B351" s="228"/>
      <c r="C351" s="129" t="s">
        <v>270</v>
      </c>
      <c r="D351" s="92" t="n">
        <f aca="false">I351/0.06</f>
        <v>7.96666666666667</v>
      </c>
      <c r="E351" s="93" t="n">
        <v>0.924</v>
      </c>
      <c r="F351" s="81" t="n">
        <v>-0.446</v>
      </c>
      <c r="G351" s="81"/>
      <c r="H351" s="81"/>
      <c r="I351" s="94" t="n">
        <f aca="false">SUM(E351:G351)</f>
        <v>0.478</v>
      </c>
      <c r="J351" s="118" t="s">
        <v>226</v>
      </c>
      <c r="K351" s="74"/>
      <c r="L351" s="74"/>
      <c r="M351" s="119"/>
      <c r="N351" s="74"/>
      <c r="O351" s="74"/>
      <c r="P351" s="74"/>
      <c r="Q351" s="74"/>
      <c r="R351" s="74"/>
      <c r="S351" s="74"/>
      <c r="T351" s="65" t="n">
        <f aca="false">IF(D351&gt;0,(I351/D351),"")</f>
        <v>0.06</v>
      </c>
      <c r="U351" s="74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4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/>
      <c r="CX351" s="74"/>
      <c r="CY351" s="74"/>
      <c r="CZ351" s="74"/>
      <c r="DA351" s="74"/>
      <c r="DB351" s="74"/>
      <c r="DC351" s="74"/>
      <c r="DD351" s="74"/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</row>
    <row r="352" customFormat="false" ht="18" hidden="true" customHeight="true" outlineLevel="0" collapsed="false">
      <c r="A352" s="220" t="s">
        <v>334</v>
      </c>
      <c r="B352" s="228"/>
      <c r="C352" s="129" t="s">
        <v>270</v>
      </c>
      <c r="D352" s="92" t="n">
        <f aca="false">I352/0.06</f>
        <v>336.916666666667</v>
      </c>
      <c r="E352" s="93" t="n">
        <v>24.088</v>
      </c>
      <c r="F352" s="81" t="n">
        <v>-3.873</v>
      </c>
      <c r="G352" s="81"/>
      <c r="H352" s="81"/>
      <c r="I352" s="94" t="n">
        <f aca="false">SUM(E352:G352)</f>
        <v>20.215</v>
      </c>
      <c r="J352" s="118" t="s">
        <v>226</v>
      </c>
      <c r="K352" s="74"/>
      <c r="L352" s="74"/>
      <c r="M352" s="119"/>
      <c r="N352" s="74"/>
      <c r="O352" s="74"/>
      <c r="P352" s="74"/>
      <c r="Q352" s="74"/>
      <c r="R352" s="74"/>
      <c r="S352" s="74"/>
      <c r="T352" s="65" t="n">
        <f aca="false">IF(D352&gt;0,(I352/D352),"")</f>
        <v>0.06</v>
      </c>
      <c r="U352" s="74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4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/>
      <c r="DA352" s="74"/>
      <c r="DB352" s="74"/>
      <c r="DC352" s="74"/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</row>
    <row r="353" customFormat="false" ht="15.75" hidden="true" customHeight="true" outlineLevel="0" collapsed="false">
      <c r="A353" s="220" t="s">
        <v>335</v>
      </c>
      <c r="B353" s="95" t="n">
        <v>37083</v>
      </c>
      <c r="C353" s="188" t="s">
        <v>336</v>
      </c>
      <c r="D353" s="92" t="n">
        <f aca="false">I353/0.06</f>
        <v>-15.1</v>
      </c>
      <c r="E353" s="93" t="n">
        <v>-0.655</v>
      </c>
      <c r="F353" s="81" t="n">
        <v>-0.251</v>
      </c>
      <c r="G353" s="81" t="n">
        <v>0</v>
      </c>
      <c r="H353" s="81" t="n">
        <v>0</v>
      </c>
      <c r="I353" s="94" t="n">
        <f aca="false">SUM(E353:H353)</f>
        <v>-0.906</v>
      </c>
      <c r="J353" s="118" t="s">
        <v>226</v>
      </c>
      <c r="K353" s="74"/>
      <c r="L353" s="74"/>
      <c r="M353" s="119"/>
      <c r="N353" s="74"/>
      <c r="O353" s="74"/>
      <c r="P353" s="74"/>
      <c r="Q353" s="74"/>
      <c r="R353" s="74"/>
      <c r="S353" s="74"/>
      <c r="T353" s="65" t="str">
        <f aca="false">IF(D353&gt;0,(I353/D353),"")</f>
        <v/>
      </c>
      <c r="U353" s="74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4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/>
      <c r="DA353" s="74"/>
      <c r="DB353" s="74"/>
      <c r="DC353" s="74"/>
      <c r="DD353" s="74"/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</row>
    <row r="354" customFormat="false" ht="15.75" hidden="true" customHeight="true" outlineLevel="0" collapsed="false">
      <c r="A354" s="220" t="s">
        <v>337</v>
      </c>
      <c r="B354" s="95" t="n">
        <v>37083</v>
      </c>
      <c r="C354" s="188" t="s">
        <v>336</v>
      </c>
      <c r="D354" s="92" t="n">
        <f aca="false">I354/0.06</f>
        <v>62.55</v>
      </c>
      <c r="E354" s="93" t="n">
        <v>5.034</v>
      </c>
      <c r="F354" s="81" t="n">
        <v>-1.281</v>
      </c>
      <c r="G354" s="81" t="n">
        <v>0</v>
      </c>
      <c r="H354" s="81" t="n">
        <v>0</v>
      </c>
      <c r="I354" s="94" t="n">
        <f aca="false">SUM(E354:H354)</f>
        <v>3.753</v>
      </c>
      <c r="J354" s="118" t="s">
        <v>226</v>
      </c>
      <c r="K354" s="74"/>
      <c r="L354" s="74"/>
      <c r="M354" s="119"/>
      <c r="N354" s="74"/>
      <c r="O354" s="74"/>
      <c r="P354" s="74"/>
      <c r="Q354" s="74"/>
      <c r="R354" s="74"/>
      <c r="S354" s="74"/>
      <c r="T354" s="65" t="n">
        <f aca="false">IF(D354&gt;0,(I354/D354),"")</f>
        <v>0.06</v>
      </c>
      <c r="U354" s="74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4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/>
      <c r="DA354" s="74"/>
      <c r="DB354" s="74"/>
      <c r="DC354" s="74"/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</row>
    <row r="355" customFormat="false" ht="15.75" hidden="true" customHeight="true" outlineLevel="0" collapsed="false">
      <c r="A355" s="220" t="s">
        <v>338</v>
      </c>
      <c r="B355" s="95" t="n">
        <v>37083</v>
      </c>
      <c r="C355" s="188" t="s">
        <v>336</v>
      </c>
      <c r="D355" s="92" t="n">
        <f aca="false">I355/0.06</f>
        <v>305.366666666667</v>
      </c>
      <c r="E355" s="93" t="n">
        <v>21.851</v>
      </c>
      <c r="F355" s="81" t="n">
        <v>-3.529</v>
      </c>
      <c r="G355" s="81" t="n">
        <v>0</v>
      </c>
      <c r="H355" s="81" t="n">
        <v>0</v>
      </c>
      <c r="I355" s="94" t="n">
        <f aca="false">SUM(E355:H355)</f>
        <v>18.322</v>
      </c>
      <c r="J355" s="118" t="s">
        <v>226</v>
      </c>
      <c r="K355" s="74"/>
      <c r="L355" s="74"/>
      <c r="M355" s="119"/>
      <c r="N355" s="74"/>
      <c r="O355" s="74"/>
      <c r="P355" s="74"/>
      <c r="Q355" s="74"/>
      <c r="R355" s="74"/>
      <c r="S355" s="74"/>
      <c r="T355" s="65" t="n">
        <f aca="false">IF(D355&gt;0,(I355/D355),"")</f>
        <v>0.06</v>
      </c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/>
      <c r="DA355" s="74"/>
      <c r="DB355" s="74"/>
      <c r="DC355" s="74"/>
      <c r="DD355" s="74"/>
      <c r="DE355" s="74"/>
      <c r="DF355" s="74"/>
      <c r="DG355" s="74"/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</row>
    <row r="356" customFormat="false" ht="15.75" hidden="true" customHeight="true" outlineLevel="0" collapsed="false">
      <c r="A356" s="220" t="s">
        <v>339</v>
      </c>
      <c r="B356" s="95"/>
      <c r="C356" s="188"/>
      <c r="D356" s="92" t="n">
        <f aca="false">I356/0.06</f>
        <v>-454.016666666667</v>
      </c>
      <c r="E356" s="93" t="n">
        <v>-30.815</v>
      </c>
      <c r="F356" s="81" t="n">
        <v>3.574</v>
      </c>
      <c r="G356" s="81" t="n">
        <v>0</v>
      </c>
      <c r="H356" s="81"/>
      <c r="I356" s="94" t="n">
        <v>-27.241</v>
      </c>
      <c r="J356" s="118" t="s">
        <v>226</v>
      </c>
      <c r="K356" s="74"/>
      <c r="L356" s="142"/>
      <c r="M356" s="119"/>
      <c r="N356" s="74"/>
      <c r="O356" s="74"/>
      <c r="P356" s="74"/>
      <c r="Q356" s="74"/>
      <c r="R356" s="74"/>
      <c r="S356" s="74"/>
      <c r="T356" s="65" t="str">
        <f aca="false">IF(D356&gt;0,(I356/D356),"")</f>
        <v/>
      </c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/>
      <c r="CX356" s="74"/>
      <c r="CY356" s="74"/>
      <c r="CZ356" s="74"/>
      <c r="DA356" s="74"/>
      <c r="DB356" s="74"/>
      <c r="DC356" s="74"/>
      <c r="DD356" s="74"/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142"/>
      <c r="IW356" s="142"/>
    </row>
    <row r="357" customFormat="false" ht="15.75" hidden="true" customHeight="true" outlineLevel="0" collapsed="false">
      <c r="A357" s="220" t="s">
        <v>340</v>
      </c>
      <c r="B357" s="95"/>
      <c r="C357" s="188"/>
      <c r="D357" s="92" t="n">
        <f aca="false">I357/0.06</f>
        <v>-3.21666666666667</v>
      </c>
      <c r="E357" s="93" t="n">
        <v>-0.893</v>
      </c>
      <c r="F357" s="81" t="n">
        <v>0.7</v>
      </c>
      <c r="G357" s="81" t="n">
        <v>0</v>
      </c>
      <c r="H357" s="81"/>
      <c r="I357" s="94" t="n">
        <v>-0.193</v>
      </c>
      <c r="J357" s="118" t="s">
        <v>226</v>
      </c>
      <c r="K357" s="74"/>
      <c r="L357" s="142"/>
      <c r="M357" s="119"/>
      <c r="N357" s="74"/>
      <c r="O357" s="74"/>
      <c r="P357" s="74"/>
      <c r="Q357" s="74"/>
      <c r="R357" s="74"/>
      <c r="S357" s="74"/>
      <c r="T357" s="65" t="str">
        <f aca="false">IF(D357&gt;0,(I357/D357),"")</f>
        <v/>
      </c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4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/>
      <c r="CX357" s="74"/>
      <c r="CY357" s="74"/>
      <c r="CZ357" s="74"/>
      <c r="DA357" s="74"/>
      <c r="DB357" s="74"/>
      <c r="DC357" s="74"/>
      <c r="DD357" s="74"/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142"/>
      <c r="IW357" s="142"/>
    </row>
    <row r="358" customFormat="false" ht="15.75" hidden="true" customHeight="true" outlineLevel="0" collapsed="false">
      <c r="A358" s="220" t="s">
        <v>341</v>
      </c>
      <c r="B358" s="95"/>
      <c r="C358" s="188"/>
      <c r="D358" s="92" t="n">
        <f aca="false">I358/0.06</f>
        <v>-224.916666666667</v>
      </c>
      <c r="E358" s="93" t="n">
        <v>-15.071</v>
      </c>
      <c r="F358" s="81" t="n">
        <v>1.576</v>
      </c>
      <c r="G358" s="81" t="n">
        <v>0</v>
      </c>
      <c r="H358" s="81"/>
      <c r="I358" s="94" t="n">
        <v>-13.495</v>
      </c>
      <c r="J358" s="118" t="s">
        <v>226</v>
      </c>
      <c r="K358" s="74"/>
      <c r="L358" s="142"/>
      <c r="M358" s="119"/>
      <c r="N358" s="74"/>
      <c r="O358" s="74"/>
      <c r="P358" s="74"/>
      <c r="Q358" s="74"/>
      <c r="R358" s="74"/>
      <c r="S358" s="74"/>
      <c r="T358" s="65" t="str">
        <f aca="false">IF(D358&gt;0,(I358/D358),"")</f>
        <v/>
      </c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/>
      <c r="DA358" s="74"/>
      <c r="DB358" s="74"/>
      <c r="DC358" s="74"/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142"/>
      <c r="IW358" s="142"/>
    </row>
    <row r="359" customFormat="false" ht="15.75" hidden="true" customHeight="true" outlineLevel="0" collapsed="false">
      <c r="A359" s="220" t="s">
        <v>342</v>
      </c>
      <c r="B359" s="95"/>
      <c r="C359" s="188"/>
      <c r="D359" s="92" t="n">
        <f aca="false">I359/0.06</f>
        <v>130.383333333333</v>
      </c>
      <c r="E359" s="93" t="n">
        <v>9.368</v>
      </c>
      <c r="F359" s="81" t="n">
        <v>-1.545</v>
      </c>
      <c r="G359" s="81" t="n">
        <v>0</v>
      </c>
      <c r="H359" s="81"/>
      <c r="I359" s="94" t="n">
        <v>7.823</v>
      </c>
      <c r="J359" s="118" t="s">
        <v>226</v>
      </c>
      <c r="K359" s="74"/>
      <c r="L359" s="142"/>
      <c r="M359" s="119"/>
      <c r="N359" s="74"/>
      <c r="O359" s="74"/>
      <c r="P359" s="74"/>
      <c r="Q359" s="74"/>
      <c r="R359" s="74"/>
      <c r="S359" s="74"/>
      <c r="T359" s="65" t="n">
        <f aca="false">IF(D359&gt;0,(I359/D359),"")</f>
        <v>0.06</v>
      </c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/>
      <c r="DB359" s="74"/>
      <c r="DC359" s="74"/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142"/>
      <c r="IW359" s="142"/>
    </row>
    <row r="360" customFormat="false" ht="15.75" hidden="true" customHeight="true" outlineLevel="0" collapsed="false">
      <c r="A360" s="220" t="s">
        <v>343</v>
      </c>
      <c r="B360" s="95"/>
      <c r="C360" s="188"/>
      <c r="D360" s="92" t="n">
        <f aca="false">I360/0.06</f>
        <v>140.883333333333</v>
      </c>
      <c r="E360" s="93" t="n">
        <v>10.473</v>
      </c>
      <c r="F360" s="81" t="n">
        <v>-2.02</v>
      </c>
      <c r="G360" s="81" t="n">
        <v>0</v>
      </c>
      <c r="H360" s="81"/>
      <c r="I360" s="94" t="n">
        <v>8.453</v>
      </c>
      <c r="J360" s="118" t="s">
        <v>226</v>
      </c>
      <c r="K360" s="74"/>
      <c r="L360" s="142"/>
      <c r="M360" s="119"/>
      <c r="N360" s="74"/>
      <c r="O360" s="74"/>
      <c r="P360" s="74"/>
      <c r="Q360" s="74"/>
      <c r="R360" s="74"/>
      <c r="S360" s="74"/>
      <c r="T360" s="65" t="n">
        <f aca="false">IF(D360&gt;0,(I360/D360),"")</f>
        <v>0.06</v>
      </c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/>
      <c r="DA360" s="74"/>
      <c r="DB360" s="74"/>
      <c r="DC360" s="74"/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142"/>
      <c r="IW360" s="142"/>
    </row>
    <row r="361" customFormat="false" ht="15.75" hidden="true" customHeight="true" outlineLevel="0" collapsed="false">
      <c r="A361" s="220" t="s">
        <v>344</v>
      </c>
      <c r="B361" s="95"/>
      <c r="C361" s="188"/>
      <c r="D361" s="92" t="n">
        <f aca="false">I361/0.06</f>
        <v>203.183333333333</v>
      </c>
      <c r="E361" s="93" t="n">
        <v>15.088</v>
      </c>
      <c r="F361" s="81" t="n">
        <v>-2.897</v>
      </c>
      <c r="G361" s="81" t="n">
        <v>0</v>
      </c>
      <c r="H361" s="81"/>
      <c r="I361" s="94" t="n">
        <v>12.191</v>
      </c>
      <c r="J361" s="118" t="s">
        <v>226</v>
      </c>
      <c r="K361" s="74"/>
      <c r="L361" s="142"/>
      <c r="M361" s="119"/>
      <c r="N361" s="74"/>
      <c r="O361" s="74"/>
      <c r="P361" s="74"/>
      <c r="Q361" s="74"/>
      <c r="R361" s="74"/>
      <c r="S361" s="74"/>
      <c r="T361" s="65" t="n">
        <f aca="false">IF(D361&gt;0,(I361/D361),"")</f>
        <v>0.06</v>
      </c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/>
      <c r="CX361" s="74"/>
      <c r="CY361" s="74"/>
      <c r="CZ361" s="74"/>
      <c r="DA361" s="74"/>
      <c r="DB361" s="74"/>
      <c r="DC361" s="74"/>
      <c r="DD361" s="74"/>
      <c r="DE361" s="74"/>
      <c r="DF361" s="74"/>
      <c r="DG361" s="74"/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142"/>
      <c r="IW361" s="142"/>
    </row>
    <row r="362" customFormat="false" ht="15.75" hidden="true" customHeight="true" outlineLevel="0" collapsed="false">
      <c r="A362" s="220" t="s">
        <v>345</v>
      </c>
      <c r="B362" s="95"/>
      <c r="C362" s="188"/>
      <c r="D362" s="92" t="n">
        <f aca="false">I362/0.06</f>
        <v>518.816666666667</v>
      </c>
      <c r="E362" s="93" t="n">
        <v>36.778</v>
      </c>
      <c r="F362" s="81" t="n">
        <v>-5.649</v>
      </c>
      <c r="G362" s="81" t="n">
        <v>0</v>
      </c>
      <c r="H362" s="81"/>
      <c r="I362" s="94" t="n">
        <v>31.129</v>
      </c>
      <c r="J362" s="118" t="s">
        <v>226</v>
      </c>
      <c r="K362" s="74"/>
      <c r="L362" s="142"/>
      <c r="M362" s="119"/>
      <c r="N362" s="74"/>
      <c r="O362" s="74"/>
      <c r="P362" s="74"/>
      <c r="Q362" s="74"/>
      <c r="R362" s="74"/>
      <c r="S362" s="74"/>
      <c r="T362" s="65" t="n">
        <f aca="false">IF(D362&gt;0,(I362/D362),"")</f>
        <v>0.06</v>
      </c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/>
      <c r="DA362" s="74"/>
      <c r="DB362" s="74"/>
      <c r="DC362" s="74"/>
      <c r="DD362" s="74"/>
      <c r="DE362" s="74"/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142"/>
      <c r="IW362" s="142"/>
    </row>
    <row r="363" customFormat="false" ht="15.75" hidden="true" customHeight="true" outlineLevel="0" collapsed="false">
      <c r="A363" s="220" t="s">
        <v>346</v>
      </c>
      <c r="B363" s="95"/>
      <c r="C363" s="188"/>
      <c r="D363" s="92" t="n">
        <f aca="false">I363/0.06</f>
        <v>-2.93333333333333</v>
      </c>
      <c r="E363" s="93" t="n">
        <v>0.001</v>
      </c>
      <c r="F363" s="81" t="n">
        <v>-0.177</v>
      </c>
      <c r="G363" s="81" t="n">
        <v>0</v>
      </c>
      <c r="H363" s="81"/>
      <c r="I363" s="94" t="n">
        <v>-0.176</v>
      </c>
      <c r="J363" s="118" t="s">
        <v>226</v>
      </c>
      <c r="K363" s="74"/>
      <c r="L363" s="142"/>
      <c r="M363" s="119"/>
      <c r="N363" s="74"/>
      <c r="O363" s="74"/>
      <c r="P363" s="74"/>
      <c r="Q363" s="74"/>
      <c r="R363" s="74"/>
      <c r="S363" s="74"/>
      <c r="T363" s="65" t="str">
        <f aca="false">IF(D363&gt;0,(I363/D363),"")</f>
        <v/>
      </c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/>
      <c r="DA363" s="74"/>
      <c r="DB363" s="74"/>
      <c r="DC363" s="74"/>
      <c r="DD363" s="74"/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142"/>
      <c r="IW363" s="142"/>
    </row>
    <row r="364" customFormat="false" ht="15.75" hidden="true" customHeight="true" outlineLevel="0" collapsed="false">
      <c r="A364" s="220" t="s">
        <v>347</v>
      </c>
      <c r="B364" s="95"/>
      <c r="C364" s="188"/>
      <c r="D364" s="92" t="n">
        <f aca="false">I364/0.06</f>
        <v>127.5</v>
      </c>
      <c r="E364" s="93" t="n">
        <v>10.032</v>
      </c>
      <c r="F364" s="81" t="n">
        <v>-2.382</v>
      </c>
      <c r="G364" s="81" t="n">
        <v>0</v>
      </c>
      <c r="H364" s="81"/>
      <c r="I364" s="94" t="n">
        <v>7.65</v>
      </c>
      <c r="J364" s="118" t="s">
        <v>226</v>
      </c>
      <c r="K364" s="74"/>
      <c r="L364" s="142"/>
      <c r="M364" s="119"/>
      <c r="N364" s="74"/>
      <c r="O364" s="74"/>
      <c r="P364" s="74"/>
      <c r="Q364" s="74"/>
      <c r="R364" s="74"/>
      <c r="S364" s="74"/>
      <c r="T364" s="65" t="n">
        <f aca="false">IF(D364&gt;0,(I364/D364),"")</f>
        <v>0.06</v>
      </c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/>
      <c r="DB364" s="74"/>
      <c r="DC364" s="74"/>
      <c r="DD364" s="74"/>
      <c r="DE364" s="74"/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142"/>
      <c r="IW364" s="142"/>
    </row>
    <row r="365" customFormat="false" ht="15.75" hidden="true" customHeight="true" outlineLevel="0" collapsed="false">
      <c r="A365" s="220" t="s">
        <v>348</v>
      </c>
      <c r="B365" s="95"/>
      <c r="C365" s="188"/>
      <c r="D365" s="92" t="n">
        <f aca="false">I365/0.06</f>
        <v>355.483333333333</v>
      </c>
      <c r="E365" s="93" t="n">
        <v>25.178</v>
      </c>
      <c r="F365" s="81" t="n">
        <v>-3.849</v>
      </c>
      <c r="G365" s="81" t="n">
        <v>0</v>
      </c>
      <c r="H365" s="81"/>
      <c r="I365" s="94" t="n">
        <v>21.329</v>
      </c>
      <c r="J365" s="118" t="s">
        <v>226</v>
      </c>
      <c r="K365" s="74"/>
      <c r="L365" s="142"/>
      <c r="M365" s="119"/>
      <c r="N365" s="74"/>
      <c r="O365" s="74"/>
      <c r="P365" s="74"/>
      <c r="Q365" s="74"/>
      <c r="R365" s="74"/>
      <c r="S365" s="74"/>
      <c r="T365" s="65" t="n">
        <f aca="false">IF(D365&gt;0,(I365/D365),"")</f>
        <v>0.06</v>
      </c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/>
      <c r="DB365" s="74"/>
      <c r="DC365" s="74"/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142"/>
      <c r="IW365" s="142"/>
    </row>
    <row r="366" customFormat="false" ht="15.75" hidden="true" customHeight="true" outlineLevel="0" collapsed="false">
      <c r="A366" s="220" t="s">
        <v>349</v>
      </c>
      <c r="B366" s="95"/>
      <c r="C366" s="188"/>
      <c r="D366" s="92" t="n">
        <f aca="false">I366/0.06</f>
        <v>107.65</v>
      </c>
      <c r="E366" s="93" t="n">
        <v>7.902</v>
      </c>
      <c r="F366" s="81" t="n">
        <v>-1.443</v>
      </c>
      <c r="G366" s="81" t="n">
        <v>0</v>
      </c>
      <c r="H366" s="81"/>
      <c r="I366" s="94" t="n">
        <v>6.459</v>
      </c>
      <c r="J366" s="118" t="s">
        <v>226</v>
      </c>
      <c r="K366" s="74"/>
      <c r="L366" s="142"/>
      <c r="M366" s="119"/>
      <c r="N366" s="74"/>
      <c r="O366" s="74"/>
      <c r="P366" s="74"/>
      <c r="Q366" s="74"/>
      <c r="R366" s="74"/>
      <c r="S366" s="74"/>
      <c r="T366" s="65" t="n">
        <f aca="false">IF(D366&gt;0,(I366/D366),"")</f>
        <v>0.06</v>
      </c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/>
      <c r="DA366" s="74"/>
      <c r="DB366" s="74"/>
      <c r="DC366" s="74"/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142"/>
      <c r="IW366" s="142"/>
    </row>
    <row r="367" customFormat="false" ht="15.75" hidden="true" customHeight="true" outlineLevel="0" collapsed="false">
      <c r="A367" s="220" t="s">
        <v>350</v>
      </c>
      <c r="B367" s="95"/>
      <c r="C367" s="188"/>
      <c r="D367" s="92" t="n">
        <f aca="false">I367/0.06</f>
        <v>64.9833333333333</v>
      </c>
      <c r="E367" s="93" t="n">
        <v>4.993</v>
      </c>
      <c r="F367" s="81" t="n">
        <v>-1.094</v>
      </c>
      <c r="G367" s="81" t="n">
        <v>0</v>
      </c>
      <c r="H367" s="81"/>
      <c r="I367" s="94" t="n">
        <v>3.899</v>
      </c>
      <c r="J367" s="118" t="s">
        <v>226</v>
      </c>
      <c r="K367" s="74"/>
      <c r="L367" s="142"/>
      <c r="M367" s="119"/>
      <c r="N367" s="74"/>
      <c r="O367" s="74"/>
      <c r="P367" s="74"/>
      <c r="Q367" s="74"/>
      <c r="R367" s="74"/>
      <c r="S367" s="74"/>
      <c r="T367" s="65" t="n">
        <f aca="false">IF(D367&gt;0,(I367/D367),"")</f>
        <v>0.06</v>
      </c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/>
      <c r="DA367" s="74"/>
      <c r="DB367" s="74"/>
      <c r="DC367" s="74"/>
      <c r="DD367" s="74"/>
      <c r="DE367" s="74"/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142"/>
      <c r="IW367" s="142"/>
    </row>
    <row r="368" customFormat="false" ht="15.75" hidden="true" customHeight="true" outlineLevel="0" collapsed="false">
      <c r="A368" s="220" t="s">
        <v>351</v>
      </c>
      <c r="B368" s="95"/>
      <c r="C368" s="188"/>
      <c r="D368" s="92" t="n">
        <f aca="false">I368/0.06</f>
        <v>56.1833333333333</v>
      </c>
      <c r="E368" s="93" t="n">
        <v>4.259</v>
      </c>
      <c r="F368" s="81" t="n">
        <v>-0.888</v>
      </c>
      <c r="G368" s="81" t="n">
        <v>0</v>
      </c>
      <c r="H368" s="81"/>
      <c r="I368" s="94" t="n">
        <v>3.371</v>
      </c>
      <c r="J368" s="118" t="s">
        <v>226</v>
      </c>
      <c r="K368" s="74"/>
      <c r="L368" s="142"/>
      <c r="M368" s="119"/>
      <c r="N368" s="74"/>
      <c r="O368" s="74"/>
      <c r="P368" s="74"/>
      <c r="Q368" s="74"/>
      <c r="R368" s="74"/>
      <c r="S368" s="74"/>
      <c r="T368" s="65" t="n">
        <f aca="false">IF(D368&gt;0,(I368/D368),"")</f>
        <v>0.06</v>
      </c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/>
      <c r="DA368" s="74"/>
      <c r="DB368" s="74"/>
      <c r="DC368" s="74"/>
      <c r="DD368" s="74"/>
      <c r="DE368" s="74"/>
      <c r="DF368" s="74"/>
      <c r="DG368" s="74"/>
      <c r="DH368" s="74"/>
      <c r="DI368" s="74"/>
      <c r="DJ368" s="74"/>
      <c r="DK368" s="74"/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142"/>
      <c r="IW368" s="142"/>
    </row>
    <row r="369" customFormat="false" ht="15.75" hidden="true" customHeight="true" outlineLevel="0" collapsed="false">
      <c r="A369" s="220" t="s">
        <v>352</v>
      </c>
      <c r="B369" s="95"/>
      <c r="C369" s="188"/>
      <c r="D369" s="92" t="n">
        <f aca="false">I369/0.06</f>
        <v>324.966666666667</v>
      </c>
      <c r="E369" s="93" t="n">
        <v>23.551</v>
      </c>
      <c r="F369" s="81" t="n">
        <v>-4.053</v>
      </c>
      <c r="G369" s="81" t="n">
        <v>0</v>
      </c>
      <c r="H369" s="81"/>
      <c r="I369" s="94" t="n">
        <v>19.498</v>
      </c>
      <c r="J369" s="118" t="s">
        <v>226</v>
      </c>
      <c r="K369" s="74"/>
      <c r="L369" s="142"/>
      <c r="M369" s="119"/>
      <c r="N369" s="74"/>
      <c r="O369" s="74"/>
      <c r="P369" s="74"/>
      <c r="Q369" s="74"/>
      <c r="R369" s="74"/>
      <c r="S369" s="74"/>
      <c r="T369" s="65" t="n">
        <f aca="false">IF(D369&gt;0,(I369/D369),"")</f>
        <v>0.06</v>
      </c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/>
      <c r="DB369" s="74"/>
      <c r="DC369" s="74"/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142"/>
      <c r="IW369" s="142"/>
    </row>
    <row r="370" customFormat="false" ht="15.75" hidden="true" customHeight="true" outlineLevel="0" collapsed="false">
      <c r="A370" s="220" t="s">
        <v>353</v>
      </c>
      <c r="B370" s="95"/>
      <c r="C370" s="188"/>
      <c r="D370" s="92" t="n">
        <f aca="false">I370/0.06</f>
        <v>277.133333333333</v>
      </c>
      <c r="E370" s="93" t="n">
        <v>20.579</v>
      </c>
      <c r="F370" s="81" t="n">
        <v>-3.951</v>
      </c>
      <c r="G370" s="81" t="n">
        <v>0</v>
      </c>
      <c r="H370" s="81"/>
      <c r="I370" s="94" t="n">
        <v>16.628</v>
      </c>
      <c r="J370" s="118" t="s">
        <v>226</v>
      </c>
      <c r="K370" s="74"/>
      <c r="L370" s="142"/>
      <c r="M370" s="119"/>
      <c r="N370" s="74"/>
      <c r="O370" s="74"/>
      <c r="P370" s="74"/>
      <c r="Q370" s="74"/>
      <c r="R370" s="74"/>
      <c r="S370" s="74"/>
      <c r="T370" s="65" t="n">
        <f aca="false">IF(D370&gt;0,(I370/D370),"")</f>
        <v>0.06</v>
      </c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/>
      <c r="DB370" s="74"/>
      <c r="DC370" s="74"/>
      <c r="DD370" s="74"/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142"/>
      <c r="IW370" s="142"/>
    </row>
    <row r="371" customFormat="false" ht="15.75" hidden="true" customHeight="true" outlineLevel="0" collapsed="false">
      <c r="A371" s="220" t="s">
        <v>354</v>
      </c>
      <c r="B371" s="95"/>
      <c r="C371" s="188"/>
      <c r="D371" s="92" t="n">
        <f aca="false">I371/0.06</f>
        <v>340.45</v>
      </c>
      <c r="E371" s="93" t="n">
        <v>24.882</v>
      </c>
      <c r="F371" s="81" t="n">
        <v>-4.455</v>
      </c>
      <c r="G371" s="81" t="n">
        <v>0</v>
      </c>
      <c r="H371" s="81"/>
      <c r="I371" s="94" t="n">
        <v>20.427</v>
      </c>
      <c r="J371" s="118" t="s">
        <v>226</v>
      </c>
      <c r="K371" s="74"/>
      <c r="L371" s="142"/>
      <c r="M371" s="119"/>
      <c r="N371" s="74"/>
      <c r="O371" s="74"/>
      <c r="P371" s="74"/>
      <c r="Q371" s="74"/>
      <c r="R371" s="74"/>
      <c r="S371" s="74"/>
      <c r="T371" s="65" t="n">
        <f aca="false">IF(D371&gt;0,(I371/D371),"")</f>
        <v>0.06</v>
      </c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/>
      <c r="DB371" s="74"/>
      <c r="DC371" s="74"/>
      <c r="DD371" s="74"/>
      <c r="DE371" s="74"/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142"/>
      <c r="IW371" s="142"/>
    </row>
    <row r="372" customFormat="false" ht="15.75" hidden="true" customHeight="true" outlineLevel="0" collapsed="false">
      <c r="A372" s="220" t="s">
        <v>355</v>
      </c>
      <c r="B372" s="95"/>
      <c r="C372" s="188"/>
      <c r="D372" s="92" t="n">
        <f aca="false">I372/0.06</f>
        <v>67.4833333333333</v>
      </c>
      <c r="E372" s="93" t="n">
        <v>5.127</v>
      </c>
      <c r="F372" s="81" t="n">
        <v>-1.078</v>
      </c>
      <c r="G372" s="81" t="n">
        <v>0</v>
      </c>
      <c r="H372" s="81"/>
      <c r="I372" s="94" t="n">
        <v>4.049</v>
      </c>
      <c r="J372" s="118" t="s">
        <v>226</v>
      </c>
      <c r="K372" s="74"/>
      <c r="L372" s="142"/>
      <c r="M372" s="119"/>
      <c r="N372" s="74"/>
      <c r="O372" s="74"/>
      <c r="P372" s="74"/>
      <c r="Q372" s="74"/>
      <c r="R372" s="74"/>
      <c r="S372" s="74"/>
      <c r="T372" s="65" t="n">
        <f aca="false">IF(D372&gt;0,(I372/D372),"")</f>
        <v>0.06</v>
      </c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/>
      <c r="DA372" s="74"/>
      <c r="DB372" s="74"/>
      <c r="DC372" s="74"/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142"/>
      <c r="IW372" s="142"/>
    </row>
    <row r="373" customFormat="false" ht="15.75" hidden="true" customHeight="true" outlineLevel="0" collapsed="false">
      <c r="A373" s="220" t="s">
        <v>356</v>
      </c>
      <c r="B373" s="95"/>
      <c r="C373" s="188"/>
      <c r="D373" s="92" t="n">
        <f aca="false">I373/0.06</f>
        <v>93.1333333333333</v>
      </c>
      <c r="E373" s="93" t="n">
        <v>6.969</v>
      </c>
      <c r="F373" s="81" t="n">
        <v>-1.381</v>
      </c>
      <c r="G373" s="81" t="n">
        <v>0</v>
      </c>
      <c r="H373" s="81"/>
      <c r="I373" s="94" t="n">
        <v>5.588</v>
      </c>
      <c r="J373" s="118" t="s">
        <v>226</v>
      </c>
      <c r="K373" s="74"/>
      <c r="L373" s="142"/>
      <c r="M373" s="119"/>
      <c r="N373" s="74"/>
      <c r="O373" s="74"/>
      <c r="P373" s="74"/>
      <c r="Q373" s="74"/>
      <c r="R373" s="74"/>
      <c r="S373" s="74"/>
      <c r="T373" s="65" t="n">
        <f aca="false">IF(D373&gt;0,(I373/D373),"")</f>
        <v>0.06</v>
      </c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/>
      <c r="DA373" s="74"/>
      <c r="DB373" s="74"/>
      <c r="DC373" s="74"/>
      <c r="DD373" s="74"/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142"/>
      <c r="IW373" s="142"/>
    </row>
    <row r="374" customFormat="false" ht="15.75" hidden="true" customHeight="true" outlineLevel="0" collapsed="false">
      <c r="A374" s="220" t="s">
        <v>357</v>
      </c>
      <c r="B374" s="95"/>
      <c r="C374" s="188"/>
      <c r="D374" s="92" t="n">
        <f aca="false">I374/0.06</f>
        <v>35.1166666666667</v>
      </c>
      <c r="E374" s="93" t="n">
        <v>2.772</v>
      </c>
      <c r="F374" s="81" t="n">
        <v>-0.665</v>
      </c>
      <c r="G374" s="81" t="n">
        <v>0</v>
      </c>
      <c r="H374" s="81"/>
      <c r="I374" s="94" t="n">
        <v>2.107</v>
      </c>
      <c r="J374" s="118" t="s">
        <v>226</v>
      </c>
      <c r="K374" s="74"/>
      <c r="L374" s="142"/>
      <c r="M374" s="119"/>
      <c r="N374" s="74"/>
      <c r="O374" s="74"/>
      <c r="P374" s="74"/>
      <c r="Q374" s="74"/>
      <c r="R374" s="74"/>
      <c r="S374" s="74"/>
      <c r="T374" s="65" t="n">
        <f aca="false">IF(D374&gt;0,(I374/D374),"")</f>
        <v>0.06</v>
      </c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/>
      <c r="DA374" s="74"/>
      <c r="DB374" s="74"/>
      <c r="DC374" s="74"/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142"/>
      <c r="IW374" s="142"/>
    </row>
    <row r="375" customFormat="false" ht="15.75" hidden="true" customHeight="true" outlineLevel="0" collapsed="false">
      <c r="A375" s="220" t="s">
        <v>358</v>
      </c>
      <c r="B375" s="95" t="n">
        <v>37083</v>
      </c>
      <c r="C375" s="188" t="s">
        <v>336</v>
      </c>
      <c r="D375" s="92" t="n">
        <f aca="false">I375/0.015</f>
        <v>-203.666666666667</v>
      </c>
      <c r="E375" s="93" t="n">
        <v>-2.36</v>
      </c>
      <c r="F375" s="81" t="n">
        <v>-0.695</v>
      </c>
      <c r="G375" s="81" t="n">
        <v>0</v>
      </c>
      <c r="H375" s="81" t="n">
        <v>0</v>
      </c>
      <c r="I375" s="94" t="n">
        <f aca="false">SUM(E375:H375)</f>
        <v>-3.055</v>
      </c>
      <c r="J375" s="118" t="s">
        <v>226</v>
      </c>
      <c r="K375" s="74"/>
      <c r="L375" s="74"/>
      <c r="M375" s="119"/>
      <c r="N375" s="74"/>
      <c r="O375" s="74"/>
      <c r="P375" s="74"/>
      <c r="Q375" s="74"/>
      <c r="R375" s="74"/>
      <c r="S375" s="74"/>
      <c r="T375" s="65" t="str">
        <f aca="false">IF(D375&gt;0,(I375/D375),"")</f>
        <v/>
      </c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/>
      <c r="DB375" s="74"/>
      <c r="DC375" s="74"/>
      <c r="DD375" s="74"/>
      <c r="DE375" s="74"/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</row>
    <row r="376" customFormat="false" ht="15.75" hidden="true" customHeight="true" outlineLevel="0" collapsed="false">
      <c r="A376" s="220" t="s">
        <v>359</v>
      </c>
      <c r="B376" s="95" t="n">
        <v>37091</v>
      </c>
      <c r="C376" s="188" t="s">
        <v>336</v>
      </c>
      <c r="D376" s="92" t="n">
        <f aca="false">I376/0.015</f>
        <v>-455.066666666667</v>
      </c>
      <c r="E376" s="93" t="n">
        <v>-7.36</v>
      </c>
      <c r="F376" s="81" t="n">
        <v>0.534</v>
      </c>
      <c r="G376" s="81" t="n">
        <v>0</v>
      </c>
      <c r="H376" s="81" t="n">
        <v>0</v>
      </c>
      <c r="I376" s="94" t="n">
        <f aca="false">SUM(E376:H376)</f>
        <v>-6.826</v>
      </c>
      <c r="J376" s="118" t="s">
        <v>226</v>
      </c>
      <c r="K376" s="74"/>
      <c r="L376" s="74"/>
      <c r="M376" s="119"/>
      <c r="N376" s="74"/>
      <c r="O376" s="74"/>
      <c r="P376" s="74"/>
      <c r="Q376" s="74"/>
      <c r="R376" s="74"/>
      <c r="S376" s="74"/>
      <c r="T376" s="65" t="str">
        <f aca="false">IF(D376&gt;0,(I376/D376),"")</f>
        <v/>
      </c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/>
      <c r="DB376" s="74"/>
      <c r="DC376" s="74"/>
      <c r="DD376" s="74"/>
      <c r="DE376" s="74"/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</row>
    <row r="377" customFormat="false" ht="15.75" hidden="true" customHeight="true" outlineLevel="0" collapsed="false">
      <c r="A377" s="220" t="s">
        <v>360</v>
      </c>
      <c r="B377" s="95" t="n">
        <v>37091</v>
      </c>
      <c r="C377" s="188" t="s">
        <v>336</v>
      </c>
      <c r="D377" s="92" t="n">
        <f aca="false">I377/0.015</f>
        <v>1693.33333333333</v>
      </c>
      <c r="E377" s="93" t="n">
        <v>29.009</v>
      </c>
      <c r="F377" s="81" t="n">
        <v>-3.609</v>
      </c>
      <c r="G377" s="81" t="n">
        <v>0</v>
      </c>
      <c r="H377" s="81" t="n">
        <v>0</v>
      </c>
      <c r="I377" s="94" t="n">
        <f aca="false">SUM(E377:H377)</f>
        <v>25.4</v>
      </c>
      <c r="J377" s="118" t="s">
        <v>226</v>
      </c>
      <c r="K377" s="74"/>
      <c r="L377" s="74"/>
      <c r="M377" s="119"/>
      <c r="N377" s="74"/>
      <c r="O377" s="74"/>
      <c r="P377" s="74"/>
      <c r="Q377" s="74"/>
      <c r="R377" s="74"/>
      <c r="S377" s="74"/>
      <c r="T377" s="65" t="n">
        <f aca="false">IF(D377&gt;0,(I377/D377),"")</f>
        <v>0.015</v>
      </c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/>
      <c r="DB377" s="74"/>
      <c r="DC377" s="74"/>
      <c r="DD377" s="74"/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</row>
    <row r="378" customFormat="false" ht="15.75" hidden="true" customHeight="true" outlineLevel="0" collapsed="false">
      <c r="A378" s="220" t="s">
        <v>361</v>
      </c>
      <c r="B378" s="95" t="n">
        <v>37091</v>
      </c>
      <c r="C378" s="188" t="s">
        <v>336</v>
      </c>
      <c r="D378" s="92" t="n">
        <f aca="false">I378/0.015</f>
        <v>138.4</v>
      </c>
      <c r="E378" s="93" t="n">
        <v>2.447</v>
      </c>
      <c r="F378" s="81" t="n">
        <v>-0.371</v>
      </c>
      <c r="G378" s="81" t="n">
        <v>0</v>
      </c>
      <c r="H378" s="81" t="n">
        <v>0</v>
      </c>
      <c r="I378" s="94" t="n">
        <f aca="false">SUM(E378:H378)</f>
        <v>2.076</v>
      </c>
      <c r="J378" s="118" t="s">
        <v>226</v>
      </c>
      <c r="K378" s="74"/>
      <c r="L378" s="74"/>
      <c r="M378" s="119"/>
      <c r="N378" s="74"/>
      <c r="O378" s="74"/>
      <c r="P378" s="74"/>
      <c r="Q378" s="74"/>
      <c r="R378" s="74"/>
      <c r="S378" s="74"/>
      <c r="T378" s="65" t="n">
        <f aca="false">IF(D378&gt;0,(I378/D378),"")</f>
        <v>0.015</v>
      </c>
      <c r="U378" s="74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4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/>
      <c r="DB378" s="74"/>
      <c r="DC378" s="74"/>
      <c r="DD378" s="74"/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</row>
    <row r="379" customFormat="false" ht="15.75" hidden="true" customHeight="true" outlineLevel="0" collapsed="false">
      <c r="A379" s="220" t="s">
        <v>362</v>
      </c>
      <c r="B379" s="95" t="n">
        <v>37091</v>
      </c>
      <c r="C379" s="188" t="s">
        <v>336</v>
      </c>
      <c r="D379" s="92" t="n">
        <f aca="false">I379/0.015</f>
        <v>334.066666666667</v>
      </c>
      <c r="E379" s="93" t="n">
        <v>6.006</v>
      </c>
      <c r="F379" s="81" t="n">
        <v>-0.995</v>
      </c>
      <c r="G379" s="81" t="n">
        <v>0</v>
      </c>
      <c r="H379" s="81" t="n">
        <v>0</v>
      </c>
      <c r="I379" s="94" t="n">
        <f aca="false">SUM(E379:H379)</f>
        <v>5.011</v>
      </c>
      <c r="J379" s="118" t="s">
        <v>226</v>
      </c>
      <c r="K379" s="74"/>
      <c r="L379" s="74"/>
      <c r="M379" s="119"/>
      <c r="N379" s="74"/>
      <c r="O379" s="74"/>
      <c r="P379" s="74"/>
      <c r="Q379" s="74"/>
      <c r="R379" s="74"/>
      <c r="S379" s="74"/>
      <c r="T379" s="65" t="n">
        <f aca="false">IF(D379&gt;0,(I379/D379),"")</f>
        <v>0.015</v>
      </c>
      <c r="U379" s="74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4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/>
      <c r="DB379" s="74"/>
      <c r="DC379" s="74"/>
      <c r="DD379" s="74"/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</row>
    <row r="380" customFormat="false" ht="15.75" hidden="true" customHeight="true" outlineLevel="0" collapsed="false">
      <c r="A380" s="220" t="s">
        <v>363</v>
      </c>
      <c r="B380" s="95" t="n">
        <v>37091</v>
      </c>
      <c r="C380" s="188" t="s">
        <v>336</v>
      </c>
      <c r="D380" s="92" t="n">
        <f aca="false">I380/0.015</f>
        <v>1557.06666666667</v>
      </c>
      <c r="E380" s="93" t="n">
        <v>28.273</v>
      </c>
      <c r="F380" s="81" t="n">
        <v>-4.917</v>
      </c>
      <c r="G380" s="81" t="n">
        <v>0</v>
      </c>
      <c r="H380" s="81" t="n">
        <v>0</v>
      </c>
      <c r="I380" s="94" t="n">
        <f aca="false">SUM(E380:H380)</f>
        <v>23.356</v>
      </c>
      <c r="J380" s="118" t="s">
        <v>226</v>
      </c>
      <c r="K380" s="74"/>
      <c r="L380" s="74"/>
      <c r="M380" s="119"/>
      <c r="N380" s="74"/>
      <c r="O380" s="74"/>
      <c r="P380" s="74"/>
      <c r="Q380" s="74"/>
      <c r="R380" s="74"/>
      <c r="S380" s="74"/>
      <c r="T380" s="65" t="n">
        <f aca="false">IF(D380&gt;0,(I380/D380),"")</f>
        <v>0.015</v>
      </c>
      <c r="U380" s="74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4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/>
      <c r="DA380" s="74"/>
      <c r="DB380" s="74"/>
      <c r="DC380" s="74"/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</row>
    <row r="381" customFormat="false" ht="15.75" hidden="true" customHeight="true" outlineLevel="0" collapsed="false">
      <c r="A381" s="220" t="s">
        <v>364</v>
      </c>
      <c r="B381" s="95" t="n">
        <v>37091</v>
      </c>
      <c r="C381" s="188" t="s">
        <v>336</v>
      </c>
      <c r="D381" s="92" t="n">
        <f aca="false">I381/0.015</f>
        <v>980.866666666667</v>
      </c>
      <c r="E381" s="93" t="n">
        <v>18.27</v>
      </c>
      <c r="F381" s="81" t="n">
        <v>-3.557</v>
      </c>
      <c r="G381" s="81" t="n">
        <v>0</v>
      </c>
      <c r="H381" s="81" t="n">
        <v>0</v>
      </c>
      <c r="I381" s="94" t="n">
        <f aca="false">SUM(E381:H381)</f>
        <v>14.713</v>
      </c>
      <c r="J381" s="118" t="s">
        <v>226</v>
      </c>
      <c r="K381" s="74"/>
      <c r="L381" s="74"/>
      <c r="M381" s="119"/>
      <c r="N381" s="74"/>
      <c r="O381" s="74"/>
      <c r="P381" s="74"/>
      <c r="Q381" s="74"/>
      <c r="R381" s="74"/>
      <c r="S381" s="74"/>
      <c r="T381" s="65" t="n">
        <f aca="false">IF(D381&gt;0,(I381/D381),"")</f>
        <v>0.015</v>
      </c>
      <c r="U381" s="74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4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/>
      <c r="DB381" s="74"/>
      <c r="DC381" s="74"/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</row>
    <row r="382" customFormat="false" ht="15.75" hidden="true" customHeight="true" outlineLevel="0" collapsed="false">
      <c r="A382" s="220" t="s">
        <v>365</v>
      </c>
      <c r="B382" s="95" t="n">
        <v>37091</v>
      </c>
      <c r="C382" s="188" t="s">
        <v>336</v>
      </c>
      <c r="D382" s="92" t="n">
        <f aca="false">I382/0.015</f>
        <v>327.333333333333</v>
      </c>
      <c r="E382" s="93" t="n">
        <v>6.208</v>
      </c>
      <c r="F382" s="81" t="n">
        <v>-1.298</v>
      </c>
      <c r="G382" s="81" t="n">
        <v>0</v>
      </c>
      <c r="H382" s="81" t="n">
        <v>0</v>
      </c>
      <c r="I382" s="94" t="n">
        <f aca="false">SUM(E382:H382)</f>
        <v>4.91</v>
      </c>
      <c r="J382" s="118" t="s">
        <v>226</v>
      </c>
      <c r="K382" s="74"/>
      <c r="L382" s="74"/>
      <c r="M382" s="119"/>
      <c r="N382" s="74"/>
      <c r="O382" s="74"/>
      <c r="P382" s="74"/>
      <c r="Q382" s="74"/>
      <c r="R382" s="74"/>
      <c r="S382" s="74"/>
      <c r="T382" s="65" t="n">
        <f aca="false">IF(D382&gt;0,(I382/D382),"")</f>
        <v>0.015</v>
      </c>
      <c r="U382" s="74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4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/>
      <c r="DB382" s="74"/>
      <c r="DC382" s="74"/>
      <c r="DD382" s="74"/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</row>
    <row r="383" customFormat="false" ht="15.75" hidden="true" customHeight="true" outlineLevel="0" collapsed="false">
      <c r="A383" s="220" t="s">
        <v>366</v>
      </c>
      <c r="B383" s="95" t="n">
        <v>37091</v>
      </c>
      <c r="C383" s="188" t="s">
        <v>336</v>
      </c>
      <c r="D383" s="92" t="n">
        <f aca="false">I383/0.015</f>
        <v>-0.733333333333334</v>
      </c>
      <c r="E383" s="93" t="n">
        <v>0.244</v>
      </c>
      <c r="F383" s="81" t="n">
        <v>-0.255</v>
      </c>
      <c r="G383" s="81" t="n">
        <v>0</v>
      </c>
      <c r="H383" s="81" t="n">
        <v>0</v>
      </c>
      <c r="I383" s="94" t="n">
        <f aca="false">SUM(E383:H383)</f>
        <v>-0.011</v>
      </c>
      <c r="J383" s="118" t="s">
        <v>226</v>
      </c>
      <c r="K383" s="74"/>
      <c r="L383" s="74"/>
      <c r="M383" s="119"/>
      <c r="N383" s="74"/>
      <c r="O383" s="74"/>
      <c r="P383" s="74"/>
      <c r="Q383" s="74"/>
      <c r="R383" s="74"/>
      <c r="S383" s="74"/>
      <c r="T383" s="65" t="str">
        <f aca="false">IF(D383&gt;0,(I383/D383),"")</f>
        <v/>
      </c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4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/>
      <c r="DB383" s="74"/>
      <c r="DC383" s="74"/>
      <c r="DD383" s="74"/>
      <c r="DE383" s="74"/>
      <c r="DF383" s="74"/>
      <c r="DG383" s="74"/>
      <c r="DH383" s="74"/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</row>
    <row r="384" customFormat="false" ht="15.75" hidden="true" customHeight="true" outlineLevel="0" collapsed="false">
      <c r="A384" s="220" t="s">
        <v>367</v>
      </c>
      <c r="B384" s="95" t="n">
        <v>37091</v>
      </c>
      <c r="C384" s="188" t="s">
        <v>336</v>
      </c>
      <c r="D384" s="92" t="n">
        <f aca="false">I384/0.015</f>
        <v>333.333333333333</v>
      </c>
      <c r="E384" s="93" t="n">
        <v>5.978</v>
      </c>
      <c r="F384" s="81" t="n">
        <v>-0.978</v>
      </c>
      <c r="G384" s="81" t="n">
        <v>0</v>
      </c>
      <c r="H384" s="81" t="n">
        <v>0</v>
      </c>
      <c r="I384" s="94" t="n">
        <f aca="false">SUM(E384:H384)</f>
        <v>5</v>
      </c>
      <c r="J384" s="118" t="s">
        <v>226</v>
      </c>
      <c r="K384" s="74"/>
      <c r="L384" s="74"/>
      <c r="M384" s="119"/>
      <c r="N384" s="74"/>
      <c r="O384" s="74"/>
      <c r="P384" s="74"/>
      <c r="Q384" s="74"/>
      <c r="R384" s="74"/>
      <c r="S384" s="74"/>
      <c r="T384" s="65" t="n">
        <f aca="false">IF(D384&gt;0,(I384/D384),"")</f>
        <v>0.015</v>
      </c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4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/>
      <c r="DB384" s="74"/>
      <c r="DC384" s="74"/>
      <c r="DD384" s="74"/>
      <c r="DE384" s="74"/>
      <c r="DF384" s="74"/>
      <c r="DG384" s="74"/>
      <c r="DH384" s="74"/>
      <c r="DI384" s="74"/>
      <c r="DJ384" s="74"/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</row>
    <row r="385" customFormat="false" ht="15.75" hidden="true" customHeight="true" outlineLevel="0" collapsed="false">
      <c r="A385" s="220" t="s">
        <v>368</v>
      </c>
      <c r="B385" s="95" t="n">
        <v>37091</v>
      </c>
      <c r="C385" s="188" t="s">
        <v>336</v>
      </c>
      <c r="D385" s="92" t="n">
        <f aca="false">I385/0.015</f>
        <v>464.533333333333</v>
      </c>
      <c r="E385" s="93" t="n">
        <v>8.333</v>
      </c>
      <c r="F385" s="81" t="n">
        <v>-1.365</v>
      </c>
      <c r="G385" s="81" t="n">
        <v>0</v>
      </c>
      <c r="H385" s="81" t="n">
        <v>0</v>
      </c>
      <c r="I385" s="94" t="n">
        <f aca="false">SUM(E385:H385)</f>
        <v>6.968</v>
      </c>
      <c r="J385" s="118" t="s">
        <v>226</v>
      </c>
      <c r="K385" s="74"/>
      <c r="L385" s="74"/>
      <c r="M385" s="119"/>
      <c r="N385" s="74"/>
      <c r="O385" s="74"/>
      <c r="P385" s="74"/>
      <c r="Q385" s="74"/>
      <c r="R385" s="74"/>
      <c r="S385" s="74"/>
      <c r="T385" s="65" t="n">
        <f aca="false">IF(D385&gt;0,(I385/D385),"")</f>
        <v>0.015</v>
      </c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/>
      <c r="DB385" s="74"/>
      <c r="DC385" s="74"/>
      <c r="DD385" s="74"/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</row>
    <row r="386" customFormat="false" ht="15.75" hidden="true" customHeight="true" outlineLevel="0" collapsed="false">
      <c r="A386" s="220" t="s">
        <v>369</v>
      </c>
      <c r="B386" s="95" t="n">
        <v>37091</v>
      </c>
      <c r="C386" s="188" t="s">
        <v>336</v>
      </c>
      <c r="D386" s="92" t="n">
        <f aca="false">I386/0.015</f>
        <v>-460.666666666667</v>
      </c>
      <c r="E386" s="93" t="n">
        <v>-8.195</v>
      </c>
      <c r="F386" s="81" t="n">
        <v>1.285</v>
      </c>
      <c r="G386" s="81" t="n">
        <v>0</v>
      </c>
      <c r="H386" s="81" t="n">
        <v>0</v>
      </c>
      <c r="I386" s="94" t="n">
        <f aca="false">SUM(E386:H386)</f>
        <v>-6.91</v>
      </c>
      <c r="J386" s="118" t="s">
        <v>226</v>
      </c>
      <c r="K386" s="74"/>
      <c r="L386" s="74"/>
      <c r="M386" s="119"/>
      <c r="N386" s="74"/>
      <c r="O386" s="74"/>
      <c r="P386" s="74"/>
      <c r="Q386" s="74"/>
      <c r="R386" s="74"/>
      <c r="S386" s="74"/>
      <c r="T386" s="65" t="str">
        <f aca="false">IF(D386&gt;0,(I386/D386),"")</f>
        <v/>
      </c>
      <c r="U386" s="74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4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/>
      <c r="DC386" s="74"/>
      <c r="DD386" s="74"/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</row>
    <row r="387" customFormat="false" ht="15.75" hidden="true" customHeight="true" outlineLevel="0" collapsed="false">
      <c r="A387" s="220" t="s">
        <v>370</v>
      </c>
      <c r="B387" s="95" t="n">
        <v>37091</v>
      </c>
      <c r="C387" s="188" t="s">
        <v>336</v>
      </c>
      <c r="D387" s="92" t="n">
        <f aca="false">I387/0.015</f>
        <v>-106.666666666667</v>
      </c>
      <c r="E387" s="93" t="n">
        <v>-1.851</v>
      </c>
      <c r="F387" s="81" t="n">
        <v>0.251</v>
      </c>
      <c r="G387" s="81" t="n">
        <v>0</v>
      </c>
      <c r="H387" s="81" t="n">
        <v>0</v>
      </c>
      <c r="I387" s="94" t="n">
        <f aca="false">SUM(E387:H387)</f>
        <v>-1.6</v>
      </c>
      <c r="J387" s="118" t="s">
        <v>226</v>
      </c>
      <c r="K387" s="74"/>
      <c r="L387" s="74"/>
      <c r="M387" s="119"/>
      <c r="N387" s="74"/>
      <c r="O387" s="74"/>
      <c r="P387" s="74"/>
      <c r="Q387" s="74"/>
      <c r="R387" s="74"/>
      <c r="S387" s="74"/>
      <c r="T387" s="65" t="str">
        <f aca="false">IF(D387&gt;0,(I387/D387),"")</f>
        <v/>
      </c>
      <c r="U387" s="74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4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/>
      <c r="DC387" s="74"/>
      <c r="DD387" s="74"/>
      <c r="DE387" s="74"/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</row>
    <row r="388" customFormat="false" ht="15.75" hidden="true" customHeight="true" outlineLevel="0" collapsed="false">
      <c r="A388" s="220" t="s">
        <v>371</v>
      </c>
      <c r="B388" s="95" t="n">
        <v>37098</v>
      </c>
      <c r="C388" s="118" t="s">
        <v>273</v>
      </c>
      <c r="D388" s="96" t="n">
        <v>-1693</v>
      </c>
      <c r="E388" s="93" t="n">
        <v>-29.009</v>
      </c>
      <c r="F388" s="81" t="n">
        <v>3.609</v>
      </c>
      <c r="G388" s="81"/>
      <c r="H388" s="81"/>
      <c r="I388" s="94" t="n">
        <f aca="false">SUM(E388:H388)</f>
        <v>-25.4</v>
      </c>
      <c r="J388" s="118" t="s">
        <v>226</v>
      </c>
      <c r="K388" s="74"/>
      <c r="L388" s="74"/>
      <c r="M388" s="119"/>
      <c r="N388" s="74"/>
      <c r="O388" s="74"/>
      <c r="P388" s="74"/>
      <c r="Q388" s="74"/>
      <c r="R388" s="74"/>
      <c r="S388" s="74"/>
      <c r="T388" s="65" t="str">
        <f aca="false">IF(D388&gt;0,(I388/D388),"")</f>
        <v/>
      </c>
      <c r="U388" s="74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4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/>
      <c r="DC388" s="74"/>
      <c r="DD388" s="74"/>
      <c r="DE388" s="74"/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</row>
    <row r="389" customFormat="false" ht="15.75" hidden="true" customHeight="true" outlineLevel="0" collapsed="false">
      <c r="A389" s="220" t="s">
        <v>372</v>
      </c>
      <c r="B389" s="95" t="n">
        <v>37098</v>
      </c>
      <c r="C389" s="118" t="s">
        <v>273</v>
      </c>
      <c r="D389" s="96" t="n">
        <f aca="false">I389/0.03</f>
        <v>558.3</v>
      </c>
      <c r="E389" s="93" t="n">
        <v>20.358</v>
      </c>
      <c r="F389" s="81" t="n">
        <v>-3.609</v>
      </c>
      <c r="G389" s="81"/>
      <c r="H389" s="81"/>
      <c r="I389" s="94" t="n">
        <f aca="false">SUM(E389:H389)</f>
        <v>16.749</v>
      </c>
      <c r="J389" s="118" t="s">
        <v>226</v>
      </c>
      <c r="K389" s="74"/>
      <c r="L389" s="74"/>
      <c r="M389" s="119"/>
      <c r="N389" s="74"/>
      <c r="O389" s="74"/>
      <c r="P389" s="74"/>
      <c r="Q389" s="74"/>
      <c r="R389" s="74"/>
      <c r="S389" s="74"/>
      <c r="T389" s="65" t="n">
        <f aca="false">IF(D389&gt;0,(I389/D389),"")</f>
        <v>0.03</v>
      </c>
      <c r="U389" s="74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4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/>
      <c r="DA389" s="74"/>
      <c r="DB389" s="74"/>
      <c r="DC389" s="74"/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</row>
    <row r="390" customFormat="false" ht="15.75" hidden="true" customHeight="true" outlineLevel="0" collapsed="false">
      <c r="A390" s="220" t="s">
        <v>373</v>
      </c>
      <c r="B390" s="95" t="n">
        <v>37091</v>
      </c>
      <c r="C390" s="188" t="s">
        <v>336</v>
      </c>
      <c r="D390" s="92" t="n">
        <f aca="false">I390/0.015</f>
        <v>-1547.2</v>
      </c>
      <c r="E390" s="93" t="n">
        <v>-26.751</v>
      </c>
      <c r="F390" s="81" t="n">
        <v>3.543</v>
      </c>
      <c r="G390" s="81" t="n">
        <v>0</v>
      </c>
      <c r="H390" s="81" t="n">
        <v>0</v>
      </c>
      <c r="I390" s="94" t="n">
        <f aca="false">SUM(E390:H390)</f>
        <v>-23.208</v>
      </c>
      <c r="J390" s="118" t="s">
        <v>226</v>
      </c>
      <c r="K390" s="74"/>
      <c r="L390" s="74"/>
      <c r="M390" s="119"/>
      <c r="N390" s="74"/>
      <c r="O390" s="74"/>
      <c r="P390" s="74"/>
      <c r="Q390" s="74"/>
      <c r="R390" s="74"/>
      <c r="S390" s="74"/>
      <c r="T390" s="65" t="str">
        <f aca="false">IF(D390&gt;0,(I390/D390),"")</f>
        <v/>
      </c>
      <c r="U390" s="74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4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/>
      <c r="DC390" s="74"/>
      <c r="DD390" s="74"/>
      <c r="DE390" s="74"/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</row>
    <row r="391" customFormat="false" ht="5.1" hidden="true" customHeight="true" outlineLevel="0" collapsed="false">
      <c r="A391" s="229"/>
      <c r="B391" s="224"/>
      <c r="C391" s="215"/>
      <c r="D391" s="216"/>
      <c r="E391" s="217"/>
      <c r="F391" s="218"/>
      <c r="G391" s="218"/>
      <c r="H391" s="218"/>
      <c r="I391" s="219"/>
      <c r="J391" s="118"/>
      <c r="K391" s="74"/>
      <c r="L391" s="74"/>
      <c r="M391" s="119"/>
      <c r="N391" s="74"/>
      <c r="O391" s="74"/>
      <c r="P391" s="74"/>
      <c r="Q391" s="74"/>
      <c r="R391" s="74"/>
      <c r="S391" s="74"/>
      <c r="T391" s="65" t="str">
        <f aca="false">IF(D391&gt;0,(I391/D391),"")</f>
        <v/>
      </c>
      <c r="U391" s="74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4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/>
      <c r="DD391" s="74"/>
      <c r="DE391" s="74"/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</row>
    <row r="392" customFormat="false" ht="15.75" hidden="false" customHeight="false" outlineLevel="0" collapsed="false">
      <c r="A392" s="120" t="s">
        <v>374</v>
      </c>
      <c r="B392" s="95" t="n">
        <v>37091</v>
      </c>
      <c r="C392" s="188" t="s">
        <v>273</v>
      </c>
      <c r="D392" s="92" t="n">
        <f aca="false">SUM(D293:D304)</f>
        <v>-31943.5333333333</v>
      </c>
      <c r="E392" s="93" t="n">
        <f aca="false">SUM(E293:E304)</f>
        <v>-488.026</v>
      </c>
      <c r="F392" s="81" t="n">
        <f aca="false">SUM(F293:F304)</f>
        <v>8.873</v>
      </c>
      <c r="G392" s="81" t="n">
        <f aca="false">SUM(G293:G304)</f>
        <v>0</v>
      </c>
      <c r="H392" s="81" t="n">
        <f aca="false">SUM(H293:H304)</f>
        <v>0</v>
      </c>
      <c r="I392" s="94" t="n">
        <f aca="false">SUM(I293:I304)</f>
        <v>-479.153</v>
      </c>
      <c r="J392" s="118" t="s">
        <v>21</v>
      </c>
      <c r="K392" s="97"/>
      <c r="L392" s="97"/>
      <c r="M392" s="119"/>
      <c r="N392" s="97"/>
      <c r="O392" s="97"/>
      <c r="P392" s="97"/>
      <c r="Q392" s="97"/>
      <c r="R392" s="97"/>
      <c r="S392" s="97"/>
      <c r="T392" s="65" t="str">
        <f aca="false">IF(D392&gt;0,(I392/D392),"")</f>
        <v/>
      </c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7"/>
      <c r="BC392" s="97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7"/>
      <c r="CA392" s="97"/>
      <c r="CB392" s="97"/>
      <c r="CC392" s="97"/>
      <c r="CD392" s="97"/>
      <c r="CE392" s="97"/>
      <c r="CF392" s="97"/>
      <c r="CG392" s="97"/>
      <c r="CH392" s="97"/>
      <c r="CI392" s="97"/>
      <c r="CJ392" s="97"/>
      <c r="CK392" s="97"/>
      <c r="CL392" s="97"/>
      <c r="CM392" s="97"/>
      <c r="CN392" s="97"/>
      <c r="CO392" s="97"/>
      <c r="CP392" s="97"/>
      <c r="CQ392" s="97"/>
      <c r="CR392" s="97"/>
      <c r="CS392" s="97"/>
      <c r="CT392" s="97"/>
      <c r="CU392" s="97"/>
      <c r="CV392" s="97"/>
      <c r="CW392" s="97"/>
      <c r="CX392" s="97"/>
      <c r="CY392" s="97"/>
      <c r="CZ392" s="97"/>
      <c r="DA392" s="97"/>
      <c r="DB392" s="97"/>
      <c r="DC392" s="97"/>
      <c r="DD392" s="97"/>
      <c r="DE392" s="97"/>
      <c r="DF392" s="97"/>
      <c r="DG392" s="97"/>
      <c r="DH392" s="97"/>
      <c r="DI392" s="97"/>
      <c r="DJ392" s="97"/>
      <c r="DK392" s="97"/>
      <c r="DL392" s="97"/>
      <c r="DM392" s="97"/>
      <c r="DN392" s="97"/>
      <c r="DO392" s="97"/>
      <c r="DP392" s="97"/>
      <c r="DQ392" s="97"/>
      <c r="DR392" s="97"/>
      <c r="DS392" s="97"/>
      <c r="DT392" s="97"/>
      <c r="DU392" s="97"/>
      <c r="DV392" s="97"/>
      <c r="DW392" s="97"/>
      <c r="DX392" s="97"/>
      <c r="DY392" s="97"/>
      <c r="DZ392" s="97"/>
      <c r="EA392" s="97"/>
      <c r="EB392" s="97"/>
      <c r="EC392" s="97"/>
      <c r="ED392" s="97"/>
      <c r="EE392" s="97"/>
      <c r="EF392" s="97"/>
      <c r="EG392" s="97"/>
      <c r="EH392" s="97"/>
      <c r="EI392" s="97"/>
      <c r="EJ392" s="97"/>
      <c r="EK392" s="97"/>
      <c r="EL392" s="97"/>
      <c r="EM392" s="97"/>
      <c r="EN392" s="97"/>
      <c r="EO392" s="97"/>
      <c r="EP392" s="97"/>
      <c r="EQ392" s="97"/>
      <c r="ER392" s="97"/>
      <c r="ES392" s="97"/>
      <c r="ET392" s="97"/>
      <c r="EU392" s="97"/>
      <c r="EV392" s="97"/>
      <c r="EW392" s="97"/>
      <c r="EX392" s="97"/>
      <c r="EY392" s="97"/>
      <c r="EZ392" s="97"/>
      <c r="FA392" s="97"/>
      <c r="FB392" s="97"/>
      <c r="FC392" s="97"/>
      <c r="FD392" s="97"/>
      <c r="FE392" s="97"/>
      <c r="FF392" s="97"/>
      <c r="FG392" s="97"/>
      <c r="FH392" s="97"/>
      <c r="FI392" s="97"/>
      <c r="FJ392" s="97"/>
      <c r="FK392" s="97"/>
      <c r="FL392" s="97"/>
      <c r="FM392" s="97"/>
      <c r="FN392" s="97"/>
      <c r="FO392" s="97"/>
      <c r="FP392" s="97"/>
      <c r="FQ392" s="97"/>
      <c r="FR392" s="97"/>
      <c r="FS392" s="97"/>
      <c r="FT392" s="97"/>
      <c r="FU392" s="97"/>
      <c r="FV392" s="97"/>
      <c r="FW392" s="97"/>
      <c r="FX392" s="97"/>
      <c r="FY392" s="97"/>
      <c r="FZ392" s="97"/>
      <c r="GA392" s="97"/>
      <c r="GB392" s="97"/>
      <c r="GC392" s="97"/>
      <c r="GD392" s="97"/>
      <c r="GE392" s="97"/>
      <c r="GF392" s="97"/>
      <c r="GG392" s="97"/>
      <c r="GH392" s="97"/>
      <c r="GI392" s="97"/>
      <c r="GJ392" s="97"/>
      <c r="GK392" s="97"/>
      <c r="GL392" s="97"/>
      <c r="GM392" s="97"/>
      <c r="GN392" s="97"/>
      <c r="GO392" s="97"/>
      <c r="GP392" s="97"/>
      <c r="GQ392" s="97"/>
      <c r="GR392" s="97"/>
      <c r="GS392" s="97"/>
      <c r="GT392" s="97"/>
      <c r="GU392" s="97"/>
      <c r="GV392" s="97"/>
      <c r="GW392" s="97"/>
      <c r="GX392" s="97"/>
      <c r="GY392" s="97"/>
      <c r="GZ392" s="97"/>
      <c r="HA392" s="97"/>
      <c r="HB392" s="97"/>
      <c r="HC392" s="97"/>
      <c r="HD392" s="97"/>
      <c r="HE392" s="97"/>
      <c r="HF392" s="97"/>
      <c r="HG392" s="97"/>
      <c r="HH392" s="97"/>
      <c r="HI392" s="97"/>
      <c r="HJ392" s="97"/>
      <c r="HK392" s="97"/>
      <c r="HL392" s="97"/>
      <c r="HM392" s="97"/>
      <c r="HN392" s="97"/>
      <c r="HO392" s="97"/>
      <c r="HP392" s="97"/>
      <c r="HQ392" s="97"/>
      <c r="HR392" s="97"/>
      <c r="HS392" s="97"/>
      <c r="HT392" s="97"/>
      <c r="HU392" s="97"/>
      <c r="HV392" s="97"/>
      <c r="HW392" s="97"/>
      <c r="HX392" s="97"/>
      <c r="HY392" s="97"/>
      <c r="HZ392" s="97"/>
      <c r="IA392" s="97"/>
      <c r="IB392" s="97"/>
      <c r="IC392" s="97"/>
      <c r="ID392" s="97"/>
      <c r="IE392" s="97"/>
      <c r="IF392" s="97"/>
      <c r="IG392" s="97"/>
      <c r="IH392" s="97"/>
      <c r="II392" s="97"/>
      <c r="IJ392" s="97"/>
      <c r="IK392" s="97"/>
      <c r="IL392" s="97"/>
      <c r="IM392" s="97"/>
      <c r="IN392" s="97"/>
      <c r="IO392" s="97"/>
      <c r="IP392" s="97"/>
      <c r="IQ392" s="97"/>
      <c r="IR392" s="97"/>
      <c r="IS392" s="97"/>
      <c r="IT392" s="97"/>
      <c r="IU392" s="97"/>
      <c r="IV392" s="97"/>
      <c r="IW392" s="97"/>
    </row>
    <row r="393" customFormat="false" ht="5.1" hidden="true" customHeight="true" outlineLevel="0" collapsed="false">
      <c r="A393" s="213"/>
      <c r="B393" s="224"/>
      <c r="C393" s="215"/>
      <c r="D393" s="216"/>
      <c r="E393" s="217"/>
      <c r="F393" s="218"/>
      <c r="G393" s="218"/>
      <c r="H393" s="218"/>
      <c r="I393" s="219"/>
      <c r="J393" s="118"/>
      <c r="K393" s="97"/>
      <c r="L393" s="97"/>
      <c r="M393" s="119"/>
      <c r="N393" s="97"/>
      <c r="O393" s="97"/>
      <c r="P393" s="97"/>
      <c r="Q393" s="97"/>
      <c r="R393" s="97"/>
      <c r="S393" s="97"/>
      <c r="T393" s="65" t="str">
        <f aca="false">IF(D393&gt;0,(I393/D393),"")</f>
        <v/>
      </c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7"/>
      <c r="AV393" s="97"/>
      <c r="AW393" s="97"/>
      <c r="AX393" s="97"/>
      <c r="AY393" s="97"/>
      <c r="AZ393" s="97"/>
      <c r="BA393" s="97"/>
      <c r="BB393" s="97"/>
      <c r="BC393" s="97"/>
      <c r="BD393" s="97"/>
      <c r="BE393" s="97"/>
      <c r="BF393" s="97"/>
      <c r="BG393" s="97"/>
      <c r="BH393" s="97"/>
      <c r="BI393" s="97"/>
      <c r="BJ393" s="97"/>
      <c r="BK393" s="97"/>
      <c r="BL393" s="97"/>
      <c r="BM393" s="97"/>
      <c r="BN393" s="97"/>
      <c r="BO393" s="97"/>
      <c r="BP393" s="97"/>
      <c r="BQ393" s="97"/>
      <c r="BR393" s="97"/>
      <c r="BS393" s="97"/>
      <c r="BT393" s="97"/>
      <c r="BU393" s="97"/>
      <c r="BV393" s="97"/>
      <c r="BW393" s="97"/>
      <c r="BX393" s="97"/>
      <c r="BY393" s="97"/>
      <c r="BZ393" s="97"/>
      <c r="CA393" s="97"/>
      <c r="CB393" s="97"/>
      <c r="CC393" s="97"/>
      <c r="CD393" s="97"/>
      <c r="CE393" s="97"/>
      <c r="CF393" s="97"/>
      <c r="CG393" s="97"/>
      <c r="CH393" s="97"/>
      <c r="CI393" s="97"/>
      <c r="CJ393" s="97"/>
      <c r="CK393" s="97"/>
      <c r="CL393" s="97"/>
      <c r="CM393" s="97"/>
      <c r="CN393" s="97"/>
      <c r="CO393" s="97"/>
      <c r="CP393" s="97"/>
      <c r="CQ393" s="97"/>
      <c r="CR393" s="97"/>
      <c r="CS393" s="97"/>
      <c r="CT393" s="97"/>
      <c r="CU393" s="97"/>
      <c r="CV393" s="97"/>
      <c r="CW393" s="97"/>
      <c r="CX393" s="97"/>
      <c r="CY393" s="97"/>
      <c r="CZ393" s="97"/>
      <c r="DA393" s="97"/>
      <c r="DB393" s="97"/>
      <c r="DC393" s="97"/>
      <c r="DD393" s="97"/>
      <c r="DE393" s="97"/>
      <c r="DF393" s="97"/>
      <c r="DG393" s="97"/>
      <c r="DH393" s="97"/>
      <c r="DI393" s="97"/>
      <c r="DJ393" s="97"/>
      <c r="DK393" s="97"/>
      <c r="DL393" s="97"/>
      <c r="DM393" s="97"/>
      <c r="DN393" s="97"/>
      <c r="DO393" s="97"/>
      <c r="DP393" s="97"/>
      <c r="DQ393" s="97"/>
      <c r="DR393" s="97"/>
      <c r="DS393" s="97"/>
      <c r="DT393" s="97"/>
      <c r="DU393" s="97"/>
      <c r="DV393" s="97"/>
      <c r="DW393" s="97"/>
      <c r="DX393" s="97"/>
      <c r="DY393" s="97"/>
      <c r="DZ393" s="97"/>
      <c r="EA393" s="97"/>
      <c r="EB393" s="97"/>
      <c r="EC393" s="97"/>
      <c r="ED393" s="97"/>
      <c r="EE393" s="97"/>
      <c r="EF393" s="97"/>
      <c r="EG393" s="97"/>
      <c r="EH393" s="97"/>
      <c r="EI393" s="97"/>
      <c r="EJ393" s="97"/>
      <c r="EK393" s="97"/>
      <c r="EL393" s="97"/>
      <c r="EM393" s="97"/>
      <c r="EN393" s="97"/>
      <c r="EO393" s="97"/>
      <c r="EP393" s="97"/>
      <c r="EQ393" s="97"/>
      <c r="ER393" s="97"/>
      <c r="ES393" s="97"/>
      <c r="ET393" s="97"/>
      <c r="EU393" s="97"/>
      <c r="EV393" s="97"/>
      <c r="EW393" s="97"/>
      <c r="EX393" s="97"/>
      <c r="EY393" s="97"/>
      <c r="EZ393" s="97"/>
      <c r="FA393" s="97"/>
      <c r="FB393" s="97"/>
      <c r="FC393" s="97"/>
      <c r="FD393" s="97"/>
      <c r="FE393" s="97"/>
      <c r="FF393" s="97"/>
      <c r="FG393" s="97"/>
      <c r="FH393" s="97"/>
      <c r="FI393" s="97"/>
      <c r="FJ393" s="97"/>
      <c r="FK393" s="97"/>
      <c r="FL393" s="97"/>
      <c r="FM393" s="97"/>
      <c r="FN393" s="97"/>
      <c r="FO393" s="97"/>
      <c r="FP393" s="97"/>
      <c r="FQ393" s="97"/>
      <c r="FR393" s="97"/>
      <c r="FS393" s="97"/>
      <c r="FT393" s="97"/>
      <c r="FU393" s="97"/>
      <c r="FV393" s="97"/>
      <c r="FW393" s="97"/>
      <c r="FX393" s="97"/>
      <c r="FY393" s="97"/>
      <c r="FZ393" s="97"/>
      <c r="GA393" s="97"/>
      <c r="GB393" s="97"/>
      <c r="GC393" s="97"/>
      <c r="GD393" s="97"/>
      <c r="GE393" s="97"/>
      <c r="GF393" s="97"/>
      <c r="GG393" s="97"/>
      <c r="GH393" s="97"/>
      <c r="GI393" s="97"/>
      <c r="GJ393" s="97"/>
      <c r="GK393" s="97"/>
      <c r="GL393" s="97"/>
      <c r="GM393" s="97"/>
      <c r="GN393" s="97"/>
      <c r="GO393" s="97"/>
      <c r="GP393" s="97"/>
      <c r="GQ393" s="97"/>
      <c r="GR393" s="97"/>
      <c r="GS393" s="97"/>
      <c r="GT393" s="97"/>
      <c r="GU393" s="97"/>
      <c r="GV393" s="97"/>
      <c r="GW393" s="97"/>
      <c r="GX393" s="97"/>
      <c r="GY393" s="97"/>
      <c r="GZ393" s="97"/>
      <c r="HA393" s="97"/>
      <c r="HB393" s="97"/>
      <c r="HC393" s="97"/>
      <c r="HD393" s="97"/>
      <c r="HE393" s="97"/>
      <c r="HF393" s="97"/>
      <c r="HG393" s="97"/>
      <c r="HH393" s="97"/>
      <c r="HI393" s="97"/>
      <c r="HJ393" s="97"/>
      <c r="HK393" s="97"/>
      <c r="HL393" s="97"/>
      <c r="HM393" s="97"/>
      <c r="HN393" s="97"/>
      <c r="HO393" s="97"/>
      <c r="HP393" s="97"/>
      <c r="HQ393" s="97"/>
      <c r="HR393" s="97"/>
      <c r="HS393" s="97"/>
      <c r="HT393" s="97"/>
      <c r="HU393" s="97"/>
      <c r="HV393" s="97"/>
      <c r="HW393" s="97"/>
      <c r="HX393" s="97"/>
      <c r="HY393" s="97"/>
      <c r="HZ393" s="97"/>
      <c r="IA393" s="97"/>
      <c r="IB393" s="97"/>
      <c r="IC393" s="97"/>
      <c r="ID393" s="97"/>
      <c r="IE393" s="97"/>
      <c r="IF393" s="97"/>
      <c r="IG393" s="97"/>
      <c r="IH393" s="97"/>
      <c r="II393" s="97"/>
      <c r="IJ393" s="97"/>
      <c r="IK393" s="97"/>
      <c r="IL393" s="97"/>
      <c r="IM393" s="97"/>
      <c r="IN393" s="97"/>
      <c r="IO393" s="97"/>
      <c r="IP393" s="97"/>
      <c r="IQ393" s="97"/>
      <c r="IR393" s="97"/>
      <c r="IS393" s="97"/>
      <c r="IT393" s="97"/>
      <c r="IU393" s="97"/>
      <c r="IV393" s="97"/>
      <c r="IW393" s="97"/>
    </row>
    <row r="394" customFormat="false" ht="18" hidden="true" customHeight="true" outlineLevel="0" collapsed="false">
      <c r="A394" s="220" t="s">
        <v>375</v>
      </c>
      <c r="B394" s="95" t="n">
        <v>37091</v>
      </c>
      <c r="C394" s="188" t="s">
        <v>273</v>
      </c>
      <c r="D394" s="92" t="n">
        <f aca="false">I394/0.015</f>
        <v>-14239.6</v>
      </c>
      <c r="E394" s="93" t="n">
        <v>-216.427</v>
      </c>
      <c r="F394" s="81" t="n">
        <v>2.833</v>
      </c>
      <c r="G394" s="81" t="n">
        <v>0</v>
      </c>
      <c r="H394" s="81" t="n">
        <v>0</v>
      </c>
      <c r="I394" s="94" t="n">
        <f aca="false">SUM(E394:H394)</f>
        <v>-213.594</v>
      </c>
      <c r="J394" s="118" t="s">
        <v>21</v>
      </c>
      <c r="K394" s="74"/>
      <c r="L394" s="74"/>
      <c r="M394" s="119"/>
      <c r="N394" s="74"/>
      <c r="O394" s="74"/>
      <c r="P394" s="74"/>
      <c r="Q394" s="74"/>
      <c r="R394" s="74"/>
      <c r="S394" s="74"/>
      <c r="T394" s="65" t="str">
        <f aca="false">IF(D394&gt;0,(I394/D394),"")</f>
        <v/>
      </c>
      <c r="U394" s="74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4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/>
      <c r="DE394" s="74"/>
      <c r="DF394" s="74"/>
      <c r="DG394" s="74"/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</row>
    <row r="395" customFormat="false" ht="18" hidden="true" customHeight="true" outlineLevel="0" collapsed="false">
      <c r="A395" s="220" t="s">
        <v>376</v>
      </c>
      <c r="B395" s="95" t="n">
        <v>37091</v>
      </c>
      <c r="C395" s="188" t="s">
        <v>273</v>
      </c>
      <c r="D395" s="92" t="n">
        <f aca="false">I395/0.015</f>
        <v>-1543.13333333333</v>
      </c>
      <c r="E395" s="93" t="n">
        <v>-23.58</v>
      </c>
      <c r="F395" s="81" t="n">
        <v>0.433</v>
      </c>
      <c r="G395" s="81" t="n">
        <v>0</v>
      </c>
      <c r="H395" s="81" t="n">
        <v>0</v>
      </c>
      <c r="I395" s="94" t="n">
        <f aca="false">SUM(E395:H395)</f>
        <v>-23.147</v>
      </c>
      <c r="J395" s="118" t="s">
        <v>21</v>
      </c>
      <c r="K395" s="74"/>
      <c r="L395" s="74"/>
      <c r="M395" s="119"/>
      <c r="N395" s="74"/>
      <c r="O395" s="74"/>
      <c r="P395" s="74"/>
      <c r="Q395" s="74"/>
      <c r="R395" s="74"/>
      <c r="S395" s="74"/>
      <c r="T395" s="65" t="str">
        <f aca="false">IF(D395&gt;0,(I395/D395),"")</f>
        <v/>
      </c>
      <c r="U395" s="74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4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/>
      <c r="DE395" s="74"/>
      <c r="DF395" s="74"/>
      <c r="DG395" s="74"/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</row>
    <row r="396" customFormat="false" ht="18" hidden="true" customHeight="true" outlineLevel="0" collapsed="false">
      <c r="A396" s="220" t="s">
        <v>377</v>
      </c>
      <c r="B396" s="95" t="n">
        <v>37091</v>
      </c>
      <c r="C396" s="188" t="s">
        <v>273</v>
      </c>
      <c r="D396" s="92" t="n">
        <f aca="false">I396/0.015</f>
        <v>-3942.73333333333</v>
      </c>
      <c r="E396" s="93" t="n">
        <v>-60.087</v>
      </c>
      <c r="F396" s="81" t="n">
        <v>0.946</v>
      </c>
      <c r="G396" s="81" t="n">
        <v>0</v>
      </c>
      <c r="H396" s="81" t="n">
        <v>0</v>
      </c>
      <c r="I396" s="94" t="n">
        <f aca="false">SUM(E396:H396)</f>
        <v>-59.141</v>
      </c>
      <c r="J396" s="118" t="s">
        <v>21</v>
      </c>
      <c r="K396" s="74"/>
      <c r="L396" s="74"/>
      <c r="M396" s="119"/>
      <c r="N396" s="74"/>
      <c r="O396" s="74"/>
      <c r="P396" s="74"/>
      <c r="Q396" s="74"/>
      <c r="R396" s="74"/>
      <c r="S396" s="74"/>
      <c r="T396" s="65" t="str">
        <f aca="false">IF(D396&gt;0,(I396/D396),"")</f>
        <v/>
      </c>
      <c r="U396" s="74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4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/>
      <c r="DE396" s="74"/>
      <c r="DF396" s="74"/>
      <c r="DG396" s="74"/>
      <c r="DH396" s="74"/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</row>
    <row r="397" customFormat="false" ht="18" hidden="true" customHeight="true" outlineLevel="0" collapsed="false">
      <c r="A397" s="220" t="s">
        <v>378</v>
      </c>
      <c r="B397" s="95" t="n">
        <v>37091</v>
      </c>
      <c r="C397" s="188" t="s">
        <v>273</v>
      </c>
      <c r="D397" s="92" t="n">
        <f aca="false">I397/0.015</f>
        <v>-3801.06666666667</v>
      </c>
      <c r="E397" s="93" t="n">
        <v>-58.116</v>
      </c>
      <c r="F397" s="81" t="n">
        <v>1.1</v>
      </c>
      <c r="G397" s="81" t="n">
        <v>0</v>
      </c>
      <c r="H397" s="81" t="n">
        <v>0</v>
      </c>
      <c r="I397" s="94" t="n">
        <f aca="false">SUM(E397:H397)</f>
        <v>-57.016</v>
      </c>
      <c r="J397" s="118" t="s">
        <v>21</v>
      </c>
      <c r="K397" s="74"/>
      <c r="L397" s="74"/>
      <c r="M397" s="119"/>
      <c r="N397" s="74"/>
      <c r="O397" s="74"/>
      <c r="P397" s="74"/>
      <c r="Q397" s="74"/>
      <c r="R397" s="74"/>
      <c r="S397" s="74"/>
      <c r="T397" s="65" t="str">
        <f aca="false">IF(D397&gt;0,(I397/D397),"")</f>
        <v/>
      </c>
      <c r="U397" s="74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4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/>
      <c r="DH397" s="74"/>
      <c r="DI397" s="74"/>
      <c r="DJ397" s="74"/>
      <c r="DK397" s="74"/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</row>
    <row r="398" customFormat="false" ht="18" hidden="true" customHeight="true" outlineLevel="0" collapsed="false">
      <c r="A398" s="220" t="s">
        <v>379</v>
      </c>
      <c r="B398" s="95" t="n">
        <v>37091</v>
      </c>
      <c r="C398" s="188" t="s">
        <v>273</v>
      </c>
      <c r="D398" s="92" t="n">
        <f aca="false">I398/0.015</f>
        <v>-1048.13333333333</v>
      </c>
      <c r="E398" s="93" t="n">
        <v>-16.046</v>
      </c>
      <c r="F398" s="81" t="n">
        <v>0.324</v>
      </c>
      <c r="G398" s="81" t="n">
        <v>0</v>
      </c>
      <c r="H398" s="81" t="n">
        <v>0</v>
      </c>
      <c r="I398" s="94" t="n">
        <f aca="false">SUM(E398:H398)</f>
        <v>-15.722</v>
      </c>
      <c r="J398" s="118" t="s">
        <v>21</v>
      </c>
      <c r="K398" s="74"/>
      <c r="L398" s="74"/>
      <c r="M398" s="119"/>
      <c r="N398" s="74"/>
      <c r="O398" s="74"/>
      <c r="P398" s="74"/>
      <c r="Q398" s="74"/>
      <c r="R398" s="74"/>
      <c r="S398" s="74"/>
      <c r="T398" s="65" t="str">
        <f aca="false">IF(D398&gt;0,(I398/D398),"")</f>
        <v/>
      </c>
      <c r="U398" s="74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4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/>
      <c r="DH398" s="74"/>
      <c r="DI398" s="74"/>
      <c r="DJ398" s="74"/>
      <c r="DK398" s="74"/>
      <c r="DL398" s="74"/>
      <c r="DM398" s="74"/>
      <c r="DN398" s="74"/>
      <c r="DO398" s="74"/>
      <c r="DP398" s="74"/>
      <c r="DQ398" s="74"/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</row>
    <row r="399" customFormat="false" ht="18" hidden="true" customHeight="true" outlineLevel="0" collapsed="false">
      <c r="A399" s="220" t="s">
        <v>380</v>
      </c>
      <c r="B399" s="95" t="n">
        <v>37091</v>
      </c>
      <c r="C399" s="188" t="s">
        <v>273</v>
      </c>
      <c r="D399" s="92" t="n">
        <f aca="false">I399/0.015</f>
        <v>-1563.46666666667</v>
      </c>
      <c r="E399" s="93" t="n">
        <v>-23.787</v>
      </c>
      <c r="F399" s="81" t="n">
        <v>0.335</v>
      </c>
      <c r="G399" s="81" t="n">
        <v>0</v>
      </c>
      <c r="H399" s="81" t="n">
        <v>0</v>
      </c>
      <c r="I399" s="94" t="n">
        <f aca="false">SUM(E399:H399)</f>
        <v>-23.452</v>
      </c>
      <c r="J399" s="118" t="s">
        <v>21</v>
      </c>
      <c r="K399" s="74"/>
      <c r="L399" s="74"/>
      <c r="M399" s="119"/>
      <c r="N399" s="74"/>
      <c r="O399" s="74"/>
      <c r="P399" s="74"/>
      <c r="Q399" s="74"/>
      <c r="R399" s="74"/>
      <c r="S399" s="74"/>
      <c r="T399" s="65" t="str">
        <f aca="false">IF(D399&gt;0,(I399/D399),"")</f>
        <v/>
      </c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/>
      <c r="DH399" s="74"/>
      <c r="DI399" s="74"/>
      <c r="DJ399" s="74"/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</row>
    <row r="400" customFormat="false" ht="18" hidden="true" customHeight="true" outlineLevel="0" collapsed="false">
      <c r="A400" s="220" t="s">
        <v>381</v>
      </c>
      <c r="B400" s="95" t="n">
        <v>37091</v>
      </c>
      <c r="C400" s="188" t="s">
        <v>273</v>
      </c>
      <c r="D400" s="92" t="n">
        <f aca="false">I400/0.015</f>
        <v>-2016.93333333333</v>
      </c>
      <c r="E400" s="93" t="n">
        <v>-30.68</v>
      </c>
      <c r="F400" s="81" t="n">
        <v>0.426</v>
      </c>
      <c r="G400" s="81" t="n">
        <v>0</v>
      </c>
      <c r="H400" s="81" t="n">
        <v>0</v>
      </c>
      <c r="I400" s="94" t="n">
        <f aca="false">SUM(E400:H400)</f>
        <v>-30.254</v>
      </c>
      <c r="J400" s="118" t="s">
        <v>21</v>
      </c>
      <c r="K400" s="74"/>
      <c r="L400" s="74"/>
      <c r="M400" s="119"/>
      <c r="N400" s="74"/>
      <c r="O400" s="74"/>
      <c r="P400" s="74"/>
      <c r="Q400" s="74"/>
      <c r="R400" s="74"/>
      <c r="S400" s="74"/>
      <c r="T400" s="65" t="str">
        <f aca="false">IF(D400&gt;0,(I400/D400),"")</f>
        <v/>
      </c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/>
      <c r="DH400" s="74"/>
      <c r="DI400" s="74"/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</row>
    <row r="401" customFormat="false" ht="18" hidden="true" customHeight="true" outlineLevel="0" collapsed="false">
      <c r="A401" s="220" t="s">
        <v>382</v>
      </c>
      <c r="B401" s="95" t="n">
        <v>37091</v>
      </c>
      <c r="C401" s="188" t="s">
        <v>273</v>
      </c>
      <c r="D401" s="92" t="n">
        <f aca="false">I401/0.015</f>
        <v>-1010.4</v>
      </c>
      <c r="E401" s="93" t="n">
        <v>-15.598</v>
      </c>
      <c r="F401" s="81" t="n">
        <v>0.442</v>
      </c>
      <c r="G401" s="81" t="n">
        <v>0</v>
      </c>
      <c r="H401" s="81" t="n">
        <v>0</v>
      </c>
      <c r="I401" s="94" t="n">
        <f aca="false">SUM(E401:H401)</f>
        <v>-15.156</v>
      </c>
      <c r="J401" s="118" t="s">
        <v>21</v>
      </c>
      <c r="K401" s="74"/>
      <c r="L401" s="74"/>
      <c r="M401" s="119"/>
      <c r="N401" s="74"/>
      <c r="O401" s="74"/>
      <c r="P401" s="74"/>
      <c r="Q401" s="74"/>
      <c r="R401" s="74"/>
      <c r="S401" s="74"/>
      <c r="T401" s="65" t="str">
        <f aca="false">IF(D401&gt;0,(I401/D401),"")</f>
        <v/>
      </c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/>
      <c r="DE401" s="74"/>
      <c r="DF401" s="74"/>
      <c r="DG401" s="74"/>
      <c r="DH401" s="74"/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</row>
    <row r="402" customFormat="false" ht="18" hidden="true" customHeight="true" outlineLevel="0" collapsed="false">
      <c r="A402" s="220" t="s">
        <v>383</v>
      </c>
      <c r="B402" s="95" t="n">
        <v>37091</v>
      </c>
      <c r="C402" s="188" t="s">
        <v>273</v>
      </c>
      <c r="D402" s="92" t="n">
        <f aca="false">I402/0.015</f>
        <v>-1942.93333333333</v>
      </c>
      <c r="E402" s="93" t="n">
        <v>-29.652</v>
      </c>
      <c r="F402" s="81" t="n">
        <v>0.508</v>
      </c>
      <c r="G402" s="81" t="n">
        <v>0</v>
      </c>
      <c r="H402" s="81" t="n">
        <v>0</v>
      </c>
      <c r="I402" s="94" t="n">
        <f aca="false">SUM(E402:H402)</f>
        <v>-29.144</v>
      </c>
      <c r="J402" s="118" t="s">
        <v>21</v>
      </c>
      <c r="K402" s="74"/>
      <c r="L402" s="74"/>
      <c r="M402" s="119"/>
      <c r="N402" s="74"/>
      <c r="O402" s="74"/>
      <c r="P402" s="74"/>
      <c r="Q402" s="74"/>
      <c r="R402" s="74"/>
      <c r="S402" s="74"/>
      <c r="T402" s="65" t="str">
        <f aca="false">IF(D402&gt;0,(I402/D402),"")</f>
        <v/>
      </c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/>
      <c r="DI402" s="74"/>
      <c r="DJ402" s="74"/>
      <c r="DK402" s="74"/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</row>
    <row r="403" customFormat="false" ht="18" hidden="true" customHeight="true" outlineLevel="0" collapsed="false">
      <c r="A403" s="220" t="s">
        <v>384</v>
      </c>
      <c r="B403" s="95" t="n">
        <v>37091</v>
      </c>
      <c r="C403" s="188" t="s">
        <v>273</v>
      </c>
      <c r="D403" s="92" t="n">
        <f aca="false">I403/0.015</f>
        <v>-1785</v>
      </c>
      <c r="E403" s="93" t="n">
        <v>-27.114</v>
      </c>
      <c r="F403" s="81" t="n">
        <v>0.339</v>
      </c>
      <c r="G403" s="81" t="n">
        <v>0</v>
      </c>
      <c r="H403" s="81" t="n">
        <v>0</v>
      </c>
      <c r="I403" s="94" t="n">
        <f aca="false">SUM(E403:H403)</f>
        <v>-26.775</v>
      </c>
      <c r="J403" s="118" t="s">
        <v>21</v>
      </c>
      <c r="K403" s="74"/>
      <c r="L403" s="74"/>
      <c r="M403" s="119"/>
      <c r="N403" s="74"/>
      <c r="O403" s="74"/>
      <c r="P403" s="74"/>
      <c r="Q403" s="74"/>
      <c r="R403" s="74"/>
      <c r="S403" s="74"/>
      <c r="T403" s="65" t="str">
        <f aca="false">IF(D403&gt;0,(I403/D403),"")</f>
        <v/>
      </c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/>
      <c r="DH403" s="74"/>
      <c r="DI403" s="74"/>
      <c r="DJ403" s="74"/>
      <c r="DK403" s="74"/>
      <c r="DL403" s="74"/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</row>
    <row r="404" customFormat="false" ht="18" hidden="true" customHeight="true" outlineLevel="0" collapsed="false">
      <c r="A404" s="220" t="s">
        <v>385</v>
      </c>
      <c r="B404" s="95" t="n">
        <v>37091</v>
      </c>
      <c r="C404" s="188" t="s">
        <v>273</v>
      </c>
      <c r="D404" s="92" t="n">
        <f aca="false">I404/0.015</f>
        <v>-1999.53333333333</v>
      </c>
      <c r="E404" s="93" t="n">
        <v>-30.394</v>
      </c>
      <c r="F404" s="81" t="n">
        <v>0.401</v>
      </c>
      <c r="G404" s="81" t="n">
        <v>0</v>
      </c>
      <c r="H404" s="81" t="n">
        <v>0</v>
      </c>
      <c r="I404" s="94" t="n">
        <f aca="false">SUM(E404:H404)</f>
        <v>-29.993</v>
      </c>
      <c r="J404" s="118" t="s">
        <v>21</v>
      </c>
      <c r="K404" s="74"/>
      <c r="L404" s="74"/>
      <c r="M404" s="119"/>
      <c r="N404" s="74"/>
      <c r="O404" s="74"/>
      <c r="P404" s="74"/>
      <c r="Q404" s="74"/>
      <c r="R404" s="74"/>
      <c r="S404" s="74"/>
      <c r="T404" s="65" t="str">
        <f aca="false">IF(D404&gt;0,(I404/D404),"")</f>
        <v/>
      </c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/>
      <c r="DE404" s="74"/>
      <c r="DF404" s="74"/>
      <c r="DG404" s="74"/>
      <c r="DH404" s="74"/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</row>
    <row r="405" customFormat="false" ht="18" hidden="true" customHeight="true" outlineLevel="0" collapsed="false">
      <c r="A405" s="220" t="s">
        <v>386</v>
      </c>
      <c r="B405" s="95" t="n">
        <v>37091</v>
      </c>
      <c r="C405" s="188" t="s">
        <v>273</v>
      </c>
      <c r="D405" s="92" t="n">
        <f aca="false">I405/0.015</f>
        <v>-1711.8</v>
      </c>
      <c r="E405" s="93" t="n">
        <v>-26.207</v>
      </c>
      <c r="F405" s="81" t="n">
        <v>0.53</v>
      </c>
      <c r="G405" s="81" t="n">
        <v>0</v>
      </c>
      <c r="H405" s="81" t="n">
        <v>0</v>
      </c>
      <c r="I405" s="94" t="n">
        <f aca="false">SUM(E405:H405)</f>
        <v>-25.677</v>
      </c>
      <c r="J405" s="118" t="s">
        <v>21</v>
      </c>
      <c r="K405" s="74"/>
      <c r="L405" s="74"/>
      <c r="M405" s="119"/>
      <c r="N405" s="74"/>
      <c r="O405" s="74"/>
      <c r="P405" s="74"/>
      <c r="Q405" s="74"/>
      <c r="R405" s="74"/>
      <c r="S405" s="74"/>
      <c r="T405" s="65" t="str">
        <f aca="false">IF(D405&gt;0,(I405/D405),"")</f>
        <v/>
      </c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/>
      <c r="DI405" s="74"/>
      <c r="DJ405" s="74"/>
      <c r="DK405" s="74"/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</row>
    <row r="406" customFormat="false" ht="18" hidden="true" customHeight="true" outlineLevel="0" collapsed="false">
      <c r="A406" s="220" t="s">
        <v>387</v>
      </c>
      <c r="B406" s="95" t="n">
        <v>37091</v>
      </c>
      <c r="C406" s="188" t="s">
        <v>273</v>
      </c>
      <c r="D406" s="92" t="n">
        <f aca="false">I406/0.015</f>
        <v>-1797</v>
      </c>
      <c r="E406" s="93" t="n">
        <v>-27.316</v>
      </c>
      <c r="F406" s="81" t="n">
        <v>0.361</v>
      </c>
      <c r="G406" s="81" t="n">
        <v>0</v>
      </c>
      <c r="H406" s="81" t="n">
        <v>0</v>
      </c>
      <c r="I406" s="94" t="n">
        <f aca="false">SUM(E406:H406)</f>
        <v>-26.955</v>
      </c>
      <c r="J406" s="118" t="s">
        <v>21</v>
      </c>
      <c r="K406" s="74"/>
      <c r="L406" s="74"/>
      <c r="M406" s="119"/>
      <c r="N406" s="74"/>
      <c r="O406" s="74"/>
      <c r="P406" s="74"/>
      <c r="Q406" s="74"/>
      <c r="R406" s="74"/>
      <c r="S406" s="74"/>
      <c r="T406" s="65" t="str">
        <f aca="false">IF(D406&gt;0,(I406/D406),"")</f>
        <v/>
      </c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/>
      <c r="DH406" s="74"/>
      <c r="DI406" s="74"/>
      <c r="DJ406" s="74"/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/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</row>
    <row r="407" customFormat="false" ht="18" hidden="true" customHeight="true" outlineLevel="0" collapsed="false">
      <c r="A407" s="220" t="s">
        <v>388</v>
      </c>
      <c r="B407" s="95" t="n">
        <v>37091</v>
      </c>
      <c r="C407" s="188" t="s">
        <v>273</v>
      </c>
      <c r="D407" s="92" t="n">
        <f aca="false">I407/0.015</f>
        <v>-1092</v>
      </c>
      <c r="E407" s="93" t="n">
        <v>-16.655</v>
      </c>
      <c r="F407" s="81" t="n">
        <v>0.275</v>
      </c>
      <c r="G407" s="81" t="n">
        <v>0</v>
      </c>
      <c r="H407" s="81" t="n">
        <v>0</v>
      </c>
      <c r="I407" s="94" t="n">
        <f aca="false">SUM(E407:H407)</f>
        <v>-16.38</v>
      </c>
      <c r="J407" s="118" t="s">
        <v>21</v>
      </c>
      <c r="K407" s="74"/>
      <c r="L407" s="74"/>
      <c r="M407" s="119"/>
      <c r="N407" s="74"/>
      <c r="O407" s="74"/>
      <c r="P407" s="74"/>
      <c r="Q407" s="74"/>
      <c r="R407" s="74"/>
      <c r="S407" s="74"/>
      <c r="T407" s="65" t="str">
        <f aca="false">IF(D407&gt;0,(I407/D407),"")</f>
        <v/>
      </c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/>
      <c r="DI407" s="74"/>
      <c r="DJ407" s="74"/>
      <c r="DK407" s="74"/>
      <c r="DL407" s="74"/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</row>
    <row r="408" customFormat="false" ht="18" hidden="true" customHeight="true" outlineLevel="0" collapsed="false">
      <c r="A408" s="220" t="s">
        <v>389</v>
      </c>
      <c r="B408" s="95" t="n">
        <v>37091</v>
      </c>
      <c r="C408" s="188" t="s">
        <v>273</v>
      </c>
      <c r="D408" s="92" t="n">
        <f aca="false">I408/0.015</f>
        <v>-346.866666666667</v>
      </c>
      <c r="E408" s="93" t="n">
        <v>-5.252</v>
      </c>
      <c r="F408" s="81" t="n">
        <v>0.049</v>
      </c>
      <c r="G408" s="81" t="n">
        <v>0</v>
      </c>
      <c r="H408" s="81" t="n">
        <v>0</v>
      </c>
      <c r="I408" s="94" t="n">
        <f aca="false">SUM(E408:H408)</f>
        <v>-5.203</v>
      </c>
      <c r="J408" s="118" t="s">
        <v>21</v>
      </c>
      <c r="K408" s="74"/>
      <c r="L408" s="74"/>
      <c r="M408" s="119"/>
      <c r="N408" s="74"/>
      <c r="O408" s="74"/>
      <c r="P408" s="74"/>
      <c r="Q408" s="74"/>
      <c r="R408" s="74"/>
      <c r="S408" s="74"/>
      <c r="T408" s="65" t="str">
        <f aca="false">IF(D408&gt;0,(I408/D408),"")</f>
        <v/>
      </c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/>
      <c r="DH408" s="74"/>
      <c r="DI408" s="74"/>
      <c r="DJ408" s="74"/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</row>
    <row r="409" customFormat="false" ht="18" hidden="true" customHeight="true" outlineLevel="0" collapsed="false">
      <c r="A409" s="220" t="s">
        <v>390</v>
      </c>
      <c r="B409" s="95" t="n">
        <v>37091</v>
      </c>
      <c r="C409" s="188" t="s">
        <v>273</v>
      </c>
      <c r="D409" s="92" t="n">
        <f aca="false">I409/0.015</f>
        <v>-2421.33333333333</v>
      </c>
      <c r="E409" s="93" t="n">
        <v>-36.869</v>
      </c>
      <c r="F409" s="81" t="n">
        <v>0.549</v>
      </c>
      <c r="G409" s="81" t="n">
        <v>0</v>
      </c>
      <c r="H409" s="81" t="n">
        <v>0</v>
      </c>
      <c r="I409" s="94" t="n">
        <f aca="false">SUM(E409:H409)</f>
        <v>-36.32</v>
      </c>
      <c r="J409" s="118" t="s">
        <v>21</v>
      </c>
      <c r="K409" s="74"/>
      <c r="L409" s="74"/>
      <c r="M409" s="119"/>
      <c r="N409" s="74"/>
      <c r="O409" s="74"/>
      <c r="P409" s="74"/>
      <c r="Q409" s="74"/>
      <c r="R409" s="74"/>
      <c r="S409" s="74"/>
      <c r="T409" s="65" t="str">
        <f aca="false">IF(D409&gt;0,(I409/D409),"")</f>
        <v/>
      </c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/>
      <c r="DI409" s="74"/>
      <c r="DJ409" s="74"/>
      <c r="DK409" s="74"/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</row>
    <row r="410" customFormat="false" ht="18" hidden="true" customHeight="true" outlineLevel="0" collapsed="false">
      <c r="A410" s="220" t="s">
        <v>391</v>
      </c>
      <c r="B410" s="95" t="n">
        <v>37091</v>
      </c>
      <c r="C410" s="188" t="s">
        <v>273</v>
      </c>
      <c r="D410" s="92" t="n">
        <f aca="false">I410/0.015</f>
        <v>-522.266666666667</v>
      </c>
      <c r="E410" s="93" t="n">
        <v>-8.056</v>
      </c>
      <c r="F410" s="81" t="n">
        <v>0.222</v>
      </c>
      <c r="G410" s="81" t="n">
        <v>0</v>
      </c>
      <c r="H410" s="81" t="n">
        <v>0</v>
      </c>
      <c r="I410" s="94" t="n">
        <f aca="false">SUM(E410:H410)</f>
        <v>-7.834</v>
      </c>
      <c r="J410" s="118" t="s">
        <v>21</v>
      </c>
      <c r="K410" s="74"/>
      <c r="L410" s="74"/>
      <c r="M410" s="119"/>
      <c r="N410" s="74"/>
      <c r="O410" s="74"/>
      <c r="P410" s="74"/>
      <c r="Q410" s="74"/>
      <c r="R410" s="74"/>
      <c r="S410" s="74"/>
      <c r="T410" s="65" t="str">
        <f aca="false">IF(D410&gt;0,(I410/D410),"")</f>
        <v/>
      </c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/>
      <c r="DH410" s="74"/>
      <c r="DI410" s="74"/>
      <c r="DJ410" s="74"/>
      <c r="DK410" s="74"/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</row>
    <row r="411" customFormat="false" ht="18" hidden="true" customHeight="true" outlineLevel="0" collapsed="false">
      <c r="A411" s="220" t="s">
        <v>392</v>
      </c>
      <c r="B411" s="95" t="n">
        <v>37091</v>
      </c>
      <c r="C411" s="188" t="s">
        <v>273</v>
      </c>
      <c r="D411" s="92" t="n">
        <f aca="false">I411/0.015</f>
        <v>-2169.13333333333</v>
      </c>
      <c r="E411" s="93" t="n">
        <v>-32.955</v>
      </c>
      <c r="F411" s="81" t="n">
        <v>0.418</v>
      </c>
      <c r="G411" s="81" t="n">
        <v>0</v>
      </c>
      <c r="H411" s="81" t="n">
        <v>0</v>
      </c>
      <c r="I411" s="94" t="n">
        <f aca="false">SUM(E411:H411)</f>
        <v>-32.537</v>
      </c>
      <c r="J411" s="118" t="s">
        <v>21</v>
      </c>
      <c r="K411" s="74"/>
      <c r="L411" s="74"/>
      <c r="M411" s="119"/>
      <c r="N411" s="74"/>
      <c r="O411" s="74"/>
      <c r="P411" s="74"/>
      <c r="Q411" s="74"/>
      <c r="R411" s="74"/>
      <c r="S411" s="74"/>
      <c r="T411" s="65" t="str">
        <f aca="false">IF(D411&gt;0,(I411/D411),"")</f>
        <v/>
      </c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/>
      <c r="DH411" s="74"/>
      <c r="DI411" s="74"/>
      <c r="DJ411" s="74"/>
      <c r="DK411" s="74"/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</row>
    <row r="412" customFormat="false" ht="18" hidden="true" customHeight="true" outlineLevel="0" collapsed="false">
      <c r="A412" s="220" t="s">
        <v>393</v>
      </c>
      <c r="B412" s="95" t="n">
        <v>37091</v>
      </c>
      <c r="C412" s="188" t="s">
        <v>273</v>
      </c>
      <c r="D412" s="92" t="n">
        <f aca="false">I412/0.015</f>
        <v>-2182.53333333333</v>
      </c>
      <c r="E412" s="93" t="n">
        <v>-33.182</v>
      </c>
      <c r="F412" s="81" t="n">
        <v>0.444</v>
      </c>
      <c r="G412" s="81" t="n">
        <v>0</v>
      </c>
      <c r="H412" s="81" t="n">
        <v>0</v>
      </c>
      <c r="I412" s="94" t="n">
        <f aca="false">SUM(E412:H412)</f>
        <v>-32.738</v>
      </c>
      <c r="J412" s="118" t="s">
        <v>21</v>
      </c>
      <c r="K412" s="74"/>
      <c r="L412" s="74"/>
      <c r="M412" s="119"/>
      <c r="N412" s="74"/>
      <c r="O412" s="74"/>
      <c r="P412" s="74"/>
      <c r="Q412" s="74"/>
      <c r="R412" s="74"/>
      <c r="S412" s="74"/>
      <c r="T412" s="65" t="str">
        <f aca="false">IF(D412&gt;0,(I412/D412),"")</f>
        <v/>
      </c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/>
      <c r="DH412" s="74"/>
      <c r="DI412" s="74"/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</row>
    <row r="413" customFormat="false" ht="5.1" hidden="true" customHeight="true" outlineLevel="0" collapsed="false">
      <c r="A413" s="213"/>
      <c r="B413" s="224"/>
      <c r="C413" s="215"/>
      <c r="D413" s="216"/>
      <c r="E413" s="217"/>
      <c r="F413" s="218"/>
      <c r="G413" s="218"/>
      <c r="H413" s="218"/>
      <c r="I413" s="219"/>
      <c r="J413" s="118"/>
      <c r="K413" s="74"/>
      <c r="L413" s="74"/>
      <c r="M413" s="119"/>
      <c r="N413" s="74"/>
      <c r="O413" s="74"/>
      <c r="P413" s="74"/>
      <c r="Q413" s="74"/>
      <c r="R413" s="74"/>
      <c r="S413" s="74"/>
      <c r="T413" s="65" t="str">
        <f aca="false">IF(D413&gt;0,(I413/D413),"")</f>
        <v/>
      </c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/>
      <c r="DH413" s="74"/>
      <c r="DI413" s="74"/>
      <c r="DJ413" s="74"/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</row>
    <row r="414" customFormat="false" ht="15.75" hidden="false" customHeight="false" outlineLevel="0" collapsed="false">
      <c r="A414" s="120" t="s">
        <v>394</v>
      </c>
      <c r="B414" s="95" t="n">
        <v>37091</v>
      </c>
      <c r="C414" s="188" t="s">
        <v>273</v>
      </c>
      <c r="D414" s="92" t="n">
        <f aca="false">SUM(D394:D412)</f>
        <v>-47135.8666666667</v>
      </c>
      <c r="E414" s="93" t="n">
        <f aca="false">SUM(E394:E412)</f>
        <v>-717.973</v>
      </c>
      <c r="F414" s="81" t="n">
        <f aca="false">SUM(F394:F412)</f>
        <v>10.935</v>
      </c>
      <c r="G414" s="81" t="n">
        <f aca="false">SUM(G394:G412)</f>
        <v>0</v>
      </c>
      <c r="H414" s="81" t="n">
        <f aca="false">SUM(H394:H412)</f>
        <v>0</v>
      </c>
      <c r="I414" s="94" t="n">
        <f aca="false">SUM(I394:I412)</f>
        <v>-707.038</v>
      </c>
      <c r="J414" s="118" t="s">
        <v>21</v>
      </c>
      <c r="K414" s="74"/>
      <c r="L414" s="74"/>
      <c r="M414" s="119"/>
      <c r="N414" s="74"/>
      <c r="O414" s="74"/>
      <c r="P414" s="74"/>
      <c r="Q414" s="74"/>
      <c r="R414" s="74"/>
      <c r="S414" s="74"/>
      <c r="T414" s="65" t="str">
        <f aca="false">IF(D414&gt;0,(I414/D414),"")</f>
        <v/>
      </c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/>
      <c r="DH414" s="74"/>
      <c r="DI414" s="74"/>
      <c r="DJ414" s="74"/>
      <c r="DK414" s="74"/>
      <c r="DL414" s="74"/>
      <c r="DM414" s="74"/>
      <c r="DN414" s="74"/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</row>
    <row r="415" customFormat="false" ht="15.75" hidden="false" customHeight="false" outlineLevel="0" collapsed="false">
      <c r="A415" s="137" t="s">
        <v>205</v>
      </c>
      <c r="B415" s="190"/>
      <c r="C415" s="139"/>
      <c r="D415" s="85"/>
      <c r="E415" s="86" t="n">
        <f aca="false">-(11.788+0.033)</f>
        <v>-11.821</v>
      </c>
      <c r="F415" s="87" t="n">
        <v>0</v>
      </c>
      <c r="G415" s="87" t="n">
        <v>0</v>
      </c>
      <c r="H415" s="87"/>
      <c r="I415" s="88" t="n">
        <f aca="false">SUM(E415:H415)</f>
        <v>-11.821</v>
      </c>
      <c r="J415" s="118"/>
      <c r="K415" s="74"/>
      <c r="L415" s="74"/>
      <c r="M415" s="119"/>
      <c r="N415" s="74"/>
      <c r="O415" s="74"/>
      <c r="P415" s="74"/>
      <c r="Q415" s="74"/>
      <c r="R415" s="74"/>
      <c r="S415" s="74"/>
      <c r="T415" s="65" t="str">
        <f aca="false">IF(D415&gt;0,(I415/D415),"")</f>
        <v/>
      </c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/>
      <c r="DJ415" s="74"/>
      <c r="DK415" s="74"/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</row>
    <row r="416" customFormat="false" ht="18" hidden="false" customHeight="true" outlineLevel="0" collapsed="false">
      <c r="A416" s="120" t="s">
        <v>395</v>
      </c>
      <c r="B416" s="95" t="n">
        <v>37105</v>
      </c>
      <c r="C416" s="188" t="s">
        <v>270</v>
      </c>
      <c r="D416" s="92"/>
      <c r="E416" s="93"/>
      <c r="F416" s="81" t="n">
        <v>0</v>
      </c>
      <c r="G416" s="81" t="n">
        <f aca="false">SUM(G306:G389)</f>
        <v>0</v>
      </c>
      <c r="H416" s="81" t="n">
        <f aca="false">SUM(H306:H389)</f>
        <v>0</v>
      </c>
      <c r="I416" s="94" t="n">
        <f aca="false">SUM(E416:H416)</f>
        <v>0</v>
      </c>
      <c r="J416" s="192" t="s">
        <v>18</v>
      </c>
      <c r="K416" s="74"/>
      <c r="L416" s="74"/>
      <c r="M416" s="119"/>
      <c r="N416" s="74"/>
      <c r="O416" s="74"/>
      <c r="P416" s="74"/>
      <c r="Q416" s="74"/>
      <c r="R416" s="74"/>
      <c r="S416" s="74"/>
      <c r="T416" s="65" t="str">
        <f aca="false">IF(D416&gt;0,(I416/D416),"")</f>
        <v/>
      </c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/>
      <c r="DH416" s="74"/>
      <c r="DI416" s="74"/>
      <c r="DJ416" s="74"/>
      <c r="DK416" s="74"/>
      <c r="DL416" s="74"/>
      <c r="DM416" s="74"/>
      <c r="DN416" s="74"/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</row>
    <row r="417" customFormat="false" ht="15.75" hidden="false" customHeight="false" outlineLevel="0" collapsed="false">
      <c r="A417" s="120" t="s">
        <v>396</v>
      </c>
      <c r="B417" s="95"/>
      <c r="C417" s="188"/>
      <c r="D417" s="135"/>
      <c r="E417" s="131" t="n">
        <v>13.689</v>
      </c>
      <c r="F417" s="132" t="n">
        <v>0</v>
      </c>
      <c r="G417" s="132" t="n">
        <v>0</v>
      </c>
      <c r="H417" s="132"/>
      <c r="I417" s="133" t="n">
        <f aca="false">SUM(E417:G417)</f>
        <v>13.689</v>
      </c>
      <c r="J417" s="118" t="s">
        <v>18</v>
      </c>
      <c r="K417" s="74"/>
      <c r="L417" s="74"/>
      <c r="M417" s="119"/>
      <c r="N417" s="74"/>
      <c r="O417" s="74"/>
      <c r="P417" s="74"/>
      <c r="Q417" s="74"/>
      <c r="R417" s="74"/>
      <c r="S417" s="74"/>
      <c r="T417" s="65" t="str">
        <f aca="false">IF(D417&gt;0,(I417/D417),"")</f>
        <v/>
      </c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/>
      <c r="DJ417" s="74"/>
      <c r="DK417" s="74"/>
      <c r="DL417" s="74"/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</row>
    <row r="418" customFormat="false" ht="15.75" hidden="false" customHeight="false" outlineLevel="0" collapsed="false">
      <c r="A418" s="194" t="s">
        <v>397</v>
      </c>
      <c r="B418" s="195"/>
      <c r="C418" s="188"/>
      <c r="D418" s="92" t="n">
        <f aca="false">SUM(D266:D417)-D414-D306-D392-D267</f>
        <v>-43008.2453333333</v>
      </c>
      <c r="E418" s="93" t="n">
        <f aca="false">SUM(E266:E417)-E414-E306-E392-E267</f>
        <v>765.742</v>
      </c>
      <c r="F418" s="81" t="n">
        <f aca="false">SUM(F266:F417)-F414-F306-F392-F267</f>
        <v>-328.639</v>
      </c>
      <c r="G418" s="81" t="n">
        <f aca="false">SUM(G266:G417)-G414-G306-G392-G267</f>
        <v>0</v>
      </c>
      <c r="H418" s="81" t="n">
        <f aca="false">SUM(H266:H417)-H414-H306-H392-H267</f>
        <v>0</v>
      </c>
      <c r="I418" s="81" t="n">
        <f aca="false">SUM(I266:I417)-I414-I306-I392-I267</f>
        <v>437.103</v>
      </c>
      <c r="J418" s="118"/>
      <c r="K418" s="97"/>
      <c r="L418" s="97"/>
      <c r="M418" s="119"/>
      <c r="N418" s="97"/>
      <c r="O418" s="97"/>
      <c r="P418" s="97"/>
      <c r="Q418" s="97"/>
      <c r="R418" s="97"/>
      <c r="S418" s="97"/>
      <c r="T418" s="65" t="str">
        <f aca="false">IF(D418&gt;0,(I418/D418),"")</f>
        <v/>
      </c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7"/>
      <c r="AV418" s="97"/>
      <c r="AW418" s="97"/>
      <c r="AX418" s="97"/>
      <c r="AY418" s="97"/>
      <c r="AZ418" s="97"/>
      <c r="BA418" s="97"/>
      <c r="BB418" s="97"/>
      <c r="BC418" s="97"/>
      <c r="BD418" s="97"/>
      <c r="BE418" s="97"/>
      <c r="BF418" s="97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7"/>
      <c r="BS418" s="97"/>
      <c r="BT418" s="97"/>
      <c r="BU418" s="97"/>
      <c r="BV418" s="97"/>
      <c r="BW418" s="97"/>
      <c r="BX418" s="97"/>
      <c r="BY418" s="97"/>
      <c r="BZ418" s="97"/>
      <c r="CA418" s="97"/>
      <c r="CB418" s="97"/>
      <c r="CC418" s="97"/>
      <c r="CD418" s="97"/>
      <c r="CE418" s="97"/>
      <c r="CF418" s="97"/>
      <c r="CG418" s="97"/>
      <c r="CH418" s="97"/>
      <c r="CI418" s="97"/>
      <c r="CJ418" s="97"/>
      <c r="CK418" s="97"/>
      <c r="CL418" s="97"/>
      <c r="CM418" s="97"/>
      <c r="CN418" s="97"/>
      <c r="CO418" s="97"/>
      <c r="CP418" s="97"/>
      <c r="CQ418" s="97"/>
      <c r="CR418" s="97"/>
      <c r="CS418" s="97"/>
      <c r="CT418" s="97"/>
      <c r="CU418" s="97"/>
      <c r="CV418" s="97"/>
      <c r="CW418" s="97"/>
      <c r="CX418" s="97"/>
      <c r="CY418" s="97"/>
      <c r="CZ418" s="97"/>
      <c r="DA418" s="97"/>
      <c r="DB418" s="97"/>
      <c r="DC418" s="97"/>
      <c r="DD418" s="97"/>
      <c r="DE418" s="97"/>
      <c r="DF418" s="97"/>
      <c r="DG418" s="97"/>
      <c r="DH418" s="97"/>
      <c r="DI418" s="97"/>
      <c r="DJ418" s="97"/>
      <c r="DK418" s="97"/>
      <c r="DL418" s="97"/>
      <c r="DM418" s="97"/>
      <c r="DN418" s="97"/>
      <c r="DO418" s="97"/>
      <c r="DP418" s="97"/>
      <c r="DQ418" s="97"/>
      <c r="DR418" s="97"/>
      <c r="DS418" s="97"/>
      <c r="DT418" s="97"/>
      <c r="DU418" s="97"/>
      <c r="DV418" s="97"/>
      <c r="DW418" s="97"/>
      <c r="DX418" s="97"/>
      <c r="DY418" s="97"/>
      <c r="DZ418" s="97"/>
      <c r="EA418" s="97"/>
      <c r="EB418" s="97"/>
      <c r="EC418" s="97"/>
      <c r="ED418" s="97"/>
      <c r="EE418" s="97"/>
      <c r="EF418" s="97"/>
      <c r="EG418" s="97"/>
      <c r="EH418" s="97"/>
      <c r="EI418" s="97"/>
      <c r="EJ418" s="97"/>
      <c r="EK418" s="97"/>
      <c r="EL418" s="97"/>
      <c r="EM418" s="97"/>
      <c r="EN418" s="97"/>
      <c r="EO418" s="97"/>
      <c r="EP418" s="97"/>
      <c r="EQ418" s="97"/>
      <c r="ER418" s="97"/>
      <c r="ES418" s="97"/>
      <c r="ET418" s="97"/>
      <c r="EU418" s="97"/>
      <c r="EV418" s="97"/>
      <c r="EW418" s="97"/>
      <c r="EX418" s="97"/>
      <c r="EY418" s="97"/>
      <c r="EZ418" s="97"/>
      <c r="FA418" s="97"/>
      <c r="FB418" s="97"/>
      <c r="FC418" s="97"/>
      <c r="FD418" s="97"/>
      <c r="FE418" s="97"/>
      <c r="FF418" s="97"/>
      <c r="FG418" s="97"/>
      <c r="FH418" s="97"/>
      <c r="FI418" s="97"/>
      <c r="FJ418" s="97"/>
      <c r="FK418" s="97"/>
      <c r="FL418" s="97"/>
      <c r="FM418" s="97"/>
      <c r="FN418" s="97"/>
      <c r="FO418" s="97"/>
      <c r="FP418" s="97"/>
      <c r="FQ418" s="97"/>
      <c r="FR418" s="97"/>
      <c r="FS418" s="97"/>
      <c r="FT418" s="97"/>
      <c r="FU418" s="97"/>
      <c r="FV418" s="97"/>
      <c r="FW418" s="97"/>
      <c r="FX418" s="97"/>
      <c r="FY418" s="97"/>
      <c r="FZ418" s="97"/>
      <c r="GA418" s="97"/>
      <c r="GB418" s="97"/>
      <c r="GC418" s="97"/>
      <c r="GD418" s="97"/>
      <c r="GE418" s="97"/>
      <c r="GF418" s="97"/>
      <c r="GG418" s="97"/>
      <c r="GH418" s="97"/>
      <c r="GI418" s="97"/>
      <c r="GJ418" s="97"/>
      <c r="GK418" s="97"/>
      <c r="GL418" s="97"/>
      <c r="GM418" s="97"/>
      <c r="GN418" s="97"/>
      <c r="GO418" s="97"/>
      <c r="GP418" s="97"/>
      <c r="GQ418" s="97"/>
      <c r="GR418" s="97"/>
      <c r="GS418" s="97"/>
      <c r="GT418" s="97"/>
      <c r="GU418" s="97"/>
      <c r="GV418" s="97"/>
      <c r="GW418" s="97"/>
      <c r="GX418" s="97"/>
      <c r="GY418" s="97"/>
      <c r="GZ418" s="97"/>
      <c r="HA418" s="97"/>
      <c r="HB418" s="97"/>
      <c r="HC418" s="97"/>
      <c r="HD418" s="97"/>
      <c r="HE418" s="97"/>
      <c r="HF418" s="97"/>
      <c r="HG418" s="97"/>
      <c r="HH418" s="97"/>
      <c r="HI418" s="97"/>
      <c r="HJ418" s="97"/>
      <c r="HK418" s="97"/>
      <c r="HL418" s="97"/>
      <c r="HM418" s="97"/>
      <c r="HN418" s="97"/>
      <c r="HO418" s="97"/>
      <c r="HP418" s="97"/>
      <c r="HQ418" s="97"/>
      <c r="HR418" s="97"/>
      <c r="HS418" s="97"/>
      <c r="HT418" s="97"/>
      <c r="HU418" s="97"/>
      <c r="HV418" s="97"/>
      <c r="HW418" s="97"/>
      <c r="HX418" s="97"/>
      <c r="HY418" s="97"/>
      <c r="HZ418" s="97"/>
      <c r="IA418" s="97"/>
      <c r="IB418" s="97"/>
      <c r="IC418" s="97"/>
      <c r="ID418" s="97"/>
      <c r="IE418" s="97"/>
      <c r="IF418" s="97"/>
      <c r="IG418" s="97"/>
      <c r="IH418" s="97"/>
      <c r="II418" s="97"/>
      <c r="IJ418" s="97"/>
      <c r="IK418" s="97"/>
      <c r="IL418" s="97"/>
      <c r="IM418" s="97"/>
      <c r="IN418" s="97"/>
      <c r="IO418" s="97"/>
      <c r="IP418" s="97"/>
      <c r="IQ418" s="97"/>
      <c r="IR418" s="97"/>
      <c r="IS418" s="97"/>
      <c r="IT418" s="97"/>
      <c r="IU418" s="97"/>
      <c r="IV418" s="97"/>
      <c r="IW418" s="97"/>
    </row>
    <row r="419" customFormat="false" ht="15.75" hidden="false" customHeight="false" outlineLevel="0" collapsed="false">
      <c r="A419" s="196"/>
      <c r="B419" s="195"/>
      <c r="C419" s="188"/>
      <c r="D419" s="92"/>
      <c r="E419" s="93"/>
      <c r="F419" s="81"/>
      <c r="G419" s="81"/>
      <c r="H419" s="81"/>
      <c r="I419" s="94"/>
      <c r="J419" s="118"/>
      <c r="K419" s="97"/>
      <c r="L419" s="97"/>
      <c r="M419" s="119"/>
      <c r="N419" s="97"/>
      <c r="O419" s="97"/>
      <c r="P419" s="97"/>
      <c r="Q419" s="97"/>
      <c r="R419" s="97"/>
      <c r="S419" s="97"/>
      <c r="T419" s="65" t="str">
        <f aca="false">IF(D419&gt;0,(I419/D419),"")</f>
        <v/>
      </c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7"/>
      <c r="AV419" s="97"/>
      <c r="AW419" s="97"/>
      <c r="AX419" s="97"/>
      <c r="AY419" s="97"/>
      <c r="AZ419" s="97"/>
      <c r="BA419" s="97"/>
      <c r="BB419" s="97"/>
      <c r="BC419" s="97"/>
      <c r="BD419" s="97"/>
      <c r="BE419" s="97"/>
      <c r="BF419" s="97"/>
      <c r="BG419" s="97"/>
      <c r="BH419" s="97"/>
      <c r="BI419" s="97"/>
      <c r="BJ419" s="97"/>
      <c r="BK419" s="97"/>
      <c r="BL419" s="97"/>
      <c r="BM419" s="97"/>
      <c r="BN419" s="97"/>
      <c r="BO419" s="97"/>
      <c r="BP419" s="97"/>
      <c r="BQ419" s="97"/>
      <c r="BR419" s="97"/>
      <c r="BS419" s="97"/>
      <c r="BT419" s="97"/>
      <c r="BU419" s="97"/>
      <c r="BV419" s="97"/>
      <c r="BW419" s="97"/>
      <c r="BX419" s="97"/>
      <c r="BY419" s="97"/>
      <c r="BZ419" s="97"/>
      <c r="CA419" s="97"/>
      <c r="CB419" s="97"/>
      <c r="CC419" s="97"/>
      <c r="CD419" s="97"/>
      <c r="CE419" s="97"/>
      <c r="CF419" s="97"/>
      <c r="CG419" s="97"/>
      <c r="CH419" s="97"/>
      <c r="CI419" s="97"/>
      <c r="CJ419" s="97"/>
      <c r="CK419" s="97"/>
      <c r="CL419" s="97"/>
      <c r="CM419" s="97"/>
      <c r="CN419" s="97"/>
      <c r="CO419" s="97"/>
      <c r="CP419" s="97"/>
      <c r="CQ419" s="97"/>
      <c r="CR419" s="97"/>
      <c r="CS419" s="97"/>
      <c r="CT419" s="97"/>
      <c r="CU419" s="97"/>
      <c r="CV419" s="97"/>
      <c r="CW419" s="97"/>
      <c r="CX419" s="97"/>
      <c r="CY419" s="97"/>
      <c r="CZ419" s="97"/>
      <c r="DA419" s="97"/>
      <c r="DB419" s="97"/>
      <c r="DC419" s="97"/>
      <c r="DD419" s="97"/>
      <c r="DE419" s="97"/>
      <c r="DF419" s="97"/>
      <c r="DG419" s="97"/>
      <c r="DH419" s="97"/>
      <c r="DI419" s="97"/>
      <c r="DJ419" s="97"/>
      <c r="DK419" s="97"/>
      <c r="DL419" s="97"/>
      <c r="DM419" s="97"/>
      <c r="DN419" s="97"/>
      <c r="DO419" s="97"/>
      <c r="DP419" s="97"/>
      <c r="DQ419" s="97"/>
      <c r="DR419" s="97"/>
      <c r="DS419" s="97"/>
      <c r="DT419" s="97"/>
      <c r="DU419" s="97"/>
      <c r="DV419" s="97"/>
      <c r="DW419" s="97"/>
      <c r="DX419" s="97"/>
      <c r="DY419" s="97"/>
      <c r="DZ419" s="97"/>
      <c r="EA419" s="97"/>
      <c r="EB419" s="97"/>
      <c r="EC419" s="97"/>
      <c r="ED419" s="97"/>
      <c r="EE419" s="97"/>
      <c r="EF419" s="97"/>
      <c r="EG419" s="97"/>
      <c r="EH419" s="97"/>
      <c r="EI419" s="97"/>
      <c r="EJ419" s="97"/>
      <c r="EK419" s="97"/>
      <c r="EL419" s="97"/>
      <c r="EM419" s="97"/>
      <c r="EN419" s="97"/>
      <c r="EO419" s="97"/>
      <c r="EP419" s="97"/>
      <c r="EQ419" s="97"/>
      <c r="ER419" s="97"/>
      <c r="ES419" s="97"/>
      <c r="ET419" s="97"/>
      <c r="EU419" s="97"/>
      <c r="EV419" s="97"/>
      <c r="EW419" s="97"/>
      <c r="EX419" s="97"/>
      <c r="EY419" s="97"/>
      <c r="EZ419" s="97"/>
      <c r="FA419" s="97"/>
      <c r="FB419" s="97"/>
      <c r="FC419" s="97"/>
      <c r="FD419" s="97"/>
      <c r="FE419" s="97"/>
      <c r="FF419" s="97"/>
      <c r="FG419" s="97"/>
      <c r="FH419" s="97"/>
      <c r="FI419" s="97"/>
      <c r="FJ419" s="97"/>
      <c r="FK419" s="97"/>
      <c r="FL419" s="97"/>
      <c r="FM419" s="97"/>
      <c r="FN419" s="97"/>
      <c r="FO419" s="97"/>
      <c r="FP419" s="97"/>
      <c r="FQ419" s="97"/>
      <c r="FR419" s="97"/>
      <c r="FS419" s="97"/>
      <c r="FT419" s="97"/>
      <c r="FU419" s="97"/>
      <c r="FV419" s="97"/>
      <c r="FW419" s="97"/>
      <c r="FX419" s="97"/>
      <c r="FY419" s="97"/>
      <c r="FZ419" s="97"/>
      <c r="GA419" s="97"/>
      <c r="GB419" s="97"/>
      <c r="GC419" s="97"/>
      <c r="GD419" s="97"/>
      <c r="GE419" s="97"/>
      <c r="GF419" s="97"/>
      <c r="GG419" s="97"/>
      <c r="GH419" s="97"/>
      <c r="GI419" s="97"/>
      <c r="GJ419" s="97"/>
      <c r="GK419" s="97"/>
      <c r="GL419" s="97"/>
      <c r="GM419" s="97"/>
      <c r="GN419" s="97"/>
      <c r="GO419" s="97"/>
      <c r="GP419" s="97"/>
      <c r="GQ419" s="97"/>
      <c r="GR419" s="97"/>
      <c r="GS419" s="97"/>
      <c r="GT419" s="97"/>
      <c r="GU419" s="97"/>
      <c r="GV419" s="97"/>
      <c r="GW419" s="97"/>
      <c r="GX419" s="97"/>
      <c r="GY419" s="97"/>
      <c r="GZ419" s="97"/>
      <c r="HA419" s="97"/>
      <c r="HB419" s="97"/>
      <c r="HC419" s="97"/>
      <c r="HD419" s="97"/>
      <c r="HE419" s="97"/>
      <c r="HF419" s="97"/>
      <c r="HG419" s="97"/>
      <c r="HH419" s="97"/>
      <c r="HI419" s="97"/>
      <c r="HJ419" s="97"/>
      <c r="HK419" s="97"/>
      <c r="HL419" s="97"/>
      <c r="HM419" s="97"/>
      <c r="HN419" s="97"/>
      <c r="HO419" s="97"/>
      <c r="HP419" s="97"/>
      <c r="HQ419" s="97"/>
      <c r="HR419" s="97"/>
      <c r="HS419" s="97"/>
      <c r="HT419" s="97"/>
      <c r="HU419" s="97"/>
      <c r="HV419" s="97"/>
      <c r="HW419" s="97"/>
      <c r="HX419" s="97"/>
      <c r="HY419" s="97"/>
      <c r="HZ419" s="97"/>
      <c r="IA419" s="97"/>
      <c r="IB419" s="97"/>
      <c r="IC419" s="97"/>
      <c r="ID419" s="97"/>
      <c r="IE419" s="97"/>
      <c r="IF419" s="97"/>
      <c r="IG419" s="97"/>
      <c r="IH419" s="97"/>
      <c r="II419" s="97"/>
      <c r="IJ419" s="97"/>
      <c r="IK419" s="97"/>
      <c r="IL419" s="97"/>
      <c r="IM419" s="97"/>
      <c r="IN419" s="97"/>
      <c r="IO419" s="97"/>
      <c r="IP419" s="97"/>
      <c r="IQ419" s="97"/>
      <c r="IR419" s="97"/>
      <c r="IS419" s="97"/>
      <c r="IT419" s="97"/>
      <c r="IU419" s="97"/>
      <c r="IV419" s="97"/>
      <c r="IW419" s="97"/>
    </row>
    <row r="420" customFormat="false" ht="15.75" hidden="false" customHeight="false" outlineLevel="0" collapsed="false">
      <c r="A420" s="196"/>
      <c r="B420" s="195"/>
      <c r="C420" s="188"/>
      <c r="D420" s="92"/>
      <c r="E420" s="93"/>
      <c r="F420" s="81"/>
      <c r="G420" s="81"/>
      <c r="H420" s="81"/>
      <c r="I420" s="94"/>
      <c r="J420" s="118"/>
      <c r="K420" s="97"/>
      <c r="L420" s="97"/>
      <c r="M420" s="119"/>
      <c r="N420" s="97"/>
      <c r="O420" s="97"/>
      <c r="P420" s="97"/>
      <c r="Q420" s="97"/>
      <c r="R420" s="97"/>
      <c r="S420" s="97"/>
      <c r="T420" s="65" t="str">
        <f aca="false">IF(D420&gt;0,(I420/D420),"")</f>
        <v/>
      </c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97"/>
      <c r="AU420" s="97"/>
      <c r="AV420" s="97"/>
      <c r="AW420" s="97"/>
      <c r="AX420" s="97"/>
      <c r="AY420" s="97"/>
      <c r="AZ420" s="97"/>
      <c r="BA420" s="97"/>
      <c r="BB420" s="97"/>
      <c r="BC420" s="97"/>
      <c r="BD420" s="97"/>
      <c r="BE420" s="97"/>
      <c r="BF420" s="97"/>
      <c r="BG420" s="97"/>
      <c r="BH420" s="97"/>
      <c r="BI420" s="97"/>
      <c r="BJ420" s="97"/>
      <c r="BK420" s="97"/>
      <c r="BL420" s="97"/>
      <c r="BM420" s="97"/>
      <c r="BN420" s="97"/>
      <c r="BO420" s="97"/>
      <c r="BP420" s="97"/>
      <c r="BQ420" s="97"/>
      <c r="BR420" s="97"/>
      <c r="BS420" s="97"/>
      <c r="BT420" s="97"/>
      <c r="BU420" s="97"/>
      <c r="BV420" s="97"/>
      <c r="BW420" s="97"/>
      <c r="BX420" s="97"/>
      <c r="BY420" s="97"/>
      <c r="BZ420" s="97"/>
      <c r="CA420" s="97"/>
      <c r="CB420" s="97"/>
      <c r="CC420" s="97"/>
      <c r="CD420" s="97"/>
      <c r="CE420" s="97"/>
      <c r="CF420" s="97"/>
      <c r="CG420" s="97"/>
      <c r="CH420" s="97"/>
      <c r="CI420" s="97"/>
      <c r="CJ420" s="97"/>
      <c r="CK420" s="97"/>
      <c r="CL420" s="97"/>
      <c r="CM420" s="97"/>
      <c r="CN420" s="97"/>
      <c r="CO420" s="97"/>
      <c r="CP420" s="97"/>
      <c r="CQ420" s="97"/>
      <c r="CR420" s="97"/>
      <c r="CS420" s="97"/>
      <c r="CT420" s="97"/>
      <c r="CU420" s="97"/>
      <c r="CV420" s="97"/>
      <c r="CW420" s="97"/>
      <c r="CX420" s="97"/>
      <c r="CY420" s="97"/>
      <c r="CZ420" s="97"/>
      <c r="DA420" s="97"/>
      <c r="DB420" s="97"/>
      <c r="DC420" s="97"/>
      <c r="DD420" s="97"/>
      <c r="DE420" s="97"/>
      <c r="DF420" s="97"/>
      <c r="DG420" s="97"/>
      <c r="DH420" s="97"/>
      <c r="DI420" s="97"/>
      <c r="DJ420" s="97"/>
      <c r="DK420" s="97"/>
      <c r="DL420" s="97"/>
      <c r="DM420" s="97"/>
      <c r="DN420" s="97"/>
      <c r="DO420" s="97"/>
      <c r="DP420" s="97"/>
      <c r="DQ420" s="97"/>
      <c r="DR420" s="97"/>
      <c r="DS420" s="97"/>
      <c r="DT420" s="97"/>
      <c r="DU420" s="97"/>
      <c r="DV420" s="97"/>
      <c r="DW420" s="97"/>
      <c r="DX420" s="97"/>
      <c r="DY420" s="97"/>
      <c r="DZ420" s="97"/>
      <c r="EA420" s="97"/>
      <c r="EB420" s="97"/>
      <c r="EC420" s="97"/>
      <c r="ED420" s="97"/>
      <c r="EE420" s="97"/>
      <c r="EF420" s="97"/>
      <c r="EG420" s="97"/>
      <c r="EH420" s="97"/>
      <c r="EI420" s="97"/>
      <c r="EJ420" s="97"/>
      <c r="EK420" s="97"/>
      <c r="EL420" s="97"/>
      <c r="EM420" s="97"/>
      <c r="EN420" s="97"/>
      <c r="EO420" s="97"/>
      <c r="EP420" s="97"/>
      <c r="EQ420" s="97"/>
      <c r="ER420" s="97"/>
      <c r="ES420" s="97"/>
      <c r="ET420" s="97"/>
      <c r="EU420" s="97"/>
      <c r="EV420" s="97"/>
      <c r="EW420" s="97"/>
      <c r="EX420" s="97"/>
      <c r="EY420" s="97"/>
      <c r="EZ420" s="97"/>
      <c r="FA420" s="97"/>
      <c r="FB420" s="97"/>
      <c r="FC420" s="97"/>
      <c r="FD420" s="97"/>
      <c r="FE420" s="97"/>
      <c r="FF420" s="97"/>
      <c r="FG420" s="97"/>
      <c r="FH420" s="97"/>
      <c r="FI420" s="97"/>
      <c r="FJ420" s="97"/>
      <c r="FK420" s="97"/>
      <c r="FL420" s="97"/>
      <c r="FM420" s="97"/>
      <c r="FN420" s="97"/>
      <c r="FO420" s="97"/>
      <c r="FP420" s="97"/>
      <c r="FQ420" s="97"/>
      <c r="FR420" s="97"/>
      <c r="FS420" s="97"/>
      <c r="FT420" s="97"/>
      <c r="FU420" s="97"/>
      <c r="FV420" s="97"/>
      <c r="FW420" s="97"/>
      <c r="FX420" s="97"/>
      <c r="FY420" s="97"/>
      <c r="FZ420" s="97"/>
      <c r="GA420" s="97"/>
      <c r="GB420" s="97"/>
      <c r="GC420" s="97"/>
      <c r="GD420" s="97"/>
      <c r="GE420" s="97"/>
      <c r="GF420" s="97"/>
      <c r="GG420" s="97"/>
      <c r="GH420" s="97"/>
      <c r="GI420" s="97"/>
      <c r="GJ420" s="97"/>
      <c r="GK420" s="97"/>
      <c r="GL420" s="97"/>
      <c r="GM420" s="97"/>
      <c r="GN420" s="97"/>
      <c r="GO420" s="97"/>
      <c r="GP420" s="97"/>
      <c r="GQ420" s="97"/>
      <c r="GR420" s="97"/>
      <c r="GS420" s="97"/>
      <c r="GT420" s="97"/>
      <c r="GU420" s="97"/>
      <c r="GV420" s="97"/>
      <c r="GW420" s="97"/>
      <c r="GX420" s="97"/>
      <c r="GY420" s="97"/>
      <c r="GZ420" s="97"/>
      <c r="HA420" s="97"/>
      <c r="HB420" s="97"/>
      <c r="HC420" s="97"/>
      <c r="HD420" s="97"/>
      <c r="HE420" s="97"/>
      <c r="HF420" s="97"/>
      <c r="HG420" s="97"/>
      <c r="HH420" s="97"/>
      <c r="HI420" s="97"/>
      <c r="HJ420" s="97"/>
      <c r="HK420" s="97"/>
      <c r="HL420" s="97"/>
      <c r="HM420" s="97"/>
      <c r="HN420" s="97"/>
      <c r="HO420" s="97"/>
      <c r="HP420" s="97"/>
      <c r="HQ420" s="97"/>
      <c r="HR420" s="97"/>
      <c r="HS420" s="97"/>
      <c r="HT420" s="97"/>
      <c r="HU420" s="97"/>
      <c r="HV420" s="97"/>
      <c r="HW420" s="97"/>
      <c r="HX420" s="97"/>
      <c r="HY420" s="97"/>
      <c r="HZ420" s="97"/>
      <c r="IA420" s="97"/>
      <c r="IB420" s="97"/>
      <c r="IC420" s="97"/>
      <c r="ID420" s="97"/>
      <c r="IE420" s="97"/>
      <c r="IF420" s="97"/>
      <c r="IG420" s="97"/>
      <c r="IH420" s="97"/>
      <c r="II420" s="97"/>
      <c r="IJ420" s="97"/>
      <c r="IK420" s="97"/>
      <c r="IL420" s="97"/>
      <c r="IM420" s="97"/>
      <c r="IN420" s="97"/>
      <c r="IO420" s="97"/>
      <c r="IP420" s="97"/>
      <c r="IQ420" s="97"/>
      <c r="IR420" s="97"/>
      <c r="IS420" s="97"/>
      <c r="IT420" s="97"/>
      <c r="IU420" s="97"/>
      <c r="IV420" s="97"/>
      <c r="IW420" s="97"/>
    </row>
    <row r="421" customFormat="false" ht="15.75" hidden="false" customHeight="false" outlineLevel="0" collapsed="false">
      <c r="A421" s="230" t="s">
        <v>398</v>
      </c>
      <c r="B421" s="195"/>
      <c r="C421" s="188"/>
      <c r="D421" s="92"/>
      <c r="E421" s="93"/>
      <c r="F421" s="81"/>
      <c r="G421" s="81"/>
      <c r="H421" s="81"/>
      <c r="I421" s="94"/>
      <c r="J421" s="118"/>
      <c r="K421" s="97"/>
      <c r="L421" s="97"/>
      <c r="M421" s="119"/>
      <c r="N421" s="97"/>
      <c r="O421" s="97"/>
      <c r="P421" s="97"/>
      <c r="Q421" s="97"/>
      <c r="R421" s="97"/>
      <c r="S421" s="97"/>
      <c r="T421" s="65" t="str">
        <f aca="false">IF(D421&gt;0,(I421/D421),"")</f>
        <v/>
      </c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97"/>
      <c r="AU421" s="97"/>
      <c r="AV421" s="97"/>
      <c r="AW421" s="97"/>
      <c r="AX421" s="97"/>
      <c r="AY421" s="97"/>
      <c r="AZ421" s="97"/>
      <c r="BA421" s="97"/>
      <c r="BB421" s="97"/>
      <c r="BC421" s="97"/>
      <c r="BD421" s="97"/>
      <c r="BE421" s="97"/>
      <c r="BF421" s="97"/>
      <c r="BG421" s="97"/>
      <c r="BH421" s="97"/>
      <c r="BI421" s="97"/>
      <c r="BJ421" s="97"/>
      <c r="BK421" s="97"/>
      <c r="BL421" s="97"/>
      <c r="BM421" s="97"/>
      <c r="BN421" s="97"/>
      <c r="BO421" s="97"/>
      <c r="BP421" s="97"/>
      <c r="BQ421" s="97"/>
      <c r="BR421" s="97"/>
      <c r="BS421" s="97"/>
      <c r="BT421" s="97"/>
      <c r="BU421" s="97"/>
      <c r="BV421" s="97"/>
      <c r="BW421" s="97"/>
      <c r="BX421" s="97"/>
      <c r="BY421" s="97"/>
      <c r="BZ421" s="97"/>
      <c r="CA421" s="97"/>
      <c r="CB421" s="97"/>
      <c r="CC421" s="97"/>
      <c r="CD421" s="97"/>
      <c r="CE421" s="97"/>
      <c r="CF421" s="97"/>
      <c r="CG421" s="97"/>
      <c r="CH421" s="97"/>
      <c r="CI421" s="97"/>
      <c r="CJ421" s="97"/>
      <c r="CK421" s="97"/>
      <c r="CL421" s="97"/>
      <c r="CM421" s="97"/>
      <c r="CN421" s="97"/>
      <c r="CO421" s="97"/>
      <c r="CP421" s="97"/>
      <c r="CQ421" s="97"/>
      <c r="CR421" s="97"/>
      <c r="CS421" s="97"/>
      <c r="CT421" s="97"/>
      <c r="CU421" s="97"/>
      <c r="CV421" s="97"/>
      <c r="CW421" s="97"/>
      <c r="CX421" s="97"/>
      <c r="CY421" s="97"/>
      <c r="CZ421" s="97"/>
      <c r="DA421" s="97"/>
      <c r="DB421" s="97"/>
      <c r="DC421" s="97"/>
      <c r="DD421" s="97"/>
      <c r="DE421" s="97"/>
      <c r="DF421" s="97"/>
      <c r="DG421" s="97"/>
      <c r="DH421" s="97"/>
      <c r="DI421" s="97"/>
      <c r="DJ421" s="97"/>
      <c r="DK421" s="97"/>
      <c r="DL421" s="97"/>
      <c r="DM421" s="97"/>
      <c r="DN421" s="97"/>
      <c r="DO421" s="97"/>
      <c r="DP421" s="97"/>
      <c r="DQ421" s="97"/>
      <c r="DR421" s="97"/>
      <c r="DS421" s="97"/>
      <c r="DT421" s="97"/>
      <c r="DU421" s="97"/>
      <c r="DV421" s="97"/>
      <c r="DW421" s="97"/>
      <c r="DX421" s="97"/>
      <c r="DY421" s="97"/>
      <c r="DZ421" s="97"/>
      <c r="EA421" s="97"/>
      <c r="EB421" s="97"/>
      <c r="EC421" s="97"/>
      <c r="ED421" s="97"/>
      <c r="EE421" s="97"/>
      <c r="EF421" s="97"/>
      <c r="EG421" s="97"/>
      <c r="EH421" s="97"/>
      <c r="EI421" s="97"/>
      <c r="EJ421" s="97"/>
      <c r="EK421" s="97"/>
      <c r="EL421" s="97"/>
      <c r="EM421" s="97"/>
      <c r="EN421" s="97"/>
      <c r="EO421" s="97"/>
      <c r="EP421" s="97"/>
      <c r="EQ421" s="97"/>
      <c r="ER421" s="97"/>
      <c r="ES421" s="97"/>
      <c r="ET421" s="97"/>
      <c r="EU421" s="97"/>
      <c r="EV421" s="97"/>
      <c r="EW421" s="97"/>
      <c r="EX421" s="97"/>
      <c r="EY421" s="97"/>
      <c r="EZ421" s="97"/>
      <c r="FA421" s="97"/>
      <c r="FB421" s="97"/>
      <c r="FC421" s="97"/>
      <c r="FD421" s="97"/>
      <c r="FE421" s="97"/>
      <c r="FF421" s="97"/>
      <c r="FG421" s="97"/>
      <c r="FH421" s="97"/>
      <c r="FI421" s="97"/>
      <c r="FJ421" s="97"/>
      <c r="FK421" s="97"/>
      <c r="FL421" s="97"/>
      <c r="FM421" s="97"/>
      <c r="FN421" s="97"/>
      <c r="FO421" s="97"/>
      <c r="FP421" s="97"/>
      <c r="FQ421" s="97"/>
      <c r="FR421" s="97"/>
      <c r="FS421" s="97"/>
      <c r="FT421" s="97"/>
      <c r="FU421" s="97"/>
      <c r="FV421" s="97"/>
      <c r="FW421" s="97"/>
      <c r="FX421" s="97"/>
      <c r="FY421" s="97"/>
      <c r="FZ421" s="97"/>
      <c r="GA421" s="97"/>
      <c r="GB421" s="97"/>
      <c r="GC421" s="97"/>
      <c r="GD421" s="97"/>
      <c r="GE421" s="97"/>
      <c r="GF421" s="97"/>
      <c r="GG421" s="97"/>
      <c r="GH421" s="97"/>
      <c r="GI421" s="97"/>
      <c r="GJ421" s="97"/>
      <c r="GK421" s="97"/>
      <c r="GL421" s="97"/>
      <c r="GM421" s="97"/>
      <c r="GN421" s="97"/>
      <c r="GO421" s="97"/>
      <c r="GP421" s="97"/>
      <c r="GQ421" s="97"/>
      <c r="GR421" s="97"/>
      <c r="GS421" s="97"/>
      <c r="GT421" s="97"/>
      <c r="GU421" s="97"/>
      <c r="GV421" s="97"/>
      <c r="GW421" s="97"/>
      <c r="GX421" s="97"/>
      <c r="GY421" s="97"/>
      <c r="GZ421" s="97"/>
      <c r="HA421" s="97"/>
      <c r="HB421" s="97"/>
      <c r="HC421" s="97"/>
      <c r="HD421" s="97"/>
      <c r="HE421" s="97"/>
      <c r="HF421" s="97"/>
      <c r="HG421" s="97"/>
      <c r="HH421" s="97"/>
      <c r="HI421" s="97"/>
      <c r="HJ421" s="97"/>
      <c r="HK421" s="97"/>
      <c r="HL421" s="97"/>
      <c r="HM421" s="97"/>
      <c r="HN421" s="97"/>
      <c r="HO421" s="97"/>
      <c r="HP421" s="97"/>
      <c r="HQ421" s="97"/>
      <c r="HR421" s="97"/>
      <c r="HS421" s="97"/>
      <c r="HT421" s="97"/>
      <c r="HU421" s="97"/>
      <c r="HV421" s="97"/>
      <c r="HW421" s="97"/>
      <c r="HX421" s="97"/>
      <c r="HY421" s="97"/>
      <c r="HZ421" s="97"/>
      <c r="IA421" s="97"/>
      <c r="IB421" s="97"/>
      <c r="IC421" s="97"/>
      <c r="ID421" s="97"/>
      <c r="IE421" s="97"/>
      <c r="IF421" s="97"/>
      <c r="IG421" s="97"/>
      <c r="IH421" s="97"/>
      <c r="II421" s="97"/>
      <c r="IJ421" s="97"/>
      <c r="IK421" s="97"/>
      <c r="IL421" s="97"/>
      <c r="IM421" s="97"/>
      <c r="IN421" s="97"/>
      <c r="IO421" s="97"/>
      <c r="IP421" s="97"/>
      <c r="IQ421" s="97"/>
      <c r="IR421" s="97"/>
      <c r="IS421" s="97"/>
      <c r="IT421" s="97"/>
      <c r="IU421" s="97"/>
      <c r="IV421" s="97"/>
      <c r="IW421" s="97"/>
    </row>
    <row r="422" customFormat="false" ht="6" hidden="false" customHeight="true" outlineLevel="0" collapsed="false">
      <c r="A422" s="231"/>
      <c r="B422" s="211"/>
      <c r="C422" s="118"/>
      <c r="D422" s="92"/>
      <c r="E422" s="93"/>
      <c r="F422" s="81"/>
      <c r="G422" s="81"/>
      <c r="H422" s="81"/>
      <c r="I422" s="94"/>
      <c r="J422" s="118"/>
      <c r="K422" s="97"/>
      <c r="L422" s="199"/>
      <c r="M422" s="119"/>
      <c r="N422" s="97"/>
      <c r="O422" s="97"/>
      <c r="P422" s="97"/>
      <c r="Q422" s="97"/>
      <c r="R422" s="97"/>
      <c r="S422" s="97"/>
      <c r="T422" s="65" t="str">
        <f aca="false">IF(D422&gt;0,(I422/D422),"")</f>
        <v/>
      </c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97"/>
      <c r="AU422" s="97"/>
      <c r="AV422" s="97"/>
      <c r="AW422" s="97"/>
      <c r="AX422" s="97"/>
      <c r="AY422" s="97"/>
      <c r="AZ422" s="97"/>
      <c r="BA422" s="97"/>
      <c r="BB422" s="97"/>
      <c r="BC422" s="97"/>
      <c r="BD422" s="97"/>
      <c r="BE422" s="97"/>
      <c r="BF422" s="97"/>
      <c r="BG422" s="97"/>
      <c r="BH422" s="97"/>
      <c r="BI422" s="97"/>
      <c r="BJ422" s="97"/>
      <c r="BK422" s="97"/>
      <c r="BL422" s="97"/>
      <c r="BM422" s="97"/>
      <c r="BN422" s="97"/>
      <c r="BO422" s="97"/>
      <c r="BP422" s="97"/>
      <c r="BQ422" s="97"/>
      <c r="BR422" s="97"/>
      <c r="BS422" s="97"/>
      <c r="BT422" s="97"/>
      <c r="BU422" s="97"/>
      <c r="BV422" s="199"/>
      <c r="BW422" s="199"/>
      <c r="BX422" s="199"/>
      <c r="BY422" s="199"/>
      <c r="BZ422" s="199"/>
      <c r="CA422" s="199"/>
      <c r="CB422" s="199"/>
      <c r="CC422" s="199"/>
      <c r="CD422" s="199"/>
      <c r="CE422" s="199"/>
      <c r="CF422" s="199"/>
      <c r="CG422" s="199"/>
      <c r="CH422" s="199"/>
      <c r="CI422" s="199"/>
      <c r="CJ422" s="199"/>
      <c r="CK422" s="199"/>
      <c r="CL422" s="199"/>
      <c r="CM422" s="199"/>
      <c r="CN422" s="199"/>
      <c r="CO422" s="199"/>
      <c r="CP422" s="199"/>
      <c r="CQ422" s="199"/>
      <c r="CR422" s="199"/>
      <c r="CS422" s="199"/>
      <c r="CT422" s="199"/>
      <c r="CU422" s="199"/>
      <c r="CV422" s="199"/>
      <c r="CW422" s="199"/>
      <c r="CX422" s="199"/>
      <c r="CY422" s="199"/>
      <c r="CZ422" s="199"/>
      <c r="DA422" s="199"/>
      <c r="DB422" s="199"/>
      <c r="DC422" s="199"/>
      <c r="DD422" s="199"/>
      <c r="DE422" s="199"/>
      <c r="DF422" s="199"/>
      <c r="DG422" s="199"/>
      <c r="DH422" s="199"/>
      <c r="DI422" s="199"/>
      <c r="DJ422" s="199"/>
      <c r="DK422" s="199"/>
      <c r="DL422" s="199"/>
      <c r="DM422" s="199"/>
      <c r="DN422" s="199"/>
      <c r="DO422" s="199"/>
      <c r="DP422" s="199"/>
      <c r="DQ422" s="199"/>
      <c r="DR422" s="199"/>
      <c r="DS422" s="199"/>
      <c r="DT422" s="199"/>
      <c r="DU422" s="199"/>
      <c r="DV422" s="199"/>
      <c r="DW422" s="199"/>
      <c r="DX422" s="199"/>
      <c r="DY422" s="199"/>
      <c r="DZ422" s="199"/>
      <c r="EA422" s="199"/>
      <c r="EB422" s="199"/>
      <c r="EC422" s="199"/>
      <c r="ED422" s="199"/>
      <c r="EE422" s="199"/>
      <c r="EF422" s="199"/>
      <c r="EG422" s="199"/>
      <c r="EH422" s="199"/>
      <c r="EI422" s="199"/>
      <c r="EJ422" s="199"/>
      <c r="EK422" s="199"/>
      <c r="EL422" s="199"/>
      <c r="EM422" s="199"/>
      <c r="EN422" s="199"/>
      <c r="EO422" s="199"/>
      <c r="EP422" s="199"/>
      <c r="EQ422" s="199"/>
      <c r="ER422" s="199"/>
      <c r="ES422" s="199"/>
      <c r="ET422" s="199"/>
      <c r="EU422" s="199"/>
      <c r="EV422" s="199"/>
      <c r="EW422" s="199"/>
      <c r="EX422" s="199"/>
      <c r="EY422" s="199"/>
      <c r="EZ422" s="199"/>
      <c r="FA422" s="199"/>
      <c r="FB422" s="199"/>
      <c r="FC422" s="199"/>
      <c r="FD422" s="199"/>
      <c r="FE422" s="199"/>
      <c r="FF422" s="199"/>
      <c r="FG422" s="199"/>
      <c r="FH422" s="199"/>
      <c r="FI422" s="199"/>
      <c r="FJ422" s="199"/>
      <c r="FK422" s="199"/>
      <c r="FL422" s="199"/>
      <c r="FM422" s="199"/>
      <c r="FN422" s="199"/>
      <c r="FO422" s="199"/>
      <c r="FP422" s="199"/>
      <c r="FQ422" s="199"/>
      <c r="FR422" s="199"/>
      <c r="FS422" s="199"/>
      <c r="FT422" s="199"/>
      <c r="FU422" s="199"/>
      <c r="FV422" s="199"/>
      <c r="FW422" s="199"/>
      <c r="FX422" s="199"/>
      <c r="FY422" s="199"/>
      <c r="FZ422" s="199"/>
      <c r="GA422" s="199"/>
      <c r="GB422" s="199"/>
      <c r="GC422" s="199"/>
      <c r="GD422" s="199"/>
      <c r="GE422" s="199"/>
      <c r="GF422" s="199"/>
      <c r="GG422" s="199"/>
      <c r="GH422" s="199"/>
      <c r="GI422" s="199"/>
      <c r="GJ422" s="199"/>
      <c r="GK422" s="199"/>
      <c r="GL422" s="199"/>
      <c r="GM422" s="199"/>
      <c r="GN422" s="199"/>
      <c r="GO422" s="199"/>
      <c r="GP422" s="199"/>
      <c r="GQ422" s="199"/>
      <c r="GR422" s="199"/>
      <c r="GS422" s="199"/>
      <c r="GT422" s="199"/>
      <c r="GU422" s="199"/>
      <c r="GV422" s="199"/>
      <c r="GW422" s="199"/>
      <c r="GX422" s="199"/>
      <c r="GY422" s="199"/>
      <c r="GZ422" s="199"/>
      <c r="HA422" s="199"/>
      <c r="HB422" s="199"/>
      <c r="HC422" s="199"/>
      <c r="HD422" s="199"/>
      <c r="HE422" s="199"/>
      <c r="HF422" s="199"/>
      <c r="HG422" s="199"/>
      <c r="HH422" s="199"/>
      <c r="HI422" s="199"/>
      <c r="HJ422" s="199"/>
      <c r="HK422" s="199"/>
      <c r="HL422" s="199"/>
      <c r="HM422" s="199"/>
      <c r="HN422" s="199"/>
      <c r="HO422" s="199"/>
      <c r="HP422" s="199"/>
      <c r="HQ422" s="199"/>
      <c r="HR422" s="199"/>
      <c r="HS422" s="199"/>
      <c r="HT422" s="199"/>
      <c r="HU422" s="199"/>
      <c r="HV422" s="199"/>
      <c r="HW422" s="199"/>
      <c r="HX422" s="199"/>
      <c r="HY422" s="199"/>
      <c r="HZ422" s="199"/>
      <c r="IA422" s="199"/>
      <c r="IB422" s="199"/>
      <c r="IC422" s="199"/>
      <c r="ID422" s="199"/>
      <c r="IE422" s="199"/>
      <c r="IF422" s="199"/>
      <c r="IG422" s="199"/>
      <c r="IH422" s="199"/>
      <c r="II422" s="199"/>
      <c r="IJ422" s="199"/>
      <c r="IK422" s="199"/>
      <c r="IL422" s="199"/>
      <c r="IM422" s="199"/>
      <c r="IN422" s="199"/>
      <c r="IO422" s="199"/>
      <c r="IP422" s="199"/>
      <c r="IQ422" s="199"/>
      <c r="IR422" s="199"/>
      <c r="IS422" s="199"/>
      <c r="IT422" s="199"/>
      <c r="IU422" s="199"/>
      <c r="IV422" s="199"/>
      <c r="IW422" s="199"/>
    </row>
    <row r="423" customFormat="false" ht="15.75" hidden="false" customHeight="false" outlineLevel="0" collapsed="false">
      <c r="A423" s="120" t="s">
        <v>399</v>
      </c>
      <c r="B423" s="90"/>
      <c r="C423" s="183"/>
      <c r="D423" s="92"/>
      <c r="E423" s="93" t="n">
        <v>555.534</v>
      </c>
      <c r="F423" s="81" t="n">
        <v>0</v>
      </c>
      <c r="G423" s="81" t="n">
        <v>0</v>
      </c>
      <c r="H423" s="81"/>
      <c r="I423" s="94" t="n">
        <f aca="false">SUM(E423:G423)</f>
        <v>555.534</v>
      </c>
      <c r="J423" s="118"/>
      <c r="K423" s="74"/>
      <c r="L423" s="74"/>
      <c r="M423" s="119"/>
      <c r="N423" s="74"/>
      <c r="O423" s="74"/>
      <c r="P423" s="74"/>
      <c r="Q423" s="74"/>
      <c r="R423" s="74"/>
      <c r="S423" s="74"/>
      <c r="T423" s="65" t="str">
        <f aca="false">IF(D423&gt;0,(I423/D423),"")</f>
        <v/>
      </c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4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/>
      <c r="DJ423" s="74"/>
      <c r="DK423" s="74"/>
      <c r="DL423" s="74"/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</row>
    <row r="424" customFormat="false" ht="15.75" hidden="false" customHeight="false" outlineLevel="0" collapsed="false">
      <c r="A424" s="137" t="s">
        <v>205</v>
      </c>
      <c r="B424" s="83"/>
      <c r="C424" s="232"/>
      <c r="D424" s="85"/>
      <c r="E424" s="86" t="n">
        <v>-743.224</v>
      </c>
      <c r="F424" s="87" t="n">
        <v>0</v>
      </c>
      <c r="G424" s="87" t="n">
        <v>0</v>
      </c>
      <c r="H424" s="87"/>
      <c r="I424" s="88" t="n">
        <f aca="false">SUM(E424:G424)</f>
        <v>-743.224</v>
      </c>
      <c r="J424" s="118"/>
      <c r="K424" s="74"/>
      <c r="L424" s="74"/>
      <c r="M424" s="119"/>
      <c r="N424" s="74"/>
      <c r="O424" s="74"/>
      <c r="P424" s="74"/>
      <c r="Q424" s="74"/>
      <c r="R424" s="74"/>
      <c r="S424" s="74"/>
      <c r="T424" s="65" t="str">
        <f aca="false">IF(D424&gt;0,(I424/D424),"")</f>
        <v/>
      </c>
      <c r="U424" s="74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4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/>
      <c r="DL424" s="74"/>
      <c r="DM424" s="74"/>
      <c r="DN424" s="74"/>
      <c r="DO424" s="74"/>
      <c r="DP424" s="74"/>
      <c r="DQ424" s="74"/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</row>
    <row r="425" customFormat="false" ht="15.75" hidden="false" customHeight="false" outlineLevel="0" collapsed="false">
      <c r="A425" s="120" t="s">
        <v>400</v>
      </c>
      <c r="B425" s="90"/>
      <c r="C425" s="183"/>
      <c r="D425" s="92" t="n">
        <v>83</v>
      </c>
      <c r="E425" s="93" t="n">
        <v>6.643</v>
      </c>
      <c r="F425" s="81" t="n">
        <v>-1.33</v>
      </c>
      <c r="G425" s="81" t="n">
        <v>0</v>
      </c>
      <c r="H425" s="81"/>
      <c r="I425" s="94" t="n">
        <f aca="false">SUM(E425:G425)</f>
        <v>5.313</v>
      </c>
      <c r="J425" s="118" t="s">
        <v>226</v>
      </c>
      <c r="K425" s="74"/>
      <c r="L425" s="74"/>
      <c r="M425" s="119"/>
      <c r="N425" s="74"/>
      <c r="O425" s="74"/>
      <c r="P425" s="74"/>
      <c r="Q425" s="74"/>
      <c r="R425" s="74"/>
      <c r="S425" s="74"/>
      <c r="T425" s="65" t="n">
        <f aca="false">IF(D425&gt;0,(I425/D425),"")</f>
        <v>0.0640120481927711</v>
      </c>
      <c r="U425" s="74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4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/>
      <c r="DK425" s="74"/>
      <c r="DL425" s="74"/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</row>
    <row r="426" customFormat="false" ht="15.75" hidden="false" customHeight="false" outlineLevel="0" collapsed="false">
      <c r="A426" s="120" t="s">
        <v>401</v>
      </c>
      <c r="B426" s="90"/>
      <c r="C426" s="183"/>
      <c r="D426" s="92" t="n">
        <v>283</v>
      </c>
      <c r="E426" s="93" t="n">
        <v>29.528</v>
      </c>
      <c r="F426" s="81" t="n">
        <v>-4.85</v>
      </c>
      <c r="G426" s="81" t="n">
        <v>0</v>
      </c>
      <c r="H426" s="81"/>
      <c r="I426" s="94" t="n">
        <f aca="false">SUM(E426:G426)</f>
        <v>24.678</v>
      </c>
      <c r="J426" s="118" t="s">
        <v>226</v>
      </c>
      <c r="K426" s="74"/>
      <c r="L426" s="74"/>
      <c r="M426" s="119"/>
      <c r="N426" s="74"/>
      <c r="O426" s="74"/>
      <c r="P426" s="74"/>
      <c r="Q426" s="74"/>
      <c r="R426" s="74"/>
      <c r="S426" s="74"/>
      <c r="T426" s="65" t="n">
        <f aca="false">IF(D426&gt;0,(I426/D426),"")</f>
        <v>0.0872014134275618</v>
      </c>
      <c r="U426" s="74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4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/>
      <c r="DL426" s="74"/>
      <c r="DM426" s="74"/>
      <c r="DN426" s="74"/>
      <c r="DO426" s="74"/>
      <c r="DP426" s="74"/>
      <c r="DQ426" s="74"/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</row>
    <row r="427" customFormat="false" ht="15.75" hidden="false" customHeight="false" outlineLevel="0" collapsed="false">
      <c r="A427" s="120" t="s">
        <v>402</v>
      </c>
      <c r="B427" s="95" t="n">
        <v>37105</v>
      </c>
      <c r="C427" s="118" t="s">
        <v>336</v>
      </c>
      <c r="D427" s="233" t="n">
        <v>240</v>
      </c>
      <c r="E427" s="131" t="n">
        <v>16.594</v>
      </c>
      <c r="F427" s="132" t="n">
        <v>-4.361</v>
      </c>
      <c r="G427" s="132" t="n">
        <v>0</v>
      </c>
      <c r="H427" s="132"/>
      <c r="I427" s="133" t="n">
        <v>12.233</v>
      </c>
      <c r="J427" s="118" t="s">
        <v>21</v>
      </c>
      <c r="K427" s="74"/>
      <c r="L427" s="142"/>
      <c r="M427" s="119"/>
      <c r="N427" s="74"/>
      <c r="O427" s="74"/>
      <c r="P427" s="74"/>
      <c r="Q427" s="74"/>
      <c r="R427" s="74"/>
      <c r="S427" s="74"/>
      <c r="T427" s="65" t="n">
        <f aca="false">IF(D427&gt;0,(I427/D427),"")</f>
        <v>0.0509708333333333</v>
      </c>
      <c r="U427" s="74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4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/>
      <c r="DK427" s="74"/>
      <c r="DL427" s="74"/>
      <c r="DM427" s="74"/>
      <c r="DN427" s="74"/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142"/>
      <c r="IW427" s="142"/>
    </row>
    <row r="428" customFormat="false" ht="15.75" hidden="false" customHeight="false" outlineLevel="0" collapsed="false">
      <c r="A428" s="196" t="s">
        <v>403</v>
      </c>
      <c r="B428" s="95"/>
      <c r="C428" s="118"/>
      <c r="D428" s="185" t="n">
        <f aca="false">SUM(D421:D427)</f>
        <v>606</v>
      </c>
      <c r="E428" s="93" t="n">
        <f aca="false">SUM(E421:E427)</f>
        <v>-134.925</v>
      </c>
      <c r="F428" s="81" t="n">
        <f aca="false">SUM(F421:F427)</f>
        <v>-10.541</v>
      </c>
      <c r="G428" s="81" t="n">
        <f aca="false">SUM(G421:G427)</f>
        <v>0</v>
      </c>
      <c r="H428" s="81" t="n">
        <f aca="false">SUM(H421:H427)</f>
        <v>0</v>
      </c>
      <c r="I428" s="94" t="n">
        <f aca="false">SUM(I421:I427)</f>
        <v>-145.466</v>
      </c>
      <c r="J428" s="118"/>
      <c r="K428" s="74"/>
      <c r="L428" s="142"/>
      <c r="M428" s="119"/>
      <c r="N428" s="74"/>
      <c r="O428" s="74"/>
      <c r="P428" s="74"/>
      <c r="Q428" s="74"/>
      <c r="R428" s="74"/>
      <c r="S428" s="74"/>
      <c r="T428" s="65" t="n">
        <f aca="false">IF(D428&gt;0,(I428/D428),"")</f>
        <v>-0.240042904290429</v>
      </c>
      <c r="U428" s="74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4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/>
      <c r="DO428" s="74"/>
      <c r="DP428" s="74"/>
      <c r="DQ428" s="74"/>
      <c r="DR428" s="74"/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142"/>
      <c r="IW428" s="142"/>
    </row>
    <row r="429" customFormat="false" ht="15.75" hidden="false" customHeight="false" outlineLevel="0" collapsed="false">
      <c r="A429" s="120"/>
      <c r="B429" s="95"/>
      <c r="C429" s="118"/>
      <c r="D429" s="185"/>
      <c r="E429" s="93"/>
      <c r="F429" s="81"/>
      <c r="G429" s="81"/>
      <c r="H429" s="81"/>
      <c r="I429" s="94"/>
      <c r="J429" s="118"/>
      <c r="K429" s="74"/>
      <c r="L429" s="142"/>
      <c r="M429" s="119"/>
      <c r="N429" s="74"/>
      <c r="O429" s="74"/>
      <c r="P429" s="74"/>
      <c r="Q429" s="74"/>
      <c r="R429" s="74"/>
      <c r="S429" s="74"/>
      <c r="T429" s="65" t="str">
        <f aca="false">IF(D429&gt;0,(I429/D429),"")</f>
        <v/>
      </c>
      <c r="U429" s="74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4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/>
      <c r="DL429" s="74"/>
      <c r="DM429" s="74"/>
      <c r="DN429" s="74"/>
      <c r="DO429" s="74"/>
      <c r="DP429" s="74"/>
      <c r="DQ429" s="74"/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142"/>
      <c r="IW429" s="142"/>
    </row>
    <row r="430" customFormat="false" ht="15.75" hidden="false" customHeight="false" outlineLevel="0" collapsed="false">
      <c r="A430" s="230" t="s">
        <v>404</v>
      </c>
      <c r="B430" s="95"/>
      <c r="C430" s="118"/>
      <c r="D430" s="185"/>
      <c r="E430" s="93"/>
      <c r="F430" s="81"/>
      <c r="G430" s="81"/>
      <c r="H430" s="81"/>
      <c r="I430" s="94"/>
      <c r="J430" s="118"/>
      <c r="K430" s="74"/>
      <c r="L430" s="142"/>
      <c r="M430" s="119"/>
      <c r="N430" s="74"/>
      <c r="O430" s="74"/>
      <c r="P430" s="74"/>
      <c r="Q430" s="74"/>
      <c r="R430" s="74"/>
      <c r="S430" s="74"/>
      <c r="T430" s="65" t="str">
        <f aca="false">IF(D430&gt;0,(I430/D430),"")</f>
        <v/>
      </c>
      <c r="U430" s="74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4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/>
      <c r="DO430" s="74"/>
      <c r="DP430" s="74"/>
      <c r="DQ430" s="74"/>
      <c r="DR430" s="74"/>
      <c r="DS430" s="74"/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142"/>
      <c r="IW430" s="142"/>
    </row>
    <row r="431" customFormat="false" ht="15.75" hidden="false" customHeight="true" outlineLevel="0" collapsed="false">
      <c r="A431" s="220"/>
      <c r="B431" s="95"/>
      <c r="C431" s="188"/>
      <c r="D431" s="92"/>
      <c r="E431" s="93"/>
      <c r="F431" s="81"/>
      <c r="G431" s="81"/>
      <c r="H431" s="81"/>
      <c r="I431" s="94"/>
      <c r="J431" s="118"/>
      <c r="K431" s="74"/>
      <c r="L431" s="74"/>
      <c r="M431" s="119"/>
      <c r="N431" s="74"/>
      <c r="O431" s="74"/>
      <c r="P431" s="74"/>
      <c r="Q431" s="74"/>
      <c r="R431" s="74"/>
      <c r="S431" s="74"/>
      <c r="T431" s="65" t="str">
        <f aca="false">IF(D431&gt;0,(I431/D431),"")</f>
        <v/>
      </c>
      <c r="U431" s="74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4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/>
      <c r="DO431" s="74"/>
      <c r="DP431" s="74"/>
      <c r="DQ431" s="74"/>
      <c r="DR431" s="74"/>
      <c r="DS431" s="74"/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</row>
    <row r="432" customFormat="false" ht="15.75" hidden="false" customHeight="true" outlineLevel="0" collapsed="false">
      <c r="A432" s="120" t="s">
        <v>405</v>
      </c>
      <c r="B432" s="95"/>
      <c r="C432" s="188"/>
      <c r="D432" s="92" t="n">
        <f aca="false">SUM(D433:D471)</f>
        <v>146815.133333333</v>
      </c>
      <c r="E432" s="93" t="n">
        <f aca="false">SUM(E433:E471)</f>
        <v>5973.399</v>
      </c>
      <c r="F432" s="81" t="n">
        <f aca="false">SUM(F433:F471)</f>
        <v>-1568.945</v>
      </c>
      <c r="G432" s="81" t="n">
        <f aca="false">SUM(G433:G471)</f>
        <v>0</v>
      </c>
      <c r="H432" s="81" t="n">
        <f aca="false">SUM(H433:H471)</f>
        <v>0</v>
      </c>
      <c r="I432" s="94" t="n">
        <f aca="false">SUM(I433:I471)</f>
        <v>4404.454</v>
      </c>
      <c r="J432" s="118"/>
      <c r="K432" s="74"/>
      <c r="L432" s="74"/>
      <c r="M432" s="119"/>
      <c r="N432" s="74"/>
      <c r="O432" s="74"/>
      <c r="P432" s="74"/>
      <c r="Q432" s="74"/>
      <c r="R432" s="74"/>
      <c r="S432" s="74"/>
      <c r="T432" s="65" t="n">
        <f aca="false">IF(D432&gt;0,(I432/D432),"")</f>
        <v>0.03</v>
      </c>
      <c r="U432" s="74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4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/>
      <c r="DO432" s="74"/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</row>
    <row r="433" customFormat="false" ht="6" hidden="true" customHeight="true" outlineLevel="0" collapsed="false">
      <c r="A433" s="213"/>
      <c r="B433" s="224"/>
      <c r="C433" s="215"/>
      <c r="D433" s="216"/>
      <c r="E433" s="217"/>
      <c r="F433" s="218"/>
      <c r="G433" s="218"/>
      <c r="H433" s="218"/>
      <c r="I433" s="218" t="n">
        <f aca="false">F433+E433</f>
        <v>0</v>
      </c>
      <c r="J433" s="118"/>
      <c r="K433" s="74"/>
      <c r="L433" s="74"/>
      <c r="M433" s="119"/>
      <c r="N433" s="74"/>
      <c r="O433" s="74"/>
      <c r="P433" s="74"/>
      <c r="Q433" s="74"/>
      <c r="R433" s="74"/>
      <c r="S433" s="74"/>
      <c r="T433" s="65" t="str">
        <f aca="false">IF(D433&gt;0,(I433/D433),"")</f>
        <v/>
      </c>
      <c r="U433" s="74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4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/>
      <c r="DO433" s="74"/>
      <c r="DP433" s="74"/>
      <c r="DQ433" s="74"/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</row>
    <row r="434" customFormat="false" ht="18" hidden="true" customHeight="false" outlineLevel="0" collapsed="false">
      <c r="A434" s="234" t="s">
        <v>406</v>
      </c>
      <c r="B434" s="67"/>
      <c r="C434" s="175"/>
      <c r="D434" s="69" t="n">
        <f aca="false">I434/0.03</f>
        <v>246.666666666667</v>
      </c>
      <c r="E434" s="71" t="n">
        <f aca="false">10113/1000</f>
        <v>10.113</v>
      </c>
      <c r="F434" s="71" t="n">
        <v>-2.713</v>
      </c>
      <c r="G434" s="71" t="n">
        <v>0</v>
      </c>
      <c r="H434" s="71"/>
      <c r="I434" s="72" t="n">
        <f aca="false">SUM(E434:G434)</f>
        <v>7.4</v>
      </c>
      <c r="J434" s="118" t="s">
        <v>70</v>
      </c>
      <c r="K434" s="74"/>
      <c r="L434" s="74"/>
      <c r="M434" s="119"/>
      <c r="N434" s="74"/>
      <c r="O434" s="74"/>
      <c r="P434" s="74"/>
      <c r="Q434" s="74"/>
      <c r="R434" s="74"/>
      <c r="S434" s="74"/>
      <c r="T434" s="65" t="n">
        <f aca="false">IF(D434&gt;0,(I434/D434),"")</f>
        <v>0.03</v>
      </c>
      <c r="U434" s="74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4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/>
      <c r="DO434" s="74"/>
      <c r="DP434" s="74"/>
      <c r="DQ434" s="74"/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</row>
    <row r="435" customFormat="false" ht="18" hidden="true" customHeight="true" outlineLevel="0" collapsed="false">
      <c r="A435" s="234" t="s">
        <v>407</v>
      </c>
      <c r="B435" s="113"/>
      <c r="C435" s="114"/>
      <c r="D435" s="115" t="n">
        <f aca="false">I435/0.03</f>
        <v>3698.76666666667</v>
      </c>
      <c r="E435" s="116" t="n">
        <f aca="false">151548/1000</f>
        <v>151.548</v>
      </c>
      <c r="F435" s="116" t="n">
        <f aca="false">-40585/1000</f>
        <v>-40.585</v>
      </c>
      <c r="G435" s="116"/>
      <c r="H435" s="116"/>
      <c r="I435" s="117" t="n">
        <f aca="false">SUM(E435:G435)</f>
        <v>110.963</v>
      </c>
      <c r="J435" s="118" t="s">
        <v>70</v>
      </c>
      <c r="K435" s="119"/>
      <c r="L435" s="119"/>
      <c r="M435" s="119"/>
      <c r="N435" s="119"/>
      <c r="O435" s="119"/>
      <c r="P435" s="119"/>
      <c r="Q435" s="119"/>
      <c r="R435" s="119"/>
      <c r="S435" s="119"/>
      <c r="T435" s="65" t="n">
        <f aca="false">IF(D435&gt;0,(I435/D435),"")</f>
        <v>0.03</v>
      </c>
      <c r="U435" s="119"/>
      <c r="V435" s="119"/>
      <c r="W435" s="119"/>
      <c r="X435" s="119"/>
      <c r="Y435" s="119"/>
      <c r="Z435" s="119"/>
      <c r="AA435" s="119"/>
      <c r="AB435" s="119"/>
      <c r="AC435" s="119"/>
      <c r="AD435" s="119"/>
      <c r="AE435" s="119"/>
      <c r="AF435" s="119"/>
      <c r="AG435" s="119"/>
      <c r="AH435" s="119"/>
      <c r="AI435" s="119"/>
      <c r="AJ435" s="119"/>
      <c r="AK435" s="119"/>
      <c r="AL435" s="119"/>
      <c r="AM435" s="119"/>
      <c r="AN435" s="119"/>
      <c r="AO435" s="119"/>
      <c r="AP435" s="119"/>
      <c r="AQ435" s="119"/>
      <c r="AR435" s="119"/>
      <c r="AS435" s="119"/>
      <c r="AT435" s="119"/>
      <c r="AU435" s="119"/>
      <c r="AV435" s="119"/>
      <c r="AW435" s="119"/>
      <c r="AX435" s="119"/>
      <c r="AY435" s="119"/>
      <c r="AZ435" s="119"/>
      <c r="BA435" s="119"/>
      <c r="BB435" s="119"/>
      <c r="BC435" s="119"/>
      <c r="BD435" s="119"/>
      <c r="BE435" s="119"/>
      <c r="BF435" s="119"/>
      <c r="BG435" s="119"/>
      <c r="BH435" s="119"/>
      <c r="BI435" s="119"/>
      <c r="BJ435" s="119"/>
      <c r="BK435" s="119"/>
      <c r="BL435" s="119"/>
      <c r="BM435" s="119"/>
      <c r="BN435" s="119"/>
      <c r="BO435" s="119"/>
      <c r="BP435" s="119"/>
      <c r="BQ435" s="119"/>
      <c r="BR435" s="119"/>
      <c r="BS435" s="119"/>
      <c r="BT435" s="119"/>
      <c r="BU435" s="119"/>
      <c r="BV435" s="119"/>
      <c r="BW435" s="119"/>
      <c r="BX435" s="119"/>
      <c r="BY435" s="119"/>
      <c r="BZ435" s="119"/>
      <c r="CA435" s="119"/>
      <c r="CB435" s="119"/>
      <c r="CC435" s="119"/>
      <c r="CD435" s="119"/>
      <c r="CE435" s="119"/>
      <c r="CF435" s="119"/>
      <c r="CG435" s="119"/>
      <c r="CH435" s="119"/>
      <c r="CI435" s="119"/>
      <c r="CJ435" s="119"/>
      <c r="CK435" s="119"/>
      <c r="CL435" s="119"/>
      <c r="CM435" s="119"/>
      <c r="CN435" s="119"/>
      <c r="CO435" s="119"/>
      <c r="CP435" s="119"/>
      <c r="CQ435" s="119"/>
      <c r="CR435" s="119"/>
      <c r="CS435" s="119"/>
      <c r="CT435" s="119"/>
      <c r="CU435" s="119"/>
      <c r="CV435" s="119"/>
      <c r="CW435" s="119"/>
      <c r="CX435" s="119"/>
      <c r="CY435" s="119"/>
      <c r="CZ435" s="119"/>
      <c r="DA435" s="119"/>
      <c r="DB435" s="119"/>
      <c r="DC435" s="119"/>
      <c r="DD435" s="119"/>
      <c r="DE435" s="119"/>
      <c r="DF435" s="119"/>
      <c r="DG435" s="119"/>
      <c r="DH435" s="119"/>
      <c r="DI435" s="119"/>
      <c r="DJ435" s="119"/>
      <c r="DK435" s="119"/>
      <c r="DL435" s="119"/>
      <c r="DM435" s="119"/>
      <c r="DN435" s="119"/>
      <c r="DO435" s="119"/>
      <c r="DP435" s="119"/>
      <c r="DQ435" s="119"/>
      <c r="DR435" s="119"/>
      <c r="DS435" s="119"/>
      <c r="DT435" s="119"/>
      <c r="DU435" s="119"/>
      <c r="DV435" s="119"/>
      <c r="DW435" s="119"/>
      <c r="DX435" s="119"/>
      <c r="DY435" s="119"/>
      <c r="DZ435" s="119"/>
      <c r="EA435" s="119"/>
      <c r="EB435" s="119"/>
      <c r="EC435" s="119"/>
      <c r="ED435" s="119"/>
      <c r="EE435" s="119"/>
      <c r="EF435" s="119"/>
      <c r="EG435" s="119"/>
      <c r="EH435" s="119"/>
      <c r="EI435" s="119"/>
      <c r="EJ435" s="119"/>
      <c r="EK435" s="119"/>
      <c r="EL435" s="119"/>
      <c r="EM435" s="119"/>
      <c r="EN435" s="119"/>
      <c r="EO435" s="119"/>
      <c r="EP435" s="119"/>
      <c r="EQ435" s="119"/>
      <c r="ER435" s="119"/>
      <c r="ES435" s="119"/>
      <c r="ET435" s="119"/>
      <c r="EU435" s="119"/>
      <c r="EV435" s="119"/>
      <c r="EW435" s="119"/>
      <c r="EX435" s="119"/>
      <c r="EY435" s="119"/>
      <c r="EZ435" s="119"/>
      <c r="FA435" s="119"/>
      <c r="FB435" s="119"/>
      <c r="FC435" s="119"/>
      <c r="FD435" s="119"/>
      <c r="FE435" s="119"/>
      <c r="FF435" s="119"/>
      <c r="FG435" s="119"/>
      <c r="FH435" s="119"/>
      <c r="FI435" s="119"/>
      <c r="FJ435" s="119"/>
      <c r="FK435" s="119"/>
      <c r="FL435" s="119"/>
      <c r="FM435" s="119"/>
      <c r="FN435" s="119"/>
      <c r="FO435" s="119"/>
      <c r="FP435" s="119"/>
      <c r="FQ435" s="119"/>
      <c r="FR435" s="119"/>
      <c r="FS435" s="119"/>
      <c r="FT435" s="119"/>
      <c r="FU435" s="119"/>
      <c r="FV435" s="119"/>
      <c r="FW435" s="119"/>
      <c r="FX435" s="119"/>
      <c r="FY435" s="119"/>
      <c r="FZ435" s="119"/>
      <c r="GA435" s="119"/>
      <c r="GB435" s="119"/>
      <c r="GC435" s="119"/>
      <c r="GD435" s="119"/>
      <c r="GE435" s="119"/>
      <c r="GF435" s="119"/>
      <c r="GG435" s="119"/>
      <c r="GH435" s="119"/>
      <c r="GI435" s="119"/>
      <c r="GJ435" s="119"/>
      <c r="GK435" s="119"/>
      <c r="GL435" s="119"/>
      <c r="GM435" s="119"/>
      <c r="GN435" s="119"/>
      <c r="GO435" s="119"/>
      <c r="GP435" s="119"/>
      <c r="GQ435" s="119"/>
      <c r="GR435" s="119"/>
      <c r="GS435" s="119"/>
      <c r="GT435" s="119"/>
      <c r="GU435" s="119"/>
      <c r="GV435" s="119"/>
      <c r="GW435" s="119"/>
      <c r="GX435" s="119"/>
      <c r="GY435" s="119"/>
      <c r="GZ435" s="119"/>
      <c r="HA435" s="119"/>
      <c r="HB435" s="119"/>
      <c r="HC435" s="119"/>
      <c r="HD435" s="119"/>
      <c r="HE435" s="119"/>
      <c r="HF435" s="119"/>
      <c r="HG435" s="119"/>
      <c r="HH435" s="119"/>
      <c r="HI435" s="119"/>
      <c r="HJ435" s="119"/>
      <c r="HK435" s="119"/>
      <c r="HL435" s="119"/>
      <c r="HM435" s="119"/>
      <c r="HN435" s="119"/>
      <c r="HO435" s="119"/>
      <c r="HP435" s="119"/>
      <c r="HQ435" s="119"/>
      <c r="HR435" s="119"/>
      <c r="HS435" s="119"/>
      <c r="HT435" s="119"/>
      <c r="HU435" s="119"/>
      <c r="HV435" s="119"/>
      <c r="HW435" s="119"/>
      <c r="HX435" s="119"/>
      <c r="HY435" s="119"/>
      <c r="HZ435" s="119"/>
      <c r="IA435" s="119"/>
      <c r="IB435" s="119"/>
      <c r="IC435" s="119"/>
      <c r="ID435" s="119"/>
      <c r="IE435" s="119"/>
      <c r="IF435" s="119"/>
      <c r="IG435" s="119"/>
      <c r="IH435" s="119"/>
      <c r="II435" s="119"/>
      <c r="IJ435" s="119"/>
      <c r="IK435" s="119"/>
      <c r="IL435" s="119"/>
      <c r="IM435" s="119"/>
      <c r="IN435" s="119"/>
      <c r="IO435" s="119"/>
      <c r="IP435" s="119"/>
      <c r="IQ435" s="119"/>
      <c r="IR435" s="119"/>
      <c r="IS435" s="119"/>
      <c r="IT435" s="119"/>
      <c r="IU435" s="119"/>
      <c r="IV435" s="119"/>
      <c r="IW435" s="119"/>
    </row>
    <row r="436" customFormat="false" ht="18" hidden="true" customHeight="true" outlineLevel="0" collapsed="false">
      <c r="A436" s="234" t="s">
        <v>408</v>
      </c>
      <c r="B436" s="113"/>
      <c r="C436" s="114"/>
      <c r="D436" s="115" t="n">
        <f aca="false">I436/0.03</f>
        <v>5965.36666666667</v>
      </c>
      <c r="E436" s="116" t="n">
        <f aca="false">243629/1000</f>
        <v>243.629</v>
      </c>
      <c r="F436" s="116" t="n">
        <f aca="false">-64668/1000</f>
        <v>-64.668</v>
      </c>
      <c r="G436" s="116"/>
      <c r="H436" s="116"/>
      <c r="I436" s="117" t="n">
        <f aca="false">SUM(E436:G436)</f>
        <v>178.961</v>
      </c>
      <c r="J436" s="118" t="s">
        <v>70</v>
      </c>
      <c r="K436" s="119"/>
      <c r="L436" s="119"/>
      <c r="M436" s="119"/>
      <c r="N436" s="119"/>
      <c r="O436" s="119"/>
      <c r="P436" s="119"/>
      <c r="Q436" s="119"/>
      <c r="R436" s="119"/>
      <c r="S436" s="119"/>
      <c r="T436" s="65" t="n">
        <f aca="false">IF(D436&gt;0,(I436/D436),"")</f>
        <v>0.03</v>
      </c>
      <c r="U436" s="119"/>
      <c r="V436" s="119"/>
      <c r="W436" s="119"/>
      <c r="X436" s="119"/>
      <c r="Y436" s="119"/>
      <c r="Z436" s="119"/>
      <c r="AA436" s="119"/>
      <c r="AB436" s="119"/>
      <c r="AC436" s="119"/>
      <c r="AD436" s="119"/>
      <c r="AE436" s="119"/>
      <c r="AF436" s="119"/>
      <c r="AG436" s="119"/>
      <c r="AH436" s="119"/>
      <c r="AI436" s="119"/>
      <c r="AJ436" s="119"/>
      <c r="AK436" s="119"/>
      <c r="AL436" s="119"/>
      <c r="AM436" s="119"/>
      <c r="AN436" s="119"/>
      <c r="AO436" s="119"/>
      <c r="AP436" s="119"/>
      <c r="AQ436" s="119"/>
      <c r="AR436" s="119"/>
      <c r="AS436" s="119"/>
      <c r="AT436" s="119"/>
      <c r="AU436" s="119"/>
      <c r="AV436" s="119"/>
      <c r="AW436" s="119"/>
      <c r="AX436" s="119"/>
      <c r="AY436" s="119"/>
      <c r="AZ436" s="119"/>
      <c r="BA436" s="119"/>
      <c r="BB436" s="119"/>
      <c r="BC436" s="119"/>
      <c r="BD436" s="119"/>
      <c r="BE436" s="119"/>
      <c r="BF436" s="119"/>
      <c r="BG436" s="119"/>
      <c r="BH436" s="119"/>
      <c r="BI436" s="119"/>
      <c r="BJ436" s="119"/>
      <c r="BK436" s="119"/>
      <c r="BL436" s="119"/>
      <c r="BM436" s="119"/>
      <c r="BN436" s="119"/>
      <c r="BO436" s="119"/>
      <c r="BP436" s="119"/>
      <c r="BQ436" s="119"/>
      <c r="BR436" s="119"/>
      <c r="BS436" s="119"/>
      <c r="BT436" s="119"/>
      <c r="BU436" s="119"/>
      <c r="BV436" s="119"/>
      <c r="BW436" s="119"/>
      <c r="BX436" s="119"/>
      <c r="BY436" s="119"/>
      <c r="BZ436" s="119"/>
      <c r="CA436" s="119"/>
      <c r="CB436" s="119"/>
      <c r="CC436" s="119"/>
      <c r="CD436" s="119"/>
      <c r="CE436" s="119"/>
      <c r="CF436" s="119"/>
      <c r="CG436" s="119"/>
      <c r="CH436" s="119"/>
      <c r="CI436" s="119"/>
      <c r="CJ436" s="119"/>
      <c r="CK436" s="119"/>
      <c r="CL436" s="119"/>
      <c r="CM436" s="119"/>
      <c r="CN436" s="119"/>
      <c r="CO436" s="119"/>
      <c r="CP436" s="119"/>
      <c r="CQ436" s="119"/>
      <c r="CR436" s="119"/>
      <c r="CS436" s="119"/>
      <c r="CT436" s="119"/>
      <c r="CU436" s="119"/>
      <c r="CV436" s="119"/>
      <c r="CW436" s="119"/>
      <c r="CX436" s="119"/>
      <c r="CY436" s="119"/>
      <c r="CZ436" s="119"/>
      <c r="DA436" s="119"/>
      <c r="DB436" s="119"/>
      <c r="DC436" s="119"/>
      <c r="DD436" s="119"/>
      <c r="DE436" s="119"/>
      <c r="DF436" s="119"/>
      <c r="DG436" s="119"/>
      <c r="DH436" s="119"/>
      <c r="DI436" s="119"/>
      <c r="DJ436" s="119"/>
      <c r="DK436" s="119"/>
      <c r="DL436" s="119"/>
      <c r="DM436" s="119"/>
      <c r="DN436" s="119"/>
      <c r="DO436" s="119"/>
      <c r="DP436" s="119"/>
      <c r="DQ436" s="119"/>
      <c r="DR436" s="119"/>
      <c r="DS436" s="119"/>
      <c r="DT436" s="119"/>
      <c r="DU436" s="119"/>
      <c r="DV436" s="119"/>
      <c r="DW436" s="119"/>
      <c r="DX436" s="119"/>
      <c r="DY436" s="119"/>
      <c r="DZ436" s="119"/>
      <c r="EA436" s="119"/>
      <c r="EB436" s="119"/>
      <c r="EC436" s="119"/>
      <c r="ED436" s="119"/>
      <c r="EE436" s="119"/>
      <c r="EF436" s="119"/>
      <c r="EG436" s="119"/>
      <c r="EH436" s="119"/>
      <c r="EI436" s="119"/>
      <c r="EJ436" s="119"/>
      <c r="EK436" s="119"/>
      <c r="EL436" s="119"/>
      <c r="EM436" s="119"/>
      <c r="EN436" s="119"/>
      <c r="EO436" s="119"/>
      <c r="EP436" s="119"/>
      <c r="EQ436" s="119"/>
      <c r="ER436" s="119"/>
      <c r="ES436" s="119"/>
      <c r="ET436" s="119"/>
      <c r="EU436" s="119"/>
      <c r="EV436" s="119"/>
      <c r="EW436" s="119"/>
      <c r="EX436" s="119"/>
      <c r="EY436" s="119"/>
      <c r="EZ436" s="119"/>
      <c r="FA436" s="119"/>
      <c r="FB436" s="119"/>
      <c r="FC436" s="119"/>
      <c r="FD436" s="119"/>
      <c r="FE436" s="119"/>
      <c r="FF436" s="119"/>
      <c r="FG436" s="119"/>
      <c r="FH436" s="119"/>
      <c r="FI436" s="119"/>
      <c r="FJ436" s="119"/>
      <c r="FK436" s="119"/>
      <c r="FL436" s="119"/>
      <c r="FM436" s="119"/>
      <c r="FN436" s="119"/>
      <c r="FO436" s="119"/>
      <c r="FP436" s="119"/>
      <c r="FQ436" s="119"/>
      <c r="FR436" s="119"/>
      <c r="FS436" s="119"/>
      <c r="FT436" s="119"/>
      <c r="FU436" s="119"/>
      <c r="FV436" s="119"/>
      <c r="FW436" s="119"/>
      <c r="FX436" s="119"/>
      <c r="FY436" s="119"/>
      <c r="FZ436" s="119"/>
      <c r="GA436" s="119"/>
      <c r="GB436" s="119"/>
      <c r="GC436" s="119"/>
      <c r="GD436" s="119"/>
      <c r="GE436" s="119"/>
      <c r="GF436" s="119"/>
      <c r="GG436" s="119"/>
      <c r="GH436" s="119"/>
      <c r="GI436" s="119"/>
      <c r="GJ436" s="119"/>
      <c r="GK436" s="119"/>
      <c r="GL436" s="119"/>
      <c r="GM436" s="119"/>
      <c r="GN436" s="119"/>
      <c r="GO436" s="119"/>
      <c r="GP436" s="119"/>
      <c r="GQ436" s="119"/>
      <c r="GR436" s="119"/>
      <c r="GS436" s="119"/>
      <c r="GT436" s="119"/>
      <c r="GU436" s="119"/>
      <c r="GV436" s="119"/>
      <c r="GW436" s="119"/>
      <c r="GX436" s="119"/>
      <c r="GY436" s="119"/>
      <c r="GZ436" s="119"/>
      <c r="HA436" s="119"/>
      <c r="HB436" s="119"/>
      <c r="HC436" s="119"/>
      <c r="HD436" s="119"/>
      <c r="HE436" s="119"/>
      <c r="HF436" s="119"/>
      <c r="HG436" s="119"/>
      <c r="HH436" s="119"/>
      <c r="HI436" s="119"/>
      <c r="HJ436" s="119"/>
      <c r="HK436" s="119"/>
      <c r="HL436" s="119"/>
      <c r="HM436" s="119"/>
      <c r="HN436" s="119"/>
      <c r="HO436" s="119"/>
      <c r="HP436" s="119"/>
      <c r="HQ436" s="119"/>
      <c r="HR436" s="119"/>
      <c r="HS436" s="119"/>
      <c r="HT436" s="119"/>
      <c r="HU436" s="119"/>
      <c r="HV436" s="119"/>
      <c r="HW436" s="119"/>
      <c r="HX436" s="119"/>
      <c r="HY436" s="119"/>
      <c r="HZ436" s="119"/>
      <c r="IA436" s="119"/>
      <c r="IB436" s="119"/>
      <c r="IC436" s="119"/>
      <c r="ID436" s="119"/>
      <c r="IE436" s="119"/>
      <c r="IF436" s="119"/>
      <c r="IG436" s="119"/>
      <c r="IH436" s="119"/>
      <c r="II436" s="119"/>
      <c r="IJ436" s="119"/>
      <c r="IK436" s="119"/>
      <c r="IL436" s="119"/>
      <c r="IM436" s="119"/>
      <c r="IN436" s="119"/>
      <c r="IO436" s="119"/>
      <c r="IP436" s="119"/>
      <c r="IQ436" s="119"/>
      <c r="IR436" s="119"/>
      <c r="IS436" s="119"/>
      <c r="IT436" s="119"/>
      <c r="IU436" s="119"/>
      <c r="IV436" s="119"/>
      <c r="IW436" s="119"/>
    </row>
    <row r="437" customFormat="false" ht="18" hidden="true" customHeight="true" outlineLevel="0" collapsed="false">
      <c r="A437" s="234" t="s">
        <v>409</v>
      </c>
      <c r="B437" s="113"/>
      <c r="C437" s="114"/>
      <c r="D437" s="115" t="n">
        <f aca="false">I437/0.03</f>
        <v>5831.63333333333</v>
      </c>
      <c r="E437" s="116" t="n">
        <f aca="false">238149/1000</f>
        <v>238.149</v>
      </c>
      <c r="F437" s="116" t="n">
        <f aca="false">-63200/1000</f>
        <v>-63.2</v>
      </c>
      <c r="G437" s="116"/>
      <c r="H437" s="116"/>
      <c r="I437" s="117" t="n">
        <f aca="false">SUM(E437:G437)</f>
        <v>174.949</v>
      </c>
      <c r="J437" s="118" t="s">
        <v>70</v>
      </c>
      <c r="K437" s="119"/>
      <c r="L437" s="119"/>
      <c r="M437" s="119"/>
      <c r="N437" s="119"/>
      <c r="O437" s="119"/>
      <c r="P437" s="119"/>
      <c r="Q437" s="119"/>
      <c r="R437" s="119"/>
      <c r="S437" s="119"/>
      <c r="T437" s="65" t="n">
        <f aca="false">IF(D437&gt;0,(I437/D437),"")</f>
        <v>0.03</v>
      </c>
      <c r="U437" s="119"/>
      <c r="V437" s="119"/>
      <c r="W437" s="119"/>
      <c r="X437" s="119"/>
      <c r="Y437" s="119"/>
      <c r="Z437" s="119"/>
      <c r="AA437" s="119"/>
      <c r="AB437" s="119"/>
      <c r="AC437" s="119"/>
      <c r="AD437" s="119"/>
      <c r="AE437" s="119"/>
      <c r="AF437" s="119"/>
      <c r="AG437" s="119"/>
      <c r="AH437" s="119"/>
      <c r="AI437" s="119"/>
      <c r="AJ437" s="119"/>
      <c r="AK437" s="119"/>
      <c r="AL437" s="119"/>
      <c r="AM437" s="119"/>
      <c r="AN437" s="119"/>
      <c r="AO437" s="119"/>
      <c r="AP437" s="119"/>
      <c r="AQ437" s="119"/>
      <c r="AR437" s="119"/>
      <c r="AS437" s="119"/>
      <c r="AT437" s="119"/>
      <c r="AU437" s="119"/>
      <c r="AV437" s="119"/>
      <c r="AW437" s="119"/>
      <c r="AX437" s="119"/>
      <c r="AY437" s="119"/>
      <c r="AZ437" s="119"/>
      <c r="BA437" s="119"/>
      <c r="BB437" s="119"/>
      <c r="BC437" s="119"/>
      <c r="BD437" s="119"/>
      <c r="BE437" s="119"/>
      <c r="BF437" s="119"/>
      <c r="BG437" s="119"/>
      <c r="BH437" s="119"/>
      <c r="BI437" s="119"/>
      <c r="BJ437" s="119"/>
      <c r="BK437" s="119"/>
      <c r="BL437" s="119"/>
      <c r="BM437" s="119"/>
      <c r="BN437" s="119"/>
      <c r="BO437" s="119"/>
      <c r="BP437" s="119"/>
      <c r="BQ437" s="119"/>
      <c r="BR437" s="119"/>
      <c r="BS437" s="119"/>
      <c r="BT437" s="119"/>
      <c r="BU437" s="119"/>
      <c r="BV437" s="119"/>
      <c r="BW437" s="119"/>
      <c r="BX437" s="119"/>
      <c r="BY437" s="119"/>
      <c r="BZ437" s="119"/>
      <c r="CA437" s="119"/>
      <c r="CB437" s="119"/>
      <c r="CC437" s="119"/>
      <c r="CD437" s="119"/>
      <c r="CE437" s="119"/>
      <c r="CF437" s="119"/>
      <c r="CG437" s="119"/>
      <c r="CH437" s="119"/>
      <c r="CI437" s="119"/>
      <c r="CJ437" s="119"/>
      <c r="CK437" s="119"/>
      <c r="CL437" s="119"/>
      <c r="CM437" s="119"/>
      <c r="CN437" s="119"/>
      <c r="CO437" s="119"/>
      <c r="CP437" s="119"/>
      <c r="CQ437" s="119"/>
      <c r="CR437" s="119"/>
      <c r="CS437" s="119"/>
      <c r="CT437" s="119"/>
      <c r="CU437" s="119"/>
      <c r="CV437" s="119"/>
      <c r="CW437" s="119"/>
      <c r="CX437" s="119"/>
      <c r="CY437" s="119"/>
      <c r="CZ437" s="119"/>
      <c r="DA437" s="119"/>
      <c r="DB437" s="119"/>
      <c r="DC437" s="119"/>
      <c r="DD437" s="119"/>
      <c r="DE437" s="119"/>
      <c r="DF437" s="119"/>
      <c r="DG437" s="119"/>
      <c r="DH437" s="119"/>
      <c r="DI437" s="119"/>
      <c r="DJ437" s="119"/>
      <c r="DK437" s="119"/>
      <c r="DL437" s="119"/>
      <c r="DM437" s="119"/>
      <c r="DN437" s="119"/>
      <c r="DO437" s="119"/>
      <c r="DP437" s="119"/>
      <c r="DQ437" s="119"/>
      <c r="DR437" s="119"/>
      <c r="DS437" s="119"/>
      <c r="DT437" s="119"/>
      <c r="DU437" s="119"/>
      <c r="DV437" s="119"/>
      <c r="DW437" s="119"/>
      <c r="DX437" s="119"/>
      <c r="DY437" s="119"/>
      <c r="DZ437" s="119"/>
      <c r="EA437" s="119"/>
      <c r="EB437" s="119"/>
      <c r="EC437" s="119"/>
      <c r="ED437" s="119"/>
      <c r="EE437" s="119"/>
      <c r="EF437" s="119"/>
      <c r="EG437" s="119"/>
      <c r="EH437" s="119"/>
      <c r="EI437" s="119"/>
      <c r="EJ437" s="119"/>
      <c r="EK437" s="119"/>
      <c r="EL437" s="119"/>
      <c r="EM437" s="119"/>
      <c r="EN437" s="119"/>
      <c r="EO437" s="119"/>
      <c r="EP437" s="119"/>
      <c r="EQ437" s="119"/>
      <c r="ER437" s="119"/>
      <c r="ES437" s="119"/>
      <c r="ET437" s="119"/>
      <c r="EU437" s="119"/>
      <c r="EV437" s="119"/>
      <c r="EW437" s="119"/>
      <c r="EX437" s="119"/>
      <c r="EY437" s="119"/>
      <c r="EZ437" s="119"/>
      <c r="FA437" s="119"/>
      <c r="FB437" s="119"/>
      <c r="FC437" s="119"/>
      <c r="FD437" s="119"/>
      <c r="FE437" s="119"/>
      <c r="FF437" s="119"/>
      <c r="FG437" s="119"/>
      <c r="FH437" s="119"/>
      <c r="FI437" s="119"/>
      <c r="FJ437" s="119"/>
      <c r="FK437" s="119"/>
      <c r="FL437" s="119"/>
      <c r="FM437" s="119"/>
      <c r="FN437" s="119"/>
      <c r="FO437" s="119"/>
      <c r="FP437" s="119"/>
      <c r="FQ437" s="119"/>
      <c r="FR437" s="119"/>
      <c r="FS437" s="119"/>
      <c r="FT437" s="119"/>
      <c r="FU437" s="119"/>
      <c r="FV437" s="119"/>
      <c r="FW437" s="119"/>
      <c r="FX437" s="119"/>
      <c r="FY437" s="119"/>
      <c r="FZ437" s="119"/>
      <c r="GA437" s="119"/>
      <c r="GB437" s="119"/>
      <c r="GC437" s="119"/>
      <c r="GD437" s="119"/>
      <c r="GE437" s="119"/>
      <c r="GF437" s="119"/>
      <c r="GG437" s="119"/>
      <c r="GH437" s="119"/>
      <c r="GI437" s="119"/>
      <c r="GJ437" s="119"/>
      <c r="GK437" s="119"/>
      <c r="GL437" s="119"/>
      <c r="GM437" s="119"/>
      <c r="GN437" s="119"/>
      <c r="GO437" s="119"/>
      <c r="GP437" s="119"/>
      <c r="GQ437" s="119"/>
      <c r="GR437" s="119"/>
      <c r="GS437" s="119"/>
      <c r="GT437" s="119"/>
      <c r="GU437" s="119"/>
      <c r="GV437" s="119"/>
      <c r="GW437" s="119"/>
      <c r="GX437" s="119"/>
      <c r="GY437" s="119"/>
      <c r="GZ437" s="119"/>
      <c r="HA437" s="119"/>
      <c r="HB437" s="119"/>
      <c r="HC437" s="119"/>
      <c r="HD437" s="119"/>
      <c r="HE437" s="119"/>
      <c r="HF437" s="119"/>
      <c r="HG437" s="119"/>
      <c r="HH437" s="119"/>
      <c r="HI437" s="119"/>
      <c r="HJ437" s="119"/>
      <c r="HK437" s="119"/>
      <c r="HL437" s="119"/>
      <c r="HM437" s="119"/>
      <c r="HN437" s="119"/>
      <c r="HO437" s="119"/>
      <c r="HP437" s="119"/>
      <c r="HQ437" s="119"/>
      <c r="HR437" s="119"/>
      <c r="HS437" s="119"/>
      <c r="HT437" s="119"/>
      <c r="HU437" s="119"/>
      <c r="HV437" s="119"/>
      <c r="HW437" s="119"/>
      <c r="HX437" s="119"/>
      <c r="HY437" s="119"/>
      <c r="HZ437" s="119"/>
      <c r="IA437" s="119"/>
      <c r="IB437" s="119"/>
      <c r="IC437" s="119"/>
      <c r="ID437" s="119"/>
      <c r="IE437" s="119"/>
      <c r="IF437" s="119"/>
      <c r="IG437" s="119"/>
      <c r="IH437" s="119"/>
      <c r="II437" s="119"/>
      <c r="IJ437" s="119"/>
      <c r="IK437" s="119"/>
      <c r="IL437" s="119"/>
      <c r="IM437" s="119"/>
      <c r="IN437" s="119"/>
      <c r="IO437" s="119"/>
      <c r="IP437" s="119"/>
      <c r="IQ437" s="119"/>
      <c r="IR437" s="119"/>
      <c r="IS437" s="119"/>
      <c r="IT437" s="119"/>
      <c r="IU437" s="119"/>
      <c r="IV437" s="119"/>
      <c r="IW437" s="119"/>
    </row>
    <row r="438" customFormat="false" ht="18" hidden="true" customHeight="true" outlineLevel="0" collapsed="false">
      <c r="A438" s="234" t="s">
        <v>410</v>
      </c>
      <c r="B438" s="113"/>
      <c r="C438" s="114"/>
      <c r="D438" s="115" t="n">
        <f aca="false">I438/0.03</f>
        <v>8712.2</v>
      </c>
      <c r="E438" s="116" t="n">
        <f aca="false">342943/1000</f>
        <v>342.943</v>
      </c>
      <c r="F438" s="116" t="n">
        <f aca="false">-81577/1000</f>
        <v>-81.577</v>
      </c>
      <c r="G438" s="116"/>
      <c r="H438" s="116"/>
      <c r="I438" s="117" t="n">
        <f aca="false">SUM(E438:G438)</f>
        <v>261.366</v>
      </c>
      <c r="J438" s="118" t="s">
        <v>70</v>
      </c>
      <c r="K438" s="119"/>
      <c r="L438" s="119"/>
      <c r="M438" s="119"/>
      <c r="N438" s="119"/>
      <c r="O438" s="119"/>
      <c r="P438" s="119"/>
      <c r="Q438" s="119"/>
      <c r="R438" s="119"/>
      <c r="S438" s="119"/>
      <c r="T438" s="65" t="n">
        <f aca="false">IF(D438&gt;0,(I438/D438),"")</f>
        <v>0.03</v>
      </c>
      <c r="U438" s="119"/>
      <c r="V438" s="119"/>
      <c r="W438" s="119"/>
      <c r="X438" s="119"/>
      <c r="Y438" s="119"/>
      <c r="Z438" s="119"/>
      <c r="AA438" s="119"/>
      <c r="AB438" s="119"/>
      <c r="AC438" s="119"/>
      <c r="AD438" s="119"/>
      <c r="AE438" s="119"/>
      <c r="AF438" s="119"/>
      <c r="AG438" s="119"/>
      <c r="AH438" s="119"/>
      <c r="AI438" s="119"/>
      <c r="AJ438" s="119"/>
      <c r="AK438" s="119"/>
      <c r="AL438" s="119"/>
      <c r="AM438" s="119"/>
      <c r="AN438" s="119"/>
      <c r="AO438" s="119"/>
      <c r="AP438" s="119"/>
      <c r="AQ438" s="119"/>
      <c r="AR438" s="119"/>
      <c r="AS438" s="119"/>
      <c r="AT438" s="119"/>
      <c r="AU438" s="119"/>
      <c r="AV438" s="119"/>
      <c r="AW438" s="119"/>
      <c r="AX438" s="119"/>
      <c r="AY438" s="119"/>
      <c r="AZ438" s="119"/>
      <c r="BA438" s="119"/>
      <c r="BB438" s="119"/>
      <c r="BC438" s="119"/>
      <c r="BD438" s="119"/>
      <c r="BE438" s="119"/>
      <c r="BF438" s="119"/>
      <c r="BG438" s="119"/>
      <c r="BH438" s="119"/>
      <c r="BI438" s="119"/>
      <c r="BJ438" s="119"/>
      <c r="BK438" s="119"/>
      <c r="BL438" s="119"/>
      <c r="BM438" s="119"/>
      <c r="BN438" s="119"/>
      <c r="BO438" s="119"/>
      <c r="BP438" s="119"/>
      <c r="BQ438" s="119"/>
      <c r="BR438" s="119"/>
      <c r="BS438" s="119"/>
      <c r="BT438" s="119"/>
      <c r="BU438" s="119"/>
      <c r="BV438" s="119"/>
      <c r="BW438" s="119"/>
      <c r="BX438" s="119"/>
      <c r="BY438" s="119"/>
      <c r="BZ438" s="119"/>
      <c r="CA438" s="119"/>
      <c r="CB438" s="119"/>
      <c r="CC438" s="119"/>
      <c r="CD438" s="119"/>
      <c r="CE438" s="119"/>
      <c r="CF438" s="119"/>
      <c r="CG438" s="119"/>
      <c r="CH438" s="119"/>
      <c r="CI438" s="119"/>
      <c r="CJ438" s="119"/>
      <c r="CK438" s="119"/>
      <c r="CL438" s="119"/>
      <c r="CM438" s="119"/>
      <c r="CN438" s="119"/>
      <c r="CO438" s="119"/>
      <c r="CP438" s="119"/>
      <c r="CQ438" s="119"/>
      <c r="CR438" s="119"/>
      <c r="CS438" s="119"/>
      <c r="CT438" s="119"/>
      <c r="CU438" s="119"/>
      <c r="CV438" s="119"/>
      <c r="CW438" s="119"/>
      <c r="CX438" s="119"/>
      <c r="CY438" s="119"/>
      <c r="CZ438" s="119"/>
      <c r="DA438" s="119"/>
      <c r="DB438" s="119"/>
      <c r="DC438" s="119"/>
      <c r="DD438" s="119"/>
      <c r="DE438" s="119"/>
      <c r="DF438" s="119"/>
      <c r="DG438" s="119"/>
      <c r="DH438" s="119"/>
      <c r="DI438" s="119"/>
      <c r="DJ438" s="119"/>
      <c r="DK438" s="119"/>
      <c r="DL438" s="119"/>
      <c r="DM438" s="119"/>
      <c r="DN438" s="119"/>
      <c r="DO438" s="119"/>
      <c r="DP438" s="119"/>
      <c r="DQ438" s="119"/>
      <c r="DR438" s="119"/>
      <c r="DS438" s="119"/>
      <c r="DT438" s="119"/>
      <c r="DU438" s="119"/>
      <c r="DV438" s="119"/>
      <c r="DW438" s="119"/>
      <c r="DX438" s="119"/>
      <c r="DY438" s="119"/>
      <c r="DZ438" s="119"/>
      <c r="EA438" s="119"/>
      <c r="EB438" s="119"/>
      <c r="EC438" s="119"/>
      <c r="ED438" s="119"/>
      <c r="EE438" s="119"/>
      <c r="EF438" s="119"/>
      <c r="EG438" s="119"/>
      <c r="EH438" s="119"/>
      <c r="EI438" s="119"/>
      <c r="EJ438" s="119"/>
      <c r="EK438" s="119"/>
      <c r="EL438" s="119"/>
      <c r="EM438" s="119"/>
      <c r="EN438" s="119"/>
      <c r="EO438" s="119"/>
      <c r="EP438" s="119"/>
      <c r="EQ438" s="119"/>
      <c r="ER438" s="119"/>
      <c r="ES438" s="119"/>
      <c r="ET438" s="119"/>
      <c r="EU438" s="119"/>
      <c r="EV438" s="119"/>
      <c r="EW438" s="119"/>
      <c r="EX438" s="119"/>
      <c r="EY438" s="119"/>
      <c r="EZ438" s="119"/>
      <c r="FA438" s="119"/>
      <c r="FB438" s="119"/>
      <c r="FC438" s="119"/>
      <c r="FD438" s="119"/>
      <c r="FE438" s="119"/>
      <c r="FF438" s="119"/>
      <c r="FG438" s="119"/>
      <c r="FH438" s="119"/>
      <c r="FI438" s="119"/>
      <c r="FJ438" s="119"/>
      <c r="FK438" s="119"/>
      <c r="FL438" s="119"/>
      <c r="FM438" s="119"/>
      <c r="FN438" s="119"/>
      <c r="FO438" s="119"/>
      <c r="FP438" s="119"/>
      <c r="FQ438" s="119"/>
      <c r="FR438" s="119"/>
      <c r="FS438" s="119"/>
      <c r="FT438" s="119"/>
      <c r="FU438" s="119"/>
      <c r="FV438" s="119"/>
      <c r="FW438" s="119"/>
      <c r="FX438" s="119"/>
      <c r="FY438" s="119"/>
      <c r="FZ438" s="119"/>
      <c r="GA438" s="119"/>
      <c r="GB438" s="119"/>
      <c r="GC438" s="119"/>
      <c r="GD438" s="119"/>
      <c r="GE438" s="119"/>
      <c r="GF438" s="119"/>
      <c r="GG438" s="119"/>
      <c r="GH438" s="119"/>
      <c r="GI438" s="119"/>
      <c r="GJ438" s="119"/>
      <c r="GK438" s="119"/>
      <c r="GL438" s="119"/>
      <c r="GM438" s="119"/>
      <c r="GN438" s="119"/>
      <c r="GO438" s="119"/>
      <c r="GP438" s="119"/>
      <c r="GQ438" s="119"/>
      <c r="GR438" s="119"/>
      <c r="GS438" s="119"/>
      <c r="GT438" s="119"/>
      <c r="GU438" s="119"/>
      <c r="GV438" s="119"/>
      <c r="GW438" s="119"/>
      <c r="GX438" s="119"/>
      <c r="GY438" s="119"/>
      <c r="GZ438" s="119"/>
      <c r="HA438" s="119"/>
      <c r="HB438" s="119"/>
      <c r="HC438" s="119"/>
      <c r="HD438" s="119"/>
      <c r="HE438" s="119"/>
      <c r="HF438" s="119"/>
      <c r="HG438" s="119"/>
      <c r="HH438" s="119"/>
      <c r="HI438" s="119"/>
      <c r="HJ438" s="119"/>
      <c r="HK438" s="119"/>
      <c r="HL438" s="119"/>
      <c r="HM438" s="119"/>
      <c r="HN438" s="119"/>
      <c r="HO438" s="119"/>
      <c r="HP438" s="119"/>
      <c r="HQ438" s="119"/>
      <c r="HR438" s="119"/>
      <c r="HS438" s="119"/>
      <c r="HT438" s="119"/>
      <c r="HU438" s="119"/>
      <c r="HV438" s="119"/>
      <c r="HW438" s="119"/>
      <c r="HX438" s="119"/>
      <c r="HY438" s="119"/>
      <c r="HZ438" s="119"/>
      <c r="IA438" s="119"/>
      <c r="IB438" s="119"/>
      <c r="IC438" s="119"/>
      <c r="ID438" s="119"/>
      <c r="IE438" s="119"/>
      <c r="IF438" s="119"/>
      <c r="IG438" s="119"/>
      <c r="IH438" s="119"/>
      <c r="II438" s="119"/>
      <c r="IJ438" s="119"/>
      <c r="IK438" s="119"/>
      <c r="IL438" s="119"/>
      <c r="IM438" s="119"/>
      <c r="IN438" s="119"/>
      <c r="IO438" s="119"/>
      <c r="IP438" s="119"/>
      <c r="IQ438" s="119"/>
      <c r="IR438" s="119"/>
      <c r="IS438" s="119"/>
      <c r="IT438" s="119"/>
      <c r="IU438" s="119"/>
      <c r="IV438" s="119"/>
      <c r="IW438" s="119"/>
    </row>
    <row r="439" customFormat="false" ht="18" hidden="true" customHeight="true" outlineLevel="0" collapsed="false">
      <c r="A439" s="234" t="s">
        <v>411</v>
      </c>
      <c r="B439" s="113"/>
      <c r="C439" s="114"/>
      <c r="D439" s="115" t="n">
        <f aca="false">I439/0.03</f>
        <v>12837.1</v>
      </c>
      <c r="E439" s="116" t="n">
        <f aca="false">517063/1000</f>
        <v>517.063</v>
      </c>
      <c r="F439" s="116" t="n">
        <f aca="false">-131950/1000</f>
        <v>-131.95</v>
      </c>
      <c r="G439" s="116"/>
      <c r="H439" s="116"/>
      <c r="I439" s="117" t="n">
        <f aca="false">SUM(E439:G439)</f>
        <v>385.113</v>
      </c>
      <c r="J439" s="118" t="s">
        <v>70</v>
      </c>
      <c r="K439" s="119"/>
      <c r="L439" s="119"/>
      <c r="M439" s="119"/>
      <c r="N439" s="119"/>
      <c r="O439" s="119"/>
      <c r="P439" s="119"/>
      <c r="Q439" s="119"/>
      <c r="R439" s="119"/>
      <c r="S439" s="119"/>
      <c r="T439" s="65" t="n">
        <f aca="false">IF(D439&gt;0,(I439/D439),"")</f>
        <v>0.03</v>
      </c>
      <c r="U439" s="119"/>
      <c r="V439" s="119"/>
      <c r="W439" s="119"/>
      <c r="X439" s="119"/>
      <c r="Y439" s="119"/>
      <c r="Z439" s="119"/>
      <c r="AA439" s="119"/>
      <c r="AB439" s="119"/>
      <c r="AC439" s="119"/>
      <c r="AD439" s="119"/>
      <c r="AE439" s="119"/>
      <c r="AF439" s="119"/>
      <c r="AG439" s="119"/>
      <c r="AH439" s="119"/>
      <c r="AI439" s="119"/>
      <c r="AJ439" s="119"/>
      <c r="AK439" s="119"/>
      <c r="AL439" s="119"/>
      <c r="AM439" s="119"/>
      <c r="AN439" s="119"/>
      <c r="AO439" s="119"/>
      <c r="AP439" s="119"/>
      <c r="AQ439" s="119"/>
      <c r="AR439" s="119"/>
      <c r="AS439" s="119"/>
      <c r="AT439" s="119"/>
      <c r="AU439" s="119"/>
      <c r="AV439" s="119"/>
      <c r="AW439" s="119"/>
      <c r="AX439" s="119"/>
      <c r="AY439" s="119"/>
      <c r="AZ439" s="119"/>
      <c r="BA439" s="119"/>
      <c r="BB439" s="119"/>
      <c r="BC439" s="119"/>
      <c r="BD439" s="119"/>
      <c r="BE439" s="119"/>
      <c r="BF439" s="119"/>
      <c r="BG439" s="119"/>
      <c r="BH439" s="119"/>
      <c r="BI439" s="119"/>
      <c r="BJ439" s="119"/>
      <c r="BK439" s="119"/>
      <c r="BL439" s="119"/>
      <c r="BM439" s="119"/>
      <c r="BN439" s="119"/>
      <c r="BO439" s="119"/>
      <c r="BP439" s="119"/>
      <c r="BQ439" s="119"/>
      <c r="BR439" s="119"/>
      <c r="BS439" s="119"/>
      <c r="BT439" s="119"/>
      <c r="BU439" s="119"/>
      <c r="BV439" s="119"/>
      <c r="BW439" s="119"/>
      <c r="BX439" s="119"/>
      <c r="BY439" s="119"/>
      <c r="BZ439" s="119"/>
      <c r="CA439" s="119"/>
      <c r="CB439" s="119"/>
      <c r="CC439" s="119"/>
      <c r="CD439" s="119"/>
      <c r="CE439" s="119"/>
      <c r="CF439" s="119"/>
      <c r="CG439" s="119"/>
      <c r="CH439" s="119"/>
      <c r="CI439" s="119"/>
      <c r="CJ439" s="119"/>
      <c r="CK439" s="119"/>
      <c r="CL439" s="119"/>
      <c r="CM439" s="119"/>
      <c r="CN439" s="119"/>
      <c r="CO439" s="119"/>
      <c r="CP439" s="119"/>
      <c r="CQ439" s="119"/>
      <c r="CR439" s="119"/>
      <c r="CS439" s="119"/>
      <c r="CT439" s="119"/>
      <c r="CU439" s="119"/>
      <c r="CV439" s="119"/>
      <c r="CW439" s="119"/>
      <c r="CX439" s="119"/>
      <c r="CY439" s="119"/>
      <c r="CZ439" s="119"/>
      <c r="DA439" s="119"/>
      <c r="DB439" s="119"/>
      <c r="DC439" s="119"/>
      <c r="DD439" s="119"/>
      <c r="DE439" s="119"/>
      <c r="DF439" s="119"/>
      <c r="DG439" s="119"/>
      <c r="DH439" s="119"/>
      <c r="DI439" s="119"/>
      <c r="DJ439" s="119"/>
      <c r="DK439" s="119"/>
      <c r="DL439" s="119"/>
      <c r="DM439" s="119"/>
      <c r="DN439" s="119"/>
      <c r="DO439" s="119"/>
      <c r="DP439" s="119"/>
      <c r="DQ439" s="119"/>
      <c r="DR439" s="119"/>
      <c r="DS439" s="119"/>
      <c r="DT439" s="119"/>
      <c r="DU439" s="119"/>
      <c r="DV439" s="119"/>
      <c r="DW439" s="119"/>
      <c r="DX439" s="119"/>
      <c r="DY439" s="119"/>
      <c r="DZ439" s="119"/>
      <c r="EA439" s="119"/>
      <c r="EB439" s="119"/>
      <c r="EC439" s="119"/>
      <c r="ED439" s="119"/>
      <c r="EE439" s="119"/>
      <c r="EF439" s="119"/>
      <c r="EG439" s="119"/>
      <c r="EH439" s="119"/>
      <c r="EI439" s="119"/>
      <c r="EJ439" s="119"/>
      <c r="EK439" s="119"/>
      <c r="EL439" s="119"/>
      <c r="EM439" s="119"/>
      <c r="EN439" s="119"/>
      <c r="EO439" s="119"/>
      <c r="EP439" s="119"/>
      <c r="EQ439" s="119"/>
      <c r="ER439" s="119"/>
      <c r="ES439" s="119"/>
      <c r="ET439" s="119"/>
      <c r="EU439" s="119"/>
      <c r="EV439" s="119"/>
      <c r="EW439" s="119"/>
      <c r="EX439" s="119"/>
      <c r="EY439" s="119"/>
      <c r="EZ439" s="119"/>
      <c r="FA439" s="119"/>
      <c r="FB439" s="119"/>
      <c r="FC439" s="119"/>
      <c r="FD439" s="119"/>
      <c r="FE439" s="119"/>
      <c r="FF439" s="119"/>
      <c r="FG439" s="119"/>
      <c r="FH439" s="119"/>
      <c r="FI439" s="119"/>
      <c r="FJ439" s="119"/>
      <c r="FK439" s="119"/>
      <c r="FL439" s="119"/>
      <c r="FM439" s="119"/>
      <c r="FN439" s="119"/>
      <c r="FO439" s="119"/>
      <c r="FP439" s="119"/>
      <c r="FQ439" s="119"/>
      <c r="FR439" s="119"/>
      <c r="FS439" s="119"/>
      <c r="FT439" s="119"/>
      <c r="FU439" s="119"/>
      <c r="FV439" s="119"/>
      <c r="FW439" s="119"/>
      <c r="FX439" s="119"/>
      <c r="FY439" s="119"/>
      <c r="FZ439" s="119"/>
      <c r="GA439" s="119"/>
      <c r="GB439" s="119"/>
      <c r="GC439" s="119"/>
      <c r="GD439" s="119"/>
      <c r="GE439" s="119"/>
      <c r="GF439" s="119"/>
      <c r="GG439" s="119"/>
      <c r="GH439" s="119"/>
      <c r="GI439" s="119"/>
      <c r="GJ439" s="119"/>
      <c r="GK439" s="119"/>
      <c r="GL439" s="119"/>
      <c r="GM439" s="119"/>
      <c r="GN439" s="119"/>
      <c r="GO439" s="119"/>
      <c r="GP439" s="119"/>
      <c r="GQ439" s="119"/>
      <c r="GR439" s="119"/>
      <c r="GS439" s="119"/>
      <c r="GT439" s="119"/>
      <c r="GU439" s="119"/>
      <c r="GV439" s="119"/>
      <c r="GW439" s="119"/>
      <c r="GX439" s="119"/>
      <c r="GY439" s="119"/>
      <c r="GZ439" s="119"/>
      <c r="HA439" s="119"/>
      <c r="HB439" s="119"/>
      <c r="HC439" s="119"/>
      <c r="HD439" s="119"/>
      <c r="HE439" s="119"/>
      <c r="HF439" s="119"/>
      <c r="HG439" s="119"/>
      <c r="HH439" s="119"/>
      <c r="HI439" s="119"/>
      <c r="HJ439" s="119"/>
      <c r="HK439" s="119"/>
      <c r="HL439" s="119"/>
      <c r="HM439" s="119"/>
      <c r="HN439" s="119"/>
      <c r="HO439" s="119"/>
      <c r="HP439" s="119"/>
      <c r="HQ439" s="119"/>
      <c r="HR439" s="119"/>
      <c r="HS439" s="119"/>
      <c r="HT439" s="119"/>
      <c r="HU439" s="119"/>
      <c r="HV439" s="119"/>
      <c r="HW439" s="119"/>
      <c r="HX439" s="119"/>
      <c r="HY439" s="119"/>
      <c r="HZ439" s="119"/>
      <c r="IA439" s="119"/>
      <c r="IB439" s="119"/>
      <c r="IC439" s="119"/>
      <c r="ID439" s="119"/>
      <c r="IE439" s="119"/>
      <c r="IF439" s="119"/>
      <c r="IG439" s="119"/>
      <c r="IH439" s="119"/>
      <c r="II439" s="119"/>
      <c r="IJ439" s="119"/>
      <c r="IK439" s="119"/>
      <c r="IL439" s="119"/>
      <c r="IM439" s="119"/>
      <c r="IN439" s="119"/>
      <c r="IO439" s="119"/>
      <c r="IP439" s="119"/>
      <c r="IQ439" s="119"/>
      <c r="IR439" s="119"/>
      <c r="IS439" s="119"/>
      <c r="IT439" s="119"/>
      <c r="IU439" s="119"/>
      <c r="IV439" s="119"/>
      <c r="IW439" s="119"/>
    </row>
    <row r="440" customFormat="false" ht="18" hidden="true" customHeight="true" outlineLevel="0" collapsed="false">
      <c r="A440" s="234" t="s">
        <v>412</v>
      </c>
      <c r="B440" s="113"/>
      <c r="C440" s="114"/>
      <c r="D440" s="115" t="n">
        <f aca="false">I440/0.03</f>
        <v>7740.53333333333</v>
      </c>
      <c r="E440" s="116" t="n">
        <f aca="false">312314/1000</f>
        <v>312.314</v>
      </c>
      <c r="F440" s="116" t="n">
        <f aca="false">-80098/1000</f>
        <v>-80.098</v>
      </c>
      <c r="G440" s="116"/>
      <c r="H440" s="116"/>
      <c r="I440" s="117" t="n">
        <f aca="false">SUM(E440:G440)</f>
        <v>232.216</v>
      </c>
      <c r="J440" s="118" t="s">
        <v>70</v>
      </c>
      <c r="K440" s="119"/>
      <c r="L440" s="119"/>
      <c r="M440" s="119"/>
      <c r="N440" s="119"/>
      <c r="O440" s="119"/>
      <c r="P440" s="119"/>
      <c r="Q440" s="119"/>
      <c r="R440" s="119"/>
      <c r="S440" s="119"/>
      <c r="T440" s="65" t="n">
        <f aca="false">IF(D440&gt;0,(I440/D440),"")</f>
        <v>0.03</v>
      </c>
      <c r="U440" s="119"/>
      <c r="V440" s="119"/>
      <c r="W440" s="119"/>
      <c r="X440" s="119"/>
      <c r="Y440" s="119"/>
      <c r="Z440" s="119"/>
      <c r="AA440" s="119"/>
      <c r="AB440" s="119"/>
      <c r="AC440" s="119"/>
      <c r="AD440" s="119"/>
      <c r="AE440" s="119"/>
      <c r="AF440" s="119"/>
      <c r="AG440" s="119"/>
      <c r="AH440" s="119"/>
      <c r="AI440" s="119"/>
      <c r="AJ440" s="119"/>
      <c r="AK440" s="119"/>
      <c r="AL440" s="119"/>
      <c r="AM440" s="119"/>
      <c r="AN440" s="119"/>
      <c r="AO440" s="119"/>
      <c r="AP440" s="119"/>
      <c r="AQ440" s="119"/>
      <c r="AR440" s="119"/>
      <c r="AS440" s="119"/>
      <c r="AT440" s="119"/>
      <c r="AU440" s="119"/>
      <c r="AV440" s="119"/>
      <c r="AW440" s="119"/>
      <c r="AX440" s="119"/>
      <c r="AY440" s="119"/>
      <c r="AZ440" s="119"/>
      <c r="BA440" s="119"/>
      <c r="BB440" s="119"/>
      <c r="BC440" s="119"/>
      <c r="BD440" s="119"/>
      <c r="BE440" s="119"/>
      <c r="BF440" s="119"/>
      <c r="BG440" s="119"/>
      <c r="BH440" s="119"/>
      <c r="BI440" s="119"/>
      <c r="BJ440" s="119"/>
      <c r="BK440" s="119"/>
      <c r="BL440" s="119"/>
      <c r="BM440" s="119"/>
      <c r="BN440" s="119"/>
      <c r="BO440" s="119"/>
      <c r="BP440" s="119"/>
      <c r="BQ440" s="119"/>
      <c r="BR440" s="119"/>
      <c r="BS440" s="119"/>
      <c r="BT440" s="119"/>
      <c r="BU440" s="119"/>
      <c r="BV440" s="119"/>
      <c r="BW440" s="119"/>
      <c r="BX440" s="119"/>
      <c r="BY440" s="119"/>
      <c r="BZ440" s="119"/>
      <c r="CA440" s="119"/>
      <c r="CB440" s="119"/>
      <c r="CC440" s="119"/>
      <c r="CD440" s="119"/>
      <c r="CE440" s="119"/>
      <c r="CF440" s="119"/>
      <c r="CG440" s="119"/>
      <c r="CH440" s="119"/>
      <c r="CI440" s="119"/>
      <c r="CJ440" s="119"/>
      <c r="CK440" s="119"/>
      <c r="CL440" s="119"/>
      <c r="CM440" s="119"/>
      <c r="CN440" s="119"/>
      <c r="CO440" s="119"/>
      <c r="CP440" s="119"/>
      <c r="CQ440" s="119"/>
      <c r="CR440" s="119"/>
      <c r="CS440" s="119"/>
      <c r="CT440" s="119"/>
      <c r="CU440" s="119"/>
      <c r="CV440" s="119"/>
      <c r="CW440" s="119"/>
      <c r="CX440" s="119"/>
      <c r="CY440" s="119"/>
      <c r="CZ440" s="119"/>
      <c r="DA440" s="119"/>
      <c r="DB440" s="119"/>
      <c r="DC440" s="119"/>
      <c r="DD440" s="119"/>
      <c r="DE440" s="119"/>
      <c r="DF440" s="119"/>
      <c r="DG440" s="119"/>
      <c r="DH440" s="119"/>
      <c r="DI440" s="119"/>
      <c r="DJ440" s="119"/>
      <c r="DK440" s="119"/>
      <c r="DL440" s="119"/>
      <c r="DM440" s="119"/>
      <c r="DN440" s="119"/>
      <c r="DO440" s="119"/>
      <c r="DP440" s="119"/>
      <c r="DQ440" s="119"/>
      <c r="DR440" s="119"/>
      <c r="DS440" s="119"/>
      <c r="DT440" s="119"/>
      <c r="DU440" s="119"/>
      <c r="DV440" s="119"/>
      <c r="DW440" s="119"/>
      <c r="DX440" s="119"/>
      <c r="DY440" s="119"/>
      <c r="DZ440" s="119"/>
      <c r="EA440" s="119"/>
      <c r="EB440" s="119"/>
      <c r="EC440" s="119"/>
      <c r="ED440" s="119"/>
      <c r="EE440" s="119"/>
      <c r="EF440" s="119"/>
      <c r="EG440" s="119"/>
      <c r="EH440" s="119"/>
      <c r="EI440" s="119"/>
      <c r="EJ440" s="119"/>
      <c r="EK440" s="119"/>
      <c r="EL440" s="119"/>
      <c r="EM440" s="119"/>
      <c r="EN440" s="119"/>
      <c r="EO440" s="119"/>
      <c r="EP440" s="119"/>
      <c r="EQ440" s="119"/>
      <c r="ER440" s="119"/>
      <c r="ES440" s="119"/>
      <c r="ET440" s="119"/>
      <c r="EU440" s="119"/>
      <c r="EV440" s="119"/>
      <c r="EW440" s="119"/>
      <c r="EX440" s="119"/>
      <c r="EY440" s="119"/>
      <c r="EZ440" s="119"/>
      <c r="FA440" s="119"/>
      <c r="FB440" s="119"/>
      <c r="FC440" s="119"/>
      <c r="FD440" s="119"/>
      <c r="FE440" s="119"/>
      <c r="FF440" s="119"/>
      <c r="FG440" s="119"/>
      <c r="FH440" s="119"/>
      <c r="FI440" s="119"/>
      <c r="FJ440" s="119"/>
      <c r="FK440" s="119"/>
      <c r="FL440" s="119"/>
      <c r="FM440" s="119"/>
      <c r="FN440" s="119"/>
      <c r="FO440" s="119"/>
      <c r="FP440" s="119"/>
      <c r="FQ440" s="119"/>
      <c r="FR440" s="119"/>
      <c r="FS440" s="119"/>
      <c r="FT440" s="119"/>
      <c r="FU440" s="119"/>
      <c r="FV440" s="119"/>
      <c r="FW440" s="119"/>
      <c r="FX440" s="119"/>
      <c r="FY440" s="119"/>
      <c r="FZ440" s="119"/>
      <c r="GA440" s="119"/>
      <c r="GB440" s="119"/>
      <c r="GC440" s="119"/>
      <c r="GD440" s="119"/>
      <c r="GE440" s="119"/>
      <c r="GF440" s="119"/>
      <c r="GG440" s="119"/>
      <c r="GH440" s="119"/>
      <c r="GI440" s="119"/>
      <c r="GJ440" s="119"/>
      <c r="GK440" s="119"/>
      <c r="GL440" s="119"/>
      <c r="GM440" s="119"/>
      <c r="GN440" s="119"/>
      <c r="GO440" s="119"/>
      <c r="GP440" s="119"/>
      <c r="GQ440" s="119"/>
      <c r="GR440" s="119"/>
      <c r="GS440" s="119"/>
      <c r="GT440" s="119"/>
      <c r="GU440" s="119"/>
      <c r="GV440" s="119"/>
      <c r="GW440" s="119"/>
      <c r="GX440" s="119"/>
      <c r="GY440" s="119"/>
      <c r="GZ440" s="119"/>
      <c r="HA440" s="119"/>
      <c r="HB440" s="119"/>
      <c r="HC440" s="119"/>
      <c r="HD440" s="119"/>
      <c r="HE440" s="119"/>
      <c r="HF440" s="119"/>
      <c r="HG440" s="119"/>
      <c r="HH440" s="119"/>
      <c r="HI440" s="119"/>
      <c r="HJ440" s="119"/>
      <c r="HK440" s="119"/>
      <c r="HL440" s="119"/>
      <c r="HM440" s="119"/>
      <c r="HN440" s="119"/>
      <c r="HO440" s="119"/>
      <c r="HP440" s="119"/>
      <c r="HQ440" s="119"/>
      <c r="HR440" s="119"/>
      <c r="HS440" s="119"/>
      <c r="HT440" s="119"/>
      <c r="HU440" s="119"/>
      <c r="HV440" s="119"/>
      <c r="HW440" s="119"/>
      <c r="HX440" s="119"/>
      <c r="HY440" s="119"/>
      <c r="HZ440" s="119"/>
      <c r="IA440" s="119"/>
      <c r="IB440" s="119"/>
      <c r="IC440" s="119"/>
      <c r="ID440" s="119"/>
      <c r="IE440" s="119"/>
      <c r="IF440" s="119"/>
      <c r="IG440" s="119"/>
      <c r="IH440" s="119"/>
      <c r="II440" s="119"/>
      <c r="IJ440" s="119"/>
      <c r="IK440" s="119"/>
      <c r="IL440" s="119"/>
      <c r="IM440" s="119"/>
      <c r="IN440" s="119"/>
      <c r="IO440" s="119"/>
      <c r="IP440" s="119"/>
      <c r="IQ440" s="119"/>
      <c r="IR440" s="119"/>
      <c r="IS440" s="119"/>
      <c r="IT440" s="119"/>
      <c r="IU440" s="119"/>
      <c r="IV440" s="119"/>
      <c r="IW440" s="119"/>
    </row>
    <row r="441" customFormat="false" ht="18" hidden="true" customHeight="true" outlineLevel="0" collapsed="false">
      <c r="A441" s="234" t="s">
        <v>413</v>
      </c>
      <c r="B441" s="113"/>
      <c r="C441" s="114"/>
      <c r="D441" s="115" t="n">
        <f aca="false">I441/0.03</f>
        <v>10060</v>
      </c>
      <c r="E441" s="116" t="n">
        <f aca="false">410752/1000</f>
        <v>410.752</v>
      </c>
      <c r="F441" s="116" t="n">
        <f aca="false">-108952/1000</f>
        <v>-108.952</v>
      </c>
      <c r="G441" s="116"/>
      <c r="H441" s="116"/>
      <c r="I441" s="117" t="n">
        <f aca="false">SUM(E441:G441)</f>
        <v>301.8</v>
      </c>
      <c r="J441" s="118" t="s">
        <v>70</v>
      </c>
      <c r="K441" s="119"/>
      <c r="L441" s="119"/>
      <c r="M441" s="119"/>
      <c r="N441" s="119"/>
      <c r="O441" s="119"/>
      <c r="P441" s="119"/>
      <c r="Q441" s="119"/>
      <c r="R441" s="119"/>
      <c r="S441" s="119"/>
      <c r="T441" s="65" t="n">
        <f aca="false">IF(D441&gt;0,(I441/D441),"")</f>
        <v>0.03</v>
      </c>
      <c r="U441" s="119"/>
      <c r="V441" s="119"/>
      <c r="W441" s="119"/>
      <c r="X441" s="119"/>
      <c r="Y441" s="119"/>
      <c r="Z441" s="119"/>
      <c r="AA441" s="119"/>
      <c r="AB441" s="119"/>
      <c r="AC441" s="119"/>
      <c r="AD441" s="119"/>
      <c r="AE441" s="119"/>
      <c r="AF441" s="119"/>
      <c r="AG441" s="119"/>
      <c r="AH441" s="119"/>
      <c r="AI441" s="119"/>
      <c r="AJ441" s="119"/>
      <c r="AK441" s="119"/>
      <c r="AL441" s="119"/>
      <c r="AM441" s="119"/>
      <c r="AN441" s="119"/>
      <c r="AO441" s="119"/>
      <c r="AP441" s="119"/>
      <c r="AQ441" s="119"/>
      <c r="AR441" s="119"/>
      <c r="AS441" s="119"/>
      <c r="AT441" s="119"/>
      <c r="AU441" s="119"/>
      <c r="AV441" s="119"/>
      <c r="AW441" s="119"/>
      <c r="AX441" s="119"/>
      <c r="AY441" s="119"/>
      <c r="AZ441" s="119"/>
      <c r="BA441" s="119"/>
      <c r="BB441" s="119"/>
      <c r="BC441" s="119"/>
      <c r="BD441" s="119"/>
      <c r="BE441" s="119"/>
      <c r="BF441" s="119"/>
      <c r="BG441" s="119"/>
      <c r="BH441" s="119"/>
      <c r="BI441" s="119"/>
      <c r="BJ441" s="119"/>
      <c r="BK441" s="119"/>
      <c r="BL441" s="119"/>
      <c r="BM441" s="119"/>
      <c r="BN441" s="119"/>
      <c r="BO441" s="119"/>
      <c r="BP441" s="119"/>
      <c r="BQ441" s="119"/>
      <c r="BR441" s="119"/>
      <c r="BS441" s="119"/>
      <c r="BT441" s="119"/>
      <c r="BU441" s="119"/>
      <c r="BV441" s="119"/>
      <c r="BW441" s="119"/>
      <c r="BX441" s="119"/>
      <c r="BY441" s="119"/>
      <c r="BZ441" s="119"/>
      <c r="CA441" s="119"/>
      <c r="CB441" s="119"/>
      <c r="CC441" s="119"/>
      <c r="CD441" s="119"/>
      <c r="CE441" s="119"/>
      <c r="CF441" s="119"/>
      <c r="CG441" s="119"/>
      <c r="CH441" s="119"/>
      <c r="CI441" s="119"/>
      <c r="CJ441" s="119"/>
      <c r="CK441" s="119"/>
      <c r="CL441" s="119"/>
      <c r="CM441" s="119"/>
      <c r="CN441" s="119"/>
      <c r="CO441" s="119"/>
      <c r="CP441" s="119"/>
      <c r="CQ441" s="119"/>
      <c r="CR441" s="119"/>
      <c r="CS441" s="119"/>
      <c r="CT441" s="119"/>
      <c r="CU441" s="119"/>
      <c r="CV441" s="119"/>
      <c r="CW441" s="119"/>
      <c r="CX441" s="119"/>
      <c r="CY441" s="119"/>
      <c r="CZ441" s="119"/>
      <c r="DA441" s="119"/>
      <c r="DB441" s="119"/>
      <c r="DC441" s="119"/>
      <c r="DD441" s="119"/>
      <c r="DE441" s="119"/>
      <c r="DF441" s="119"/>
      <c r="DG441" s="119"/>
      <c r="DH441" s="119"/>
      <c r="DI441" s="119"/>
      <c r="DJ441" s="119"/>
      <c r="DK441" s="119"/>
      <c r="DL441" s="119"/>
      <c r="DM441" s="119"/>
      <c r="DN441" s="119"/>
      <c r="DO441" s="119"/>
      <c r="DP441" s="119"/>
      <c r="DQ441" s="119"/>
      <c r="DR441" s="119"/>
      <c r="DS441" s="119"/>
      <c r="DT441" s="119"/>
      <c r="DU441" s="119"/>
      <c r="DV441" s="119"/>
      <c r="DW441" s="119"/>
      <c r="DX441" s="119"/>
      <c r="DY441" s="119"/>
      <c r="DZ441" s="119"/>
      <c r="EA441" s="119"/>
      <c r="EB441" s="119"/>
      <c r="EC441" s="119"/>
      <c r="ED441" s="119"/>
      <c r="EE441" s="119"/>
      <c r="EF441" s="119"/>
      <c r="EG441" s="119"/>
      <c r="EH441" s="119"/>
      <c r="EI441" s="119"/>
      <c r="EJ441" s="119"/>
      <c r="EK441" s="119"/>
      <c r="EL441" s="119"/>
      <c r="EM441" s="119"/>
      <c r="EN441" s="119"/>
      <c r="EO441" s="119"/>
      <c r="EP441" s="119"/>
      <c r="EQ441" s="119"/>
      <c r="ER441" s="119"/>
      <c r="ES441" s="119"/>
      <c r="ET441" s="119"/>
      <c r="EU441" s="119"/>
      <c r="EV441" s="119"/>
      <c r="EW441" s="119"/>
      <c r="EX441" s="119"/>
      <c r="EY441" s="119"/>
      <c r="EZ441" s="119"/>
      <c r="FA441" s="119"/>
      <c r="FB441" s="119"/>
      <c r="FC441" s="119"/>
      <c r="FD441" s="119"/>
      <c r="FE441" s="119"/>
      <c r="FF441" s="119"/>
      <c r="FG441" s="119"/>
      <c r="FH441" s="119"/>
      <c r="FI441" s="119"/>
      <c r="FJ441" s="119"/>
      <c r="FK441" s="119"/>
      <c r="FL441" s="119"/>
      <c r="FM441" s="119"/>
      <c r="FN441" s="119"/>
      <c r="FO441" s="119"/>
      <c r="FP441" s="119"/>
      <c r="FQ441" s="119"/>
      <c r="FR441" s="119"/>
      <c r="FS441" s="119"/>
      <c r="FT441" s="119"/>
      <c r="FU441" s="119"/>
      <c r="FV441" s="119"/>
      <c r="FW441" s="119"/>
      <c r="FX441" s="119"/>
      <c r="FY441" s="119"/>
      <c r="FZ441" s="119"/>
      <c r="GA441" s="119"/>
      <c r="GB441" s="119"/>
      <c r="GC441" s="119"/>
      <c r="GD441" s="119"/>
      <c r="GE441" s="119"/>
      <c r="GF441" s="119"/>
      <c r="GG441" s="119"/>
      <c r="GH441" s="119"/>
      <c r="GI441" s="119"/>
      <c r="GJ441" s="119"/>
      <c r="GK441" s="119"/>
      <c r="GL441" s="119"/>
      <c r="GM441" s="119"/>
      <c r="GN441" s="119"/>
      <c r="GO441" s="119"/>
      <c r="GP441" s="119"/>
      <c r="GQ441" s="119"/>
      <c r="GR441" s="119"/>
      <c r="GS441" s="119"/>
      <c r="GT441" s="119"/>
      <c r="GU441" s="119"/>
      <c r="GV441" s="119"/>
      <c r="GW441" s="119"/>
      <c r="GX441" s="119"/>
      <c r="GY441" s="119"/>
      <c r="GZ441" s="119"/>
      <c r="HA441" s="119"/>
      <c r="HB441" s="119"/>
      <c r="HC441" s="119"/>
      <c r="HD441" s="119"/>
      <c r="HE441" s="119"/>
      <c r="HF441" s="119"/>
      <c r="HG441" s="119"/>
      <c r="HH441" s="119"/>
      <c r="HI441" s="119"/>
      <c r="HJ441" s="119"/>
      <c r="HK441" s="119"/>
      <c r="HL441" s="119"/>
      <c r="HM441" s="119"/>
      <c r="HN441" s="119"/>
      <c r="HO441" s="119"/>
      <c r="HP441" s="119"/>
      <c r="HQ441" s="119"/>
      <c r="HR441" s="119"/>
      <c r="HS441" s="119"/>
      <c r="HT441" s="119"/>
      <c r="HU441" s="119"/>
      <c r="HV441" s="119"/>
      <c r="HW441" s="119"/>
      <c r="HX441" s="119"/>
      <c r="HY441" s="119"/>
      <c r="HZ441" s="119"/>
      <c r="IA441" s="119"/>
      <c r="IB441" s="119"/>
      <c r="IC441" s="119"/>
      <c r="ID441" s="119"/>
      <c r="IE441" s="119"/>
      <c r="IF441" s="119"/>
      <c r="IG441" s="119"/>
      <c r="IH441" s="119"/>
      <c r="II441" s="119"/>
      <c r="IJ441" s="119"/>
      <c r="IK441" s="119"/>
      <c r="IL441" s="119"/>
      <c r="IM441" s="119"/>
      <c r="IN441" s="119"/>
      <c r="IO441" s="119"/>
      <c r="IP441" s="119"/>
      <c r="IQ441" s="119"/>
      <c r="IR441" s="119"/>
      <c r="IS441" s="119"/>
      <c r="IT441" s="119"/>
      <c r="IU441" s="119"/>
      <c r="IV441" s="119"/>
      <c r="IW441" s="119"/>
    </row>
    <row r="442" customFormat="false" ht="18" hidden="true" customHeight="true" outlineLevel="0" collapsed="false">
      <c r="A442" s="234" t="s">
        <v>414</v>
      </c>
      <c r="B442" s="113"/>
      <c r="C442" s="114"/>
      <c r="D442" s="115" t="n">
        <f aca="false">I442/0.03</f>
        <v>9511.03333333334</v>
      </c>
      <c r="E442" s="116" t="n">
        <f aca="false">386535/1000</f>
        <v>386.535</v>
      </c>
      <c r="F442" s="116" t="n">
        <f aca="false">-101204/1000</f>
        <v>-101.204</v>
      </c>
      <c r="G442" s="116"/>
      <c r="H442" s="116"/>
      <c r="I442" s="117" t="n">
        <f aca="false">SUM(E442:G442)</f>
        <v>285.331</v>
      </c>
      <c r="J442" s="118" t="s">
        <v>70</v>
      </c>
      <c r="K442" s="119"/>
      <c r="L442" s="119"/>
      <c r="M442" s="119"/>
      <c r="N442" s="119"/>
      <c r="O442" s="119"/>
      <c r="P442" s="119"/>
      <c r="Q442" s="119"/>
      <c r="R442" s="119"/>
      <c r="S442" s="119"/>
      <c r="T442" s="65" t="n">
        <f aca="false">IF(D442&gt;0,(I442/D442),"")</f>
        <v>0.03</v>
      </c>
      <c r="U442" s="119"/>
      <c r="V442" s="119"/>
      <c r="W442" s="119"/>
      <c r="X442" s="119"/>
      <c r="Y442" s="119"/>
      <c r="Z442" s="119"/>
      <c r="AA442" s="119"/>
      <c r="AB442" s="119"/>
      <c r="AC442" s="119"/>
      <c r="AD442" s="119"/>
      <c r="AE442" s="119"/>
      <c r="AF442" s="119"/>
      <c r="AG442" s="119"/>
      <c r="AH442" s="119"/>
      <c r="AI442" s="119"/>
      <c r="AJ442" s="119"/>
      <c r="AK442" s="119"/>
      <c r="AL442" s="119"/>
      <c r="AM442" s="119"/>
      <c r="AN442" s="119"/>
      <c r="AO442" s="119"/>
      <c r="AP442" s="119"/>
      <c r="AQ442" s="119"/>
      <c r="AR442" s="119"/>
      <c r="AS442" s="119"/>
      <c r="AT442" s="119"/>
      <c r="AU442" s="119"/>
      <c r="AV442" s="119"/>
      <c r="AW442" s="119"/>
      <c r="AX442" s="119"/>
      <c r="AY442" s="119"/>
      <c r="AZ442" s="119"/>
      <c r="BA442" s="119"/>
      <c r="BB442" s="119"/>
      <c r="BC442" s="119"/>
      <c r="BD442" s="119"/>
      <c r="BE442" s="119"/>
      <c r="BF442" s="119"/>
      <c r="BG442" s="119"/>
      <c r="BH442" s="119"/>
      <c r="BI442" s="119"/>
      <c r="BJ442" s="119"/>
      <c r="BK442" s="119"/>
      <c r="BL442" s="119"/>
      <c r="BM442" s="119"/>
      <c r="BN442" s="119"/>
      <c r="BO442" s="119"/>
      <c r="BP442" s="119"/>
      <c r="BQ442" s="119"/>
      <c r="BR442" s="119"/>
      <c r="BS442" s="119"/>
      <c r="BT442" s="119"/>
      <c r="BU442" s="119"/>
      <c r="BV442" s="119"/>
      <c r="BW442" s="119"/>
      <c r="BX442" s="119"/>
      <c r="BY442" s="119"/>
      <c r="BZ442" s="119"/>
      <c r="CA442" s="119"/>
      <c r="CB442" s="119"/>
      <c r="CC442" s="119"/>
      <c r="CD442" s="119"/>
      <c r="CE442" s="119"/>
      <c r="CF442" s="119"/>
      <c r="CG442" s="119"/>
      <c r="CH442" s="119"/>
      <c r="CI442" s="119"/>
      <c r="CJ442" s="119"/>
      <c r="CK442" s="119"/>
      <c r="CL442" s="119"/>
      <c r="CM442" s="119"/>
      <c r="CN442" s="119"/>
      <c r="CO442" s="119"/>
      <c r="CP442" s="119"/>
      <c r="CQ442" s="119"/>
      <c r="CR442" s="119"/>
      <c r="CS442" s="119"/>
      <c r="CT442" s="119"/>
      <c r="CU442" s="119"/>
      <c r="CV442" s="119"/>
      <c r="CW442" s="119"/>
      <c r="CX442" s="119"/>
      <c r="CY442" s="119"/>
      <c r="CZ442" s="119"/>
      <c r="DA442" s="119"/>
      <c r="DB442" s="119"/>
      <c r="DC442" s="119"/>
      <c r="DD442" s="119"/>
      <c r="DE442" s="119"/>
      <c r="DF442" s="119"/>
      <c r="DG442" s="119"/>
      <c r="DH442" s="119"/>
      <c r="DI442" s="119"/>
      <c r="DJ442" s="119"/>
      <c r="DK442" s="119"/>
      <c r="DL442" s="119"/>
      <c r="DM442" s="119"/>
      <c r="DN442" s="119"/>
      <c r="DO442" s="119"/>
      <c r="DP442" s="119"/>
      <c r="DQ442" s="119"/>
      <c r="DR442" s="119"/>
      <c r="DS442" s="119"/>
      <c r="DT442" s="119"/>
      <c r="DU442" s="119"/>
      <c r="DV442" s="119"/>
      <c r="DW442" s="119"/>
      <c r="DX442" s="119"/>
      <c r="DY442" s="119"/>
      <c r="DZ442" s="119"/>
      <c r="EA442" s="119"/>
      <c r="EB442" s="119"/>
      <c r="EC442" s="119"/>
      <c r="ED442" s="119"/>
      <c r="EE442" s="119"/>
      <c r="EF442" s="119"/>
      <c r="EG442" s="119"/>
      <c r="EH442" s="119"/>
      <c r="EI442" s="119"/>
      <c r="EJ442" s="119"/>
      <c r="EK442" s="119"/>
      <c r="EL442" s="119"/>
      <c r="EM442" s="119"/>
      <c r="EN442" s="119"/>
      <c r="EO442" s="119"/>
      <c r="EP442" s="119"/>
      <c r="EQ442" s="119"/>
      <c r="ER442" s="119"/>
      <c r="ES442" s="119"/>
      <c r="ET442" s="119"/>
      <c r="EU442" s="119"/>
      <c r="EV442" s="119"/>
      <c r="EW442" s="119"/>
      <c r="EX442" s="119"/>
      <c r="EY442" s="119"/>
      <c r="EZ442" s="119"/>
      <c r="FA442" s="119"/>
      <c r="FB442" s="119"/>
      <c r="FC442" s="119"/>
      <c r="FD442" s="119"/>
      <c r="FE442" s="119"/>
      <c r="FF442" s="119"/>
      <c r="FG442" s="119"/>
      <c r="FH442" s="119"/>
      <c r="FI442" s="119"/>
      <c r="FJ442" s="119"/>
      <c r="FK442" s="119"/>
      <c r="FL442" s="119"/>
      <c r="FM442" s="119"/>
      <c r="FN442" s="119"/>
      <c r="FO442" s="119"/>
      <c r="FP442" s="119"/>
      <c r="FQ442" s="119"/>
      <c r="FR442" s="119"/>
      <c r="FS442" s="119"/>
      <c r="FT442" s="119"/>
      <c r="FU442" s="119"/>
      <c r="FV442" s="119"/>
      <c r="FW442" s="119"/>
      <c r="FX442" s="119"/>
      <c r="FY442" s="119"/>
      <c r="FZ442" s="119"/>
      <c r="GA442" s="119"/>
      <c r="GB442" s="119"/>
      <c r="GC442" s="119"/>
      <c r="GD442" s="119"/>
      <c r="GE442" s="119"/>
      <c r="GF442" s="119"/>
      <c r="GG442" s="119"/>
      <c r="GH442" s="119"/>
      <c r="GI442" s="119"/>
      <c r="GJ442" s="119"/>
      <c r="GK442" s="119"/>
      <c r="GL442" s="119"/>
      <c r="GM442" s="119"/>
      <c r="GN442" s="119"/>
      <c r="GO442" s="119"/>
      <c r="GP442" s="119"/>
      <c r="GQ442" s="119"/>
      <c r="GR442" s="119"/>
      <c r="GS442" s="119"/>
      <c r="GT442" s="119"/>
      <c r="GU442" s="119"/>
      <c r="GV442" s="119"/>
      <c r="GW442" s="119"/>
      <c r="GX442" s="119"/>
      <c r="GY442" s="119"/>
      <c r="GZ442" s="119"/>
      <c r="HA442" s="119"/>
      <c r="HB442" s="119"/>
      <c r="HC442" s="119"/>
      <c r="HD442" s="119"/>
      <c r="HE442" s="119"/>
      <c r="HF442" s="119"/>
      <c r="HG442" s="119"/>
      <c r="HH442" s="119"/>
      <c r="HI442" s="119"/>
      <c r="HJ442" s="119"/>
      <c r="HK442" s="119"/>
      <c r="HL442" s="119"/>
      <c r="HM442" s="119"/>
      <c r="HN442" s="119"/>
      <c r="HO442" s="119"/>
      <c r="HP442" s="119"/>
      <c r="HQ442" s="119"/>
      <c r="HR442" s="119"/>
      <c r="HS442" s="119"/>
      <c r="HT442" s="119"/>
      <c r="HU442" s="119"/>
      <c r="HV442" s="119"/>
      <c r="HW442" s="119"/>
      <c r="HX442" s="119"/>
      <c r="HY442" s="119"/>
      <c r="HZ442" s="119"/>
      <c r="IA442" s="119"/>
      <c r="IB442" s="119"/>
      <c r="IC442" s="119"/>
      <c r="ID442" s="119"/>
      <c r="IE442" s="119"/>
      <c r="IF442" s="119"/>
      <c r="IG442" s="119"/>
      <c r="IH442" s="119"/>
      <c r="II442" s="119"/>
      <c r="IJ442" s="119"/>
      <c r="IK442" s="119"/>
      <c r="IL442" s="119"/>
      <c r="IM442" s="119"/>
      <c r="IN442" s="119"/>
      <c r="IO442" s="119"/>
      <c r="IP442" s="119"/>
      <c r="IQ442" s="119"/>
      <c r="IR442" s="119"/>
      <c r="IS442" s="119"/>
      <c r="IT442" s="119"/>
      <c r="IU442" s="119"/>
      <c r="IV442" s="119"/>
      <c r="IW442" s="119"/>
    </row>
    <row r="443" customFormat="false" ht="18" hidden="true" customHeight="true" outlineLevel="0" collapsed="false">
      <c r="A443" s="234" t="s">
        <v>415</v>
      </c>
      <c r="B443" s="113"/>
      <c r="C443" s="114"/>
      <c r="D443" s="115" t="n">
        <f aca="false">I443/0.03</f>
        <v>1036.53333333333</v>
      </c>
      <c r="E443" s="116" t="n">
        <f aca="false">41894/1000</f>
        <v>41.894</v>
      </c>
      <c r="F443" s="116" t="n">
        <v>-10.798</v>
      </c>
      <c r="G443" s="116"/>
      <c r="H443" s="116"/>
      <c r="I443" s="117" t="n">
        <f aca="false">SUM(E443:G443)</f>
        <v>31.096</v>
      </c>
      <c r="J443" s="118" t="s">
        <v>70</v>
      </c>
      <c r="K443" s="119"/>
      <c r="L443" s="119"/>
      <c r="M443" s="119"/>
      <c r="N443" s="119"/>
      <c r="O443" s="119"/>
      <c r="P443" s="119"/>
      <c r="Q443" s="119"/>
      <c r="R443" s="119"/>
      <c r="S443" s="119"/>
      <c r="T443" s="65" t="n">
        <f aca="false">IF(D443&gt;0,(I443/D443),"")</f>
        <v>0.03</v>
      </c>
      <c r="U443" s="119"/>
      <c r="V443" s="119"/>
      <c r="W443" s="119"/>
      <c r="X443" s="119"/>
      <c r="Y443" s="119"/>
      <c r="Z443" s="119"/>
      <c r="AA443" s="119"/>
      <c r="AB443" s="119"/>
      <c r="AC443" s="119"/>
      <c r="AD443" s="119"/>
      <c r="AE443" s="119"/>
      <c r="AF443" s="119"/>
      <c r="AG443" s="119"/>
      <c r="AH443" s="119"/>
      <c r="AI443" s="119"/>
      <c r="AJ443" s="119"/>
      <c r="AK443" s="119"/>
      <c r="AL443" s="119"/>
      <c r="AM443" s="119"/>
      <c r="AN443" s="119"/>
      <c r="AO443" s="119"/>
      <c r="AP443" s="119"/>
      <c r="AQ443" s="119"/>
      <c r="AR443" s="119"/>
      <c r="AS443" s="119"/>
      <c r="AT443" s="119"/>
      <c r="AU443" s="119"/>
      <c r="AV443" s="119"/>
      <c r="AW443" s="119"/>
      <c r="AX443" s="119"/>
      <c r="AY443" s="119"/>
      <c r="AZ443" s="119"/>
      <c r="BA443" s="119"/>
      <c r="BB443" s="119"/>
      <c r="BC443" s="119"/>
      <c r="BD443" s="119"/>
      <c r="BE443" s="119"/>
      <c r="BF443" s="119"/>
      <c r="BG443" s="119"/>
      <c r="BH443" s="119"/>
      <c r="BI443" s="119"/>
      <c r="BJ443" s="119"/>
      <c r="BK443" s="119"/>
      <c r="BL443" s="119"/>
      <c r="BM443" s="119"/>
      <c r="BN443" s="119"/>
      <c r="BO443" s="119"/>
      <c r="BP443" s="119"/>
      <c r="BQ443" s="119"/>
      <c r="BR443" s="119"/>
      <c r="BS443" s="119"/>
      <c r="BT443" s="119"/>
      <c r="BU443" s="119"/>
      <c r="BV443" s="119"/>
      <c r="BW443" s="119"/>
      <c r="BX443" s="119"/>
      <c r="BY443" s="119"/>
      <c r="BZ443" s="119"/>
      <c r="CA443" s="119"/>
      <c r="CB443" s="119"/>
      <c r="CC443" s="119"/>
      <c r="CD443" s="119"/>
      <c r="CE443" s="119"/>
      <c r="CF443" s="119"/>
      <c r="CG443" s="119"/>
      <c r="CH443" s="119"/>
      <c r="CI443" s="119"/>
      <c r="CJ443" s="119"/>
      <c r="CK443" s="119"/>
      <c r="CL443" s="119"/>
      <c r="CM443" s="119"/>
      <c r="CN443" s="119"/>
      <c r="CO443" s="119"/>
      <c r="CP443" s="119"/>
      <c r="CQ443" s="119"/>
      <c r="CR443" s="119"/>
      <c r="CS443" s="119"/>
      <c r="CT443" s="119"/>
      <c r="CU443" s="119"/>
      <c r="CV443" s="119"/>
      <c r="CW443" s="119"/>
      <c r="CX443" s="119"/>
      <c r="CY443" s="119"/>
      <c r="CZ443" s="119"/>
      <c r="DA443" s="119"/>
      <c r="DB443" s="119"/>
      <c r="DC443" s="119"/>
      <c r="DD443" s="119"/>
      <c r="DE443" s="119"/>
      <c r="DF443" s="119"/>
      <c r="DG443" s="119"/>
      <c r="DH443" s="119"/>
      <c r="DI443" s="119"/>
      <c r="DJ443" s="119"/>
      <c r="DK443" s="119"/>
      <c r="DL443" s="119"/>
      <c r="DM443" s="119"/>
      <c r="DN443" s="119"/>
      <c r="DO443" s="119"/>
      <c r="DP443" s="119"/>
      <c r="DQ443" s="119"/>
      <c r="DR443" s="119"/>
      <c r="DS443" s="119"/>
      <c r="DT443" s="119"/>
      <c r="DU443" s="119"/>
      <c r="DV443" s="119"/>
      <c r="DW443" s="119"/>
      <c r="DX443" s="119"/>
      <c r="DY443" s="119"/>
      <c r="DZ443" s="119"/>
      <c r="EA443" s="119"/>
      <c r="EB443" s="119"/>
      <c r="EC443" s="119"/>
      <c r="ED443" s="119"/>
      <c r="EE443" s="119"/>
      <c r="EF443" s="119"/>
      <c r="EG443" s="119"/>
      <c r="EH443" s="119"/>
      <c r="EI443" s="119"/>
      <c r="EJ443" s="119"/>
      <c r="EK443" s="119"/>
      <c r="EL443" s="119"/>
      <c r="EM443" s="119"/>
      <c r="EN443" s="119"/>
      <c r="EO443" s="119"/>
      <c r="EP443" s="119"/>
      <c r="EQ443" s="119"/>
      <c r="ER443" s="119"/>
      <c r="ES443" s="119"/>
      <c r="ET443" s="119"/>
      <c r="EU443" s="119"/>
      <c r="EV443" s="119"/>
      <c r="EW443" s="119"/>
      <c r="EX443" s="119"/>
      <c r="EY443" s="119"/>
      <c r="EZ443" s="119"/>
      <c r="FA443" s="119"/>
      <c r="FB443" s="119"/>
      <c r="FC443" s="119"/>
      <c r="FD443" s="119"/>
      <c r="FE443" s="119"/>
      <c r="FF443" s="119"/>
      <c r="FG443" s="119"/>
      <c r="FH443" s="119"/>
      <c r="FI443" s="119"/>
      <c r="FJ443" s="119"/>
      <c r="FK443" s="119"/>
      <c r="FL443" s="119"/>
      <c r="FM443" s="119"/>
      <c r="FN443" s="119"/>
      <c r="FO443" s="119"/>
      <c r="FP443" s="119"/>
      <c r="FQ443" s="119"/>
      <c r="FR443" s="119"/>
      <c r="FS443" s="119"/>
      <c r="FT443" s="119"/>
      <c r="FU443" s="119"/>
      <c r="FV443" s="119"/>
      <c r="FW443" s="119"/>
      <c r="FX443" s="119"/>
      <c r="FY443" s="119"/>
      <c r="FZ443" s="119"/>
      <c r="GA443" s="119"/>
      <c r="GB443" s="119"/>
      <c r="GC443" s="119"/>
      <c r="GD443" s="119"/>
      <c r="GE443" s="119"/>
      <c r="GF443" s="119"/>
      <c r="GG443" s="119"/>
      <c r="GH443" s="119"/>
      <c r="GI443" s="119"/>
      <c r="GJ443" s="119"/>
      <c r="GK443" s="119"/>
      <c r="GL443" s="119"/>
      <c r="GM443" s="119"/>
      <c r="GN443" s="119"/>
      <c r="GO443" s="119"/>
      <c r="GP443" s="119"/>
      <c r="GQ443" s="119"/>
      <c r="GR443" s="119"/>
      <c r="GS443" s="119"/>
      <c r="GT443" s="119"/>
      <c r="GU443" s="119"/>
      <c r="GV443" s="119"/>
      <c r="GW443" s="119"/>
      <c r="GX443" s="119"/>
      <c r="GY443" s="119"/>
      <c r="GZ443" s="119"/>
      <c r="HA443" s="119"/>
      <c r="HB443" s="119"/>
      <c r="HC443" s="119"/>
      <c r="HD443" s="119"/>
      <c r="HE443" s="119"/>
      <c r="HF443" s="119"/>
      <c r="HG443" s="119"/>
      <c r="HH443" s="119"/>
      <c r="HI443" s="119"/>
      <c r="HJ443" s="119"/>
      <c r="HK443" s="119"/>
      <c r="HL443" s="119"/>
      <c r="HM443" s="119"/>
      <c r="HN443" s="119"/>
      <c r="HO443" s="119"/>
      <c r="HP443" s="119"/>
      <c r="HQ443" s="119"/>
      <c r="HR443" s="119"/>
      <c r="HS443" s="119"/>
      <c r="HT443" s="119"/>
      <c r="HU443" s="119"/>
      <c r="HV443" s="119"/>
      <c r="HW443" s="119"/>
      <c r="HX443" s="119"/>
      <c r="HY443" s="119"/>
      <c r="HZ443" s="119"/>
      <c r="IA443" s="119"/>
      <c r="IB443" s="119"/>
      <c r="IC443" s="119"/>
      <c r="ID443" s="119"/>
      <c r="IE443" s="119"/>
      <c r="IF443" s="119"/>
      <c r="IG443" s="119"/>
      <c r="IH443" s="119"/>
      <c r="II443" s="119"/>
      <c r="IJ443" s="119"/>
      <c r="IK443" s="119"/>
      <c r="IL443" s="119"/>
      <c r="IM443" s="119"/>
      <c r="IN443" s="119"/>
      <c r="IO443" s="119"/>
      <c r="IP443" s="119"/>
      <c r="IQ443" s="119"/>
      <c r="IR443" s="119"/>
      <c r="IS443" s="119"/>
      <c r="IT443" s="119"/>
      <c r="IU443" s="119"/>
      <c r="IV443" s="119"/>
      <c r="IW443" s="119"/>
    </row>
    <row r="444" customFormat="false" ht="18" hidden="true" customHeight="true" outlineLevel="0" collapsed="false">
      <c r="A444" s="234" t="s">
        <v>416</v>
      </c>
      <c r="B444" s="113"/>
      <c r="C444" s="114"/>
      <c r="D444" s="115" t="n">
        <f aca="false">I444/0.03</f>
        <v>2859.96666666667</v>
      </c>
      <c r="E444" s="116" t="n">
        <f aca="false">115555/1000</f>
        <v>115.555</v>
      </c>
      <c r="F444" s="116" t="n">
        <v>-29.756</v>
      </c>
      <c r="G444" s="116"/>
      <c r="H444" s="116"/>
      <c r="I444" s="117" t="n">
        <f aca="false">SUM(E444:G444)</f>
        <v>85.799</v>
      </c>
      <c r="J444" s="118" t="s">
        <v>70</v>
      </c>
      <c r="K444" s="119"/>
      <c r="L444" s="119"/>
      <c r="M444" s="119"/>
      <c r="N444" s="119"/>
      <c r="O444" s="119"/>
      <c r="P444" s="119"/>
      <c r="Q444" s="119"/>
      <c r="R444" s="119"/>
      <c r="S444" s="119"/>
      <c r="T444" s="65" t="n">
        <f aca="false">IF(D444&gt;0,(I444/D444),"")</f>
        <v>0.03</v>
      </c>
      <c r="U444" s="119"/>
      <c r="V444" s="119"/>
      <c r="W444" s="119"/>
      <c r="X444" s="119"/>
      <c r="Y444" s="119"/>
      <c r="Z444" s="119"/>
      <c r="AA444" s="119"/>
      <c r="AB444" s="119"/>
      <c r="AC444" s="119"/>
      <c r="AD444" s="119"/>
      <c r="AE444" s="119"/>
      <c r="AF444" s="119"/>
      <c r="AG444" s="119"/>
      <c r="AH444" s="119"/>
      <c r="AI444" s="119"/>
      <c r="AJ444" s="119"/>
      <c r="AK444" s="119"/>
      <c r="AL444" s="119"/>
      <c r="AM444" s="119"/>
      <c r="AN444" s="119"/>
      <c r="AO444" s="119"/>
      <c r="AP444" s="119"/>
      <c r="AQ444" s="119"/>
      <c r="AR444" s="119"/>
      <c r="AS444" s="119"/>
      <c r="AT444" s="119"/>
      <c r="AU444" s="119"/>
      <c r="AV444" s="119"/>
      <c r="AW444" s="119"/>
      <c r="AX444" s="119"/>
      <c r="AY444" s="119"/>
      <c r="AZ444" s="119"/>
      <c r="BA444" s="119"/>
      <c r="BB444" s="119"/>
      <c r="BC444" s="119"/>
      <c r="BD444" s="119"/>
      <c r="BE444" s="119"/>
      <c r="BF444" s="119"/>
      <c r="BG444" s="119"/>
      <c r="BH444" s="119"/>
      <c r="BI444" s="119"/>
      <c r="BJ444" s="119"/>
      <c r="BK444" s="119"/>
      <c r="BL444" s="119"/>
      <c r="BM444" s="119"/>
      <c r="BN444" s="119"/>
      <c r="BO444" s="119"/>
      <c r="BP444" s="119"/>
      <c r="BQ444" s="119"/>
      <c r="BR444" s="119"/>
      <c r="BS444" s="119"/>
      <c r="BT444" s="119"/>
      <c r="BU444" s="119"/>
      <c r="BV444" s="119"/>
      <c r="BW444" s="119"/>
      <c r="BX444" s="119"/>
      <c r="BY444" s="119"/>
      <c r="BZ444" s="119"/>
      <c r="CA444" s="119"/>
      <c r="CB444" s="119"/>
      <c r="CC444" s="119"/>
      <c r="CD444" s="119"/>
      <c r="CE444" s="119"/>
      <c r="CF444" s="119"/>
      <c r="CG444" s="119"/>
      <c r="CH444" s="119"/>
      <c r="CI444" s="119"/>
      <c r="CJ444" s="119"/>
      <c r="CK444" s="119"/>
      <c r="CL444" s="119"/>
      <c r="CM444" s="119"/>
      <c r="CN444" s="119"/>
      <c r="CO444" s="119"/>
      <c r="CP444" s="119"/>
      <c r="CQ444" s="119"/>
      <c r="CR444" s="119"/>
      <c r="CS444" s="119"/>
      <c r="CT444" s="119"/>
      <c r="CU444" s="119"/>
      <c r="CV444" s="119"/>
      <c r="CW444" s="119"/>
      <c r="CX444" s="119"/>
      <c r="CY444" s="119"/>
      <c r="CZ444" s="119"/>
      <c r="DA444" s="119"/>
      <c r="DB444" s="119"/>
      <c r="DC444" s="119"/>
      <c r="DD444" s="119"/>
      <c r="DE444" s="119"/>
      <c r="DF444" s="119"/>
      <c r="DG444" s="119"/>
      <c r="DH444" s="119"/>
      <c r="DI444" s="119"/>
      <c r="DJ444" s="119"/>
      <c r="DK444" s="119"/>
      <c r="DL444" s="119"/>
      <c r="DM444" s="119"/>
      <c r="DN444" s="119"/>
      <c r="DO444" s="119"/>
      <c r="DP444" s="119"/>
      <c r="DQ444" s="119"/>
      <c r="DR444" s="119"/>
      <c r="DS444" s="119"/>
      <c r="DT444" s="119"/>
      <c r="DU444" s="119"/>
      <c r="DV444" s="119"/>
      <c r="DW444" s="119"/>
      <c r="DX444" s="119"/>
      <c r="DY444" s="119"/>
      <c r="DZ444" s="119"/>
      <c r="EA444" s="119"/>
      <c r="EB444" s="119"/>
      <c r="EC444" s="119"/>
      <c r="ED444" s="119"/>
      <c r="EE444" s="119"/>
      <c r="EF444" s="119"/>
      <c r="EG444" s="119"/>
      <c r="EH444" s="119"/>
      <c r="EI444" s="119"/>
      <c r="EJ444" s="119"/>
      <c r="EK444" s="119"/>
      <c r="EL444" s="119"/>
      <c r="EM444" s="119"/>
      <c r="EN444" s="119"/>
      <c r="EO444" s="119"/>
      <c r="EP444" s="119"/>
      <c r="EQ444" s="119"/>
      <c r="ER444" s="119"/>
      <c r="ES444" s="119"/>
      <c r="ET444" s="119"/>
      <c r="EU444" s="119"/>
      <c r="EV444" s="119"/>
      <c r="EW444" s="119"/>
      <c r="EX444" s="119"/>
      <c r="EY444" s="119"/>
      <c r="EZ444" s="119"/>
      <c r="FA444" s="119"/>
      <c r="FB444" s="119"/>
      <c r="FC444" s="119"/>
      <c r="FD444" s="119"/>
      <c r="FE444" s="119"/>
      <c r="FF444" s="119"/>
      <c r="FG444" s="119"/>
      <c r="FH444" s="119"/>
      <c r="FI444" s="119"/>
      <c r="FJ444" s="119"/>
      <c r="FK444" s="119"/>
      <c r="FL444" s="119"/>
      <c r="FM444" s="119"/>
      <c r="FN444" s="119"/>
      <c r="FO444" s="119"/>
      <c r="FP444" s="119"/>
      <c r="FQ444" s="119"/>
      <c r="FR444" s="119"/>
      <c r="FS444" s="119"/>
      <c r="FT444" s="119"/>
      <c r="FU444" s="119"/>
      <c r="FV444" s="119"/>
      <c r="FW444" s="119"/>
      <c r="FX444" s="119"/>
      <c r="FY444" s="119"/>
      <c r="FZ444" s="119"/>
      <c r="GA444" s="119"/>
      <c r="GB444" s="119"/>
      <c r="GC444" s="119"/>
      <c r="GD444" s="119"/>
      <c r="GE444" s="119"/>
      <c r="GF444" s="119"/>
      <c r="GG444" s="119"/>
      <c r="GH444" s="119"/>
      <c r="GI444" s="119"/>
      <c r="GJ444" s="119"/>
      <c r="GK444" s="119"/>
      <c r="GL444" s="119"/>
      <c r="GM444" s="119"/>
      <c r="GN444" s="119"/>
      <c r="GO444" s="119"/>
      <c r="GP444" s="119"/>
      <c r="GQ444" s="119"/>
      <c r="GR444" s="119"/>
      <c r="GS444" s="119"/>
      <c r="GT444" s="119"/>
      <c r="GU444" s="119"/>
      <c r="GV444" s="119"/>
      <c r="GW444" s="119"/>
      <c r="GX444" s="119"/>
      <c r="GY444" s="119"/>
      <c r="GZ444" s="119"/>
      <c r="HA444" s="119"/>
      <c r="HB444" s="119"/>
      <c r="HC444" s="119"/>
      <c r="HD444" s="119"/>
      <c r="HE444" s="119"/>
      <c r="HF444" s="119"/>
      <c r="HG444" s="119"/>
      <c r="HH444" s="119"/>
      <c r="HI444" s="119"/>
      <c r="HJ444" s="119"/>
      <c r="HK444" s="119"/>
      <c r="HL444" s="119"/>
      <c r="HM444" s="119"/>
      <c r="HN444" s="119"/>
      <c r="HO444" s="119"/>
      <c r="HP444" s="119"/>
      <c r="HQ444" s="119"/>
      <c r="HR444" s="119"/>
      <c r="HS444" s="119"/>
      <c r="HT444" s="119"/>
      <c r="HU444" s="119"/>
      <c r="HV444" s="119"/>
      <c r="HW444" s="119"/>
      <c r="HX444" s="119"/>
      <c r="HY444" s="119"/>
      <c r="HZ444" s="119"/>
      <c r="IA444" s="119"/>
      <c r="IB444" s="119"/>
      <c r="IC444" s="119"/>
      <c r="ID444" s="119"/>
      <c r="IE444" s="119"/>
      <c r="IF444" s="119"/>
      <c r="IG444" s="119"/>
      <c r="IH444" s="119"/>
      <c r="II444" s="119"/>
      <c r="IJ444" s="119"/>
      <c r="IK444" s="119"/>
      <c r="IL444" s="119"/>
      <c r="IM444" s="119"/>
      <c r="IN444" s="119"/>
      <c r="IO444" s="119"/>
      <c r="IP444" s="119"/>
      <c r="IQ444" s="119"/>
      <c r="IR444" s="119"/>
      <c r="IS444" s="119"/>
      <c r="IT444" s="119"/>
      <c r="IU444" s="119"/>
      <c r="IV444" s="119"/>
      <c r="IW444" s="119"/>
    </row>
    <row r="445" customFormat="false" ht="18" hidden="true" customHeight="true" outlineLevel="0" collapsed="false">
      <c r="A445" s="234" t="s">
        <v>417</v>
      </c>
      <c r="B445" s="113"/>
      <c r="C445" s="114"/>
      <c r="D445" s="115" t="n">
        <f aca="false">I445/0.03</f>
        <v>1481.4</v>
      </c>
      <c r="E445" s="116" t="n">
        <f aca="false">60041/1000</f>
        <v>60.041</v>
      </c>
      <c r="F445" s="116" t="n">
        <v>-15.599</v>
      </c>
      <c r="G445" s="116"/>
      <c r="H445" s="116"/>
      <c r="I445" s="117" t="n">
        <f aca="false">SUM(E445:G445)</f>
        <v>44.442</v>
      </c>
      <c r="J445" s="118" t="s">
        <v>70</v>
      </c>
      <c r="K445" s="119"/>
      <c r="L445" s="119"/>
      <c r="M445" s="119"/>
      <c r="N445" s="119"/>
      <c r="O445" s="119"/>
      <c r="P445" s="119"/>
      <c r="Q445" s="119"/>
      <c r="R445" s="119"/>
      <c r="S445" s="119"/>
      <c r="T445" s="65" t="n">
        <f aca="false">IF(D445&gt;0,(I445/D445),"")</f>
        <v>0.03</v>
      </c>
      <c r="U445" s="119"/>
      <c r="V445" s="119"/>
      <c r="W445" s="119"/>
      <c r="X445" s="119"/>
      <c r="Y445" s="119"/>
      <c r="Z445" s="119"/>
      <c r="AA445" s="119"/>
      <c r="AB445" s="119"/>
      <c r="AC445" s="119"/>
      <c r="AD445" s="119"/>
      <c r="AE445" s="119"/>
      <c r="AF445" s="119"/>
      <c r="AG445" s="119"/>
      <c r="AH445" s="119"/>
      <c r="AI445" s="119"/>
      <c r="AJ445" s="119"/>
      <c r="AK445" s="119"/>
      <c r="AL445" s="119"/>
      <c r="AM445" s="119"/>
      <c r="AN445" s="119"/>
      <c r="AO445" s="119"/>
      <c r="AP445" s="119"/>
      <c r="AQ445" s="119"/>
      <c r="AR445" s="119"/>
      <c r="AS445" s="119"/>
      <c r="AT445" s="119"/>
      <c r="AU445" s="119"/>
      <c r="AV445" s="119"/>
      <c r="AW445" s="119"/>
      <c r="AX445" s="119"/>
      <c r="AY445" s="119"/>
      <c r="AZ445" s="119"/>
      <c r="BA445" s="119"/>
      <c r="BB445" s="119"/>
      <c r="BC445" s="119"/>
      <c r="BD445" s="119"/>
      <c r="BE445" s="119"/>
      <c r="BF445" s="119"/>
      <c r="BG445" s="119"/>
      <c r="BH445" s="119"/>
      <c r="BI445" s="119"/>
      <c r="BJ445" s="119"/>
      <c r="BK445" s="119"/>
      <c r="BL445" s="119"/>
      <c r="BM445" s="119"/>
      <c r="BN445" s="119"/>
      <c r="BO445" s="119"/>
      <c r="BP445" s="119"/>
      <c r="BQ445" s="119"/>
      <c r="BR445" s="119"/>
      <c r="BS445" s="119"/>
      <c r="BT445" s="119"/>
      <c r="BU445" s="119"/>
      <c r="BV445" s="119"/>
      <c r="BW445" s="119"/>
      <c r="BX445" s="119"/>
      <c r="BY445" s="119"/>
      <c r="BZ445" s="119"/>
      <c r="CA445" s="119"/>
      <c r="CB445" s="119"/>
      <c r="CC445" s="119"/>
      <c r="CD445" s="119"/>
      <c r="CE445" s="119"/>
      <c r="CF445" s="119"/>
      <c r="CG445" s="119"/>
      <c r="CH445" s="119"/>
      <c r="CI445" s="119"/>
      <c r="CJ445" s="119"/>
      <c r="CK445" s="119"/>
      <c r="CL445" s="119"/>
      <c r="CM445" s="119"/>
      <c r="CN445" s="119"/>
      <c r="CO445" s="119"/>
      <c r="CP445" s="119"/>
      <c r="CQ445" s="119"/>
      <c r="CR445" s="119"/>
      <c r="CS445" s="119"/>
      <c r="CT445" s="119"/>
      <c r="CU445" s="119"/>
      <c r="CV445" s="119"/>
      <c r="CW445" s="119"/>
      <c r="CX445" s="119"/>
      <c r="CY445" s="119"/>
      <c r="CZ445" s="119"/>
      <c r="DA445" s="119"/>
      <c r="DB445" s="119"/>
      <c r="DC445" s="119"/>
      <c r="DD445" s="119"/>
      <c r="DE445" s="119"/>
      <c r="DF445" s="119"/>
      <c r="DG445" s="119"/>
      <c r="DH445" s="119"/>
      <c r="DI445" s="119"/>
      <c r="DJ445" s="119"/>
      <c r="DK445" s="119"/>
      <c r="DL445" s="119"/>
      <c r="DM445" s="119"/>
      <c r="DN445" s="119"/>
      <c r="DO445" s="119"/>
      <c r="DP445" s="119"/>
      <c r="DQ445" s="119"/>
      <c r="DR445" s="119"/>
      <c r="DS445" s="119"/>
      <c r="DT445" s="119"/>
      <c r="DU445" s="119"/>
      <c r="DV445" s="119"/>
      <c r="DW445" s="119"/>
      <c r="DX445" s="119"/>
      <c r="DY445" s="119"/>
      <c r="DZ445" s="119"/>
      <c r="EA445" s="119"/>
      <c r="EB445" s="119"/>
      <c r="EC445" s="119"/>
      <c r="ED445" s="119"/>
      <c r="EE445" s="119"/>
      <c r="EF445" s="119"/>
      <c r="EG445" s="119"/>
      <c r="EH445" s="119"/>
      <c r="EI445" s="119"/>
      <c r="EJ445" s="119"/>
      <c r="EK445" s="119"/>
      <c r="EL445" s="119"/>
      <c r="EM445" s="119"/>
      <c r="EN445" s="119"/>
      <c r="EO445" s="119"/>
      <c r="EP445" s="119"/>
      <c r="EQ445" s="119"/>
      <c r="ER445" s="119"/>
      <c r="ES445" s="119"/>
      <c r="ET445" s="119"/>
      <c r="EU445" s="119"/>
      <c r="EV445" s="119"/>
      <c r="EW445" s="119"/>
      <c r="EX445" s="119"/>
      <c r="EY445" s="119"/>
      <c r="EZ445" s="119"/>
      <c r="FA445" s="119"/>
      <c r="FB445" s="119"/>
      <c r="FC445" s="119"/>
      <c r="FD445" s="119"/>
      <c r="FE445" s="119"/>
      <c r="FF445" s="119"/>
      <c r="FG445" s="119"/>
      <c r="FH445" s="119"/>
      <c r="FI445" s="119"/>
      <c r="FJ445" s="119"/>
      <c r="FK445" s="119"/>
      <c r="FL445" s="119"/>
      <c r="FM445" s="119"/>
      <c r="FN445" s="119"/>
      <c r="FO445" s="119"/>
      <c r="FP445" s="119"/>
      <c r="FQ445" s="119"/>
      <c r="FR445" s="119"/>
      <c r="FS445" s="119"/>
      <c r="FT445" s="119"/>
      <c r="FU445" s="119"/>
      <c r="FV445" s="119"/>
      <c r="FW445" s="119"/>
      <c r="FX445" s="119"/>
      <c r="FY445" s="119"/>
      <c r="FZ445" s="119"/>
      <c r="GA445" s="119"/>
      <c r="GB445" s="119"/>
      <c r="GC445" s="119"/>
      <c r="GD445" s="119"/>
      <c r="GE445" s="119"/>
      <c r="GF445" s="119"/>
      <c r="GG445" s="119"/>
      <c r="GH445" s="119"/>
      <c r="GI445" s="119"/>
      <c r="GJ445" s="119"/>
      <c r="GK445" s="119"/>
      <c r="GL445" s="119"/>
      <c r="GM445" s="119"/>
      <c r="GN445" s="119"/>
      <c r="GO445" s="119"/>
      <c r="GP445" s="119"/>
      <c r="GQ445" s="119"/>
      <c r="GR445" s="119"/>
      <c r="GS445" s="119"/>
      <c r="GT445" s="119"/>
      <c r="GU445" s="119"/>
      <c r="GV445" s="119"/>
      <c r="GW445" s="119"/>
      <c r="GX445" s="119"/>
      <c r="GY445" s="119"/>
      <c r="GZ445" s="119"/>
      <c r="HA445" s="119"/>
      <c r="HB445" s="119"/>
      <c r="HC445" s="119"/>
      <c r="HD445" s="119"/>
      <c r="HE445" s="119"/>
      <c r="HF445" s="119"/>
      <c r="HG445" s="119"/>
      <c r="HH445" s="119"/>
      <c r="HI445" s="119"/>
      <c r="HJ445" s="119"/>
      <c r="HK445" s="119"/>
      <c r="HL445" s="119"/>
      <c r="HM445" s="119"/>
      <c r="HN445" s="119"/>
      <c r="HO445" s="119"/>
      <c r="HP445" s="119"/>
      <c r="HQ445" s="119"/>
      <c r="HR445" s="119"/>
      <c r="HS445" s="119"/>
      <c r="HT445" s="119"/>
      <c r="HU445" s="119"/>
      <c r="HV445" s="119"/>
      <c r="HW445" s="119"/>
      <c r="HX445" s="119"/>
      <c r="HY445" s="119"/>
      <c r="HZ445" s="119"/>
      <c r="IA445" s="119"/>
      <c r="IB445" s="119"/>
      <c r="IC445" s="119"/>
      <c r="ID445" s="119"/>
      <c r="IE445" s="119"/>
      <c r="IF445" s="119"/>
      <c r="IG445" s="119"/>
      <c r="IH445" s="119"/>
      <c r="II445" s="119"/>
      <c r="IJ445" s="119"/>
      <c r="IK445" s="119"/>
      <c r="IL445" s="119"/>
      <c r="IM445" s="119"/>
      <c r="IN445" s="119"/>
      <c r="IO445" s="119"/>
      <c r="IP445" s="119"/>
      <c r="IQ445" s="119"/>
      <c r="IR445" s="119"/>
      <c r="IS445" s="119"/>
      <c r="IT445" s="119"/>
      <c r="IU445" s="119"/>
      <c r="IV445" s="119"/>
      <c r="IW445" s="119"/>
    </row>
    <row r="446" customFormat="false" ht="18" hidden="true" customHeight="true" outlineLevel="0" collapsed="false">
      <c r="A446" s="234" t="s">
        <v>418</v>
      </c>
      <c r="B446" s="113"/>
      <c r="C446" s="114"/>
      <c r="D446" s="115" t="n">
        <f aca="false">I446/0.03</f>
        <v>390.633333333333</v>
      </c>
      <c r="E446" s="116" t="n">
        <f aca="false">15808/1000</f>
        <v>15.808</v>
      </c>
      <c r="F446" s="116" t="n">
        <v>-4.089</v>
      </c>
      <c r="G446" s="116"/>
      <c r="H446" s="116"/>
      <c r="I446" s="117" t="n">
        <f aca="false">SUM(E446:G446)</f>
        <v>11.719</v>
      </c>
      <c r="J446" s="118" t="s">
        <v>70</v>
      </c>
      <c r="K446" s="119"/>
      <c r="L446" s="119"/>
      <c r="M446" s="119"/>
      <c r="N446" s="119"/>
      <c r="O446" s="119"/>
      <c r="P446" s="119"/>
      <c r="Q446" s="119"/>
      <c r="R446" s="119"/>
      <c r="S446" s="119"/>
      <c r="T446" s="65" t="n">
        <f aca="false">IF(D446&gt;0,(I446/D446),"")</f>
        <v>0.03</v>
      </c>
      <c r="U446" s="119"/>
      <c r="V446" s="119"/>
      <c r="W446" s="119"/>
      <c r="X446" s="119"/>
      <c r="Y446" s="119"/>
      <c r="Z446" s="119"/>
      <c r="AA446" s="119"/>
      <c r="AB446" s="119"/>
      <c r="AC446" s="119"/>
      <c r="AD446" s="119"/>
      <c r="AE446" s="119"/>
      <c r="AF446" s="119"/>
      <c r="AG446" s="119"/>
      <c r="AH446" s="119"/>
      <c r="AI446" s="119"/>
      <c r="AJ446" s="119"/>
      <c r="AK446" s="119"/>
      <c r="AL446" s="119"/>
      <c r="AM446" s="119"/>
      <c r="AN446" s="119"/>
      <c r="AO446" s="119"/>
      <c r="AP446" s="119"/>
      <c r="AQ446" s="119"/>
      <c r="AR446" s="119"/>
      <c r="AS446" s="119"/>
      <c r="AT446" s="119"/>
      <c r="AU446" s="119"/>
      <c r="AV446" s="119"/>
      <c r="AW446" s="119"/>
      <c r="AX446" s="119"/>
      <c r="AY446" s="119"/>
      <c r="AZ446" s="119"/>
      <c r="BA446" s="119"/>
      <c r="BB446" s="119"/>
      <c r="BC446" s="119"/>
      <c r="BD446" s="119"/>
      <c r="BE446" s="119"/>
      <c r="BF446" s="119"/>
      <c r="BG446" s="119"/>
      <c r="BH446" s="119"/>
      <c r="BI446" s="119"/>
      <c r="BJ446" s="119"/>
      <c r="BK446" s="119"/>
      <c r="BL446" s="119"/>
      <c r="BM446" s="119"/>
      <c r="BN446" s="119"/>
      <c r="BO446" s="119"/>
      <c r="BP446" s="119"/>
      <c r="BQ446" s="119"/>
      <c r="BR446" s="119"/>
      <c r="BS446" s="119"/>
      <c r="BT446" s="119"/>
      <c r="BU446" s="119"/>
      <c r="BV446" s="119"/>
      <c r="BW446" s="119"/>
      <c r="BX446" s="119"/>
      <c r="BY446" s="119"/>
      <c r="BZ446" s="119"/>
      <c r="CA446" s="119"/>
      <c r="CB446" s="119"/>
      <c r="CC446" s="119"/>
      <c r="CD446" s="119"/>
      <c r="CE446" s="119"/>
      <c r="CF446" s="119"/>
      <c r="CG446" s="119"/>
      <c r="CH446" s="119"/>
      <c r="CI446" s="119"/>
      <c r="CJ446" s="119"/>
      <c r="CK446" s="119"/>
      <c r="CL446" s="119"/>
      <c r="CM446" s="119"/>
      <c r="CN446" s="119"/>
      <c r="CO446" s="119"/>
      <c r="CP446" s="119"/>
      <c r="CQ446" s="119"/>
      <c r="CR446" s="119"/>
      <c r="CS446" s="119"/>
      <c r="CT446" s="119"/>
      <c r="CU446" s="119"/>
      <c r="CV446" s="119"/>
      <c r="CW446" s="119"/>
      <c r="CX446" s="119"/>
      <c r="CY446" s="119"/>
      <c r="CZ446" s="119"/>
      <c r="DA446" s="119"/>
      <c r="DB446" s="119"/>
      <c r="DC446" s="119"/>
      <c r="DD446" s="119"/>
      <c r="DE446" s="119"/>
      <c r="DF446" s="119"/>
      <c r="DG446" s="119"/>
      <c r="DH446" s="119"/>
      <c r="DI446" s="119"/>
      <c r="DJ446" s="119"/>
      <c r="DK446" s="119"/>
      <c r="DL446" s="119"/>
      <c r="DM446" s="119"/>
      <c r="DN446" s="119"/>
      <c r="DO446" s="119"/>
      <c r="DP446" s="119"/>
      <c r="DQ446" s="119"/>
      <c r="DR446" s="119"/>
      <c r="DS446" s="119"/>
      <c r="DT446" s="119"/>
      <c r="DU446" s="119"/>
      <c r="DV446" s="119"/>
      <c r="DW446" s="119"/>
      <c r="DX446" s="119"/>
      <c r="DY446" s="119"/>
      <c r="DZ446" s="119"/>
      <c r="EA446" s="119"/>
      <c r="EB446" s="119"/>
      <c r="EC446" s="119"/>
      <c r="ED446" s="119"/>
      <c r="EE446" s="119"/>
      <c r="EF446" s="119"/>
      <c r="EG446" s="119"/>
      <c r="EH446" s="119"/>
      <c r="EI446" s="119"/>
      <c r="EJ446" s="119"/>
      <c r="EK446" s="119"/>
      <c r="EL446" s="119"/>
      <c r="EM446" s="119"/>
      <c r="EN446" s="119"/>
      <c r="EO446" s="119"/>
      <c r="EP446" s="119"/>
      <c r="EQ446" s="119"/>
      <c r="ER446" s="119"/>
      <c r="ES446" s="119"/>
      <c r="ET446" s="119"/>
      <c r="EU446" s="119"/>
      <c r="EV446" s="119"/>
      <c r="EW446" s="119"/>
      <c r="EX446" s="119"/>
      <c r="EY446" s="119"/>
      <c r="EZ446" s="119"/>
      <c r="FA446" s="119"/>
      <c r="FB446" s="119"/>
      <c r="FC446" s="119"/>
      <c r="FD446" s="119"/>
      <c r="FE446" s="119"/>
      <c r="FF446" s="119"/>
      <c r="FG446" s="119"/>
      <c r="FH446" s="119"/>
      <c r="FI446" s="119"/>
      <c r="FJ446" s="119"/>
      <c r="FK446" s="119"/>
      <c r="FL446" s="119"/>
      <c r="FM446" s="119"/>
      <c r="FN446" s="119"/>
      <c r="FO446" s="119"/>
      <c r="FP446" s="119"/>
      <c r="FQ446" s="119"/>
      <c r="FR446" s="119"/>
      <c r="FS446" s="119"/>
      <c r="FT446" s="119"/>
      <c r="FU446" s="119"/>
      <c r="FV446" s="119"/>
      <c r="FW446" s="119"/>
      <c r="FX446" s="119"/>
      <c r="FY446" s="119"/>
      <c r="FZ446" s="119"/>
      <c r="GA446" s="119"/>
      <c r="GB446" s="119"/>
      <c r="GC446" s="119"/>
      <c r="GD446" s="119"/>
      <c r="GE446" s="119"/>
      <c r="GF446" s="119"/>
      <c r="GG446" s="119"/>
      <c r="GH446" s="119"/>
      <c r="GI446" s="119"/>
      <c r="GJ446" s="119"/>
      <c r="GK446" s="119"/>
      <c r="GL446" s="119"/>
      <c r="GM446" s="119"/>
      <c r="GN446" s="119"/>
      <c r="GO446" s="119"/>
      <c r="GP446" s="119"/>
      <c r="GQ446" s="119"/>
      <c r="GR446" s="119"/>
      <c r="GS446" s="119"/>
      <c r="GT446" s="119"/>
      <c r="GU446" s="119"/>
      <c r="GV446" s="119"/>
      <c r="GW446" s="119"/>
      <c r="GX446" s="119"/>
      <c r="GY446" s="119"/>
      <c r="GZ446" s="119"/>
      <c r="HA446" s="119"/>
      <c r="HB446" s="119"/>
      <c r="HC446" s="119"/>
      <c r="HD446" s="119"/>
      <c r="HE446" s="119"/>
      <c r="HF446" s="119"/>
      <c r="HG446" s="119"/>
      <c r="HH446" s="119"/>
      <c r="HI446" s="119"/>
      <c r="HJ446" s="119"/>
      <c r="HK446" s="119"/>
      <c r="HL446" s="119"/>
      <c r="HM446" s="119"/>
      <c r="HN446" s="119"/>
      <c r="HO446" s="119"/>
      <c r="HP446" s="119"/>
      <c r="HQ446" s="119"/>
      <c r="HR446" s="119"/>
      <c r="HS446" s="119"/>
      <c r="HT446" s="119"/>
      <c r="HU446" s="119"/>
      <c r="HV446" s="119"/>
      <c r="HW446" s="119"/>
      <c r="HX446" s="119"/>
      <c r="HY446" s="119"/>
      <c r="HZ446" s="119"/>
      <c r="IA446" s="119"/>
      <c r="IB446" s="119"/>
      <c r="IC446" s="119"/>
      <c r="ID446" s="119"/>
      <c r="IE446" s="119"/>
      <c r="IF446" s="119"/>
      <c r="IG446" s="119"/>
      <c r="IH446" s="119"/>
      <c r="II446" s="119"/>
      <c r="IJ446" s="119"/>
      <c r="IK446" s="119"/>
      <c r="IL446" s="119"/>
      <c r="IM446" s="119"/>
      <c r="IN446" s="119"/>
      <c r="IO446" s="119"/>
      <c r="IP446" s="119"/>
      <c r="IQ446" s="119"/>
      <c r="IR446" s="119"/>
      <c r="IS446" s="119"/>
      <c r="IT446" s="119"/>
      <c r="IU446" s="119"/>
      <c r="IV446" s="119"/>
      <c r="IW446" s="119"/>
    </row>
    <row r="447" customFormat="false" ht="18" hidden="true" customHeight="true" outlineLevel="0" collapsed="false">
      <c r="A447" s="234" t="s">
        <v>419</v>
      </c>
      <c r="B447" s="113"/>
      <c r="C447" s="114"/>
      <c r="D447" s="115" t="n">
        <f aca="false">I447/0.03</f>
        <v>2426.5</v>
      </c>
      <c r="E447" s="116" t="n">
        <f aca="false">98187/1000</f>
        <v>98.187</v>
      </c>
      <c r="F447" s="116" t="n">
        <v>-25.392</v>
      </c>
      <c r="G447" s="116"/>
      <c r="H447" s="116"/>
      <c r="I447" s="117" t="n">
        <f aca="false">SUM(E447:G447)</f>
        <v>72.795</v>
      </c>
      <c r="J447" s="118" t="s">
        <v>70</v>
      </c>
      <c r="K447" s="119"/>
      <c r="L447" s="119"/>
      <c r="M447" s="119"/>
      <c r="N447" s="119"/>
      <c r="O447" s="119"/>
      <c r="P447" s="119"/>
      <c r="Q447" s="119"/>
      <c r="R447" s="119"/>
      <c r="S447" s="119"/>
      <c r="T447" s="65" t="n">
        <f aca="false">IF(D447&gt;0,(I447/D447),"")</f>
        <v>0.03</v>
      </c>
      <c r="U447" s="119"/>
      <c r="V447" s="119"/>
      <c r="W447" s="119"/>
      <c r="X447" s="119"/>
      <c r="Y447" s="119"/>
      <c r="Z447" s="119"/>
      <c r="AA447" s="119"/>
      <c r="AB447" s="119"/>
      <c r="AC447" s="119"/>
      <c r="AD447" s="119"/>
      <c r="AE447" s="119"/>
      <c r="AF447" s="119"/>
      <c r="AG447" s="119"/>
      <c r="AH447" s="119"/>
      <c r="AI447" s="119"/>
      <c r="AJ447" s="119"/>
      <c r="AK447" s="119"/>
      <c r="AL447" s="119"/>
      <c r="AM447" s="119"/>
      <c r="AN447" s="119"/>
      <c r="AO447" s="119"/>
      <c r="AP447" s="119"/>
      <c r="AQ447" s="119"/>
      <c r="AR447" s="119"/>
      <c r="AS447" s="119"/>
      <c r="AT447" s="119"/>
      <c r="AU447" s="119"/>
      <c r="AV447" s="119"/>
      <c r="AW447" s="119"/>
      <c r="AX447" s="119"/>
      <c r="AY447" s="119"/>
      <c r="AZ447" s="119"/>
      <c r="BA447" s="119"/>
      <c r="BB447" s="119"/>
      <c r="BC447" s="119"/>
      <c r="BD447" s="119"/>
      <c r="BE447" s="119"/>
      <c r="BF447" s="119"/>
      <c r="BG447" s="119"/>
      <c r="BH447" s="119"/>
      <c r="BI447" s="119"/>
      <c r="BJ447" s="119"/>
      <c r="BK447" s="119"/>
      <c r="BL447" s="119"/>
      <c r="BM447" s="119"/>
      <c r="BN447" s="119"/>
      <c r="BO447" s="119"/>
      <c r="BP447" s="119"/>
      <c r="BQ447" s="119"/>
      <c r="BR447" s="119"/>
      <c r="BS447" s="119"/>
      <c r="BT447" s="119"/>
      <c r="BU447" s="119"/>
      <c r="BV447" s="119"/>
      <c r="BW447" s="119"/>
      <c r="BX447" s="119"/>
      <c r="BY447" s="119"/>
      <c r="BZ447" s="119"/>
      <c r="CA447" s="119"/>
      <c r="CB447" s="119"/>
      <c r="CC447" s="119"/>
      <c r="CD447" s="119"/>
      <c r="CE447" s="119"/>
      <c r="CF447" s="119"/>
      <c r="CG447" s="119"/>
      <c r="CH447" s="119"/>
      <c r="CI447" s="119"/>
      <c r="CJ447" s="119"/>
      <c r="CK447" s="119"/>
      <c r="CL447" s="119"/>
      <c r="CM447" s="119"/>
      <c r="CN447" s="119"/>
      <c r="CO447" s="119"/>
      <c r="CP447" s="119"/>
      <c r="CQ447" s="119"/>
      <c r="CR447" s="119"/>
      <c r="CS447" s="119"/>
      <c r="CT447" s="119"/>
      <c r="CU447" s="119"/>
      <c r="CV447" s="119"/>
      <c r="CW447" s="119"/>
      <c r="CX447" s="119"/>
      <c r="CY447" s="119"/>
      <c r="CZ447" s="119"/>
      <c r="DA447" s="119"/>
      <c r="DB447" s="119"/>
      <c r="DC447" s="119"/>
      <c r="DD447" s="119"/>
      <c r="DE447" s="119"/>
      <c r="DF447" s="119"/>
      <c r="DG447" s="119"/>
      <c r="DH447" s="119"/>
      <c r="DI447" s="119"/>
      <c r="DJ447" s="119"/>
      <c r="DK447" s="119"/>
      <c r="DL447" s="119"/>
      <c r="DM447" s="119"/>
      <c r="DN447" s="119"/>
      <c r="DO447" s="119"/>
      <c r="DP447" s="119"/>
      <c r="DQ447" s="119"/>
      <c r="DR447" s="119"/>
      <c r="DS447" s="119"/>
      <c r="DT447" s="119"/>
      <c r="DU447" s="119"/>
      <c r="DV447" s="119"/>
      <c r="DW447" s="119"/>
      <c r="DX447" s="119"/>
      <c r="DY447" s="119"/>
      <c r="DZ447" s="119"/>
      <c r="EA447" s="119"/>
      <c r="EB447" s="119"/>
      <c r="EC447" s="119"/>
      <c r="ED447" s="119"/>
      <c r="EE447" s="119"/>
      <c r="EF447" s="119"/>
      <c r="EG447" s="119"/>
      <c r="EH447" s="119"/>
      <c r="EI447" s="119"/>
      <c r="EJ447" s="119"/>
      <c r="EK447" s="119"/>
      <c r="EL447" s="119"/>
      <c r="EM447" s="119"/>
      <c r="EN447" s="119"/>
      <c r="EO447" s="119"/>
      <c r="EP447" s="119"/>
      <c r="EQ447" s="119"/>
      <c r="ER447" s="119"/>
      <c r="ES447" s="119"/>
      <c r="ET447" s="119"/>
      <c r="EU447" s="119"/>
      <c r="EV447" s="119"/>
      <c r="EW447" s="119"/>
      <c r="EX447" s="119"/>
      <c r="EY447" s="119"/>
      <c r="EZ447" s="119"/>
      <c r="FA447" s="119"/>
      <c r="FB447" s="119"/>
      <c r="FC447" s="119"/>
      <c r="FD447" s="119"/>
      <c r="FE447" s="119"/>
      <c r="FF447" s="119"/>
      <c r="FG447" s="119"/>
      <c r="FH447" s="119"/>
      <c r="FI447" s="119"/>
      <c r="FJ447" s="119"/>
      <c r="FK447" s="119"/>
      <c r="FL447" s="119"/>
      <c r="FM447" s="119"/>
      <c r="FN447" s="119"/>
      <c r="FO447" s="119"/>
      <c r="FP447" s="119"/>
      <c r="FQ447" s="119"/>
      <c r="FR447" s="119"/>
      <c r="FS447" s="119"/>
      <c r="FT447" s="119"/>
      <c r="FU447" s="119"/>
      <c r="FV447" s="119"/>
      <c r="FW447" s="119"/>
      <c r="FX447" s="119"/>
      <c r="FY447" s="119"/>
      <c r="FZ447" s="119"/>
      <c r="GA447" s="119"/>
      <c r="GB447" s="119"/>
      <c r="GC447" s="119"/>
      <c r="GD447" s="119"/>
      <c r="GE447" s="119"/>
      <c r="GF447" s="119"/>
      <c r="GG447" s="119"/>
      <c r="GH447" s="119"/>
      <c r="GI447" s="119"/>
      <c r="GJ447" s="119"/>
      <c r="GK447" s="119"/>
      <c r="GL447" s="119"/>
      <c r="GM447" s="119"/>
      <c r="GN447" s="119"/>
      <c r="GO447" s="119"/>
      <c r="GP447" s="119"/>
      <c r="GQ447" s="119"/>
      <c r="GR447" s="119"/>
      <c r="GS447" s="119"/>
      <c r="GT447" s="119"/>
      <c r="GU447" s="119"/>
      <c r="GV447" s="119"/>
      <c r="GW447" s="119"/>
      <c r="GX447" s="119"/>
      <c r="GY447" s="119"/>
      <c r="GZ447" s="119"/>
      <c r="HA447" s="119"/>
      <c r="HB447" s="119"/>
      <c r="HC447" s="119"/>
      <c r="HD447" s="119"/>
      <c r="HE447" s="119"/>
      <c r="HF447" s="119"/>
      <c r="HG447" s="119"/>
      <c r="HH447" s="119"/>
      <c r="HI447" s="119"/>
      <c r="HJ447" s="119"/>
      <c r="HK447" s="119"/>
      <c r="HL447" s="119"/>
      <c r="HM447" s="119"/>
      <c r="HN447" s="119"/>
      <c r="HO447" s="119"/>
      <c r="HP447" s="119"/>
      <c r="HQ447" s="119"/>
      <c r="HR447" s="119"/>
      <c r="HS447" s="119"/>
      <c r="HT447" s="119"/>
      <c r="HU447" s="119"/>
      <c r="HV447" s="119"/>
      <c r="HW447" s="119"/>
      <c r="HX447" s="119"/>
      <c r="HY447" s="119"/>
      <c r="HZ447" s="119"/>
      <c r="IA447" s="119"/>
      <c r="IB447" s="119"/>
      <c r="IC447" s="119"/>
      <c r="ID447" s="119"/>
      <c r="IE447" s="119"/>
      <c r="IF447" s="119"/>
      <c r="IG447" s="119"/>
      <c r="IH447" s="119"/>
      <c r="II447" s="119"/>
      <c r="IJ447" s="119"/>
      <c r="IK447" s="119"/>
      <c r="IL447" s="119"/>
      <c r="IM447" s="119"/>
      <c r="IN447" s="119"/>
      <c r="IO447" s="119"/>
      <c r="IP447" s="119"/>
      <c r="IQ447" s="119"/>
      <c r="IR447" s="119"/>
      <c r="IS447" s="119"/>
      <c r="IT447" s="119"/>
      <c r="IU447" s="119"/>
      <c r="IV447" s="119"/>
      <c r="IW447" s="119"/>
    </row>
    <row r="448" customFormat="false" ht="18" hidden="true" customHeight="true" outlineLevel="0" collapsed="false">
      <c r="A448" s="234" t="s">
        <v>420</v>
      </c>
      <c r="B448" s="113"/>
      <c r="C448" s="114"/>
      <c r="D448" s="115" t="n">
        <f aca="false">I448/0.03</f>
        <v>197.866666666667</v>
      </c>
      <c r="E448" s="116" t="n">
        <f aca="false">7999/1000</f>
        <v>7.999</v>
      </c>
      <c r="F448" s="116" t="n">
        <v>-2.063</v>
      </c>
      <c r="G448" s="116"/>
      <c r="H448" s="116"/>
      <c r="I448" s="117" t="n">
        <f aca="false">SUM(E448:G448)</f>
        <v>5.936</v>
      </c>
      <c r="J448" s="118" t="s">
        <v>70</v>
      </c>
      <c r="K448" s="119"/>
      <c r="L448" s="119"/>
      <c r="M448" s="119"/>
      <c r="N448" s="119"/>
      <c r="O448" s="119"/>
      <c r="P448" s="119"/>
      <c r="Q448" s="119"/>
      <c r="R448" s="119"/>
      <c r="S448" s="119"/>
      <c r="T448" s="65" t="n">
        <f aca="false">IF(D448&gt;0,(I448/D448),"")</f>
        <v>0.03</v>
      </c>
      <c r="U448" s="119"/>
      <c r="V448" s="119"/>
      <c r="W448" s="119"/>
      <c r="X448" s="119"/>
      <c r="Y448" s="119"/>
      <c r="Z448" s="119"/>
      <c r="AA448" s="119"/>
      <c r="AB448" s="119"/>
      <c r="AC448" s="119"/>
      <c r="AD448" s="119"/>
      <c r="AE448" s="119"/>
      <c r="AF448" s="119"/>
      <c r="AG448" s="119"/>
      <c r="AH448" s="119"/>
      <c r="AI448" s="119"/>
      <c r="AJ448" s="119"/>
      <c r="AK448" s="119"/>
      <c r="AL448" s="119"/>
      <c r="AM448" s="119"/>
      <c r="AN448" s="119"/>
      <c r="AO448" s="119"/>
      <c r="AP448" s="119"/>
      <c r="AQ448" s="119"/>
      <c r="AR448" s="119"/>
      <c r="AS448" s="119"/>
      <c r="AT448" s="119"/>
      <c r="AU448" s="119"/>
      <c r="AV448" s="119"/>
      <c r="AW448" s="119"/>
      <c r="AX448" s="119"/>
      <c r="AY448" s="119"/>
      <c r="AZ448" s="119"/>
      <c r="BA448" s="119"/>
      <c r="BB448" s="119"/>
      <c r="BC448" s="119"/>
      <c r="BD448" s="119"/>
      <c r="BE448" s="119"/>
      <c r="BF448" s="119"/>
      <c r="BG448" s="119"/>
      <c r="BH448" s="119"/>
      <c r="BI448" s="119"/>
      <c r="BJ448" s="119"/>
      <c r="BK448" s="119"/>
      <c r="BL448" s="119"/>
      <c r="BM448" s="119"/>
      <c r="BN448" s="119"/>
      <c r="BO448" s="119"/>
      <c r="BP448" s="119"/>
      <c r="BQ448" s="119"/>
      <c r="BR448" s="119"/>
      <c r="BS448" s="119"/>
      <c r="BT448" s="119"/>
      <c r="BU448" s="119"/>
      <c r="BV448" s="119"/>
      <c r="BW448" s="119"/>
      <c r="BX448" s="119"/>
      <c r="BY448" s="119"/>
      <c r="BZ448" s="119"/>
      <c r="CA448" s="119"/>
      <c r="CB448" s="119"/>
      <c r="CC448" s="119"/>
      <c r="CD448" s="119"/>
      <c r="CE448" s="119"/>
      <c r="CF448" s="119"/>
      <c r="CG448" s="119"/>
      <c r="CH448" s="119"/>
      <c r="CI448" s="119"/>
      <c r="CJ448" s="119"/>
      <c r="CK448" s="119"/>
      <c r="CL448" s="119"/>
      <c r="CM448" s="119"/>
      <c r="CN448" s="119"/>
      <c r="CO448" s="119"/>
      <c r="CP448" s="119"/>
      <c r="CQ448" s="119"/>
      <c r="CR448" s="119"/>
      <c r="CS448" s="119"/>
      <c r="CT448" s="119"/>
      <c r="CU448" s="119"/>
      <c r="CV448" s="119"/>
      <c r="CW448" s="119"/>
      <c r="CX448" s="119"/>
      <c r="CY448" s="119"/>
      <c r="CZ448" s="119"/>
      <c r="DA448" s="119"/>
      <c r="DB448" s="119"/>
      <c r="DC448" s="119"/>
      <c r="DD448" s="119"/>
      <c r="DE448" s="119"/>
      <c r="DF448" s="119"/>
      <c r="DG448" s="119"/>
      <c r="DH448" s="119"/>
      <c r="DI448" s="119"/>
      <c r="DJ448" s="119"/>
      <c r="DK448" s="119"/>
      <c r="DL448" s="119"/>
      <c r="DM448" s="119"/>
      <c r="DN448" s="119"/>
      <c r="DO448" s="119"/>
      <c r="DP448" s="119"/>
      <c r="DQ448" s="119"/>
      <c r="DR448" s="119"/>
      <c r="DS448" s="119"/>
      <c r="DT448" s="119"/>
      <c r="DU448" s="119"/>
      <c r="DV448" s="119"/>
      <c r="DW448" s="119"/>
      <c r="DX448" s="119"/>
      <c r="DY448" s="119"/>
      <c r="DZ448" s="119"/>
      <c r="EA448" s="119"/>
      <c r="EB448" s="119"/>
      <c r="EC448" s="119"/>
      <c r="ED448" s="119"/>
      <c r="EE448" s="119"/>
      <c r="EF448" s="119"/>
      <c r="EG448" s="119"/>
      <c r="EH448" s="119"/>
      <c r="EI448" s="119"/>
      <c r="EJ448" s="119"/>
      <c r="EK448" s="119"/>
      <c r="EL448" s="119"/>
      <c r="EM448" s="119"/>
      <c r="EN448" s="119"/>
      <c r="EO448" s="119"/>
      <c r="EP448" s="119"/>
      <c r="EQ448" s="119"/>
      <c r="ER448" s="119"/>
      <c r="ES448" s="119"/>
      <c r="ET448" s="119"/>
      <c r="EU448" s="119"/>
      <c r="EV448" s="119"/>
      <c r="EW448" s="119"/>
      <c r="EX448" s="119"/>
      <c r="EY448" s="119"/>
      <c r="EZ448" s="119"/>
      <c r="FA448" s="119"/>
      <c r="FB448" s="119"/>
      <c r="FC448" s="119"/>
      <c r="FD448" s="119"/>
      <c r="FE448" s="119"/>
      <c r="FF448" s="119"/>
      <c r="FG448" s="119"/>
      <c r="FH448" s="119"/>
      <c r="FI448" s="119"/>
      <c r="FJ448" s="119"/>
      <c r="FK448" s="119"/>
      <c r="FL448" s="119"/>
      <c r="FM448" s="119"/>
      <c r="FN448" s="119"/>
      <c r="FO448" s="119"/>
      <c r="FP448" s="119"/>
      <c r="FQ448" s="119"/>
      <c r="FR448" s="119"/>
      <c r="FS448" s="119"/>
      <c r="FT448" s="119"/>
      <c r="FU448" s="119"/>
      <c r="FV448" s="119"/>
      <c r="FW448" s="119"/>
      <c r="FX448" s="119"/>
      <c r="FY448" s="119"/>
      <c r="FZ448" s="119"/>
      <c r="GA448" s="119"/>
      <c r="GB448" s="119"/>
      <c r="GC448" s="119"/>
      <c r="GD448" s="119"/>
      <c r="GE448" s="119"/>
      <c r="GF448" s="119"/>
      <c r="GG448" s="119"/>
      <c r="GH448" s="119"/>
      <c r="GI448" s="119"/>
      <c r="GJ448" s="119"/>
      <c r="GK448" s="119"/>
      <c r="GL448" s="119"/>
      <c r="GM448" s="119"/>
      <c r="GN448" s="119"/>
      <c r="GO448" s="119"/>
      <c r="GP448" s="119"/>
      <c r="GQ448" s="119"/>
      <c r="GR448" s="119"/>
      <c r="GS448" s="119"/>
      <c r="GT448" s="119"/>
      <c r="GU448" s="119"/>
      <c r="GV448" s="119"/>
      <c r="GW448" s="119"/>
      <c r="GX448" s="119"/>
      <c r="GY448" s="119"/>
      <c r="GZ448" s="119"/>
      <c r="HA448" s="119"/>
      <c r="HB448" s="119"/>
      <c r="HC448" s="119"/>
      <c r="HD448" s="119"/>
      <c r="HE448" s="119"/>
      <c r="HF448" s="119"/>
      <c r="HG448" s="119"/>
      <c r="HH448" s="119"/>
      <c r="HI448" s="119"/>
      <c r="HJ448" s="119"/>
      <c r="HK448" s="119"/>
      <c r="HL448" s="119"/>
      <c r="HM448" s="119"/>
      <c r="HN448" s="119"/>
      <c r="HO448" s="119"/>
      <c r="HP448" s="119"/>
      <c r="HQ448" s="119"/>
      <c r="HR448" s="119"/>
      <c r="HS448" s="119"/>
      <c r="HT448" s="119"/>
      <c r="HU448" s="119"/>
      <c r="HV448" s="119"/>
      <c r="HW448" s="119"/>
      <c r="HX448" s="119"/>
      <c r="HY448" s="119"/>
      <c r="HZ448" s="119"/>
      <c r="IA448" s="119"/>
      <c r="IB448" s="119"/>
      <c r="IC448" s="119"/>
      <c r="ID448" s="119"/>
      <c r="IE448" s="119"/>
      <c r="IF448" s="119"/>
      <c r="IG448" s="119"/>
      <c r="IH448" s="119"/>
      <c r="II448" s="119"/>
      <c r="IJ448" s="119"/>
      <c r="IK448" s="119"/>
      <c r="IL448" s="119"/>
      <c r="IM448" s="119"/>
      <c r="IN448" s="119"/>
      <c r="IO448" s="119"/>
      <c r="IP448" s="119"/>
      <c r="IQ448" s="119"/>
      <c r="IR448" s="119"/>
      <c r="IS448" s="119"/>
      <c r="IT448" s="119"/>
      <c r="IU448" s="119"/>
      <c r="IV448" s="119"/>
      <c r="IW448" s="119"/>
    </row>
    <row r="449" customFormat="false" ht="18" hidden="true" customHeight="true" outlineLevel="0" collapsed="false">
      <c r="A449" s="234" t="s">
        <v>421</v>
      </c>
      <c r="B449" s="113"/>
      <c r="C449" s="114"/>
      <c r="D449" s="115" t="n">
        <f aca="false">I449/0.03</f>
        <v>3292.16666666667</v>
      </c>
      <c r="E449" s="116" t="n">
        <f aca="false">135217/1000</f>
        <v>135.217</v>
      </c>
      <c r="F449" s="116" t="n">
        <f aca="false">-36452/1000</f>
        <v>-36.452</v>
      </c>
      <c r="G449" s="116"/>
      <c r="H449" s="116"/>
      <c r="I449" s="117" t="n">
        <f aca="false">SUM(E449:G449)</f>
        <v>98.765</v>
      </c>
      <c r="J449" s="118" t="s">
        <v>70</v>
      </c>
      <c r="K449" s="119"/>
      <c r="L449" s="119"/>
      <c r="M449" s="119"/>
      <c r="N449" s="119"/>
      <c r="O449" s="119"/>
      <c r="P449" s="119"/>
      <c r="Q449" s="119"/>
      <c r="R449" s="119"/>
      <c r="S449" s="119"/>
      <c r="T449" s="65" t="n">
        <f aca="false">IF(D449&gt;0,(I449/D449),"")</f>
        <v>0.03</v>
      </c>
      <c r="U449" s="119"/>
      <c r="V449" s="119"/>
      <c r="W449" s="119"/>
      <c r="X449" s="119"/>
      <c r="Y449" s="119"/>
      <c r="Z449" s="119"/>
      <c r="AA449" s="119"/>
      <c r="AB449" s="119"/>
      <c r="AC449" s="119"/>
      <c r="AD449" s="119"/>
      <c r="AE449" s="119"/>
      <c r="AF449" s="119"/>
      <c r="AG449" s="119"/>
      <c r="AH449" s="119"/>
      <c r="AI449" s="119"/>
      <c r="AJ449" s="119"/>
      <c r="AK449" s="119"/>
      <c r="AL449" s="119"/>
      <c r="AM449" s="119"/>
      <c r="AN449" s="119"/>
      <c r="AO449" s="119"/>
      <c r="AP449" s="119"/>
      <c r="AQ449" s="119"/>
      <c r="AR449" s="119"/>
      <c r="AS449" s="119"/>
      <c r="AT449" s="119"/>
      <c r="AU449" s="119"/>
      <c r="AV449" s="119"/>
      <c r="AW449" s="119"/>
      <c r="AX449" s="119"/>
      <c r="AY449" s="119"/>
      <c r="AZ449" s="119"/>
      <c r="BA449" s="119"/>
      <c r="BB449" s="119"/>
      <c r="BC449" s="119"/>
      <c r="BD449" s="119"/>
      <c r="BE449" s="119"/>
      <c r="BF449" s="119"/>
      <c r="BG449" s="119"/>
      <c r="BH449" s="119"/>
      <c r="BI449" s="119"/>
      <c r="BJ449" s="119"/>
      <c r="BK449" s="119"/>
      <c r="BL449" s="119"/>
      <c r="BM449" s="119"/>
      <c r="BN449" s="119"/>
      <c r="BO449" s="119"/>
      <c r="BP449" s="119"/>
      <c r="BQ449" s="119"/>
      <c r="BR449" s="119"/>
      <c r="BS449" s="119"/>
      <c r="BT449" s="119"/>
      <c r="BU449" s="119"/>
      <c r="BV449" s="119"/>
      <c r="BW449" s="119"/>
      <c r="BX449" s="119"/>
      <c r="BY449" s="119"/>
      <c r="BZ449" s="119"/>
      <c r="CA449" s="119"/>
      <c r="CB449" s="119"/>
      <c r="CC449" s="119"/>
      <c r="CD449" s="119"/>
      <c r="CE449" s="119"/>
      <c r="CF449" s="119"/>
      <c r="CG449" s="119"/>
      <c r="CH449" s="119"/>
      <c r="CI449" s="119"/>
      <c r="CJ449" s="119"/>
      <c r="CK449" s="119"/>
      <c r="CL449" s="119"/>
      <c r="CM449" s="119"/>
      <c r="CN449" s="119"/>
      <c r="CO449" s="119"/>
      <c r="CP449" s="119"/>
      <c r="CQ449" s="119"/>
      <c r="CR449" s="119"/>
      <c r="CS449" s="119"/>
      <c r="CT449" s="119"/>
      <c r="CU449" s="119"/>
      <c r="CV449" s="119"/>
      <c r="CW449" s="119"/>
      <c r="CX449" s="119"/>
      <c r="CY449" s="119"/>
      <c r="CZ449" s="119"/>
      <c r="DA449" s="119"/>
      <c r="DB449" s="119"/>
      <c r="DC449" s="119"/>
      <c r="DD449" s="119"/>
      <c r="DE449" s="119"/>
      <c r="DF449" s="119"/>
      <c r="DG449" s="119"/>
      <c r="DH449" s="119"/>
      <c r="DI449" s="119"/>
      <c r="DJ449" s="119"/>
      <c r="DK449" s="119"/>
      <c r="DL449" s="119"/>
      <c r="DM449" s="119"/>
      <c r="DN449" s="119"/>
      <c r="DO449" s="119"/>
      <c r="DP449" s="119"/>
      <c r="DQ449" s="119"/>
      <c r="DR449" s="119"/>
      <c r="DS449" s="119"/>
      <c r="DT449" s="119"/>
      <c r="DU449" s="119"/>
      <c r="DV449" s="119"/>
      <c r="DW449" s="119"/>
      <c r="DX449" s="119"/>
      <c r="DY449" s="119"/>
      <c r="DZ449" s="119"/>
      <c r="EA449" s="119"/>
      <c r="EB449" s="119"/>
      <c r="EC449" s="119"/>
      <c r="ED449" s="119"/>
      <c r="EE449" s="119"/>
      <c r="EF449" s="119"/>
      <c r="EG449" s="119"/>
      <c r="EH449" s="119"/>
      <c r="EI449" s="119"/>
      <c r="EJ449" s="119"/>
      <c r="EK449" s="119"/>
      <c r="EL449" s="119"/>
      <c r="EM449" s="119"/>
      <c r="EN449" s="119"/>
      <c r="EO449" s="119"/>
      <c r="EP449" s="119"/>
      <c r="EQ449" s="119"/>
      <c r="ER449" s="119"/>
      <c r="ES449" s="119"/>
      <c r="ET449" s="119"/>
      <c r="EU449" s="119"/>
      <c r="EV449" s="119"/>
      <c r="EW449" s="119"/>
      <c r="EX449" s="119"/>
      <c r="EY449" s="119"/>
      <c r="EZ449" s="119"/>
      <c r="FA449" s="119"/>
      <c r="FB449" s="119"/>
      <c r="FC449" s="119"/>
      <c r="FD449" s="119"/>
      <c r="FE449" s="119"/>
      <c r="FF449" s="119"/>
      <c r="FG449" s="119"/>
      <c r="FH449" s="119"/>
      <c r="FI449" s="119"/>
      <c r="FJ449" s="119"/>
      <c r="FK449" s="119"/>
      <c r="FL449" s="119"/>
      <c r="FM449" s="119"/>
      <c r="FN449" s="119"/>
      <c r="FO449" s="119"/>
      <c r="FP449" s="119"/>
      <c r="FQ449" s="119"/>
      <c r="FR449" s="119"/>
      <c r="FS449" s="119"/>
      <c r="FT449" s="119"/>
      <c r="FU449" s="119"/>
      <c r="FV449" s="119"/>
      <c r="FW449" s="119"/>
      <c r="FX449" s="119"/>
      <c r="FY449" s="119"/>
      <c r="FZ449" s="119"/>
      <c r="GA449" s="119"/>
      <c r="GB449" s="119"/>
      <c r="GC449" s="119"/>
      <c r="GD449" s="119"/>
      <c r="GE449" s="119"/>
      <c r="GF449" s="119"/>
      <c r="GG449" s="119"/>
      <c r="GH449" s="119"/>
      <c r="GI449" s="119"/>
      <c r="GJ449" s="119"/>
      <c r="GK449" s="119"/>
      <c r="GL449" s="119"/>
      <c r="GM449" s="119"/>
      <c r="GN449" s="119"/>
      <c r="GO449" s="119"/>
      <c r="GP449" s="119"/>
      <c r="GQ449" s="119"/>
      <c r="GR449" s="119"/>
      <c r="GS449" s="119"/>
      <c r="GT449" s="119"/>
      <c r="GU449" s="119"/>
      <c r="GV449" s="119"/>
      <c r="GW449" s="119"/>
      <c r="GX449" s="119"/>
      <c r="GY449" s="119"/>
      <c r="GZ449" s="119"/>
      <c r="HA449" s="119"/>
      <c r="HB449" s="119"/>
      <c r="HC449" s="119"/>
      <c r="HD449" s="119"/>
      <c r="HE449" s="119"/>
      <c r="HF449" s="119"/>
      <c r="HG449" s="119"/>
      <c r="HH449" s="119"/>
      <c r="HI449" s="119"/>
      <c r="HJ449" s="119"/>
      <c r="HK449" s="119"/>
      <c r="HL449" s="119"/>
      <c r="HM449" s="119"/>
      <c r="HN449" s="119"/>
      <c r="HO449" s="119"/>
      <c r="HP449" s="119"/>
      <c r="HQ449" s="119"/>
      <c r="HR449" s="119"/>
      <c r="HS449" s="119"/>
      <c r="HT449" s="119"/>
      <c r="HU449" s="119"/>
      <c r="HV449" s="119"/>
      <c r="HW449" s="119"/>
      <c r="HX449" s="119"/>
      <c r="HY449" s="119"/>
      <c r="HZ449" s="119"/>
      <c r="IA449" s="119"/>
      <c r="IB449" s="119"/>
      <c r="IC449" s="119"/>
      <c r="ID449" s="119"/>
      <c r="IE449" s="119"/>
      <c r="IF449" s="119"/>
      <c r="IG449" s="119"/>
      <c r="IH449" s="119"/>
      <c r="II449" s="119"/>
      <c r="IJ449" s="119"/>
      <c r="IK449" s="119"/>
      <c r="IL449" s="119"/>
      <c r="IM449" s="119"/>
      <c r="IN449" s="119"/>
      <c r="IO449" s="119"/>
      <c r="IP449" s="119"/>
      <c r="IQ449" s="119"/>
      <c r="IR449" s="119"/>
      <c r="IS449" s="119"/>
      <c r="IT449" s="119"/>
      <c r="IU449" s="119"/>
      <c r="IV449" s="119"/>
      <c r="IW449" s="119"/>
    </row>
    <row r="450" customFormat="false" ht="18" hidden="true" customHeight="true" outlineLevel="0" collapsed="false">
      <c r="A450" s="234" t="s">
        <v>422</v>
      </c>
      <c r="B450" s="113"/>
      <c r="C450" s="114"/>
      <c r="D450" s="115" t="n">
        <f aca="false">I450/0.03</f>
        <v>4447.33333333333</v>
      </c>
      <c r="E450" s="116" t="n">
        <f aca="false">181941/1000</f>
        <v>181.941</v>
      </c>
      <c r="F450" s="116" t="n">
        <f aca="false">-48521/1000</f>
        <v>-48.521</v>
      </c>
      <c r="G450" s="116"/>
      <c r="H450" s="116"/>
      <c r="I450" s="117" t="n">
        <f aca="false">SUM(E450:G450)</f>
        <v>133.42</v>
      </c>
      <c r="J450" s="118" t="s">
        <v>70</v>
      </c>
      <c r="K450" s="119"/>
      <c r="L450" s="119"/>
      <c r="M450" s="119"/>
      <c r="N450" s="119"/>
      <c r="O450" s="119"/>
      <c r="P450" s="119"/>
      <c r="Q450" s="119"/>
      <c r="R450" s="119"/>
      <c r="S450" s="119"/>
      <c r="T450" s="65" t="n">
        <f aca="false">IF(D450&gt;0,(I450/D450),"")</f>
        <v>0.03</v>
      </c>
      <c r="U450" s="119"/>
      <c r="V450" s="119"/>
      <c r="W450" s="119"/>
      <c r="X450" s="119"/>
      <c r="Y450" s="119"/>
      <c r="Z450" s="119"/>
      <c r="AA450" s="119"/>
      <c r="AB450" s="119"/>
      <c r="AC450" s="119"/>
      <c r="AD450" s="119"/>
      <c r="AE450" s="119"/>
      <c r="AF450" s="119"/>
      <c r="AG450" s="119"/>
      <c r="AH450" s="119"/>
      <c r="AI450" s="119"/>
      <c r="AJ450" s="119"/>
      <c r="AK450" s="119"/>
      <c r="AL450" s="119"/>
      <c r="AM450" s="119"/>
      <c r="AN450" s="119"/>
      <c r="AO450" s="119"/>
      <c r="AP450" s="119"/>
      <c r="AQ450" s="119"/>
      <c r="AR450" s="119"/>
      <c r="AS450" s="119"/>
      <c r="AT450" s="119"/>
      <c r="AU450" s="119"/>
      <c r="AV450" s="119"/>
      <c r="AW450" s="119"/>
      <c r="AX450" s="119"/>
      <c r="AY450" s="119"/>
      <c r="AZ450" s="119"/>
      <c r="BA450" s="119"/>
      <c r="BB450" s="119"/>
      <c r="BC450" s="119"/>
      <c r="BD450" s="119"/>
      <c r="BE450" s="119"/>
      <c r="BF450" s="119"/>
      <c r="BG450" s="119"/>
      <c r="BH450" s="119"/>
      <c r="BI450" s="119"/>
      <c r="BJ450" s="119"/>
      <c r="BK450" s="119"/>
      <c r="BL450" s="119"/>
      <c r="BM450" s="119"/>
      <c r="BN450" s="119"/>
      <c r="BO450" s="119"/>
      <c r="BP450" s="119"/>
      <c r="BQ450" s="119"/>
      <c r="BR450" s="119"/>
      <c r="BS450" s="119"/>
      <c r="BT450" s="119"/>
      <c r="BU450" s="119"/>
      <c r="BV450" s="119"/>
      <c r="BW450" s="119"/>
      <c r="BX450" s="119"/>
      <c r="BY450" s="119"/>
      <c r="BZ450" s="119"/>
      <c r="CA450" s="119"/>
      <c r="CB450" s="119"/>
      <c r="CC450" s="119"/>
      <c r="CD450" s="119"/>
      <c r="CE450" s="119"/>
      <c r="CF450" s="119"/>
      <c r="CG450" s="119"/>
      <c r="CH450" s="119"/>
      <c r="CI450" s="119"/>
      <c r="CJ450" s="119"/>
      <c r="CK450" s="119"/>
      <c r="CL450" s="119"/>
      <c r="CM450" s="119"/>
      <c r="CN450" s="119"/>
      <c r="CO450" s="119"/>
      <c r="CP450" s="119"/>
      <c r="CQ450" s="119"/>
      <c r="CR450" s="119"/>
      <c r="CS450" s="119"/>
      <c r="CT450" s="119"/>
      <c r="CU450" s="119"/>
      <c r="CV450" s="119"/>
      <c r="CW450" s="119"/>
      <c r="CX450" s="119"/>
      <c r="CY450" s="119"/>
      <c r="CZ450" s="119"/>
      <c r="DA450" s="119"/>
      <c r="DB450" s="119"/>
      <c r="DC450" s="119"/>
      <c r="DD450" s="119"/>
      <c r="DE450" s="119"/>
      <c r="DF450" s="119"/>
      <c r="DG450" s="119"/>
      <c r="DH450" s="119"/>
      <c r="DI450" s="119"/>
      <c r="DJ450" s="119"/>
      <c r="DK450" s="119"/>
      <c r="DL450" s="119"/>
      <c r="DM450" s="119"/>
      <c r="DN450" s="119"/>
      <c r="DO450" s="119"/>
      <c r="DP450" s="119"/>
      <c r="DQ450" s="119"/>
      <c r="DR450" s="119"/>
      <c r="DS450" s="119"/>
      <c r="DT450" s="119"/>
      <c r="DU450" s="119"/>
      <c r="DV450" s="119"/>
      <c r="DW450" s="119"/>
      <c r="DX450" s="119"/>
      <c r="DY450" s="119"/>
      <c r="DZ450" s="119"/>
      <c r="EA450" s="119"/>
      <c r="EB450" s="119"/>
      <c r="EC450" s="119"/>
      <c r="ED450" s="119"/>
      <c r="EE450" s="119"/>
      <c r="EF450" s="119"/>
      <c r="EG450" s="119"/>
      <c r="EH450" s="119"/>
      <c r="EI450" s="119"/>
      <c r="EJ450" s="119"/>
      <c r="EK450" s="119"/>
      <c r="EL450" s="119"/>
      <c r="EM450" s="119"/>
      <c r="EN450" s="119"/>
      <c r="EO450" s="119"/>
      <c r="EP450" s="119"/>
      <c r="EQ450" s="119"/>
      <c r="ER450" s="119"/>
      <c r="ES450" s="119"/>
      <c r="ET450" s="119"/>
      <c r="EU450" s="119"/>
      <c r="EV450" s="119"/>
      <c r="EW450" s="119"/>
      <c r="EX450" s="119"/>
      <c r="EY450" s="119"/>
      <c r="EZ450" s="119"/>
      <c r="FA450" s="119"/>
      <c r="FB450" s="119"/>
      <c r="FC450" s="119"/>
      <c r="FD450" s="119"/>
      <c r="FE450" s="119"/>
      <c r="FF450" s="119"/>
      <c r="FG450" s="119"/>
      <c r="FH450" s="119"/>
      <c r="FI450" s="119"/>
      <c r="FJ450" s="119"/>
      <c r="FK450" s="119"/>
      <c r="FL450" s="119"/>
      <c r="FM450" s="119"/>
      <c r="FN450" s="119"/>
      <c r="FO450" s="119"/>
      <c r="FP450" s="119"/>
      <c r="FQ450" s="119"/>
      <c r="FR450" s="119"/>
      <c r="FS450" s="119"/>
      <c r="FT450" s="119"/>
      <c r="FU450" s="119"/>
      <c r="FV450" s="119"/>
      <c r="FW450" s="119"/>
      <c r="FX450" s="119"/>
      <c r="FY450" s="119"/>
      <c r="FZ450" s="119"/>
      <c r="GA450" s="119"/>
      <c r="GB450" s="119"/>
      <c r="GC450" s="119"/>
      <c r="GD450" s="119"/>
      <c r="GE450" s="119"/>
      <c r="GF450" s="119"/>
      <c r="GG450" s="119"/>
      <c r="GH450" s="119"/>
      <c r="GI450" s="119"/>
      <c r="GJ450" s="119"/>
      <c r="GK450" s="119"/>
      <c r="GL450" s="119"/>
      <c r="GM450" s="119"/>
      <c r="GN450" s="119"/>
      <c r="GO450" s="119"/>
      <c r="GP450" s="119"/>
      <c r="GQ450" s="119"/>
      <c r="GR450" s="119"/>
      <c r="GS450" s="119"/>
      <c r="GT450" s="119"/>
      <c r="GU450" s="119"/>
      <c r="GV450" s="119"/>
      <c r="GW450" s="119"/>
      <c r="GX450" s="119"/>
      <c r="GY450" s="119"/>
      <c r="GZ450" s="119"/>
      <c r="HA450" s="119"/>
      <c r="HB450" s="119"/>
      <c r="HC450" s="119"/>
      <c r="HD450" s="119"/>
      <c r="HE450" s="119"/>
      <c r="HF450" s="119"/>
      <c r="HG450" s="119"/>
      <c r="HH450" s="119"/>
      <c r="HI450" s="119"/>
      <c r="HJ450" s="119"/>
      <c r="HK450" s="119"/>
      <c r="HL450" s="119"/>
      <c r="HM450" s="119"/>
      <c r="HN450" s="119"/>
      <c r="HO450" s="119"/>
      <c r="HP450" s="119"/>
      <c r="HQ450" s="119"/>
      <c r="HR450" s="119"/>
      <c r="HS450" s="119"/>
      <c r="HT450" s="119"/>
      <c r="HU450" s="119"/>
      <c r="HV450" s="119"/>
      <c r="HW450" s="119"/>
      <c r="HX450" s="119"/>
      <c r="HY450" s="119"/>
      <c r="HZ450" s="119"/>
      <c r="IA450" s="119"/>
      <c r="IB450" s="119"/>
      <c r="IC450" s="119"/>
      <c r="ID450" s="119"/>
      <c r="IE450" s="119"/>
      <c r="IF450" s="119"/>
      <c r="IG450" s="119"/>
      <c r="IH450" s="119"/>
      <c r="II450" s="119"/>
      <c r="IJ450" s="119"/>
      <c r="IK450" s="119"/>
      <c r="IL450" s="119"/>
      <c r="IM450" s="119"/>
      <c r="IN450" s="119"/>
      <c r="IO450" s="119"/>
      <c r="IP450" s="119"/>
      <c r="IQ450" s="119"/>
      <c r="IR450" s="119"/>
      <c r="IS450" s="119"/>
      <c r="IT450" s="119"/>
      <c r="IU450" s="119"/>
      <c r="IV450" s="119"/>
      <c r="IW450" s="119"/>
    </row>
    <row r="451" customFormat="false" ht="18" hidden="true" customHeight="true" outlineLevel="0" collapsed="false">
      <c r="A451" s="234" t="s">
        <v>423</v>
      </c>
      <c r="B451" s="113"/>
      <c r="C451" s="114"/>
      <c r="D451" s="115" t="n">
        <f aca="false">I451/0.03</f>
        <v>7064.2</v>
      </c>
      <c r="E451" s="116" t="n">
        <f aca="false">289836/1000</f>
        <v>289.836</v>
      </c>
      <c r="F451" s="116" t="n">
        <f aca="false">-77910/1000</f>
        <v>-77.91</v>
      </c>
      <c r="G451" s="116"/>
      <c r="H451" s="116"/>
      <c r="I451" s="117" t="n">
        <f aca="false">SUM(E451:G451)</f>
        <v>211.926</v>
      </c>
      <c r="J451" s="118" t="s">
        <v>70</v>
      </c>
      <c r="K451" s="119"/>
      <c r="L451" s="119"/>
      <c r="M451" s="119"/>
      <c r="N451" s="119"/>
      <c r="O451" s="119"/>
      <c r="P451" s="119"/>
      <c r="Q451" s="119"/>
      <c r="R451" s="119"/>
      <c r="S451" s="119"/>
      <c r="T451" s="65" t="n">
        <f aca="false">IF(D451&gt;0,(I451/D451),"")</f>
        <v>0.03</v>
      </c>
      <c r="U451" s="119"/>
      <c r="V451" s="119"/>
      <c r="W451" s="119"/>
      <c r="X451" s="119"/>
      <c r="Y451" s="119"/>
      <c r="Z451" s="119"/>
      <c r="AA451" s="119"/>
      <c r="AB451" s="119"/>
      <c r="AC451" s="119"/>
      <c r="AD451" s="119"/>
      <c r="AE451" s="119"/>
      <c r="AF451" s="119"/>
      <c r="AG451" s="119"/>
      <c r="AH451" s="119"/>
      <c r="AI451" s="119"/>
      <c r="AJ451" s="119"/>
      <c r="AK451" s="119"/>
      <c r="AL451" s="119"/>
      <c r="AM451" s="119"/>
      <c r="AN451" s="119"/>
      <c r="AO451" s="119"/>
      <c r="AP451" s="119"/>
      <c r="AQ451" s="119"/>
      <c r="AR451" s="119"/>
      <c r="AS451" s="119"/>
      <c r="AT451" s="119"/>
      <c r="AU451" s="119"/>
      <c r="AV451" s="119"/>
      <c r="AW451" s="119"/>
      <c r="AX451" s="119"/>
      <c r="AY451" s="119"/>
      <c r="AZ451" s="119"/>
      <c r="BA451" s="119"/>
      <c r="BB451" s="119"/>
      <c r="BC451" s="119"/>
      <c r="BD451" s="119"/>
      <c r="BE451" s="119"/>
      <c r="BF451" s="119"/>
      <c r="BG451" s="119"/>
      <c r="BH451" s="119"/>
      <c r="BI451" s="119"/>
      <c r="BJ451" s="119"/>
      <c r="BK451" s="119"/>
      <c r="BL451" s="119"/>
      <c r="BM451" s="119"/>
      <c r="BN451" s="119"/>
      <c r="BO451" s="119"/>
      <c r="BP451" s="119"/>
      <c r="BQ451" s="119"/>
      <c r="BR451" s="119"/>
      <c r="BS451" s="119"/>
      <c r="BT451" s="119"/>
      <c r="BU451" s="119"/>
      <c r="BV451" s="119"/>
      <c r="BW451" s="119"/>
      <c r="BX451" s="119"/>
      <c r="BY451" s="119"/>
      <c r="BZ451" s="119"/>
      <c r="CA451" s="119"/>
      <c r="CB451" s="119"/>
      <c r="CC451" s="119"/>
      <c r="CD451" s="119"/>
      <c r="CE451" s="119"/>
      <c r="CF451" s="119"/>
      <c r="CG451" s="119"/>
      <c r="CH451" s="119"/>
      <c r="CI451" s="119"/>
      <c r="CJ451" s="119"/>
      <c r="CK451" s="119"/>
      <c r="CL451" s="119"/>
      <c r="CM451" s="119"/>
      <c r="CN451" s="119"/>
      <c r="CO451" s="119"/>
      <c r="CP451" s="119"/>
      <c r="CQ451" s="119"/>
      <c r="CR451" s="119"/>
      <c r="CS451" s="119"/>
      <c r="CT451" s="119"/>
      <c r="CU451" s="119"/>
      <c r="CV451" s="119"/>
      <c r="CW451" s="119"/>
      <c r="CX451" s="119"/>
      <c r="CY451" s="119"/>
      <c r="CZ451" s="119"/>
      <c r="DA451" s="119"/>
      <c r="DB451" s="119"/>
      <c r="DC451" s="119"/>
      <c r="DD451" s="119"/>
      <c r="DE451" s="119"/>
      <c r="DF451" s="119"/>
      <c r="DG451" s="119"/>
      <c r="DH451" s="119"/>
      <c r="DI451" s="119"/>
      <c r="DJ451" s="119"/>
      <c r="DK451" s="119"/>
      <c r="DL451" s="119"/>
      <c r="DM451" s="119"/>
      <c r="DN451" s="119"/>
      <c r="DO451" s="119"/>
      <c r="DP451" s="119"/>
      <c r="DQ451" s="119"/>
      <c r="DR451" s="119"/>
      <c r="DS451" s="119"/>
      <c r="DT451" s="119"/>
      <c r="DU451" s="119"/>
      <c r="DV451" s="119"/>
      <c r="DW451" s="119"/>
      <c r="DX451" s="119"/>
      <c r="DY451" s="119"/>
      <c r="DZ451" s="119"/>
      <c r="EA451" s="119"/>
      <c r="EB451" s="119"/>
      <c r="EC451" s="119"/>
      <c r="ED451" s="119"/>
      <c r="EE451" s="119"/>
      <c r="EF451" s="119"/>
      <c r="EG451" s="119"/>
      <c r="EH451" s="119"/>
      <c r="EI451" s="119"/>
      <c r="EJ451" s="119"/>
      <c r="EK451" s="119"/>
      <c r="EL451" s="119"/>
      <c r="EM451" s="119"/>
      <c r="EN451" s="119"/>
      <c r="EO451" s="119"/>
      <c r="EP451" s="119"/>
      <c r="EQ451" s="119"/>
      <c r="ER451" s="119"/>
      <c r="ES451" s="119"/>
      <c r="ET451" s="119"/>
      <c r="EU451" s="119"/>
      <c r="EV451" s="119"/>
      <c r="EW451" s="119"/>
      <c r="EX451" s="119"/>
      <c r="EY451" s="119"/>
      <c r="EZ451" s="119"/>
      <c r="FA451" s="119"/>
      <c r="FB451" s="119"/>
      <c r="FC451" s="119"/>
      <c r="FD451" s="119"/>
      <c r="FE451" s="119"/>
      <c r="FF451" s="119"/>
      <c r="FG451" s="119"/>
      <c r="FH451" s="119"/>
      <c r="FI451" s="119"/>
      <c r="FJ451" s="119"/>
      <c r="FK451" s="119"/>
      <c r="FL451" s="119"/>
      <c r="FM451" s="119"/>
      <c r="FN451" s="119"/>
      <c r="FO451" s="119"/>
      <c r="FP451" s="119"/>
      <c r="FQ451" s="119"/>
      <c r="FR451" s="119"/>
      <c r="FS451" s="119"/>
      <c r="FT451" s="119"/>
      <c r="FU451" s="119"/>
      <c r="FV451" s="119"/>
      <c r="FW451" s="119"/>
      <c r="FX451" s="119"/>
      <c r="FY451" s="119"/>
      <c r="FZ451" s="119"/>
      <c r="GA451" s="119"/>
      <c r="GB451" s="119"/>
      <c r="GC451" s="119"/>
      <c r="GD451" s="119"/>
      <c r="GE451" s="119"/>
      <c r="GF451" s="119"/>
      <c r="GG451" s="119"/>
      <c r="GH451" s="119"/>
      <c r="GI451" s="119"/>
      <c r="GJ451" s="119"/>
      <c r="GK451" s="119"/>
      <c r="GL451" s="119"/>
      <c r="GM451" s="119"/>
      <c r="GN451" s="119"/>
      <c r="GO451" s="119"/>
      <c r="GP451" s="119"/>
      <c r="GQ451" s="119"/>
      <c r="GR451" s="119"/>
      <c r="GS451" s="119"/>
      <c r="GT451" s="119"/>
      <c r="GU451" s="119"/>
      <c r="GV451" s="119"/>
      <c r="GW451" s="119"/>
      <c r="GX451" s="119"/>
      <c r="GY451" s="119"/>
      <c r="GZ451" s="119"/>
      <c r="HA451" s="119"/>
      <c r="HB451" s="119"/>
      <c r="HC451" s="119"/>
      <c r="HD451" s="119"/>
      <c r="HE451" s="119"/>
      <c r="HF451" s="119"/>
      <c r="HG451" s="119"/>
      <c r="HH451" s="119"/>
      <c r="HI451" s="119"/>
      <c r="HJ451" s="119"/>
      <c r="HK451" s="119"/>
      <c r="HL451" s="119"/>
      <c r="HM451" s="119"/>
      <c r="HN451" s="119"/>
      <c r="HO451" s="119"/>
      <c r="HP451" s="119"/>
      <c r="HQ451" s="119"/>
      <c r="HR451" s="119"/>
      <c r="HS451" s="119"/>
      <c r="HT451" s="119"/>
      <c r="HU451" s="119"/>
      <c r="HV451" s="119"/>
      <c r="HW451" s="119"/>
      <c r="HX451" s="119"/>
      <c r="HY451" s="119"/>
      <c r="HZ451" s="119"/>
      <c r="IA451" s="119"/>
      <c r="IB451" s="119"/>
      <c r="IC451" s="119"/>
      <c r="ID451" s="119"/>
      <c r="IE451" s="119"/>
      <c r="IF451" s="119"/>
      <c r="IG451" s="119"/>
      <c r="IH451" s="119"/>
      <c r="II451" s="119"/>
      <c r="IJ451" s="119"/>
      <c r="IK451" s="119"/>
      <c r="IL451" s="119"/>
      <c r="IM451" s="119"/>
      <c r="IN451" s="119"/>
      <c r="IO451" s="119"/>
      <c r="IP451" s="119"/>
      <c r="IQ451" s="119"/>
      <c r="IR451" s="119"/>
      <c r="IS451" s="119"/>
      <c r="IT451" s="119"/>
      <c r="IU451" s="119"/>
      <c r="IV451" s="119"/>
      <c r="IW451" s="119"/>
    </row>
    <row r="452" customFormat="false" ht="18" hidden="true" customHeight="true" outlineLevel="0" collapsed="false">
      <c r="A452" s="234" t="s">
        <v>424</v>
      </c>
      <c r="B452" s="113"/>
      <c r="C452" s="114"/>
      <c r="D452" s="115" t="n">
        <f aca="false">I452/0.03</f>
        <v>6644.8</v>
      </c>
      <c r="E452" s="116" t="n">
        <f aca="false">272425/1000</f>
        <v>272.425</v>
      </c>
      <c r="F452" s="116" t="n">
        <f aca="false">-73081/1000</f>
        <v>-73.081</v>
      </c>
      <c r="G452" s="116"/>
      <c r="H452" s="116"/>
      <c r="I452" s="117" t="n">
        <f aca="false">SUM(E452:G452)</f>
        <v>199.344</v>
      </c>
      <c r="J452" s="118" t="s">
        <v>70</v>
      </c>
      <c r="K452" s="119"/>
      <c r="L452" s="119"/>
      <c r="M452" s="119"/>
      <c r="N452" s="119"/>
      <c r="O452" s="119"/>
      <c r="P452" s="119"/>
      <c r="Q452" s="119"/>
      <c r="R452" s="119"/>
      <c r="S452" s="119"/>
      <c r="T452" s="65" t="n">
        <f aca="false">IF(D452&gt;0,(I452/D452),"")</f>
        <v>0.03</v>
      </c>
      <c r="U452" s="119"/>
      <c r="V452" s="119"/>
      <c r="W452" s="119"/>
      <c r="X452" s="119"/>
      <c r="Y452" s="119"/>
      <c r="Z452" s="119"/>
      <c r="AA452" s="119"/>
      <c r="AB452" s="119"/>
      <c r="AC452" s="119"/>
      <c r="AD452" s="119"/>
      <c r="AE452" s="119"/>
      <c r="AF452" s="119"/>
      <c r="AG452" s="119"/>
      <c r="AH452" s="119"/>
      <c r="AI452" s="119"/>
      <c r="AJ452" s="119"/>
      <c r="AK452" s="119"/>
      <c r="AL452" s="119"/>
      <c r="AM452" s="119"/>
      <c r="AN452" s="119"/>
      <c r="AO452" s="119"/>
      <c r="AP452" s="119"/>
      <c r="AQ452" s="119"/>
      <c r="AR452" s="119"/>
      <c r="AS452" s="119"/>
      <c r="AT452" s="119"/>
      <c r="AU452" s="119"/>
      <c r="AV452" s="119"/>
      <c r="AW452" s="119"/>
      <c r="AX452" s="119"/>
      <c r="AY452" s="119"/>
      <c r="AZ452" s="119"/>
      <c r="BA452" s="119"/>
      <c r="BB452" s="119"/>
      <c r="BC452" s="119"/>
      <c r="BD452" s="119"/>
      <c r="BE452" s="119"/>
      <c r="BF452" s="119"/>
      <c r="BG452" s="119"/>
      <c r="BH452" s="119"/>
      <c r="BI452" s="119"/>
      <c r="BJ452" s="119"/>
      <c r="BK452" s="119"/>
      <c r="BL452" s="119"/>
      <c r="BM452" s="119"/>
      <c r="BN452" s="119"/>
      <c r="BO452" s="119"/>
      <c r="BP452" s="119"/>
      <c r="BQ452" s="119"/>
      <c r="BR452" s="119"/>
      <c r="BS452" s="119"/>
      <c r="BT452" s="119"/>
      <c r="BU452" s="119"/>
      <c r="BV452" s="119"/>
      <c r="BW452" s="119"/>
      <c r="BX452" s="119"/>
      <c r="BY452" s="119"/>
      <c r="BZ452" s="119"/>
      <c r="CA452" s="119"/>
      <c r="CB452" s="119"/>
      <c r="CC452" s="119"/>
      <c r="CD452" s="119"/>
      <c r="CE452" s="119"/>
      <c r="CF452" s="119"/>
      <c r="CG452" s="119"/>
      <c r="CH452" s="119"/>
      <c r="CI452" s="119"/>
      <c r="CJ452" s="119"/>
      <c r="CK452" s="119"/>
      <c r="CL452" s="119"/>
      <c r="CM452" s="119"/>
      <c r="CN452" s="119"/>
      <c r="CO452" s="119"/>
      <c r="CP452" s="119"/>
      <c r="CQ452" s="119"/>
      <c r="CR452" s="119"/>
      <c r="CS452" s="119"/>
      <c r="CT452" s="119"/>
      <c r="CU452" s="119"/>
      <c r="CV452" s="119"/>
      <c r="CW452" s="119"/>
      <c r="CX452" s="119"/>
      <c r="CY452" s="119"/>
      <c r="CZ452" s="119"/>
      <c r="DA452" s="119"/>
      <c r="DB452" s="119"/>
      <c r="DC452" s="119"/>
      <c r="DD452" s="119"/>
      <c r="DE452" s="119"/>
      <c r="DF452" s="119"/>
      <c r="DG452" s="119"/>
      <c r="DH452" s="119"/>
      <c r="DI452" s="119"/>
      <c r="DJ452" s="119"/>
      <c r="DK452" s="119"/>
      <c r="DL452" s="119"/>
      <c r="DM452" s="119"/>
      <c r="DN452" s="119"/>
      <c r="DO452" s="119"/>
      <c r="DP452" s="119"/>
      <c r="DQ452" s="119"/>
      <c r="DR452" s="119"/>
      <c r="DS452" s="119"/>
      <c r="DT452" s="119"/>
      <c r="DU452" s="119"/>
      <c r="DV452" s="119"/>
      <c r="DW452" s="119"/>
      <c r="DX452" s="119"/>
      <c r="DY452" s="119"/>
      <c r="DZ452" s="119"/>
      <c r="EA452" s="119"/>
      <c r="EB452" s="119"/>
      <c r="EC452" s="119"/>
      <c r="ED452" s="119"/>
      <c r="EE452" s="119"/>
      <c r="EF452" s="119"/>
      <c r="EG452" s="119"/>
      <c r="EH452" s="119"/>
      <c r="EI452" s="119"/>
      <c r="EJ452" s="119"/>
      <c r="EK452" s="119"/>
      <c r="EL452" s="119"/>
      <c r="EM452" s="119"/>
      <c r="EN452" s="119"/>
      <c r="EO452" s="119"/>
      <c r="EP452" s="119"/>
      <c r="EQ452" s="119"/>
      <c r="ER452" s="119"/>
      <c r="ES452" s="119"/>
      <c r="ET452" s="119"/>
      <c r="EU452" s="119"/>
      <c r="EV452" s="119"/>
      <c r="EW452" s="119"/>
      <c r="EX452" s="119"/>
      <c r="EY452" s="119"/>
      <c r="EZ452" s="119"/>
      <c r="FA452" s="119"/>
      <c r="FB452" s="119"/>
      <c r="FC452" s="119"/>
      <c r="FD452" s="119"/>
      <c r="FE452" s="119"/>
      <c r="FF452" s="119"/>
      <c r="FG452" s="119"/>
      <c r="FH452" s="119"/>
      <c r="FI452" s="119"/>
      <c r="FJ452" s="119"/>
      <c r="FK452" s="119"/>
      <c r="FL452" s="119"/>
      <c r="FM452" s="119"/>
      <c r="FN452" s="119"/>
      <c r="FO452" s="119"/>
      <c r="FP452" s="119"/>
      <c r="FQ452" s="119"/>
      <c r="FR452" s="119"/>
      <c r="FS452" s="119"/>
      <c r="FT452" s="119"/>
      <c r="FU452" s="119"/>
      <c r="FV452" s="119"/>
      <c r="FW452" s="119"/>
      <c r="FX452" s="119"/>
      <c r="FY452" s="119"/>
      <c r="FZ452" s="119"/>
      <c r="GA452" s="119"/>
      <c r="GB452" s="119"/>
      <c r="GC452" s="119"/>
      <c r="GD452" s="119"/>
      <c r="GE452" s="119"/>
      <c r="GF452" s="119"/>
      <c r="GG452" s="119"/>
      <c r="GH452" s="119"/>
      <c r="GI452" s="119"/>
      <c r="GJ452" s="119"/>
      <c r="GK452" s="119"/>
      <c r="GL452" s="119"/>
      <c r="GM452" s="119"/>
      <c r="GN452" s="119"/>
      <c r="GO452" s="119"/>
      <c r="GP452" s="119"/>
      <c r="GQ452" s="119"/>
      <c r="GR452" s="119"/>
      <c r="GS452" s="119"/>
      <c r="GT452" s="119"/>
      <c r="GU452" s="119"/>
      <c r="GV452" s="119"/>
      <c r="GW452" s="119"/>
      <c r="GX452" s="119"/>
      <c r="GY452" s="119"/>
      <c r="GZ452" s="119"/>
      <c r="HA452" s="119"/>
      <c r="HB452" s="119"/>
      <c r="HC452" s="119"/>
      <c r="HD452" s="119"/>
      <c r="HE452" s="119"/>
      <c r="HF452" s="119"/>
      <c r="HG452" s="119"/>
      <c r="HH452" s="119"/>
      <c r="HI452" s="119"/>
      <c r="HJ452" s="119"/>
      <c r="HK452" s="119"/>
      <c r="HL452" s="119"/>
      <c r="HM452" s="119"/>
      <c r="HN452" s="119"/>
      <c r="HO452" s="119"/>
      <c r="HP452" s="119"/>
      <c r="HQ452" s="119"/>
      <c r="HR452" s="119"/>
      <c r="HS452" s="119"/>
      <c r="HT452" s="119"/>
      <c r="HU452" s="119"/>
      <c r="HV452" s="119"/>
      <c r="HW452" s="119"/>
      <c r="HX452" s="119"/>
      <c r="HY452" s="119"/>
      <c r="HZ452" s="119"/>
      <c r="IA452" s="119"/>
      <c r="IB452" s="119"/>
      <c r="IC452" s="119"/>
      <c r="ID452" s="119"/>
      <c r="IE452" s="119"/>
      <c r="IF452" s="119"/>
      <c r="IG452" s="119"/>
      <c r="IH452" s="119"/>
      <c r="II452" s="119"/>
      <c r="IJ452" s="119"/>
      <c r="IK452" s="119"/>
      <c r="IL452" s="119"/>
      <c r="IM452" s="119"/>
      <c r="IN452" s="119"/>
      <c r="IO452" s="119"/>
      <c r="IP452" s="119"/>
      <c r="IQ452" s="119"/>
      <c r="IR452" s="119"/>
      <c r="IS452" s="119"/>
      <c r="IT452" s="119"/>
      <c r="IU452" s="119"/>
      <c r="IV452" s="119"/>
      <c r="IW452" s="119"/>
    </row>
    <row r="453" customFormat="false" ht="18" hidden="true" customHeight="true" outlineLevel="0" collapsed="false">
      <c r="A453" s="234" t="s">
        <v>425</v>
      </c>
      <c r="B453" s="113"/>
      <c r="C453" s="114"/>
      <c r="D453" s="115" t="n">
        <f aca="false">I453/0.03</f>
        <v>7439.46666666667</v>
      </c>
      <c r="E453" s="116" t="n">
        <f aca="false">303857/1000</f>
        <v>303.857</v>
      </c>
      <c r="F453" s="116" t="n">
        <f aca="false">-80673/1000</f>
        <v>-80.673</v>
      </c>
      <c r="G453" s="116"/>
      <c r="H453" s="116"/>
      <c r="I453" s="117" t="n">
        <f aca="false">SUM(E453:G453)</f>
        <v>223.184</v>
      </c>
      <c r="J453" s="118" t="s">
        <v>70</v>
      </c>
      <c r="K453" s="119"/>
      <c r="L453" s="119"/>
      <c r="M453" s="119"/>
      <c r="N453" s="119"/>
      <c r="O453" s="119"/>
      <c r="P453" s="119"/>
      <c r="Q453" s="119"/>
      <c r="R453" s="119"/>
      <c r="S453" s="119"/>
      <c r="T453" s="65" t="n">
        <f aca="false">IF(D453&gt;0,(I453/D453),"")</f>
        <v>0.03</v>
      </c>
      <c r="U453" s="119"/>
      <c r="V453" s="119"/>
      <c r="W453" s="119"/>
      <c r="X453" s="119"/>
      <c r="Y453" s="119"/>
      <c r="Z453" s="119"/>
      <c r="AA453" s="119"/>
      <c r="AB453" s="119"/>
      <c r="AC453" s="119"/>
      <c r="AD453" s="119"/>
      <c r="AE453" s="119"/>
      <c r="AF453" s="119"/>
      <c r="AG453" s="119"/>
      <c r="AH453" s="119"/>
      <c r="AI453" s="119"/>
      <c r="AJ453" s="119"/>
      <c r="AK453" s="119"/>
      <c r="AL453" s="119"/>
      <c r="AM453" s="119"/>
      <c r="AN453" s="119"/>
      <c r="AO453" s="119"/>
      <c r="AP453" s="119"/>
      <c r="AQ453" s="119"/>
      <c r="AR453" s="119"/>
      <c r="AS453" s="119"/>
      <c r="AT453" s="119"/>
      <c r="AU453" s="119"/>
      <c r="AV453" s="119"/>
      <c r="AW453" s="119"/>
      <c r="AX453" s="119"/>
      <c r="AY453" s="119"/>
      <c r="AZ453" s="119"/>
      <c r="BA453" s="119"/>
      <c r="BB453" s="119"/>
      <c r="BC453" s="119"/>
      <c r="BD453" s="119"/>
      <c r="BE453" s="119"/>
      <c r="BF453" s="119"/>
      <c r="BG453" s="119"/>
      <c r="BH453" s="119"/>
      <c r="BI453" s="119"/>
      <c r="BJ453" s="119"/>
      <c r="BK453" s="119"/>
      <c r="BL453" s="119"/>
      <c r="BM453" s="119"/>
      <c r="BN453" s="119"/>
      <c r="BO453" s="119"/>
      <c r="BP453" s="119"/>
      <c r="BQ453" s="119"/>
      <c r="BR453" s="119"/>
      <c r="BS453" s="119"/>
      <c r="BT453" s="119"/>
      <c r="BU453" s="119"/>
      <c r="BV453" s="119"/>
      <c r="BW453" s="119"/>
      <c r="BX453" s="119"/>
      <c r="BY453" s="119"/>
      <c r="BZ453" s="119"/>
      <c r="CA453" s="119"/>
      <c r="CB453" s="119"/>
      <c r="CC453" s="119"/>
      <c r="CD453" s="119"/>
      <c r="CE453" s="119"/>
      <c r="CF453" s="119"/>
      <c r="CG453" s="119"/>
      <c r="CH453" s="119"/>
      <c r="CI453" s="119"/>
      <c r="CJ453" s="119"/>
      <c r="CK453" s="119"/>
      <c r="CL453" s="119"/>
      <c r="CM453" s="119"/>
      <c r="CN453" s="119"/>
      <c r="CO453" s="119"/>
      <c r="CP453" s="119"/>
      <c r="CQ453" s="119"/>
      <c r="CR453" s="119"/>
      <c r="CS453" s="119"/>
      <c r="CT453" s="119"/>
      <c r="CU453" s="119"/>
      <c r="CV453" s="119"/>
      <c r="CW453" s="119"/>
      <c r="CX453" s="119"/>
      <c r="CY453" s="119"/>
      <c r="CZ453" s="119"/>
      <c r="DA453" s="119"/>
      <c r="DB453" s="119"/>
      <c r="DC453" s="119"/>
      <c r="DD453" s="119"/>
      <c r="DE453" s="119"/>
      <c r="DF453" s="119"/>
      <c r="DG453" s="119"/>
      <c r="DH453" s="119"/>
      <c r="DI453" s="119"/>
      <c r="DJ453" s="119"/>
      <c r="DK453" s="119"/>
      <c r="DL453" s="119"/>
      <c r="DM453" s="119"/>
      <c r="DN453" s="119"/>
      <c r="DO453" s="119"/>
      <c r="DP453" s="119"/>
      <c r="DQ453" s="119"/>
      <c r="DR453" s="119"/>
      <c r="DS453" s="119"/>
      <c r="DT453" s="119"/>
      <c r="DU453" s="119"/>
      <c r="DV453" s="119"/>
      <c r="DW453" s="119"/>
      <c r="DX453" s="119"/>
      <c r="DY453" s="119"/>
      <c r="DZ453" s="119"/>
      <c r="EA453" s="119"/>
      <c r="EB453" s="119"/>
      <c r="EC453" s="119"/>
      <c r="ED453" s="119"/>
      <c r="EE453" s="119"/>
      <c r="EF453" s="119"/>
      <c r="EG453" s="119"/>
      <c r="EH453" s="119"/>
      <c r="EI453" s="119"/>
      <c r="EJ453" s="119"/>
      <c r="EK453" s="119"/>
      <c r="EL453" s="119"/>
      <c r="EM453" s="119"/>
      <c r="EN453" s="119"/>
      <c r="EO453" s="119"/>
      <c r="EP453" s="119"/>
      <c r="EQ453" s="119"/>
      <c r="ER453" s="119"/>
      <c r="ES453" s="119"/>
      <c r="ET453" s="119"/>
      <c r="EU453" s="119"/>
      <c r="EV453" s="119"/>
      <c r="EW453" s="119"/>
      <c r="EX453" s="119"/>
      <c r="EY453" s="119"/>
      <c r="EZ453" s="119"/>
      <c r="FA453" s="119"/>
      <c r="FB453" s="119"/>
      <c r="FC453" s="119"/>
      <c r="FD453" s="119"/>
      <c r="FE453" s="119"/>
      <c r="FF453" s="119"/>
      <c r="FG453" s="119"/>
      <c r="FH453" s="119"/>
      <c r="FI453" s="119"/>
      <c r="FJ453" s="119"/>
      <c r="FK453" s="119"/>
      <c r="FL453" s="119"/>
      <c r="FM453" s="119"/>
      <c r="FN453" s="119"/>
      <c r="FO453" s="119"/>
      <c r="FP453" s="119"/>
      <c r="FQ453" s="119"/>
      <c r="FR453" s="119"/>
      <c r="FS453" s="119"/>
      <c r="FT453" s="119"/>
      <c r="FU453" s="119"/>
      <c r="FV453" s="119"/>
      <c r="FW453" s="119"/>
      <c r="FX453" s="119"/>
      <c r="FY453" s="119"/>
      <c r="FZ453" s="119"/>
      <c r="GA453" s="119"/>
      <c r="GB453" s="119"/>
      <c r="GC453" s="119"/>
      <c r="GD453" s="119"/>
      <c r="GE453" s="119"/>
      <c r="GF453" s="119"/>
      <c r="GG453" s="119"/>
      <c r="GH453" s="119"/>
      <c r="GI453" s="119"/>
      <c r="GJ453" s="119"/>
      <c r="GK453" s="119"/>
      <c r="GL453" s="119"/>
      <c r="GM453" s="119"/>
      <c r="GN453" s="119"/>
      <c r="GO453" s="119"/>
      <c r="GP453" s="119"/>
      <c r="GQ453" s="119"/>
      <c r="GR453" s="119"/>
      <c r="GS453" s="119"/>
      <c r="GT453" s="119"/>
      <c r="GU453" s="119"/>
      <c r="GV453" s="119"/>
      <c r="GW453" s="119"/>
      <c r="GX453" s="119"/>
      <c r="GY453" s="119"/>
      <c r="GZ453" s="119"/>
      <c r="HA453" s="119"/>
      <c r="HB453" s="119"/>
      <c r="HC453" s="119"/>
      <c r="HD453" s="119"/>
      <c r="HE453" s="119"/>
      <c r="HF453" s="119"/>
      <c r="HG453" s="119"/>
      <c r="HH453" s="119"/>
      <c r="HI453" s="119"/>
      <c r="HJ453" s="119"/>
      <c r="HK453" s="119"/>
      <c r="HL453" s="119"/>
      <c r="HM453" s="119"/>
      <c r="HN453" s="119"/>
      <c r="HO453" s="119"/>
      <c r="HP453" s="119"/>
      <c r="HQ453" s="119"/>
      <c r="HR453" s="119"/>
      <c r="HS453" s="119"/>
      <c r="HT453" s="119"/>
      <c r="HU453" s="119"/>
      <c r="HV453" s="119"/>
      <c r="HW453" s="119"/>
      <c r="HX453" s="119"/>
      <c r="HY453" s="119"/>
      <c r="HZ453" s="119"/>
      <c r="IA453" s="119"/>
      <c r="IB453" s="119"/>
      <c r="IC453" s="119"/>
      <c r="ID453" s="119"/>
      <c r="IE453" s="119"/>
      <c r="IF453" s="119"/>
      <c r="IG453" s="119"/>
      <c r="IH453" s="119"/>
      <c r="II453" s="119"/>
      <c r="IJ453" s="119"/>
      <c r="IK453" s="119"/>
      <c r="IL453" s="119"/>
      <c r="IM453" s="119"/>
      <c r="IN453" s="119"/>
      <c r="IO453" s="119"/>
      <c r="IP453" s="119"/>
      <c r="IQ453" s="119"/>
      <c r="IR453" s="119"/>
      <c r="IS453" s="119"/>
      <c r="IT453" s="119"/>
      <c r="IU453" s="119"/>
      <c r="IV453" s="119"/>
      <c r="IW453" s="119"/>
    </row>
    <row r="454" customFormat="false" ht="18" hidden="true" customHeight="true" outlineLevel="0" collapsed="false">
      <c r="A454" s="234" t="s">
        <v>426</v>
      </c>
      <c r="B454" s="113"/>
      <c r="C454" s="114"/>
      <c r="D454" s="115" t="n">
        <f aca="false">I454/0.03</f>
        <v>3191.93333333333</v>
      </c>
      <c r="E454" s="116" t="n">
        <f aca="false">131766/1000</f>
        <v>131.766</v>
      </c>
      <c r="F454" s="116" t="n">
        <f aca="false">-36008/1000</f>
        <v>-36.008</v>
      </c>
      <c r="G454" s="116"/>
      <c r="H454" s="116"/>
      <c r="I454" s="117" t="n">
        <f aca="false">SUM(E454:G454)</f>
        <v>95.758</v>
      </c>
      <c r="J454" s="118" t="s">
        <v>70</v>
      </c>
      <c r="K454" s="119"/>
      <c r="L454" s="119"/>
      <c r="M454" s="119"/>
      <c r="N454" s="119"/>
      <c r="O454" s="119"/>
      <c r="P454" s="119"/>
      <c r="Q454" s="119"/>
      <c r="R454" s="119"/>
      <c r="S454" s="119"/>
      <c r="T454" s="65" t="n">
        <f aca="false">IF(D454&gt;0,(I454/D454),"")</f>
        <v>0.03</v>
      </c>
      <c r="U454" s="119"/>
      <c r="V454" s="119"/>
      <c r="W454" s="119"/>
      <c r="X454" s="119"/>
      <c r="Y454" s="119"/>
      <c r="Z454" s="119"/>
      <c r="AA454" s="119"/>
      <c r="AB454" s="119"/>
      <c r="AC454" s="119"/>
      <c r="AD454" s="119"/>
      <c r="AE454" s="119"/>
      <c r="AF454" s="119"/>
      <c r="AG454" s="119"/>
      <c r="AH454" s="119"/>
      <c r="AI454" s="119"/>
      <c r="AJ454" s="119"/>
      <c r="AK454" s="119"/>
      <c r="AL454" s="119"/>
      <c r="AM454" s="119"/>
      <c r="AN454" s="119"/>
      <c r="AO454" s="119"/>
      <c r="AP454" s="119"/>
      <c r="AQ454" s="119"/>
      <c r="AR454" s="119"/>
      <c r="AS454" s="119"/>
      <c r="AT454" s="119"/>
      <c r="AU454" s="119"/>
      <c r="AV454" s="119"/>
      <c r="AW454" s="119"/>
      <c r="AX454" s="119"/>
      <c r="AY454" s="119"/>
      <c r="AZ454" s="119"/>
      <c r="BA454" s="119"/>
      <c r="BB454" s="119"/>
      <c r="BC454" s="119"/>
      <c r="BD454" s="119"/>
      <c r="BE454" s="119"/>
      <c r="BF454" s="119"/>
      <c r="BG454" s="119"/>
      <c r="BH454" s="119"/>
      <c r="BI454" s="119"/>
      <c r="BJ454" s="119"/>
      <c r="BK454" s="119"/>
      <c r="BL454" s="119"/>
      <c r="BM454" s="119"/>
      <c r="BN454" s="119"/>
      <c r="BO454" s="119"/>
      <c r="BP454" s="119"/>
      <c r="BQ454" s="119"/>
      <c r="BR454" s="119"/>
      <c r="BS454" s="119"/>
      <c r="BT454" s="119"/>
      <c r="BU454" s="119"/>
      <c r="BV454" s="119"/>
      <c r="BW454" s="119"/>
      <c r="BX454" s="119"/>
      <c r="BY454" s="119"/>
      <c r="BZ454" s="119"/>
      <c r="CA454" s="119"/>
      <c r="CB454" s="119"/>
      <c r="CC454" s="119"/>
      <c r="CD454" s="119"/>
      <c r="CE454" s="119"/>
      <c r="CF454" s="119"/>
      <c r="CG454" s="119"/>
      <c r="CH454" s="119"/>
      <c r="CI454" s="119"/>
      <c r="CJ454" s="119"/>
      <c r="CK454" s="119"/>
      <c r="CL454" s="119"/>
      <c r="CM454" s="119"/>
      <c r="CN454" s="119"/>
      <c r="CO454" s="119"/>
      <c r="CP454" s="119"/>
      <c r="CQ454" s="119"/>
      <c r="CR454" s="119"/>
      <c r="CS454" s="119"/>
      <c r="CT454" s="119"/>
      <c r="CU454" s="119"/>
      <c r="CV454" s="119"/>
      <c r="CW454" s="119"/>
      <c r="CX454" s="119"/>
      <c r="CY454" s="119"/>
      <c r="CZ454" s="119"/>
      <c r="DA454" s="119"/>
      <c r="DB454" s="119"/>
      <c r="DC454" s="119"/>
      <c r="DD454" s="119"/>
      <c r="DE454" s="119"/>
      <c r="DF454" s="119"/>
      <c r="DG454" s="119"/>
      <c r="DH454" s="119"/>
      <c r="DI454" s="119"/>
      <c r="DJ454" s="119"/>
      <c r="DK454" s="119"/>
      <c r="DL454" s="119"/>
      <c r="DM454" s="119"/>
      <c r="DN454" s="119"/>
      <c r="DO454" s="119"/>
      <c r="DP454" s="119"/>
      <c r="DQ454" s="119"/>
      <c r="DR454" s="119"/>
      <c r="DS454" s="119"/>
      <c r="DT454" s="119"/>
      <c r="DU454" s="119"/>
      <c r="DV454" s="119"/>
      <c r="DW454" s="119"/>
      <c r="DX454" s="119"/>
      <c r="DY454" s="119"/>
      <c r="DZ454" s="119"/>
      <c r="EA454" s="119"/>
      <c r="EB454" s="119"/>
      <c r="EC454" s="119"/>
      <c r="ED454" s="119"/>
      <c r="EE454" s="119"/>
      <c r="EF454" s="119"/>
      <c r="EG454" s="119"/>
      <c r="EH454" s="119"/>
      <c r="EI454" s="119"/>
      <c r="EJ454" s="119"/>
      <c r="EK454" s="119"/>
      <c r="EL454" s="119"/>
      <c r="EM454" s="119"/>
      <c r="EN454" s="119"/>
      <c r="EO454" s="119"/>
      <c r="EP454" s="119"/>
      <c r="EQ454" s="119"/>
      <c r="ER454" s="119"/>
      <c r="ES454" s="119"/>
      <c r="ET454" s="119"/>
      <c r="EU454" s="119"/>
      <c r="EV454" s="119"/>
      <c r="EW454" s="119"/>
      <c r="EX454" s="119"/>
      <c r="EY454" s="119"/>
      <c r="EZ454" s="119"/>
      <c r="FA454" s="119"/>
      <c r="FB454" s="119"/>
      <c r="FC454" s="119"/>
      <c r="FD454" s="119"/>
      <c r="FE454" s="119"/>
      <c r="FF454" s="119"/>
      <c r="FG454" s="119"/>
      <c r="FH454" s="119"/>
      <c r="FI454" s="119"/>
      <c r="FJ454" s="119"/>
      <c r="FK454" s="119"/>
      <c r="FL454" s="119"/>
      <c r="FM454" s="119"/>
      <c r="FN454" s="119"/>
      <c r="FO454" s="119"/>
      <c r="FP454" s="119"/>
      <c r="FQ454" s="119"/>
      <c r="FR454" s="119"/>
      <c r="FS454" s="119"/>
      <c r="FT454" s="119"/>
      <c r="FU454" s="119"/>
      <c r="FV454" s="119"/>
      <c r="FW454" s="119"/>
      <c r="FX454" s="119"/>
      <c r="FY454" s="119"/>
      <c r="FZ454" s="119"/>
      <c r="GA454" s="119"/>
      <c r="GB454" s="119"/>
      <c r="GC454" s="119"/>
      <c r="GD454" s="119"/>
      <c r="GE454" s="119"/>
      <c r="GF454" s="119"/>
      <c r="GG454" s="119"/>
      <c r="GH454" s="119"/>
      <c r="GI454" s="119"/>
      <c r="GJ454" s="119"/>
      <c r="GK454" s="119"/>
      <c r="GL454" s="119"/>
      <c r="GM454" s="119"/>
      <c r="GN454" s="119"/>
      <c r="GO454" s="119"/>
      <c r="GP454" s="119"/>
      <c r="GQ454" s="119"/>
      <c r="GR454" s="119"/>
      <c r="GS454" s="119"/>
      <c r="GT454" s="119"/>
      <c r="GU454" s="119"/>
      <c r="GV454" s="119"/>
      <c r="GW454" s="119"/>
      <c r="GX454" s="119"/>
      <c r="GY454" s="119"/>
      <c r="GZ454" s="119"/>
      <c r="HA454" s="119"/>
      <c r="HB454" s="119"/>
      <c r="HC454" s="119"/>
      <c r="HD454" s="119"/>
      <c r="HE454" s="119"/>
      <c r="HF454" s="119"/>
      <c r="HG454" s="119"/>
      <c r="HH454" s="119"/>
      <c r="HI454" s="119"/>
      <c r="HJ454" s="119"/>
      <c r="HK454" s="119"/>
      <c r="HL454" s="119"/>
      <c r="HM454" s="119"/>
      <c r="HN454" s="119"/>
      <c r="HO454" s="119"/>
      <c r="HP454" s="119"/>
      <c r="HQ454" s="119"/>
      <c r="HR454" s="119"/>
      <c r="HS454" s="119"/>
      <c r="HT454" s="119"/>
      <c r="HU454" s="119"/>
      <c r="HV454" s="119"/>
      <c r="HW454" s="119"/>
      <c r="HX454" s="119"/>
      <c r="HY454" s="119"/>
      <c r="HZ454" s="119"/>
      <c r="IA454" s="119"/>
      <c r="IB454" s="119"/>
      <c r="IC454" s="119"/>
      <c r="ID454" s="119"/>
      <c r="IE454" s="119"/>
      <c r="IF454" s="119"/>
      <c r="IG454" s="119"/>
      <c r="IH454" s="119"/>
      <c r="II454" s="119"/>
      <c r="IJ454" s="119"/>
      <c r="IK454" s="119"/>
      <c r="IL454" s="119"/>
      <c r="IM454" s="119"/>
      <c r="IN454" s="119"/>
      <c r="IO454" s="119"/>
      <c r="IP454" s="119"/>
      <c r="IQ454" s="119"/>
      <c r="IR454" s="119"/>
      <c r="IS454" s="119"/>
      <c r="IT454" s="119"/>
      <c r="IU454" s="119"/>
      <c r="IV454" s="119"/>
      <c r="IW454" s="119"/>
    </row>
    <row r="455" customFormat="false" ht="18" hidden="true" customHeight="true" outlineLevel="0" collapsed="false">
      <c r="A455" s="234" t="s">
        <v>427</v>
      </c>
      <c r="B455" s="113"/>
      <c r="C455" s="114"/>
      <c r="D455" s="115" t="n">
        <f aca="false">I455/0.03</f>
        <v>3575.43333333333</v>
      </c>
      <c r="E455" s="116" t="n">
        <f aca="false">146629/1000</f>
        <v>146.629</v>
      </c>
      <c r="F455" s="116" t="n">
        <f aca="false">-39366/1000</f>
        <v>-39.366</v>
      </c>
      <c r="G455" s="116"/>
      <c r="H455" s="116"/>
      <c r="I455" s="117" t="n">
        <f aca="false">SUM(E455:G455)</f>
        <v>107.263</v>
      </c>
      <c r="J455" s="118" t="s">
        <v>70</v>
      </c>
      <c r="K455" s="119"/>
      <c r="L455" s="119"/>
      <c r="M455" s="119"/>
      <c r="N455" s="119"/>
      <c r="O455" s="119"/>
      <c r="P455" s="119"/>
      <c r="Q455" s="119"/>
      <c r="R455" s="119"/>
      <c r="S455" s="119"/>
      <c r="T455" s="65" t="n">
        <f aca="false">IF(D455&gt;0,(I455/D455),"")</f>
        <v>0.03</v>
      </c>
      <c r="U455" s="119"/>
      <c r="V455" s="119"/>
      <c r="W455" s="119"/>
      <c r="X455" s="119"/>
      <c r="Y455" s="119"/>
      <c r="Z455" s="119"/>
      <c r="AA455" s="119"/>
      <c r="AB455" s="119"/>
      <c r="AC455" s="119"/>
      <c r="AD455" s="119"/>
      <c r="AE455" s="119"/>
      <c r="AF455" s="119"/>
      <c r="AG455" s="119"/>
      <c r="AH455" s="119"/>
      <c r="AI455" s="119"/>
      <c r="AJ455" s="119"/>
      <c r="AK455" s="119"/>
      <c r="AL455" s="119"/>
      <c r="AM455" s="119"/>
      <c r="AN455" s="119"/>
      <c r="AO455" s="119"/>
      <c r="AP455" s="119"/>
      <c r="AQ455" s="119"/>
      <c r="AR455" s="119"/>
      <c r="AS455" s="119"/>
      <c r="AT455" s="119"/>
      <c r="AU455" s="119"/>
      <c r="AV455" s="119"/>
      <c r="AW455" s="119"/>
      <c r="AX455" s="119"/>
      <c r="AY455" s="119"/>
      <c r="AZ455" s="119"/>
      <c r="BA455" s="119"/>
      <c r="BB455" s="119"/>
      <c r="BC455" s="119"/>
      <c r="BD455" s="119"/>
      <c r="BE455" s="119"/>
      <c r="BF455" s="119"/>
      <c r="BG455" s="119"/>
      <c r="BH455" s="119"/>
      <c r="BI455" s="119"/>
      <c r="BJ455" s="119"/>
      <c r="BK455" s="119"/>
      <c r="BL455" s="119"/>
      <c r="BM455" s="119"/>
      <c r="BN455" s="119"/>
      <c r="BO455" s="119"/>
      <c r="BP455" s="119"/>
      <c r="BQ455" s="119"/>
      <c r="BR455" s="119"/>
      <c r="BS455" s="119"/>
      <c r="BT455" s="119"/>
      <c r="BU455" s="119"/>
      <c r="BV455" s="119"/>
      <c r="BW455" s="119"/>
      <c r="BX455" s="119"/>
      <c r="BY455" s="119"/>
      <c r="BZ455" s="119"/>
      <c r="CA455" s="119"/>
      <c r="CB455" s="119"/>
      <c r="CC455" s="119"/>
      <c r="CD455" s="119"/>
      <c r="CE455" s="119"/>
      <c r="CF455" s="119"/>
      <c r="CG455" s="119"/>
      <c r="CH455" s="119"/>
      <c r="CI455" s="119"/>
      <c r="CJ455" s="119"/>
      <c r="CK455" s="119"/>
      <c r="CL455" s="119"/>
      <c r="CM455" s="119"/>
      <c r="CN455" s="119"/>
      <c r="CO455" s="119"/>
      <c r="CP455" s="119"/>
      <c r="CQ455" s="119"/>
      <c r="CR455" s="119"/>
      <c r="CS455" s="119"/>
      <c r="CT455" s="119"/>
      <c r="CU455" s="119"/>
      <c r="CV455" s="119"/>
      <c r="CW455" s="119"/>
      <c r="CX455" s="119"/>
      <c r="CY455" s="119"/>
      <c r="CZ455" s="119"/>
      <c r="DA455" s="119"/>
      <c r="DB455" s="119"/>
      <c r="DC455" s="119"/>
      <c r="DD455" s="119"/>
      <c r="DE455" s="119"/>
      <c r="DF455" s="119"/>
      <c r="DG455" s="119"/>
      <c r="DH455" s="119"/>
      <c r="DI455" s="119"/>
      <c r="DJ455" s="119"/>
      <c r="DK455" s="119"/>
      <c r="DL455" s="119"/>
      <c r="DM455" s="119"/>
      <c r="DN455" s="119"/>
      <c r="DO455" s="119"/>
      <c r="DP455" s="119"/>
      <c r="DQ455" s="119"/>
      <c r="DR455" s="119"/>
      <c r="DS455" s="119"/>
      <c r="DT455" s="119"/>
      <c r="DU455" s="119"/>
      <c r="DV455" s="119"/>
      <c r="DW455" s="119"/>
      <c r="DX455" s="119"/>
      <c r="DY455" s="119"/>
      <c r="DZ455" s="119"/>
      <c r="EA455" s="119"/>
      <c r="EB455" s="119"/>
      <c r="EC455" s="119"/>
      <c r="ED455" s="119"/>
      <c r="EE455" s="119"/>
      <c r="EF455" s="119"/>
      <c r="EG455" s="119"/>
      <c r="EH455" s="119"/>
      <c r="EI455" s="119"/>
      <c r="EJ455" s="119"/>
      <c r="EK455" s="119"/>
      <c r="EL455" s="119"/>
      <c r="EM455" s="119"/>
      <c r="EN455" s="119"/>
      <c r="EO455" s="119"/>
      <c r="EP455" s="119"/>
      <c r="EQ455" s="119"/>
      <c r="ER455" s="119"/>
      <c r="ES455" s="119"/>
      <c r="ET455" s="119"/>
      <c r="EU455" s="119"/>
      <c r="EV455" s="119"/>
      <c r="EW455" s="119"/>
      <c r="EX455" s="119"/>
      <c r="EY455" s="119"/>
      <c r="EZ455" s="119"/>
      <c r="FA455" s="119"/>
      <c r="FB455" s="119"/>
      <c r="FC455" s="119"/>
      <c r="FD455" s="119"/>
      <c r="FE455" s="119"/>
      <c r="FF455" s="119"/>
      <c r="FG455" s="119"/>
      <c r="FH455" s="119"/>
      <c r="FI455" s="119"/>
      <c r="FJ455" s="119"/>
      <c r="FK455" s="119"/>
      <c r="FL455" s="119"/>
      <c r="FM455" s="119"/>
      <c r="FN455" s="119"/>
      <c r="FO455" s="119"/>
      <c r="FP455" s="119"/>
      <c r="FQ455" s="119"/>
      <c r="FR455" s="119"/>
      <c r="FS455" s="119"/>
      <c r="FT455" s="119"/>
      <c r="FU455" s="119"/>
      <c r="FV455" s="119"/>
      <c r="FW455" s="119"/>
      <c r="FX455" s="119"/>
      <c r="FY455" s="119"/>
      <c r="FZ455" s="119"/>
      <c r="GA455" s="119"/>
      <c r="GB455" s="119"/>
      <c r="GC455" s="119"/>
      <c r="GD455" s="119"/>
      <c r="GE455" s="119"/>
      <c r="GF455" s="119"/>
      <c r="GG455" s="119"/>
      <c r="GH455" s="119"/>
      <c r="GI455" s="119"/>
      <c r="GJ455" s="119"/>
      <c r="GK455" s="119"/>
      <c r="GL455" s="119"/>
      <c r="GM455" s="119"/>
      <c r="GN455" s="119"/>
      <c r="GO455" s="119"/>
      <c r="GP455" s="119"/>
      <c r="GQ455" s="119"/>
      <c r="GR455" s="119"/>
      <c r="GS455" s="119"/>
      <c r="GT455" s="119"/>
      <c r="GU455" s="119"/>
      <c r="GV455" s="119"/>
      <c r="GW455" s="119"/>
      <c r="GX455" s="119"/>
      <c r="GY455" s="119"/>
      <c r="GZ455" s="119"/>
      <c r="HA455" s="119"/>
      <c r="HB455" s="119"/>
      <c r="HC455" s="119"/>
      <c r="HD455" s="119"/>
      <c r="HE455" s="119"/>
      <c r="HF455" s="119"/>
      <c r="HG455" s="119"/>
      <c r="HH455" s="119"/>
      <c r="HI455" s="119"/>
      <c r="HJ455" s="119"/>
      <c r="HK455" s="119"/>
      <c r="HL455" s="119"/>
      <c r="HM455" s="119"/>
      <c r="HN455" s="119"/>
      <c r="HO455" s="119"/>
      <c r="HP455" s="119"/>
      <c r="HQ455" s="119"/>
      <c r="HR455" s="119"/>
      <c r="HS455" s="119"/>
      <c r="HT455" s="119"/>
      <c r="HU455" s="119"/>
      <c r="HV455" s="119"/>
      <c r="HW455" s="119"/>
      <c r="HX455" s="119"/>
      <c r="HY455" s="119"/>
      <c r="HZ455" s="119"/>
      <c r="IA455" s="119"/>
      <c r="IB455" s="119"/>
      <c r="IC455" s="119"/>
      <c r="ID455" s="119"/>
      <c r="IE455" s="119"/>
      <c r="IF455" s="119"/>
      <c r="IG455" s="119"/>
      <c r="IH455" s="119"/>
      <c r="II455" s="119"/>
      <c r="IJ455" s="119"/>
      <c r="IK455" s="119"/>
      <c r="IL455" s="119"/>
      <c r="IM455" s="119"/>
      <c r="IN455" s="119"/>
      <c r="IO455" s="119"/>
      <c r="IP455" s="119"/>
      <c r="IQ455" s="119"/>
      <c r="IR455" s="119"/>
      <c r="IS455" s="119"/>
      <c r="IT455" s="119"/>
      <c r="IU455" s="119"/>
      <c r="IV455" s="119"/>
      <c r="IW455" s="119"/>
    </row>
    <row r="456" customFormat="false" ht="18" hidden="true" customHeight="true" outlineLevel="0" collapsed="false">
      <c r="A456" s="234" t="s">
        <v>428</v>
      </c>
      <c r="B456" s="113"/>
      <c r="C456" s="114"/>
      <c r="D456" s="115" t="n">
        <f aca="false">I456/0.03</f>
        <v>5704.7</v>
      </c>
      <c r="E456" s="116" t="n">
        <f aca="false">234859/1000</f>
        <v>234.859</v>
      </c>
      <c r="F456" s="116" t="n">
        <f aca="false">-63718/1000</f>
        <v>-63.718</v>
      </c>
      <c r="G456" s="116"/>
      <c r="H456" s="116"/>
      <c r="I456" s="117" t="n">
        <f aca="false">SUM(E456:G456)</f>
        <v>171.141</v>
      </c>
      <c r="J456" s="118" t="s">
        <v>70</v>
      </c>
      <c r="K456" s="119"/>
      <c r="L456" s="119"/>
      <c r="M456" s="119"/>
      <c r="N456" s="119"/>
      <c r="O456" s="119"/>
      <c r="P456" s="119"/>
      <c r="Q456" s="119"/>
      <c r="R456" s="119"/>
      <c r="S456" s="119"/>
      <c r="T456" s="65" t="n">
        <f aca="false">IF(D456&gt;0,(I456/D456),"")</f>
        <v>0.03</v>
      </c>
      <c r="U456" s="119"/>
      <c r="V456" s="119"/>
      <c r="W456" s="119"/>
      <c r="X456" s="119"/>
      <c r="Y456" s="119"/>
      <c r="Z456" s="119"/>
      <c r="AA456" s="119"/>
      <c r="AB456" s="119"/>
      <c r="AC456" s="119"/>
      <c r="AD456" s="119"/>
      <c r="AE456" s="119"/>
      <c r="AF456" s="119"/>
      <c r="AG456" s="119"/>
      <c r="AH456" s="119"/>
      <c r="AI456" s="119"/>
      <c r="AJ456" s="119"/>
      <c r="AK456" s="119"/>
      <c r="AL456" s="119"/>
      <c r="AM456" s="119"/>
      <c r="AN456" s="119"/>
      <c r="AO456" s="119"/>
      <c r="AP456" s="119"/>
      <c r="AQ456" s="119"/>
      <c r="AR456" s="119"/>
      <c r="AS456" s="119"/>
      <c r="AT456" s="119"/>
      <c r="AU456" s="119"/>
      <c r="AV456" s="119"/>
      <c r="AW456" s="119"/>
      <c r="AX456" s="119"/>
      <c r="AY456" s="119"/>
      <c r="AZ456" s="119"/>
      <c r="BA456" s="119"/>
      <c r="BB456" s="119"/>
      <c r="BC456" s="119"/>
      <c r="BD456" s="119"/>
      <c r="BE456" s="119"/>
      <c r="BF456" s="119"/>
      <c r="BG456" s="119"/>
      <c r="BH456" s="119"/>
      <c r="BI456" s="119"/>
      <c r="BJ456" s="119"/>
      <c r="BK456" s="119"/>
      <c r="BL456" s="119"/>
      <c r="BM456" s="119"/>
      <c r="BN456" s="119"/>
      <c r="BO456" s="119"/>
      <c r="BP456" s="119"/>
      <c r="BQ456" s="119"/>
      <c r="BR456" s="119"/>
      <c r="BS456" s="119"/>
      <c r="BT456" s="119"/>
      <c r="BU456" s="119"/>
      <c r="BV456" s="119"/>
      <c r="BW456" s="119"/>
      <c r="BX456" s="119"/>
      <c r="BY456" s="119"/>
      <c r="BZ456" s="119"/>
      <c r="CA456" s="119"/>
      <c r="CB456" s="119"/>
      <c r="CC456" s="119"/>
      <c r="CD456" s="119"/>
      <c r="CE456" s="119"/>
      <c r="CF456" s="119"/>
      <c r="CG456" s="119"/>
      <c r="CH456" s="119"/>
      <c r="CI456" s="119"/>
      <c r="CJ456" s="119"/>
      <c r="CK456" s="119"/>
      <c r="CL456" s="119"/>
      <c r="CM456" s="119"/>
      <c r="CN456" s="119"/>
      <c r="CO456" s="119"/>
      <c r="CP456" s="119"/>
      <c r="CQ456" s="119"/>
      <c r="CR456" s="119"/>
      <c r="CS456" s="119"/>
      <c r="CT456" s="119"/>
      <c r="CU456" s="119"/>
      <c r="CV456" s="119"/>
      <c r="CW456" s="119"/>
      <c r="CX456" s="119"/>
      <c r="CY456" s="119"/>
      <c r="CZ456" s="119"/>
      <c r="DA456" s="119"/>
      <c r="DB456" s="119"/>
      <c r="DC456" s="119"/>
      <c r="DD456" s="119"/>
      <c r="DE456" s="119"/>
      <c r="DF456" s="119"/>
      <c r="DG456" s="119"/>
      <c r="DH456" s="119"/>
      <c r="DI456" s="119"/>
      <c r="DJ456" s="119"/>
      <c r="DK456" s="119"/>
      <c r="DL456" s="119"/>
      <c r="DM456" s="119"/>
      <c r="DN456" s="119"/>
      <c r="DO456" s="119"/>
      <c r="DP456" s="119"/>
      <c r="DQ456" s="119"/>
      <c r="DR456" s="119"/>
      <c r="DS456" s="119"/>
      <c r="DT456" s="119"/>
      <c r="DU456" s="119"/>
      <c r="DV456" s="119"/>
      <c r="DW456" s="119"/>
      <c r="DX456" s="119"/>
      <c r="DY456" s="119"/>
      <c r="DZ456" s="119"/>
      <c r="EA456" s="119"/>
      <c r="EB456" s="119"/>
      <c r="EC456" s="119"/>
      <c r="ED456" s="119"/>
      <c r="EE456" s="119"/>
      <c r="EF456" s="119"/>
      <c r="EG456" s="119"/>
      <c r="EH456" s="119"/>
      <c r="EI456" s="119"/>
      <c r="EJ456" s="119"/>
      <c r="EK456" s="119"/>
      <c r="EL456" s="119"/>
      <c r="EM456" s="119"/>
      <c r="EN456" s="119"/>
      <c r="EO456" s="119"/>
      <c r="EP456" s="119"/>
      <c r="EQ456" s="119"/>
      <c r="ER456" s="119"/>
      <c r="ES456" s="119"/>
      <c r="ET456" s="119"/>
      <c r="EU456" s="119"/>
      <c r="EV456" s="119"/>
      <c r="EW456" s="119"/>
      <c r="EX456" s="119"/>
      <c r="EY456" s="119"/>
      <c r="EZ456" s="119"/>
      <c r="FA456" s="119"/>
      <c r="FB456" s="119"/>
      <c r="FC456" s="119"/>
      <c r="FD456" s="119"/>
      <c r="FE456" s="119"/>
      <c r="FF456" s="119"/>
      <c r="FG456" s="119"/>
      <c r="FH456" s="119"/>
      <c r="FI456" s="119"/>
      <c r="FJ456" s="119"/>
      <c r="FK456" s="119"/>
      <c r="FL456" s="119"/>
      <c r="FM456" s="119"/>
      <c r="FN456" s="119"/>
      <c r="FO456" s="119"/>
      <c r="FP456" s="119"/>
      <c r="FQ456" s="119"/>
      <c r="FR456" s="119"/>
      <c r="FS456" s="119"/>
      <c r="FT456" s="119"/>
      <c r="FU456" s="119"/>
      <c r="FV456" s="119"/>
      <c r="FW456" s="119"/>
      <c r="FX456" s="119"/>
      <c r="FY456" s="119"/>
      <c r="FZ456" s="119"/>
      <c r="GA456" s="119"/>
      <c r="GB456" s="119"/>
      <c r="GC456" s="119"/>
      <c r="GD456" s="119"/>
      <c r="GE456" s="119"/>
      <c r="GF456" s="119"/>
      <c r="GG456" s="119"/>
      <c r="GH456" s="119"/>
      <c r="GI456" s="119"/>
      <c r="GJ456" s="119"/>
      <c r="GK456" s="119"/>
      <c r="GL456" s="119"/>
      <c r="GM456" s="119"/>
      <c r="GN456" s="119"/>
      <c r="GO456" s="119"/>
      <c r="GP456" s="119"/>
      <c r="GQ456" s="119"/>
      <c r="GR456" s="119"/>
      <c r="GS456" s="119"/>
      <c r="GT456" s="119"/>
      <c r="GU456" s="119"/>
      <c r="GV456" s="119"/>
      <c r="GW456" s="119"/>
      <c r="GX456" s="119"/>
      <c r="GY456" s="119"/>
      <c r="GZ456" s="119"/>
      <c r="HA456" s="119"/>
      <c r="HB456" s="119"/>
      <c r="HC456" s="119"/>
      <c r="HD456" s="119"/>
      <c r="HE456" s="119"/>
      <c r="HF456" s="119"/>
      <c r="HG456" s="119"/>
      <c r="HH456" s="119"/>
      <c r="HI456" s="119"/>
      <c r="HJ456" s="119"/>
      <c r="HK456" s="119"/>
      <c r="HL456" s="119"/>
      <c r="HM456" s="119"/>
      <c r="HN456" s="119"/>
      <c r="HO456" s="119"/>
      <c r="HP456" s="119"/>
      <c r="HQ456" s="119"/>
      <c r="HR456" s="119"/>
      <c r="HS456" s="119"/>
      <c r="HT456" s="119"/>
      <c r="HU456" s="119"/>
      <c r="HV456" s="119"/>
      <c r="HW456" s="119"/>
      <c r="HX456" s="119"/>
      <c r="HY456" s="119"/>
      <c r="HZ456" s="119"/>
      <c r="IA456" s="119"/>
      <c r="IB456" s="119"/>
      <c r="IC456" s="119"/>
      <c r="ID456" s="119"/>
      <c r="IE456" s="119"/>
      <c r="IF456" s="119"/>
      <c r="IG456" s="119"/>
      <c r="IH456" s="119"/>
      <c r="II456" s="119"/>
      <c r="IJ456" s="119"/>
      <c r="IK456" s="119"/>
      <c r="IL456" s="119"/>
      <c r="IM456" s="119"/>
      <c r="IN456" s="119"/>
      <c r="IO456" s="119"/>
      <c r="IP456" s="119"/>
      <c r="IQ456" s="119"/>
      <c r="IR456" s="119"/>
      <c r="IS456" s="119"/>
      <c r="IT456" s="119"/>
      <c r="IU456" s="119"/>
      <c r="IV456" s="119"/>
      <c r="IW456" s="119"/>
    </row>
    <row r="457" customFormat="false" ht="18" hidden="true" customHeight="true" outlineLevel="0" collapsed="false">
      <c r="A457" s="234" t="s">
        <v>429</v>
      </c>
      <c r="B457" s="113"/>
      <c r="C457" s="114"/>
      <c r="D457" s="115" t="n">
        <f aca="false">I457/0.03</f>
        <v>5761.83333333333</v>
      </c>
      <c r="E457" s="116" t="n">
        <f aca="false">229978/1000</f>
        <v>229.978</v>
      </c>
      <c r="F457" s="116" t="n">
        <f aca="false">-57123/1000</f>
        <v>-57.123</v>
      </c>
      <c r="G457" s="116"/>
      <c r="H457" s="116"/>
      <c r="I457" s="117" t="n">
        <f aca="false">SUM(E457:G457)</f>
        <v>172.855</v>
      </c>
      <c r="J457" s="118" t="s">
        <v>70</v>
      </c>
      <c r="K457" s="119"/>
      <c r="L457" s="119"/>
      <c r="M457" s="119"/>
      <c r="N457" s="119"/>
      <c r="O457" s="119"/>
      <c r="P457" s="119"/>
      <c r="Q457" s="119"/>
      <c r="R457" s="119"/>
      <c r="S457" s="119"/>
      <c r="T457" s="65" t="n">
        <f aca="false">IF(D457&gt;0,(I457/D457),"")</f>
        <v>0.03</v>
      </c>
      <c r="U457" s="119"/>
      <c r="V457" s="119"/>
      <c r="W457" s="119"/>
      <c r="X457" s="119"/>
      <c r="Y457" s="119"/>
      <c r="Z457" s="119"/>
      <c r="AA457" s="119"/>
      <c r="AB457" s="119"/>
      <c r="AC457" s="119"/>
      <c r="AD457" s="119"/>
      <c r="AE457" s="119"/>
      <c r="AF457" s="119"/>
      <c r="AG457" s="119"/>
      <c r="AH457" s="119"/>
      <c r="AI457" s="119"/>
      <c r="AJ457" s="119"/>
      <c r="AK457" s="119"/>
      <c r="AL457" s="119"/>
      <c r="AM457" s="119"/>
      <c r="AN457" s="119"/>
      <c r="AO457" s="119"/>
      <c r="AP457" s="119"/>
      <c r="AQ457" s="119"/>
      <c r="AR457" s="119"/>
      <c r="AS457" s="119"/>
      <c r="AT457" s="119"/>
      <c r="AU457" s="119"/>
      <c r="AV457" s="119"/>
      <c r="AW457" s="119"/>
      <c r="AX457" s="119"/>
      <c r="AY457" s="119"/>
      <c r="AZ457" s="119"/>
      <c r="BA457" s="119"/>
      <c r="BB457" s="119"/>
      <c r="BC457" s="119"/>
      <c r="BD457" s="119"/>
      <c r="BE457" s="119"/>
      <c r="BF457" s="119"/>
      <c r="BG457" s="119"/>
      <c r="BH457" s="119"/>
      <c r="BI457" s="119"/>
      <c r="BJ457" s="119"/>
      <c r="BK457" s="119"/>
      <c r="BL457" s="119"/>
      <c r="BM457" s="119"/>
      <c r="BN457" s="119"/>
      <c r="BO457" s="119"/>
      <c r="BP457" s="119"/>
      <c r="BQ457" s="119"/>
      <c r="BR457" s="119"/>
      <c r="BS457" s="119"/>
      <c r="BT457" s="119"/>
      <c r="BU457" s="119"/>
      <c r="BV457" s="119"/>
      <c r="BW457" s="119"/>
      <c r="BX457" s="119"/>
      <c r="BY457" s="119"/>
      <c r="BZ457" s="119"/>
      <c r="CA457" s="119"/>
      <c r="CB457" s="119"/>
      <c r="CC457" s="119"/>
      <c r="CD457" s="119"/>
      <c r="CE457" s="119"/>
      <c r="CF457" s="119"/>
      <c r="CG457" s="119"/>
      <c r="CH457" s="119"/>
      <c r="CI457" s="119"/>
      <c r="CJ457" s="119"/>
      <c r="CK457" s="119"/>
      <c r="CL457" s="119"/>
      <c r="CM457" s="119"/>
      <c r="CN457" s="119"/>
      <c r="CO457" s="119"/>
      <c r="CP457" s="119"/>
      <c r="CQ457" s="119"/>
      <c r="CR457" s="119"/>
      <c r="CS457" s="119"/>
      <c r="CT457" s="119"/>
      <c r="CU457" s="119"/>
      <c r="CV457" s="119"/>
      <c r="CW457" s="119"/>
      <c r="CX457" s="119"/>
      <c r="CY457" s="119"/>
      <c r="CZ457" s="119"/>
      <c r="DA457" s="119"/>
      <c r="DB457" s="119"/>
      <c r="DC457" s="119"/>
      <c r="DD457" s="119"/>
      <c r="DE457" s="119"/>
      <c r="DF457" s="119"/>
      <c r="DG457" s="119"/>
      <c r="DH457" s="119"/>
      <c r="DI457" s="119"/>
      <c r="DJ457" s="119"/>
      <c r="DK457" s="119"/>
      <c r="DL457" s="119"/>
      <c r="DM457" s="119"/>
      <c r="DN457" s="119"/>
      <c r="DO457" s="119"/>
      <c r="DP457" s="119"/>
      <c r="DQ457" s="119"/>
      <c r="DR457" s="119"/>
      <c r="DS457" s="119"/>
      <c r="DT457" s="119"/>
      <c r="DU457" s="119"/>
      <c r="DV457" s="119"/>
      <c r="DW457" s="119"/>
      <c r="DX457" s="119"/>
      <c r="DY457" s="119"/>
      <c r="DZ457" s="119"/>
      <c r="EA457" s="119"/>
      <c r="EB457" s="119"/>
      <c r="EC457" s="119"/>
      <c r="ED457" s="119"/>
      <c r="EE457" s="119"/>
      <c r="EF457" s="119"/>
      <c r="EG457" s="119"/>
      <c r="EH457" s="119"/>
      <c r="EI457" s="119"/>
      <c r="EJ457" s="119"/>
      <c r="EK457" s="119"/>
      <c r="EL457" s="119"/>
      <c r="EM457" s="119"/>
      <c r="EN457" s="119"/>
      <c r="EO457" s="119"/>
      <c r="EP457" s="119"/>
      <c r="EQ457" s="119"/>
      <c r="ER457" s="119"/>
      <c r="ES457" s="119"/>
      <c r="ET457" s="119"/>
      <c r="EU457" s="119"/>
      <c r="EV457" s="119"/>
      <c r="EW457" s="119"/>
      <c r="EX457" s="119"/>
      <c r="EY457" s="119"/>
      <c r="EZ457" s="119"/>
      <c r="FA457" s="119"/>
      <c r="FB457" s="119"/>
      <c r="FC457" s="119"/>
      <c r="FD457" s="119"/>
      <c r="FE457" s="119"/>
      <c r="FF457" s="119"/>
      <c r="FG457" s="119"/>
      <c r="FH457" s="119"/>
      <c r="FI457" s="119"/>
      <c r="FJ457" s="119"/>
      <c r="FK457" s="119"/>
      <c r="FL457" s="119"/>
      <c r="FM457" s="119"/>
      <c r="FN457" s="119"/>
      <c r="FO457" s="119"/>
      <c r="FP457" s="119"/>
      <c r="FQ457" s="119"/>
      <c r="FR457" s="119"/>
      <c r="FS457" s="119"/>
      <c r="FT457" s="119"/>
      <c r="FU457" s="119"/>
      <c r="FV457" s="119"/>
      <c r="FW457" s="119"/>
      <c r="FX457" s="119"/>
      <c r="FY457" s="119"/>
      <c r="FZ457" s="119"/>
      <c r="GA457" s="119"/>
      <c r="GB457" s="119"/>
      <c r="GC457" s="119"/>
      <c r="GD457" s="119"/>
      <c r="GE457" s="119"/>
      <c r="GF457" s="119"/>
      <c r="GG457" s="119"/>
      <c r="GH457" s="119"/>
      <c r="GI457" s="119"/>
      <c r="GJ457" s="119"/>
      <c r="GK457" s="119"/>
      <c r="GL457" s="119"/>
      <c r="GM457" s="119"/>
      <c r="GN457" s="119"/>
      <c r="GO457" s="119"/>
      <c r="GP457" s="119"/>
      <c r="GQ457" s="119"/>
      <c r="GR457" s="119"/>
      <c r="GS457" s="119"/>
      <c r="GT457" s="119"/>
      <c r="GU457" s="119"/>
      <c r="GV457" s="119"/>
      <c r="GW457" s="119"/>
      <c r="GX457" s="119"/>
      <c r="GY457" s="119"/>
      <c r="GZ457" s="119"/>
      <c r="HA457" s="119"/>
      <c r="HB457" s="119"/>
      <c r="HC457" s="119"/>
      <c r="HD457" s="119"/>
      <c r="HE457" s="119"/>
      <c r="HF457" s="119"/>
      <c r="HG457" s="119"/>
      <c r="HH457" s="119"/>
      <c r="HI457" s="119"/>
      <c r="HJ457" s="119"/>
      <c r="HK457" s="119"/>
      <c r="HL457" s="119"/>
      <c r="HM457" s="119"/>
      <c r="HN457" s="119"/>
      <c r="HO457" s="119"/>
      <c r="HP457" s="119"/>
      <c r="HQ457" s="119"/>
      <c r="HR457" s="119"/>
      <c r="HS457" s="119"/>
      <c r="HT457" s="119"/>
      <c r="HU457" s="119"/>
      <c r="HV457" s="119"/>
      <c r="HW457" s="119"/>
      <c r="HX457" s="119"/>
      <c r="HY457" s="119"/>
      <c r="HZ457" s="119"/>
      <c r="IA457" s="119"/>
      <c r="IB457" s="119"/>
      <c r="IC457" s="119"/>
      <c r="ID457" s="119"/>
      <c r="IE457" s="119"/>
      <c r="IF457" s="119"/>
      <c r="IG457" s="119"/>
      <c r="IH457" s="119"/>
      <c r="II457" s="119"/>
      <c r="IJ457" s="119"/>
      <c r="IK457" s="119"/>
      <c r="IL457" s="119"/>
      <c r="IM457" s="119"/>
      <c r="IN457" s="119"/>
      <c r="IO457" s="119"/>
      <c r="IP457" s="119"/>
      <c r="IQ457" s="119"/>
      <c r="IR457" s="119"/>
      <c r="IS457" s="119"/>
      <c r="IT457" s="119"/>
      <c r="IU457" s="119"/>
      <c r="IV457" s="119"/>
      <c r="IW457" s="119"/>
    </row>
    <row r="458" customFormat="false" ht="18" hidden="true" customHeight="true" outlineLevel="0" collapsed="false">
      <c r="A458" s="234" t="s">
        <v>430</v>
      </c>
      <c r="B458" s="113"/>
      <c r="C458" s="114"/>
      <c r="D458" s="115" t="n">
        <f aca="false">I458/0.03</f>
        <v>772.866666666667</v>
      </c>
      <c r="E458" s="116" t="n">
        <f aca="false">31231/1000</f>
        <v>31.231</v>
      </c>
      <c r="F458" s="116" t="n">
        <v>-8.045</v>
      </c>
      <c r="G458" s="116"/>
      <c r="H458" s="116"/>
      <c r="I458" s="117" t="n">
        <f aca="false">SUM(E458:G458)</f>
        <v>23.186</v>
      </c>
      <c r="J458" s="118" t="s">
        <v>70</v>
      </c>
      <c r="K458" s="119"/>
      <c r="L458" s="119"/>
      <c r="M458" s="119"/>
      <c r="N458" s="119"/>
      <c r="O458" s="119"/>
      <c r="P458" s="119"/>
      <c r="Q458" s="119"/>
      <c r="R458" s="119"/>
      <c r="S458" s="119"/>
      <c r="T458" s="65" t="n">
        <f aca="false">IF(D458&gt;0,(I458/D458),"")</f>
        <v>0.03</v>
      </c>
      <c r="U458" s="119"/>
      <c r="V458" s="119"/>
      <c r="W458" s="119"/>
      <c r="X458" s="119"/>
      <c r="Y458" s="119"/>
      <c r="Z458" s="119"/>
      <c r="AA458" s="119"/>
      <c r="AB458" s="119"/>
      <c r="AC458" s="119"/>
      <c r="AD458" s="119"/>
      <c r="AE458" s="119"/>
      <c r="AF458" s="119"/>
      <c r="AG458" s="119"/>
      <c r="AH458" s="119"/>
      <c r="AI458" s="119"/>
      <c r="AJ458" s="119"/>
      <c r="AK458" s="119"/>
      <c r="AL458" s="119"/>
      <c r="AM458" s="119"/>
      <c r="AN458" s="119"/>
      <c r="AO458" s="119"/>
      <c r="AP458" s="119"/>
      <c r="AQ458" s="119"/>
      <c r="AR458" s="119"/>
      <c r="AS458" s="119"/>
      <c r="AT458" s="119"/>
      <c r="AU458" s="119"/>
      <c r="AV458" s="119"/>
      <c r="AW458" s="119"/>
      <c r="AX458" s="119"/>
      <c r="AY458" s="119"/>
      <c r="AZ458" s="119"/>
      <c r="BA458" s="119"/>
      <c r="BB458" s="119"/>
      <c r="BC458" s="119"/>
      <c r="BD458" s="119"/>
      <c r="BE458" s="119"/>
      <c r="BF458" s="119"/>
      <c r="BG458" s="119"/>
      <c r="BH458" s="119"/>
      <c r="BI458" s="119"/>
      <c r="BJ458" s="119"/>
      <c r="BK458" s="119"/>
      <c r="BL458" s="119"/>
      <c r="BM458" s="119"/>
      <c r="BN458" s="119"/>
      <c r="BO458" s="119"/>
      <c r="BP458" s="119"/>
      <c r="BQ458" s="119"/>
      <c r="BR458" s="119"/>
      <c r="BS458" s="119"/>
      <c r="BT458" s="119"/>
      <c r="BU458" s="119"/>
      <c r="BV458" s="119"/>
      <c r="BW458" s="119"/>
      <c r="BX458" s="119"/>
      <c r="BY458" s="119"/>
      <c r="BZ458" s="119"/>
      <c r="CA458" s="119"/>
      <c r="CB458" s="119"/>
      <c r="CC458" s="119"/>
      <c r="CD458" s="119"/>
      <c r="CE458" s="119"/>
      <c r="CF458" s="119"/>
      <c r="CG458" s="119"/>
      <c r="CH458" s="119"/>
      <c r="CI458" s="119"/>
      <c r="CJ458" s="119"/>
      <c r="CK458" s="119"/>
      <c r="CL458" s="119"/>
      <c r="CM458" s="119"/>
      <c r="CN458" s="119"/>
      <c r="CO458" s="119"/>
      <c r="CP458" s="119"/>
      <c r="CQ458" s="119"/>
      <c r="CR458" s="119"/>
      <c r="CS458" s="119"/>
      <c r="CT458" s="119"/>
      <c r="CU458" s="119"/>
      <c r="CV458" s="119"/>
      <c r="CW458" s="119"/>
      <c r="CX458" s="119"/>
      <c r="CY458" s="119"/>
      <c r="CZ458" s="119"/>
      <c r="DA458" s="119"/>
      <c r="DB458" s="119"/>
      <c r="DC458" s="119"/>
      <c r="DD458" s="119"/>
      <c r="DE458" s="119"/>
      <c r="DF458" s="119"/>
      <c r="DG458" s="119"/>
      <c r="DH458" s="119"/>
      <c r="DI458" s="119"/>
      <c r="DJ458" s="119"/>
      <c r="DK458" s="119"/>
      <c r="DL458" s="119"/>
      <c r="DM458" s="119"/>
      <c r="DN458" s="119"/>
      <c r="DO458" s="119"/>
      <c r="DP458" s="119"/>
      <c r="DQ458" s="119"/>
      <c r="DR458" s="119"/>
      <c r="DS458" s="119"/>
      <c r="DT458" s="119"/>
      <c r="DU458" s="119"/>
      <c r="DV458" s="119"/>
      <c r="DW458" s="119"/>
      <c r="DX458" s="119"/>
      <c r="DY458" s="119"/>
      <c r="DZ458" s="119"/>
      <c r="EA458" s="119"/>
      <c r="EB458" s="119"/>
      <c r="EC458" s="119"/>
      <c r="ED458" s="119"/>
      <c r="EE458" s="119"/>
      <c r="EF458" s="119"/>
      <c r="EG458" s="119"/>
      <c r="EH458" s="119"/>
      <c r="EI458" s="119"/>
      <c r="EJ458" s="119"/>
      <c r="EK458" s="119"/>
      <c r="EL458" s="119"/>
      <c r="EM458" s="119"/>
      <c r="EN458" s="119"/>
      <c r="EO458" s="119"/>
      <c r="EP458" s="119"/>
      <c r="EQ458" s="119"/>
      <c r="ER458" s="119"/>
      <c r="ES458" s="119"/>
      <c r="ET458" s="119"/>
      <c r="EU458" s="119"/>
      <c r="EV458" s="119"/>
      <c r="EW458" s="119"/>
      <c r="EX458" s="119"/>
      <c r="EY458" s="119"/>
      <c r="EZ458" s="119"/>
      <c r="FA458" s="119"/>
      <c r="FB458" s="119"/>
      <c r="FC458" s="119"/>
      <c r="FD458" s="119"/>
      <c r="FE458" s="119"/>
      <c r="FF458" s="119"/>
      <c r="FG458" s="119"/>
      <c r="FH458" s="119"/>
      <c r="FI458" s="119"/>
      <c r="FJ458" s="119"/>
      <c r="FK458" s="119"/>
      <c r="FL458" s="119"/>
      <c r="FM458" s="119"/>
      <c r="FN458" s="119"/>
      <c r="FO458" s="119"/>
      <c r="FP458" s="119"/>
      <c r="FQ458" s="119"/>
      <c r="FR458" s="119"/>
      <c r="FS458" s="119"/>
      <c r="FT458" s="119"/>
      <c r="FU458" s="119"/>
      <c r="FV458" s="119"/>
      <c r="FW458" s="119"/>
      <c r="FX458" s="119"/>
      <c r="FY458" s="119"/>
      <c r="FZ458" s="119"/>
      <c r="GA458" s="119"/>
      <c r="GB458" s="119"/>
      <c r="GC458" s="119"/>
      <c r="GD458" s="119"/>
      <c r="GE458" s="119"/>
      <c r="GF458" s="119"/>
      <c r="GG458" s="119"/>
      <c r="GH458" s="119"/>
      <c r="GI458" s="119"/>
      <c r="GJ458" s="119"/>
      <c r="GK458" s="119"/>
      <c r="GL458" s="119"/>
      <c r="GM458" s="119"/>
      <c r="GN458" s="119"/>
      <c r="GO458" s="119"/>
      <c r="GP458" s="119"/>
      <c r="GQ458" s="119"/>
      <c r="GR458" s="119"/>
      <c r="GS458" s="119"/>
      <c r="GT458" s="119"/>
      <c r="GU458" s="119"/>
      <c r="GV458" s="119"/>
      <c r="GW458" s="119"/>
      <c r="GX458" s="119"/>
      <c r="GY458" s="119"/>
      <c r="GZ458" s="119"/>
      <c r="HA458" s="119"/>
      <c r="HB458" s="119"/>
      <c r="HC458" s="119"/>
      <c r="HD458" s="119"/>
      <c r="HE458" s="119"/>
      <c r="HF458" s="119"/>
      <c r="HG458" s="119"/>
      <c r="HH458" s="119"/>
      <c r="HI458" s="119"/>
      <c r="HJ458" s="119"/>
      <c r="HK458" s="119"/>
      <c r="HL458" s="119"/>
      <c r="HM458" s="119"/>
      <c r="HN458" s="119"/>
      <c r="HO458" s="119"/>
      <c r="HP458" s="119"/>
      <c r="HQ458" s="119"/>
      <c r="HR458" s="119"/>
      <c r="HS458" s="119"/>
      <c r="HT458" s="119"/>
      <c r="HU458" s="119"/>
      <c r="HV458" s="119"/>
      <c r="HW458" s="119"/>
      <c r="HX458" s="119"/>
      <c r="HY458" s="119"/>
      <c r="HZ458" s="119"/>
      <c r="IA458" s="119"/>
      <c r="IB458" s="119"/>
      <c r="IC458" s="119"/>
      <c r="ID458" s="119"/>
      <c r="IE458" s="119"/>
      <c r="IF458" s="119"/>
      <c r="IG458" s="119"/>
      <c r="IH458" s="119"/>
      <c r="II458" s="119"/>
      <c r="IJ458" s="119"/>
      <c r="IK458" s="119"/>
      <c r="IL458" s="119"/>
      <c r="IM458" s="119"/>
      <c r="IN458" s="119"/>
      <c r="IO458" s="119"/>
      <c r="IP458" s="119"/>
      <c r="IQ458" s="119"/>
      <c r="IR458" s="119"/>
      <c r="IS458" s="119"/>
      <c r="IT458" s="119"/>
      <c r="IU458" s="119"/>
      <c r="IV458" s="119"/>
      <c r="IW458" s="119"/>
    </row>
    <row r="459" customFormat="false" ht="18" hidden="true" customHeight="true" outlineLevel="0" collapsed="false">
      <c r="A459" s="227" t="s">
        <v>431</v>
      </c>
      <c r="B459" s="182"/>
      <c r="C459" s="183"/>
      <c r="D459" s="96" t="n">
        <f aca="false">I459/0.03</f>
        <v>2470.86666666667</v>
      </c>
      <c r="E459" s="93" t="n">
        <f aca="false">100967/1000</f>
        <v>100.967</v>
      </c>
      <c r="F459" s="81" t="n">
        <v>-26.841</v>
      </c>
      <c r="G459" s="81"/>
      <c r="H459" s="81"/>
      <c r="I459" s="94" t="n">
        <f aca="false">F459+E459</f>
        <v>74.126</v>
      </c>
      <c r="J459" s="118" t="s">
        <v>70</v>
      </c>
      <c r="K459" s="74"/>
      <c r="L459" s="74"/>
      <c r="M459" s="119"/>
      <c r="N459" s="74"/>
      <c r="O459" s="74"/>
      <c r="P459" s="74"/>
      <c r="Q459" s="74"/>
      <c r="R459" s="74"/>
      <c r="S459" s="74"/>
      <c r="T459" s="65" t="n">
        <f aca="false">IF(D459&gt;0,(I459/D459),"")</f>
        <v>0.03</v>
      </c>
      <c r="U459" s="74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4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/>
      <c r="EY459" s="74"/>
      <c r="EZ459" s="74"/>
      <c r="FA459" s="74"/>
      <c r="FB459" s="74"/>
      <c r="FC459" s="74"/>
      <c r="FD459" s="74"/>
      <c r="FE459" s="74"/>
      <c r="FF459" s="74"/>
      <c r="FG459" s="74"/>
      <c r="FH459" s="74"/>
      <c r="FI459" s="74"/>
      <c r="FJ459" s="74"/>
      <c r="FK459" s="74"/>
      <c r="FL459" s="74"/>
      <c r="FM459" s="74"/>
      <c r="FN459" s="74"/>
      <c r="FO459" s="74"/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</row>
    <row r="460" customFormat="false" ht="18" hidden="true" customHeight="true" outlineLevel="0" collapsed="false">
      <c r="A460" s="227" t="s">
        <v>432</v>
      </c>
      <c r="B460" s="182"/>
      <c r="C460" s="183"/>
      <c r="D460" s="96" t="n">
        <f aca="false">I460/0.03</f>
        <v>3050.76666666667</v>
      </c>
      <c r="E460" s="93" t="n">
        <f aca="false">124622/1000</f>
        <v>124.622</v>
      </c>
      <c r="F460" s="81" t="n">
        <f aca="false">-33099/1000</f>
        <v>-33.099</v>
      </c>
      <c r="G460" s="81"/>
      <c r="H460" s="81"/>
      <c r="I460" s="94" t="n">
        <f aca="false">F460+E460</f>
        <v>91.523</v>
      </c>
      <c r="J460" s="118" t="s">
        <v>70</v>
      </c>
      <c r="K460" s="74"/>
      <c r="L460" s="74"/>
      <c r="M460" s="119"/>
      <c r="N460" s="74"/>
      <c r="O460" s="74"/>
      <c r="P460" s="74"/>
      <c r="Q460" s="74"/>
      <c r="R460" s="74"/>
      <c r="S460" s="74"/>
      <c r="T460" s="65" t="n">
        <f aca="false">IF(D460&gt;0,(I460/D460),"")</f>
        <v>0.03</v>
      </c>
      <c r="U460" s="74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4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/>
      <c r="EY460" s="74"/>
      <c r="EZ460" s="74"/>
      <c r="FA460" s="74"/>
      <c r="FB460" s="74"/>
      <c r="FC460" s="74"/>
      <c r="FD460" s="74"/>
      <c r="FE460" s="74"/>
      <c r="FF460" s="74"/>
      <c r="FG460" s="74"/>
      <c r="FH460" s="74"/>
      <c r="FI460" s="74"/>
      <c r="FJ460" s="74"/>
      <c r="FK460" s="74"/>
      <c r="FL460" s="74"/>
      <c r="FM460" s="74"/>
      <c r="FN460" s="74"/>
      <c r="FO460" s="74"/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</row>
    <row r="461" customFormat="false" ht="18" hidden="true" customHeight="true" outlineLevel="0" collapsed="false">
      <c r="A461" s="227" t="s">
        <v>433</v>
      </c>
      <c r="B461" s="182"/>
      <c r="C461" s="183"/>
      <c r="D461" s="96" t="n">
        <f aca="false">I461/0.03</f>
        <v>2028.93333333333</v>
      </c>
      <c r="E461" s="93" t="n">
        <f aca="false">83175/1000</f>
        <v>83.175</v>
      </c>
      <c r="F461" s="81" t="n">
        <v>-22.307</v>
      </c>
      <c r="G461" s="81"/>
      <c r="H461" s="81"/>
      <c r="I461" s="94" t="n">
        <f aca="false">F461+E461</f>
        <v>60.868</v>
      </c>
      <c r="J461" s="118" t="s">
        <v>70</v>
      </c>
      <c r="K461" s="74"/>
      <c r="L461" s="74"/>
      <c r="M461" s="119"/>
      <c r="N461" s="74"/>
      <c r="O461" s="74"/>
      <c r="P461" s="74"/>
      <c r="Q461" s="74"/>
      <c r="R461" s="74"/>
      <c r="S461" s="74"/>
      <c r="T461" s="65" t="n">
        <f aca="false">IF(D461&gt;0,(I461/D461),"")</f>
        <v>0.03</v>
      </c>
      <c r="U461" s="74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4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/>
      <c r="EY461" s="74"/>
      <c r="EZ461" s="74"/>
      <c r="FA461" s="74"/>
      <c r="FB461" s="74"/>
      <c r="FC461" s="74"/>
      <c r="FD461" s="74"/>
      <c r="FE461" s="74"/>
      <c r="FF461" s="74"/>
      <c r="FG461" s="74"/>
      <c r="FH461" s="74"/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</row>
    <row r="462" customFormat="false" ht="18" hidden="true" customHeight="true" outlineLevel="0" collapsed="false">
      <c r="A462" s="227" t="s">
        <v>434</v>
      </c>
      <c r="B462" s="182"/>
      <c r="C462" s="183"/>
      <c r="D462" s="96" t="n">
        <f aca="false">I462/0.03</f>
        <v>6219.56666666667</v>
      </c>
      <c r="E462" s="93" t="n">
        <f aca="false">255977/1000</f>
        <v>255.977</v>
      </c>
      <c r="F462" s="81" t="n">
        <f aca="false">-69390/1000</f>
        <v>-69.39</v>
      </c>
      <c r="G462" s="81"/>
      <c r="H462" s="81"/>
      <c r="I462" s="94" t="n">
        <f aca="false">F462+E462</f>
        <v>186.587</v>
      </c>
      <c r="J462" s="118" t="s">
        <v>70</v>
      </c>
      <c r="K462" s="74"/>
      <c r="L462" s="74"/>
      <c r="M462" s="119"/>
      <c r="N462" s="74"/>
      <c r="O462" s="74"/>
      <c r="P462" s="74"/>
      <c r="Q462" s="74"/>
      <c r="R462" s="74"/>
      <c r="S462" s="74"/>
      <c r="T462" s="65" t="n">
        <f aca="false">IF(D462&gt;0,(I462/D462),"")</f>
        <v>0.03</v>
      </c>
      <c r="U462" s="74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4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/>
      <c r="EZ462" s="74"/>
      <c r="FA462" s="74"/>
      <c r="FB462" s="74"/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</row>
    <row r="463" customFormat="false" ht="18" hidden="true" customHeight="true" outlineLevel="0" collapsed="false">
      <c r="A463" s="227" t="s">
        <v>435</v>
      </c>
      <c r="B463" s="182"/>
      <c r="C463" s="183"/>
      <c r="D463" s="96" t="n">
        <f aca="false">I463/0.03</f>
        <v>2497.33333333333</v>
      </c>
      <c r="E463" s="93" t="n">
        <f aca="false">101928/1000</f>
        <v>101.928</v>
      </c>
      <c r="F463" s="81" t="n">
        <v>-27.008</v>
      </c>
      <c r="G463" s="81"/>
      <c r="H463" s="81"/>
      <c r="I463" s="94" t="n">
        <f aca="false">F463+E463</f>
        <v>74.92</v>
      </c>
      <c r="J463" s="118" t="s">
        <v>70</v>
      </c>
      <c r="K463" s="74"/>
      <c r="L463" s="74"/>
      <c r="M463" s="119"/>
      <c r="N463" s="74"/>
      <c r="O463" s="74"/>
      <c r="P463" s="74"/>
      <c r="Q463" s="74"/>
      <c r="R463" s="74"/>
      <c r="S463" s="74"/>
      <c r="T463" s="65" t="n">
        <f aca="false">IF(D463&gt;0,(I463/D463),"")</f>
        <v>0.03</v>
      </c>
      <c r="U463" s="74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4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/>
      <c r="FA463" s="74"/>
      <c r="FB463" s="74"/>
      <c r="FC463" s="74"/>
      <c r="FD463" s="74"/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</row>
    <row r="464" customFormat="false" ht="18" hidden="true" customHeight="true" outlineLevel="0" collapsed="false">
      <c r="A464" s="227" t="s">
        <v>436</v>
      </c>
      <c r="B464" s="182"/>
      <c r="C464" s="183"/>
      <c r="D464" s="96" t="n">
        <f aca="false">I464/0.03</f>
        <v>1275.73333333333</v>
      </c>
      <c r="E464" s="93" t="n">
        <f aca="false">52436/1000</f>
        <v>52.436</v>
      </c>
      <c r="F464" s="81" t="n">
        <v>-14.164</v>
      </c>
      <c r="G464" s="81"/>
      <c r="H464" s="81"/>
      <c r="I464" s="94" t="n">
        <f aca="false">F464+E464</f>
        <v>38.272</v>
      </c>
      <c r="J464" s="118" t="s">
        <v>70</v>
      </c>
      <c r="K464" s="74"/>
      <c r="L464" s="74"/>
      <c r="M464" s="119"/>
      <c r="N464" s="74"/>
      <c r="O464" s="74"/>
      <c r="P464" s="74"/>
      <c r="Q464" s="74"/>
      <c r="R464" s="74"/>
      <c r="S464" s="74"/>
      <c r="T464" s="65" t="n">
        <f aca="false">IF(D464&gt;0,(I464/D464),"")</f>
        <v>0.03</v>
      </c>
      <c r="U464" s="74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4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/>
      <c r="EZ464" s="74"/>
      <c r="FA464" s="74"/>
      <c r="FB464" s="74"/>
      <c r="FC464" s="74"/>
      <c r="FD464" s="74"/>
      <c r="FE464" s="74"/>
      <c r="FF464" s="74"/>
      <c r="FG464" s="74"/>
      <c r="FH464" s="74"/>
      <c r="FI464" s="74"/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</row>
    <row r="465" customFormat="false" ht="15.75" hidden="true" customHeight="true" outlineLevel="0" collapsed="false">
      <c r="A465" s="220" t="s">
        <v>437</v>
      </c>
      <c r="B465" s="90"/>
      <c r="C465" s="183"/>
      <c r="D465" s="92" t="n">
        <f aca="false">I465/0.03</f>
        <v>1399.63333333333</v>
      </c>
      <c r="E465" s="93" t="n">
        <v>57.924</v>
      </c>
      <c r="F465" s="81" t="n">
        <v>-15.935</v>
      </c>
      <c r="G465" s="81"/>
      <c r="H465" s="81"/>
      <c r="I465" s="94" t="n">
        <f aca="false">SUM(E465:H465)</f>
        <v>41.989</v>
      </c>
      <c r="J465" s="118" t="s">
        <v>70</v>
      </c>
      <c r="K465" s="74"/>
      <c r="L465" s="74"/>
      <c r="M465" s="119"/>
      <c r="N465" s="74"/>
      <c r="O465" s="74"/>
      <c r="P465" s="74"/>
      <c r="Q465" s="74"/>
      <c r="R465" s="74"/>
      <c r="S465" s="74"/>
      <c r="T465" s="65" t="n">
        <f aca="false">IF(D465&gt;0,(I465/D465),"")</f>
        <v>0.03</v>
      </c>
      <c r="U465" s="74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4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/>
      <c r="FE465" s="74"/>
      <c r="FF465" s="74"/>
      <c r="FG465" s="74"/>
      <c r="FH465" s="74"/>
      <c r="FI465" s="74"/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</row>
    <row r="466" customFormat="false" ht="15.75" hidden="true" customHeight="true" outlineLevel="0" collapsed="false">
      <c r="A466" s="220" t="s">
        <v>438</v>
      </c>
      <c r="B466" s="90"/>
      <c r="C466" s="183"/>
      <c r="D466" s="92" t="n">
        <f aca="false">I466/0.03</f>
        <v>1345.23333333333</v>
      </c>
      <c r="E466" s="93" t="n">
        <v>55.165</v>
      </c>
      <c r="F466" s="81" t="n">
        <v>-14.808</v>
      </c>
      <c r="G466" s="81"/>
      <c r="H466" s="81"/>
      <c r="I466" s="94" t="n">
        <f aca="false">SUM(E466:H466)</f>
        <v>40.357</v>
      </c>
      <c r="J466" s="118" t="s">
        <v>70</v>
      </c>
      <c r="K466" s="74"/>
      <c r="L466" s="74"/>
      <c r="M466" s="119"/>
      <c r="N466" s="74"/>
      <c r="O466" s="74"/>
      <c r="P466" s="74"/>
      <c r="Q466" s="74"/>
      <c r="R466" s="74"/>
      <c r="S466" s="74"/>
      <c r="T466" s="65" t="n">
        <f aca="false">IF(D466&gt;0,(I466/D466),"")</f>
        <v>0.03</v>
      </c>
      <c r="U466" s="74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4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/>
      <c r="FE466" s="74"/>
      <c r="FF466" s="74"/>
      <c r="FG466" s="74"/>
      <c r="FH466" s="74"/>
      <c r="FI466" s="74"/>
      <c r="FJ466" s="74"/>
      <c r="FK466" s="74"/>
      <c r="FL466" s="74"/>
      <c r="FM466" s="74"/>
      <c r="FN466" s="74"/>
      <c r="FO466" s="74"/>
      <c r="FP466" s="74"/>
      <c r="FQ466" s="74"/>
      <c r="FR466" s="74"/>
      <c r="FS466" s="74"/>
      <c r="FT466" s="74"/>
      <c r="FU466" s="74"/>
      <c r="FV466" s="74"/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</row>
    <row r="467" customFormat="false" ht="15.75" hidden="true" customHeight="true" outlineLevel="0" collapsed="false">
      <c r="A467" s="220" t="s">
        <v>439</v>
      </c>
      <c r="B467" s="90"/>
      <c r="C467" s="183"/>
      <c r="D467" s="92" t="n">
        <f aca="false">I467/0.03</f>
        <v>1965.16666666667</v>
      </c>
      <c r="E467" s="93" t="n">
        <v>80.458</v>
      </c>
      <c r="F467" s="81" t="n">
        <v>-21.503</v>
      </c>
      <c r="G467" s="81"/>
      <c r="H467" s="81"/>
      <c r="I467" s="94" t="n">
        <f aca="false">SUM(E467:H467)</f>
        <v>58.955</v>
      </c>
      <c r="J467" s="118" t="s">
        <v>70</v>
      </c>
      <c r="K467" s="74"/>
      <c r="L467" s="74"/>
      <c r="M467" s="119"/>
      <c r="N467" s="74"/>
      <c r="O467" s="74"/>
      <c r="P467" s="74"/>
      <c r="Q467" s="74"/>
      <c r="R467" s="74"/>
      <c r="S467" s="74"/>
      <c r="T467" s="65" t="n">
        <f aca="false">IF(D467&gt;0,(I467/D467),"")</f>
        <v>0.03</v>
      </c>
      <c r="U467" s="74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4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/>
      <c r="FE467" s="74"/>
      <c r="FF467" s="74"/>
      <c r="FG467" s="74"/>
      <c r="FH467" s="74"/>
      <c r="FI467" s="74"/>
      <c r="FJ467" s="74"/>
      <c r="FK467" s="74"/>
      <c r="FL467" s="74"/>
      <c r="FM467" s="74"/>
      <c r="FN467" s="74"/>
      <c r="FO467" s="74"/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</row>
    <row r="468" customFormat="false" ht="15.75" hidden="true" customHeight="true" outlineLevel="0" collapsed="false">
      <c r="A468" s="220" t="s">
        <v>440</v>
      </c>
      <c r="B468" s="90"/>
      <c r="C468" s="183"/>
      <c r="D468" s="92" t="n">
        <f aca="false">I468/0.03</f>
        <v>1489.9</v>
      </c>
      <c r="E468" s="93" t="n">
        <v>60.905</v>
      </c>
      <c r="F468" s="81" t="n">
        <v>-16.208</v>
      </c>
      <c r="G468" s="81"/>
      <c r="H468" s="81"/>
      <c r="I468" s="94" t="n">
        <f aca="false">SUM(E468:H468)</f>
        <v>44.697</v>
      </c>
      <c r="J468" s="118" t="s">
        <v>70</v>
      </c>
      <c r="K468" s="74"/>
      <c r="L468" s="74"/>
      <c r="M468" s="119"/>
      <c r="N468" s="74"/>
      <c r="O468" s="74"/>
      <c r="P468" s="74"/>
      <c r="Q468" s="74"/>
      <c r="R468" s="74"/>
      <c r="S468" s="74"/>
      <c r="T468" s="65" t="n">
        <f aca="false">IF(D468&gt;0,(I468/D468),"")</f>
        <v>0.03</v>
      </c>
      <c r="U468" s="74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4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/>
      <c r="FE468" s="74"/>
      <c r="FF468" s="74"/>
      <c r="FG468" s="74"/>
      <c r="FH468" s="74"/>
      <c r="FI468" s="74"/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</row>
    <row r="469" customFormat="false" ht="15.75" hidden="true" customHeight="true" outlineLevel="0" collapsed="false">
      <c r="A469" s="220" t="s">
        <v>441</v>
      </c>
      <c r="B469" s="90"/>
      <c r="C469" s="183"/>
      <c r="D469" s="92" t="n">
        <f aca="false">I469/0.03</f>
        <v>1035.53333333333</v>
      </c>
      <c r="E469" s="93" t="n">
        <v>42.535</v>
      </c>
      <c r="F469" s="81" t="n">
        <v>-11.469</v>
      </c>
      <c r="G469" s="81"/>
      <c r="H469" s="81"/>
      <c r="I469" s="94" t="n">
        <f aca="false">SUM(E469:G469)</f>
        <v>31.066</v>
      </c>
      <c r="J469" s="118" t="s">
        <v>70</v>
      </c>
      <c r="K469" s="74"/>
      <c r="L469" s="74"/>
      <c r="M469" s="119"/>
      <c r="N469" s="74"/>
      <c r="O469" s="74"/>
      <c r="P469" s="74"/>
      <c r="Q469" s="74"/>
      <c r="R469" s="74"/>
      <c r="S469" s="74"/>
      <c r="T469" s="65" t="n">
        <f aca="false">IF(D469&gt;0,(I469/D469),"")</f>
        <v>0.03</v>
      </c>
      <c r="U469" s="74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4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/>
      <c r="FE469" s="74"/>
      <c r="FF469" s="74"/>
      <c r="FG469" s="74"/>
      <c r="FH469" s="74"/>
      <c r="FI469" s="74"/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</row>
    <row r="470" customFormat="false" ht="0.75" hidden="true" customHeight="true" outlineLevel="0" collapsed="false">
      <c r="A470" s="220" t="s">
        <v>442</v>
      </c>
      <c r="B470" s="90"/>
      <c r="C470" s="183"/>
      <c r="D470" s="92" t="n">
        <f aca="false">I470/0.03</f>
        <v>1145.53333333333</v>
      </c>
      <c r="E470" s="93" t="n">
        <v>47.038</v>
      </c>
      <c r="F470" s="81" t="n">
        <v>-12.672</v>
      </c>
      <c r="G470" s="81"/>
      <c r="H470" s="81"/>
      <c r="I470" s="94" t="n">
        <f aca="false">SUM(E470:G470)</f>
        <v>34.366</v>
      </c>
      <c r="J470" s="118" t="s">
        <v>70</v>
      </c>
      <c r="K470" s="74"/>
      <c r="L470" s="74"/>
      <c r="M470" s="119"/>
      <c r="N470" s="74"/>
      <c r="O470" s="74"/>
      <c r="P470" s="74"/>
      <c r="Q470" s="74"/>
      <c r="R470" s="74"/>
      <c r="S470" s="74"/>
      <c r="T470" s="65" t="n">
        <f aca="false">IF(D470&gt;0,(I470/D470),"")</f>
        <v>0.03</v>
      </c>
      <c r="U470" s="74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4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/>
      <c r="FE470" s="74"/>
      <c r="FF470" s="74"/>
      <c r="FG470" s="74"/>
      <c r="FH470" s="74"/>
      <c r="FI470" s="74"/>
      <c r="FJ470" s="74"/>
      <c r="FK470" s="74"/>
      <c r="FL470" s="74"/>
      <c r="FM470" s="74"/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</row>
    <row r="471" customFormat="false" ht="4.5" hidden="true" customHeight="true" outlineLevel="0" collapsed="false">
      <c r="A471" s="215"/>
      <c r="B471" s="221"/>
      <c r="C471" s="222"/>
      <c r="D471" s="216"/>
      <c r="E471" s="217"/>
      <c r="F471" s="218"/>
      <c r="G471" s="218"/>
      <c r="H471" s="218"/>
      <c r="I471" s="219"/>
      <c r="J471" s="118"/>
      <c r="K471" s="74"/>
      <c r="L471" s="74"/>
      <c r="M471" s="119"/>
      <c r="N471" s="74"/>
      <c r="O471" s="74"/>
      <c r="P471" s="74"/>
      <c r="Q471" s="74"/>
      <c r="R471" s="74"/>
      <c r="S471" s="74"/>
      <c r="T471" s="65" t="str">
        <f aca="false">IF(D471&gt;0,(I471/D471),"")</f>
        <v/>
      </c>
      <c r="U471" s="74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4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/>
      <c r="FE471" s="74"/>
      <c r="FF471" s="74"/>
      <c r="FG471" s="74"/>
      <c r="FH471" s="74"/>
      <c r="FI471" s="74"/>
      <c r="FJ471" s="74"/>
      <c r="FK471" s="74"/>
      <c r="FL471" s="74"/>
      <c r="FM471" s="74"/>
      <c r="FN471" s="74"/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</row>
    <row r="472" customFormat="false" ht="15.75" hidden="false" customHeight="true" outlineLevel="0" collapsed="false">
      <c r="A472" s="220"/>
      <c r="B472" s="95"/>
      <c r="C472" s="188"/>
      <c r="D472" s="92"/>
      <c r="E472" s="93"/>
      <c r="F472" s="81"/>
      <c r="G472" s="81"/>
      <c r="H472" s="81"/>
      <c r="I472" s="94"/>
      <c r="J472" s="118"/>
      <c r="K472" s="74"/>
      <c r="L472" s="74"/>
      <c r="M472" s="119"/>
      <c r="N472" s="74"/>
      <c r="O472" s="74"/>
      <c r="P472" s="74"/>
      <c r="Q472" s="74"/>
      <c r="R472" s="74"/>
      <c r="S472" s="74"/>
      <c r="T472" s="65" t="str">
        <f aca="false">IF(D472&gt;0,(I472/D472),"")</f>
        <v/>
      </c>
      <c r="U472" s="74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4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/>
      <c r="FE472" s="74"/>
      <c r="FF472" s="74"/>
      <c r="FG472" s="74"/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</row>
    <row r="473" customFormat="false" ht="16.5" hidden="false" customHeight="true" outlineLevel="0" collapsed="false">
      <c r="A473" s="120" t="s">
        <v>443</v>
      </c>
      <c r="B473" s="95" t="n">
        <v>37091</v>
      </c>
      <c r="C473" s="188" t="s">
        <v>270</v>
      </c>
      <c r="D473" s="233" t="n">
        <f aca="false">SUM(D474:D679)</f>
        <v>391135.766666667</v>
      </c>
      <c r="E473" s="93" t="n">
        <f aca="false">SUM(E474:E679)</f>
        <v>16111.42</v>
      </c>
      <c r="F473" s="81" t="n">
        <f aca="false">SUM(F474:F679)</f>
        <v>-4341.272</v>
      </c>
      <c r="G473" s="81" t="n">
        <f aca="false">SUM(G474:G679)</f>
        <v>0</v>
      </c>
      <c r="H473" s="81" t="n">
        <f aca="false">SUM(H474:H679)</f>
        <v>0</v>
      </c>
      <c r="I473" s="94" t="n">
        <f aca="false">SUM(I474:I679)</f>
        <v>11770.148</v>
      </c>
      <c r="J473" s="118"/>
      <c r="K473" s="74"/>
      <c r="L473" s="74"/>
      <c r="M473" s="119"/>
      <c r="N473" s="74"/>
      <c r="O473" s="74"/>
      <c r="P473" s="74"/>
      <c r="Q473" s="74"/>
      <c r="R473" s="74"/>
      <c r="S473" s="74"/>
      <c r="T473" s="65" t="n">
        <f aca="false">IF(D473&gt;0,(I473/D473),"")</f>
        <v>0.0300922314016625</v>
      </c>
      <c r="U473" s="74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4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/>
      <c r="FE473" s="74"/>
      <c r="FF473" s="74"/>
      <c r="FG473" s="74"/>
      <c r="FH473" s="74"/>
      <c r="FI473" s="74"/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</row>
    <row r="474" customFormat="false" ht="6.75" hidden="true" customHeight="true" outlineLevel="0" collapsed="false">
      <c r="A474" s="213"/>
      <c r="B474" s="224"/>
      <c r="C474" s="215"/>
      <c r="D474" s="216"/>
      <c r="E474" s="217"/>
      <c r="F474" s="218"/>
      <c r="G474" s="218"/>
      <c r="H474" s="218"/>
      <c r="I474" s="219"/>
      <c r="J474" s="118"/>
      <c r="K474" s="74"/>
      <c r="L474" s="74"/>
      <c r="M474" s="119"/>
      <c r="N474" s="74"/>
      <c r="O474" s="74"/>
      <c r="P474" s="74"/>
      <c r="Q474" s="74"/>
      <c r="R474" s="74"/>
      <c r="S474" s="74"/>
      <c r="T474" s="65" t="str">
        <f aca="false">IF(D474&gt;0,(I474/D474),"")</f>
        <v/>
      </c>
      <c r="U474" s="74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4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/>
      <c r="FE474" s="74"/>
      <c r="FF474" s="74"/>
      <c r="FG474" s="74"/>
      <c r="FH474" s="74"/>
      <c r="FI474" s="74"/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</row>
    <row r="475" customFormat="false" ht="18.75" hidden="true" customHeight="false" outlineLevel="0" collapsed="false">
      <c r="A475" s="234" t="s">
        <v>444</v>
      </c>
      <c r="B475" s="113"/>
      <c r="C475" s="114"/>
      <c r="D475" s="69" t="n">
        <f aca="false">I475/0.03</f>
        <v>3208.66666666667</v>
      </c>
      <c r="E475" s="116" t="n">
        <f aca="false">114485/1000</f>
        <v>114.485</v>
      </c>
      <c r="F475" s="116" t="n">
        <v>-18.225</v>
      </c>
      <c r="G475" s="116"/>
      <c r="H475" s="116"/>
      <c r="I475" s="117" t="n">
        <f aca="false">SUM(E475:G475)</f>
        <v>96.26</v>
      </c>
      <c r="J475" s="118" t="s">
        <v>226</v>
      </c>
      <c r="K475" s="119"/>
      <c r="L475" s="119"/>
      <c r="M475" s="119"/>
      <c r="N475" s="119"/>
      <c r="O475" s="119"/>
      <c r="P475" s="119"/>
      <c r="Q475" s="119"/>
      <c r="R475" s="119"/>
      <c r="S475" s="119"/>
      <c r="T475" s="65" t="n">
        <f aca="false">IF(D475&gt;0,(I475/D475),"")</f>
        <v>0.03</v>
      </c>
      <c r="U475" s="119"/>
      <c r="V475" s="119"/>
      <c r="W475" s="119"/>
      <c r="X475" s="119"/>
      <c r="Y475" s="119"/>
      <c r="Z475" s="119"/>
      <c r="AA475" s="119"/>
      <c r="AB475" s="119"/>
      <c r="AC475" s="119"/>
      <c r="AD475" s="119"/>
      <c r="AE475" s="119"/>
      <c r="AF475" s="119"/>
      <c r="AG475" s="119"/>
      <c r="AH475" s="119"/>
      <c r="AI475" s="119"/>
      <c r="AJ475" s="119"/>
      <c r="AK475" s="119"/>
      <c r="AL475" s="119"/>
      <c r="AM475" s="119"/>
      <c r="AN475" s="119"/>
      <c r="AO475" s="119"/>
      <c r="AP475" s="119"/>
      <c r="AQ475" s="119"/>
      <c r="AR475" s="119"/>
      <c r="AS475" s="119"/>
      <c r="AT475" s="119"/>
      <c r="AU475" s="119"/>
      <c r="AV475" s="119"/>
      <c r="AW475" s="119"/>
      <c r="AX475" s="119"/>
      <c r="AY475" s="119"/>
      <c r="AZ475" s="119"/>
      <c r="BA475" s="119"/>
      <c r="BB475" s="119"/>
      <c r="BC475" s="119"/>
      <c r="BD475" s="119"/>
      <c r="BE475" s="119"/>
      <c r="BF475" s="119"/>
      <c r="BG475" s="119"/>
      <c r="BH475" s="119"/>
      <c r="BI475" s="119"/>
      <c r="BJ475" s="119"/>
      <c r="BK475" s="119"/>
      <c r="BL475" s="119"/>
      <c r="BM475" s="119"/>
      <c r="BN475" s="119"/>
      <c r="BO475" s="119"/>
      <c r="BP475" s="119"/>
      <c r="BQ475" s="119"/>
      <c r="BR475" s="119"/>
      <c r="BS475" s="119"/>
      <c r="BT475" s="119"/>
      <c r="BU475" s="119"/>
      <c r="BV475" s="119"/>
      <c r="BW475" s="119"/>
      <c r="BX475" s="119"/>
      <c r="BY475" s="119"/>
      <c r="BZ475" s="119"/>
      <c r="CA475" s="119"/>
      <c r="CB475" s="119"/>
      <c r="CC475" s="119"/>
      <c r="CD475" s="119"/>
      <c r="CE475" s="119"/>
      <c r="CF475" s="119"/>
      <c r="CG475" s="119"/>
      <c r="CH475" s="119"/>
      <c r="CI475" s="119"/>
      <c r="CJ475" s="119"/>
      <c r="CK475" s="119"/>
      <c r="CL475" s="119"/>
      <c r="CM475" s="119"/>
      <c r="CN475" s="119"/>
      <c r="CO475" s="119"/>
      <c r="CP475" s="119"/>
      <c r="CQ475" s="119"/>
      <c r="CR475" s="119"/>
      <c r="CS475" s="119"/>
      <c r="CT475" s="119"/>
      <c r="CU475" s="119"/>
      <c r="CV475" s="119"/>
      <c r="CW475" s="119"/>
      <c r="CX475" s="119"/>
      <c r="CY475" s="119"/>
      <c r="CZ475" s="119"/>
      <c r="DA475" s="119"/>
      <c r="DB475" s="119"/>
      <c r="DC475" s="119"/>
      <c r="DD475" s="119"/>
      <c r="DE475" s="119"/>
      <c r="DF475" s="119"/>
      <c r="DG475" s="119"/>
      <c r="DH475" s="119"/>
      <c r="DI475" s="119"/>
      <c r="DJ475" s="119"/>
      <c r="DK475" s="119"/>
      <c r="DL475" s="119"/>
      <c r="DM475" s="119"/>
      <c r="DN475" s="119"/>
      <c r="DO475" s="119"/>
      <c r="DP475" s="119"/>
      <c r="DQ475" s="119"/>
      <c r="DR475" s="119"/>
      <c r="DS475" s="119"/>
      <c r="DT475" s="119"/>
      <c r="DU475" s="119"/>
      <c r="DV475" s="119"/>
      <c r="DW475" s="119"/>
      <c r="DX475" s="119"/>
      <c r="DY475" s="119"/>
      <c r="DZ475" s="119"/>
      <c r="EA475" s="119"/>
      <c r="EB475" s="119"/>
      <c r="EC475" s="119"/>
      <c r="ED475" s="119"/>
      <c r="EE475" s="119"/>
      <c r="EF475" s="119"/>
      <c r="EG475" s="119"/>
      <c r="EH475" s="119"/>
      <c r="EI475" s="119"/>
      <c r="EJ475" s="119"/>
      <c r="EK475" s="119"/>
      <c r="EL475" s="119"/>
      <c r="EM475" s="119"/>
      <c r="EN475" s="119"/>
      <c r="EO475" s="119"/>
      <c r="EP475" s="119"/>
      <c r="EQ475" s="119"/>
      <c r="ER475" s="119"/>
      <c r="ES475" s="119"/>
      <c r="ET475" s="119"/>
      <c r="EU475" s="119"/>
      <c r="EV475" s="119"/>
      <c r="EW475" s="119"/>
      <c r="EX475" s="119"/>
      <c r="EY475" s="119"/>
      <c r="EZ475" s="119"/>
      <c r="FA475" s="119"/>
      <c r="FB475" s="119"/>
      <c r="FC475" s="119"/>
      <c r="FD475" s="119"/>
      <c r="FE475" s="119"/>
      <c r="FF475" s="119"/>
      <c r="FG475" s="119"/>
      <c r="FH475" s="119"/>
      <c r="FI475" s="119"/>
      <c r="FJ475" s="119"/>
      <c r="FK475" s="119"/>
      <c r="FL475" s="119"/>
      <c r="FM475" s="119"/>
      <c r="FN475" s="119"/>
      <c r="FO475" s="119"/>
      <c r="FP475" s="119"/>
      <c r="FQ475" s="119"/>
      <c r="FR475" s="119"/>
      <c r="FS475" s="119"/>
      <c r="FT475" s="119"/>
      <c r="FU475" s="119"/>
      <c r="FV475" s="119"/>
      <c r="FW475" s="119"/>
      <c r="FX475" s="119"/>
      <c r="FY475" s="119"/>
      <c r="FZ475" s="119"/>
      <c r="GA475" s="119"/>
      <c r="GB475" s="119"/>
      <c r="GC475" s="119"/>
      <c r="GD475" s="119"/>
      <c r="GE475" s="119"/>
      <c r="GF475" s="119"/>
      <c r="GG475" s="119"/>
      <c r="GH475" s="119"/>
      <c r="GI475" s="119"/>
      <c r="GJ475" s="119"/>
      <c r="GK475" s="119"/>
      <c r="GL475" s="119"/>
      <c r="GM475" s="119"/>
      <c r="GN475" s="119"/>
      <c r="GO475" s="119"/>
      <c r="GP475" s="119"/>
      <c r="GQ475" s="119"/>
      <c r="GR475" s="119"/>
      <c r="GS475" s="119"/>
      <c r="GT475" s="119"/>
      <c r="GU475" s="119"/>
      <c r="GV475" s="119"/>
      <c r="GW475" s="119"/>
      <c r="GX475" s="119"/>
      <c r="GY475" s="119"/>
      <c r="GZ475" s="119"/>
      <c r="HA475" s="119"/>
      <c r="HB475" s="119"/>
      <c r="HC475" s="119"/>
      <c r="HD475" s="119"/>
      <c r="HE475" s="119"/>
      <c r="HF475" s="119"/>
      <c r="HG475" s="119"/>
      <c r="HH475" s="119"/>
      <c r="HI475" s="119"/>
      <c r="HJ475" s="119"/>
      <c r="HK475" s="119"/>
      <c r="HL475" s="119"/>
      <c r="HM475" s="119"/>
      <c r="HN475" s="119"/>
      <c r="HO475" s="119"/>
      <c r="HP475" s="119"/>
      <c r="HQ475" s="119"/>
      <c r="HR475" s="119"/>
      <c r="HS475" s="119"/>
      <c r="HT475" s="119"/>
      <c r="HU475" s="119"/>
      <c r="HV475" s="119"/>
      <c r="HW475" s="119"/>
      <c r="HX475" s="119"/>
      <c r="HY475" s="119"/>
      <c r="HZ475" s="119"/>
      <c r="IA475" s="119"/>
      <c r="IB475" s="119"/>
      <c r="IC475" s="119"/>
      <c r="ID475" s="119"/>
      <c r="IE475" s="119"/>
      <c r="IF475" s="119"/>
      <c r="IG475" s="119"/>
      <c r="IH475" s="119"/>
      <c r="II475" s="119"/>
      <c r="IJ475" s="119"/>
      <c r="IK475" s="119"/>
      <c r="IL475" s="119"/>
      <c r="IM475" s="119"/>
      <c r="IN475" s="119"/>
      <c r="IO475" s="119"/>
      <c r="IP475" s="119"/>
      <c r="IQ475" s="119"/>
      <c r="IR475" s="119"/>
      <c r="IS475" s="119"/>
      <c r="IT475" s="119"/>
      <c r="IU475" s="119"/>
      <c r="IV475" s="119"/>
      <c r="IW475" s="119"/>
    </row>
    <row r="476" customFormat="false" ht="18.75" hidden="true" customHeight="false" outlineLevel="0" collapsed="false">
      <c r="A476" s="234" t="s">
        <v>445</v>
      </c>
      <c r="B476" s="113"/>
      <c r="C476" s="114"/>
      <c r="D476" s="69" t="n">
        <f aca="false">I476/0.03</f>
        <v>786.066666666667</v>
      </c>
      <c r="E476" s="116" t="n">
        <f aca="false">30600/1000</f>
        <v>30.6</v>
      </c>
      <c r="F476" s="116" t="n">
        <v>-7.018</v>
      </c>
      <c r="G476" s="116"/>
      <c r="H476" s="116"/>
      <c r="I476" s="117" t="n">
        <f aca="false">SUM(E476:G476)</f>
        <v>23.582</v>
      </c>
      <c r="J476" s="118" t="s">
        <v>226</v>
      </c>
      <c r="K476" s="119"/>
      <c r="L476" s="119"/>
      <c r="M476" s="119"/>
      <c r="N476" s="119"/>
      <c r="O476" s="119"/>
      <c r="P476" s="119"/>
      <c r="Q476" s="119"/>
      <c r="R476" s="119"/>
      <c r="S476" s="119"/>
      <c r="T476" s="65" t="n">
        <f aca="false">IF(D476&gt;0,(I476/D476),"")</f>
        <v>0.03</v>
      </c>
      <c r="U476" s="119"/>
      <c r="V476" s="119"/>
      <c r="W476" s="119"/>
      <c r="X476" s="119"/>
      <c r="Y476" s="119"/>
      <c r="Z476" s="119"/>
      <c r="AA476" s="119"/>
      <c r="AB476" s="119"/>
      <c r="AC476" s="119"/>
      <c r="AD476" s="119"/>
      <c r="AE476" s="119"/>
      <c r="AF476" s="119"/>
      <c r="AG476" s="119"/>
      <c r="AH476" s="119"/>
      <c r="AI476" s="119"/>
      <c r="AJ476" s="119"/>
      <c r="AK476" s="119"/>
      <c r="AL476" s="119"/>
      <c r="AM476" s="119"/>
      <c r="AN476" s="119"/>
      <c r="AO476" s="119"/>
      <c r="AP476" s="119"/>
      <c r="AQ476" s="119"/>
      <c r="AR476" s="119"/>
      <c r="AS476" s="119"/>
      <c r="AT476" s="119"/>
      <c r="AU476" s="119"/>
      <c r="AV476" s="119"/>
      <c r="AW476" s="119"/>
      <c r="AX476" s="119"/>
      <c r="AY476" s="119"/>
      <c r="AZ476" s="119"/>
      <c r="BA476" s="119"/>
      <c r="BB476" s="119"/>
      <c r="BC476" s="119"/>
      <c r="BD476" s="119"/>
      <c r="BE476" s="119"/>
      <c r="BF476" s="119"/>
      <c r="BG476" s="119"/>
      <c r="BH476" s="119"/>
      <c r="BI476" s="119"/>
      <c r="BJ476" s="119"/>
      <c r="BK476" s="119"/>
      <c r="BL476" s="119"/>
      <c r="BM476" s="119"/>
      <c r="BN476" s="119"/>
      <c r="BO476" s="119"/>
      <c r="BP476" s="119"/>
      <c r="BQ476" s="119"/>
      <c r="BR476" s="119"/>
      <c r="BS476" s="119"/>
      <c r="BT476" s="119"/>
      <c r="BU476" s="119"/>
      <c r="BV476" s="119"/>
      <c r="BW476" s="119"/>
      <c r="BX476" s="119"/>
      <c r="BY476" s="119"/>
      <c r="BZ476" s="119"/>
      <c r="CA476" s="119"/>
      <c r="CB476" s="119"/>
      <c r="CC476" s="119"/>
      <c r="CD476" s="119"/>
      <c r="CE476" s="119"/>
      <c r="CF476" s="119"/>
      <c r="CG476" s="119"/>
      <c r="CH476" s="119"/>
      <c r="CI476" s="119"/>
      <c r="CJ476" s="119"/>
      <c r="CK476" s="119"/>
      <c r="CL476" s="119"/>
      <c r="CM476" s="119"/>
      <c r="CN476" s="119"/>
      <c r="CO476" s="119"/>
      <c r="CP476" s="119"/>
      <c r="CQ476" s="119"/>
      <c r="CR476" s="119"/>
      <c r="CS476" s="119"/>
      <c r="CT476" s="119"/>
      <c r="CU476" s="119"/>
      <c r="CV476" s="119"/>
      <c r="CW476" s="119"/>
      <c r="CX476" s="119"/>
      <c r="CY476" s="119"/>
      <c r="CZ476" s="119"/>
      <c r="DA476" s="119"/>
      <c r="DB476" s="119"/>
      <c r="DC476" s="119"/>
      <c r="DD476" s="119"/>
      <c r="DE476" s="119"/>
      <c r="DF476" s="119"/>
      <c r="DG476" s="119"/>
      <c r="DH476" s="119"/>
      <c r="DI476" s="119"/>
      <c r="DJ476" s="119"/>
      <c r="DK476" s="119"/>
      <c r="DL476" s="119"/>
      <c r="DM476" s="119"/>
      <c r="DN476" s="119"/>
      <c r="DO476" s="119"/>
      <c r="DP476" s="119"/>
      <c r="DQ476" s="119"/>
      <c r="DR476" s="119"/>
      <c r="DS476" s="119"/>
      <c r="DT476" s="119"/>
      <c r="DU476" s="119"/>
      <c r="DV476" s="119"/>
      <c r="DW476" s="119"/>
      <c r="DX476" s="119"/>
      <c r="DY476" s="119"/>
      <c r="DZ476" s="119"/>
      <c r="EA476" s="119"/>
      <c r="EB476" s="119"/>
      <c r="EC476" s="119"/>
      <c r="ED476" s="119"/>
      <c r="EE476" s="119"/>
      <c r="EF476" s="119"/>
      <c r="EG476" s="119"/>
      <c r="EH476" s="119"/>
      <c r="EI476" s="119"/>
      <c r="EJ476" s="119"/>
      <c r="EK476" s="119"/>
      <c r="EL476" s="119"/>
      <c r="EM476" s="119"/>
      <c r="EN476" s="119"/>
      <c r="EO476" s="119"/>
      <c r="EP476" s="119"/>
      <c r="EQ476" s="119"/>
      <c r="ER476" s="119"/>
      <c r="ES476" s="119"/>
      <c r="ET476" s="119"/>
      <c r="EU476" s="119"/>
      <c r="EV476" s="119"/>
      <c r="EW476" s="119"/>
      <c r="EX476" s="119"/>
      <c r="EY476" s="119"/>
      <c r="EZ476" s="119"/>
      <c r="FA476" s="119"/>
      <c r="FB476" s="119"/>
      <c r="FC476" s="119"/>
      <c r="FD476" s="119"/>
      <c r="FE476" s="119"/>
      <c r="FF476" s="119"/>
      <c r="FG476" s="119"/>
      <c r="FH476" s="119"/>
      <c r="FI476" s="119"/>
      <c r="FJ476" s="119"/>
      <c r="FK476" s="119"/>
      <c r="FL476" s="119"/>
      <c r="FM476" s="119"/>
      <c r="FN476" s="119"/>
      <c r="FO476" s="119"/>
      <c r="FP476" s="119"/>
      <c r="FQ476" s="119"/>
      <c r="FR476" s="119"/>
      <c r="FS476" s="119"/>
      <c r="FT476" s="119"/>
      <c r="FU476" s="119"/>
      <c r="FV476" s="119"/>
      <c r="FW476" s="119"/>
      <c r="FX476" s="119"/>
      <c r="FY476" s="119"/>
      <c r="FZ476" s="119"/>
      <c r="GA476" s="119"/>
      <c r="GB476" s="119"/>
      <c r="GC476" s="119"/>
      <c r="GD476" s="119"/>
      <c r="GE476" s="119"/>
      <c r="GF476" s="119"/>
      <c r="GG476" s="119"/>
      <c r="GH476" s="119"/>
      <c r="GI476" s="119"/>
      <c r="GJ476" s="119"/>
      <c r="GK476" s="119"/>
      <c r="GL476" s="119"/>
      <c r="GM476" s="119"/>
      <c r="GN476" s="119"/>
      <c r="GO476" s="119"/>
      <c r="GP476" s="119"/>
      <c r="GQ476" s="119"/>
      <c r="GR476" s="119"/>
      <c r="GS476" s="119"/>
      <c r="GT476" s="119"/>
      <c r="GU476" s="119"/>
      <c r="GV476" s="119"/>
      <c r="GW476" s="119"/>
      <c r="GX476" s="119"/>
      <c r="GY476" s="119"/>
      <c r="GZ476" s="119"/>
      <c r="HA476" s="119"/>
      <c r="HB476" s="119"/>
      <c r="HC476" s="119"/>
      <c r="HD476" s="119"/>
      <c r="HE476" s="119"/>
      <c r="HF476" s="119"/>
      <c r="HG476" s="119"/>
      <c r="HH476" s="119"/>
      <c r="HI476" s="119"/>
      <c r="HJ476" s="119"/>
      <c r="HK476" s="119"/>
      <c r="HL476" s="119"/>
      <c r="HM476" s="119"/>
      <c r="HN476" s="119"/>
      <c r="HO476" s="119"/>
      <c r="HP476" s="119"/>
      <c r="HQ476" s="119"/>
      <c r="HR476" s="119"/>
      <c r="HS476" s="119"/>
      <c r="HT476" s="119"/>
      <c r="HU476" s="119"/>
      <c r="HV476" s="119"/>
      <c r="HW476" s="119"/>
      <c r="HX476" s="119"/>
      <c r="HY476" s="119"/>
      <c r="HZ476" s="119"/>
      <c r="IA476" s="119"/>
      <c r="IB476" s="119"/>
      <c r="IC476" s="119"/>
      <c r="ID476" s="119"/>
      <c r="IE476" s="119"/>
      <c r="IF476" s="119"/>
      <c r="IG476" s="119"/>
      <c r="IH476" s="119"/>
      <c r="II476" s="119"/>
      <c r="IJ476" s="119"/>
      <c r="IK476" s="119"/>
      <c r="IL476" s="119"/>
      <c r="IM476" s="119"/>
      <c r="IN476" s="119"/>
      <c r="IO476" s="119"/>
      <c r="IP476" s="119"/>
      <c r="IQ476" s="119"/>
      <c r="IR476" s="119"/>
      <c r="IS476" s="119"/>
      <c r="IT476" s="119"/>
      <c r="IU476" s="119"/>
      <c r="IV476" s="119"/>
      <c r="IW476" s="119"/>
    </row>
    <row r="477" customFormat="false" ht="18.75" hidden="true" customHeight="false" outlineLevel="0" collapsed="false">
      <c r="A477" s="234" t="s">
        <v>446</v>
      </c>
      <c r="B477" s="113"/>
      <c r="C477" s="114"/>
      <c r="D477" s="69" t="n">
        <f aca="false">I477/0.03</f>
        <v>417.566666666667</v>
      </c>
      <c r="E477" s="116" t="n">
        <f aca="false">18090/1000</f>
        <v>18.09</v>
      </c>
      <c r="F477" s="116" t="n">
        <v>-5.563</v>
      </c>
      <c r="G477" s="116"/>
      <c r="H477" s="116"/>
      <c r="I477" s="117" t="n">
        <f aca="false">SUM(E477:G477)</f>
        <v>12.527</v>
      </c>
      <c r="J477" s="118" t="s">
        <v>226</v>
      </c>
      <c r="K477" s="119"/>
      <c r="L477" s="119"/>
      <c r="M477" s="119"/>
      <c r="N477" s="119"/>
      <c r="O477" s="119"/>
      <c r="P477" s="119"/>
      <c r="Q477" s="119"/>
      <c r="R477" s="119"/>
      <c r="S477" s="119"/>
      <c r="T477" s="65" t="n">
        <f aca="false">IF(D477&gt;0,(I477/D477),"")</f>
        <v>0.03</v>
      </c>
      <c r="U477" s="119"/>
      <c r="V477" s="119"/>
      <c r="W477" s="119"/>
      <c r="X477" s="119"/>
      <c r="Y477" s="119"/>
      <c r="Z477" s="119"/>
      <c r="AA477" s="119"/>
      <c r="AB477" s="119"/>
      <c r="AC477" s="119"/>
      <c r="AD477" s="119"/>
      <c r="AE477" s="119"/>
      <c r="AF477" s="119"/>
      <c r="AG477" s="119"/>
      <c r="AH477" s="119"/>
      <c r="AI477" s="119"/>
      <c r="AJ477" s="119"/>
      <c r="AK477" s="119"/>
      <c r="AL477" s="119"/>
      <c r="AM477" s="119"/>
      <c r="AN477" s="119"/>
      <c r="AO477" s="119"/>
      <c r="AP477" s="119"/>
      <c r="AQ477" s="119"/>
      <c r="AR477" s="119"/>
      <c r="AS477" s="119"/>
      <c r="AT477" s="119"/>
      <c r="AU477" s="119"/>
      <c r="AV477" s="119"/>
      <c r="AW477" s="119"/>
      <c r="AX477" s="119"/>
      <c r="AY477" s="119"/>
      <c r="AZ477" s="119"/>
      <c r="BA477" s="119"/>
      <c r="BB477" s="119"/>
      <c r="BC477" s="119"/>
      <c r="BD477" s="119"/>
      <c r="BE477" s="119"/>
      <c r="BF477" s="119"/>
      <c r="BG477" s="119"/>
      <c r="BH477" s="119"/>
      <c r="BI477" s="119"/>
      <c r="BJ477" s="119"/>
      <c r="BK477" s="119"/>
      <c r="BL477" s="119"/>
      <c r="BM477" s="119"/>
      <c r="BN477" s="119"/>
      <c r="BO477" s="119"/>
      <c r="BP477" s="119"/>
      <c r="BQ477" s="119"/>
      <c r="BR477" s="119"/>
      <c r="BS477" s="119"/>
      <c r="BT477" s="119"/>
      <c r="BU477" s="119"/>
      <c r="BV477" s="119"/>
      <c r="BW477" s="119"/>
      <c r="BX477" s="119"/>
      <c r="BY477" s="119"/>
      <c r="BZ477" s="119"/>
      <c r="CA477" s="119"/>
      <c r="CB477" s="119"/>
      <c r="CC477" s="119"/>
      <c r="CD477" s="119"/>
      <c r="CE477" s="119"/>
      <c r="CF477" s="119"/>
      <c r="CG477" s="119"/>
      <c r="CH477" s="119"/>
      <c r="CI477" s="119"/>
      <c r="CJ477" s="119"/>
      <c r="CK477" s="119"/>
      <c r="CL477" s="119"/>
      <c r="CM477" s="119"/>
      <c r="CN477" s="119"/>
      <c r="CO477" s="119"/>
      <c r="CP477" s="119"/>
      <c r="CQ477" s="119"/>
      <c r="CR477" s="119"/>
      <c r="CS477" s="119"/>
      <c r="CT477" s="119"/>
      <c r="CU477" s="119"/>
      <c r="CV477" s="119"/>
      <c r="CW477" s="119"/>
      <c r="CX477" s="119"/>
      <c r="CY477" s="119"/>
      <c r="CZ477" s="119"/>
      <c r="DA477" s="119"/>
      <c r="DB477" s="119"/>
      <c r="DC477" s="119"/>
      <c r="DD477" s="119"/>
      <c r="DE477" s="119"/>
      <c r="DF477" s="119"/>
      <c r="DG477" s="119"/>
      <c r="DH477" s="119"/>
      <c r="DI477" s="119"/>
      <c r="DJ477" s="119"/>
      <c r="DK477" s="119"/>
      <c r="DL477" s="119"/>
      <c r="DM477" s="119"/>
      <c r="DN477" s="119"/>
      <c r="DO477" s="119"/>
      <c r="DP477" s="119"/>
      <c r="DQ477" s="119"/>
      <c r="DR477" s="119"/>
      <c r="DS477" s="119"/>
      <c r="DT477" s="119"/>
      <c r="DU477" s="119"/>
      <c r="DV477" s="119"/>
      <c r="DW477" s="119"/>
      <c r="DX477" s="119"/>
      <c r="DY477" s="119"/>
      <c r="DZ477" s="119"/>
      <c r="EA477" s="119"/>
      <c r="EB477" s="119"/>
      <c r="EC477" s="119"/>
      <c r="ED477" s="119"/>
      <c r="EE477" s="119"/>
      <c r="EF477" s="119"/>
      <c r="EG477" s="119"/>
      <c r="EH477" s="119"/>
      <c r="EI477" s="119"/>
      <c r="EJ477" s="119"/>
      <c r="EK477" s="119"/>
      <c r="EL477" s="119"/>
      <c r="EM477" s="119"/>
      <c r="EN477" s="119"/>
      <c r="EO477" s="119"/>
      <c r="EP477" s="119"/>
      <c r="EQ477" s="119"/>
      <c r="ER477" s="119"/>
      <c r="ES477" s="119"/>
      <c r="ET477" s="119"/>
      <c r="EU477" s="119"/>
      <c r="EV477" s="119"/>
      <c r="EW477" s="119"/>
      <c r="EX477" s="119"/>
      <c r="EY477" s="119"/>
      <c r="EZ477" s="119"/>
      <c r="FA477" s="119"/>
      <c r="FB477" s="119"/>
      <c r="FC477" s="119"/>
      <c r="FD477" s="119"/>
      <c r="FE477" s="119"/>
      <c r="FF477" s="119"/>
      <c r="FG477" s="119"/>
      <c r="FH477" s="119"/>
      <c r="FI477" s="119"/>
      <c r="FJ477" s="119"/>
      <c r="FK477" s="119"/>
      <c r="FL477" s="119"/>
      <c r="FM477" s="119"/>
      <c r="FN477" s="119"/>
      <c r="FO477" s="119"/>
      <c r="FP477" s="119"/>
      <c r="FQ477" s="119"/>
      <c r="FR477" s="119"/>
      <c r="FS477" s="119"/>
      <c r="FT477" s="119"/>
      <c r="FU477" s="119"/>
      <c r="FV477" s="119"/>
      <c r="FW477" s="119"/>
      <c r="FX477" s="119"/>
      <c r="FY477" s="119"/>
      <c r="FZ477" s="119"/>
      <c r="GA477" s="119"/>
      <c r="GB477" s="119"/>
      <c r="GC477" s="119"/>
      <c r="GD477" s="119"/>
      <c r="GE477" s="119"/>
      <c r="GF477" s="119"/>
      <c r="GG477" s="119"/>
      <c r="GH477" s="119"/>
      <c r="GI477" s="119"/>
      <c r="GJ477" s="119"/>
      <c r="GK477" s="119"/>
      <c r="GL477" s="119"/>
      <c r="GM477" s="119"/>
      <c r="GN477" s="119"/>
      <c r="GO477" s="119"/>
      <c r="GP477" s="119"/>
      <c r="GQ477" s="119"/>
      <c r="GR477" s="119"/>
      <c r="GS477" s="119"/>
      <c r="GT477" s="119"/>
      <c r="GU477" s="119"/>
      <c r="GV477" s="119"/>
      <c r="GW477" s="119"/>
      <c r="GX477" s="119"/>
      <c r="GY477" s="119"/>
      <c r="GZ477" s="119"/>
      <c r="HA477" s="119"/>
      <c r="HB477" s="119"/>
      <c r="HC477" s="119"/>
      <c r="HD477" s="119"/>
      <c r="HE477" s="119"/>
      <c r="HF477" s="119"/>
      <c r="HG477" s="119"/>
      <c r="HH477" s="119"/>
      <c r="HI477" s="119"/>
      <c r="HJ477" s="119"/>
      <c r="HK477" s="119"/>
      <c r="HL477" s="119"/>
      <c r="HM477" s="119"/>
      <c r="HN477" s="119"/>
      <c r="HO477" s="119"/>
      <c r="HP477" s="119"/>
      <c r="HQ477" s="119"/>
      <c r="HR477" s="119"/>
      <c r="HS477" s="119"/>
      <c r="HT477" s="119"/>
      <c r="HU477" s="119"/>
      <c r="HV477" s="119"/>
      <c r="HW477" s="119"/>
      <c r="HX477" s="119"/>
      <c r="HY477" s="119"/>
      <c r="HZ477" s="119"/>
      <c r="IA477" s="119"/>
      <c r="IB477" s="119"/>
      <c r="IC477" s="119"/>
      <c r="ID477" s="119"/>
      <c r="IE477" s="119"/>
      <c r="IF477" s="119"/>
      <c r="IG477" s="119"/>
      <c r="IH477" s="119"/>
      <c r="II477" s="119"/>
      <c r="IJ477" s="119"/>
      <c r="IK477" s="119"/>
      <c r="IL477" s="119"/>
      <c r="IM477" s="119"/>
      <c r="IN477" s="119"/>
      <c r="IO477" s="119"/>
      <c r="IP477" s="119"/>
      <c r="IQ477" s="119"/>
      <c r="IR477" s="119"/>
      <c r="IS477" s="119"/>
      <c r="IT477" s="119"/>
      <c r="IU477" s="119"/>
      <c r="IV477" s="119"/>
      <c r="IW477" s="119"/>
    </row>
    <row r="478" customFormat="false" ht="18.75" hidden="true" customHeight="false" outlineLevel="0" collapsed="false">
      <c r="A478" s="234" t="s">
        <v>447</v>
      </c>
      <c r="B478" s="113"/>
      <c r="C478" s="114"/>
      <c r="D478" s="69" t="n">
        <f aca="false">I478/0.03</f>
        <v>1377</v>
      </c>
      <c r="E478" s="116" t="n">
        <f aca="false">53863/1000</f>
        <v>53.863</v>
      </c>
      <c r="F478" s="116" t="n">
        <v>-12.553</v>
      </c>
      <c r="G478" s="116"/>
      <c r="H478" s="116"/>
      <c r="I478" s="117" t="n">
        <f aca="false">SUM(E478:G478)</f>
        <v>41.31</v>
      </c>
      <c r="J478" s="118" t="s">
        <v>226</v>
      </c>
      <c r="K478" s="119"/>
      <c r="L478" s="119"/>
      <c r="M478" s="119"/>
      <c r="N478" s="119"/>
      <c r="O478" s="119"/>
      <c r="P478" s="119"/>
      <c r="Q478" s="119"/>
      <c r="R478" s="119"/>
      <c r="S478" s="119"/>
      <c r="T478" s="65" t="n">
        <f aca="false">IF(D478&gt;0,(I478/D478),"")</f>
        <v>0.03</v>
      </c>
      <c r="U478" s="119"/>
      <c r="V478" s="119"/>
      <c r="W478" s="119"/>
      <c r="X478" s="119"/>
      <c r="Y478" s="119"/>
      <c r="Z478" s="119"/>
      <c r="AA478" s="119"/>
      <c r="AB478" s="119"/>
      <c r="AC478" s="119"/>
      <c r="AD478" s="119"/>
      <c r="AE478" s="119"/>
      <c r="AF478" s="119"/>
      <c r="AG478" s="119"/>
      <c r="AH478" s="119"/>
      <c r="AI478" s="119"/>
      <c r="AJ478" s="119"/>
      <c r="AK478" s="119"/>
      <c r="AL478" s="119"/>
      <c r="AM478" s="119"/>
      <c r="AN478" s="119"/>
      <c r="AO478" s="119"/>
      <c r="AP478" s="119"/>
      <c r="AQ478" s="119"/>
      <c r="AR478" s="119"/>
      <c r="AS478" s="119"/>
      <c r="AT478" s="119"/>
      <c r="AU478" s="119"/>
      <c r="AV478" s="119"/>
      <c r="AW478" s="119"/>
      <c r="AX478" s="119"/>
      <c r="AY478" s="119"/>
      <c r="AZ478" s="119"/>
      <c r="BA478" s="119"/>
      <c r="BB478" s="119"/>
      <c r="BC478" s="119"/>
      <c r="BD478" s="119"/>
      <c r="BE478" s="119"/>
      <c r="BF478" s="119"/>
      <c r="BG478" s="119"/>
      <c r="BH478" s="119"/>
      <c r="BI478" s="119"/>
      <c r="BJ478" s="119"/>
      <c r="BK478" s="119"/>
      <c r="BL478" s="119"/>
      <c r="BM478" s="119"/>
      <c r="BN478" s="119"/>
      <c r="BO478" s="119"/>
      <c r="BP478" s="119"/>
      <c r="BQ478" s="119"/>
      <c r="BR478" s="119"/>
      <c r="BS478" s="119"/>
      <c r="BT478" s="119"/>
      <c r="BU478" s="119"/>
      <c r="BV478" s="119"/>
      <c r="BW478" s="119"/>
      <c r="BX478" s="119"/>
      <c r="BY478" s="119"/>
      <c r="BZ478" s="119"/>
      <c r="CA478" s="119"/>
      <c r="CB478" s="119"/>
      <c r="CC478" s="119"/>
      <c r="CD478" s="119"/>
      <c r="CE478" s="119"/>
      <c r="CF478" s="119"/>
      <c r="CG478" s="119"/>
      <c r="CH478" s="119"/>
      <c r="CI478" s="119"/>
      <c r="CJ478" s="119"/>
      <c r="CK478" s="119"/>
      <c r="CL478" s="119"/>
      <c r="CM478" s="119"/>
      <c r="CN478" s="119"/>
      <c r="CO478" s="119"/>
      <c r="CP478" s="119"/>
      <c r="CQ478" s="119"/>
      <c r="CR478" s="119"/>
      <c r="CS478" s="119"/>
      <c r="CT478" s="119"/>
      <c r="CU478" s="119"/>
      <c r="CV478" s="119"/>
      <c r="CW478" s="119"/>
      <c r="CX478" s="119"/>
      <c r="CY478" s="119"/>
      <c r="CZ478" s="119"/>
      <c r="DA478" s="119"/>
      <c r="DB478" s="119"/>
      <c r="DC478" s="119"/>
      <c r="DD478" s="119"/>
      <c r="DE478" s="119"/>
      <c r="DF478" s="119"/>
      <c r="DG478" s="119"/>
      <c r="DH478" s="119"/>
      <c r="DI478" s="119"/>
      <c r="DJ478" s="119"/>
      <c r="DK478" s="119"/>
      <c r="DL478" s="119"/>
      <c r="DM478" s="119"/>
      <c r="DN478" s="119"/>
      <c r="DO478" s="119"/>
      <c r="DP478" s="119"/>
      <c r="DQ478" s="119"/>
      <c r="DR478" s="119"/>
      <c r="DS478" s="119"/>
      <c r="DT478" s="119"/>
      <c r="DU478" s="119"/>
      <c r="DV478" s="119"/>
      <c r="DW478" s="119"/>
      <c r="DX478" s="119"/>
      <c r="DY478" s="119"/>
      <c r="DZ478" s="119"/>
      <c r="EA478" s="119"/>
      <c r="EB478" s="119"/>
      <c r="EC478" s="119"/>
      <c r="ED478" s="119"/>
      <c r="EE478" s="119"/>
      <c r="EF478" s="119"/>
      <c r="EG478" s="119"/>
      <c r="EH478" s="119"/>
      <c r="EI478" s="119"/>
      <c r="EJ478" s="119"/>
      <c r="EK478" s="119"/>
      <c r="EL478" s="119"/>
      <c r="EM478" s="119"/>
      <c r="EN478" s="119"/>
      <c r="EO478" s="119"/>
      <c r="EP478" s="119"/>
      <c r="EQ478" s="119"/>
      <c r="ER478" s="119"/>
      <c r="ES478" s="119"/>
      <c r="ET478" s="119"/>
      <c r="EU478" s="119"/>
      <c r="EV478" s="119"/>
      <c r="EW478" s="119"/>
      <c r="EX478" s="119"/>
      <c r="EY478" s="119"/>
      <c r="EZ478" s="119"/>
      <c r="FA478" s="119"/>
      <c r="FB478" s="119"/>
      <c r="FC478" s="119"/>
      <c r="FD478" s="119"/>
      <c r="FE478" s="119"/>
      <c r="FF478" s="119"/>
      <c r="FG478" s="119"/>
      <c r="FH478" s="119"/>
      <c r="FI478" s="119"/>
      <c r="FJ478" s="119"/>
      <c r="FK478" s="119"/>
      <c r="FL478" s="119"/>
      <c r="FM478" s="119"/>
      <c r="FN478" s="119"/>
      <c r="FO478" s="119"/>
      <c r="FP478" s="119"/>
      <c r="FQ478" s="119"/>
      <c r="FR478" s="119"/>
      <c r="FS478" s="119"/>
      <c r="FT478" s="119"/>
      <c r="FU478" s="119"/>
      <c r="FV478" s="119"/>
      <c r="FW478" s="119"/>
      <c r="FX478" s="119"/>
      <c r="FY478" s="119"/>
      <c r="FZ478" s="119"/>
      <c r="GA478" s="119"/>
      <c r="GB478" s="119"/>
      <c r="GC478" s="119"/>
      <c r="GD478" s="119"/>
      <c r="GE478" s="119"/>
      <c r="GF478" s="119"/>
      <c r="GG478" s="119"/>
      <c r="GH478" s="119"/>
      <c r="GI478" s="119"/>
      <c r="GJ478" s="119"/>
      <c r="GK478" s="119"/>
      <c r="GL478" s="119"/>
      <c r="GM478" s="119"/>
      <c r="GN478" s="119"/>
      <c r="GO478" s="119"/>
      <c r="GP478" s="119"/>
      <c r="GQ478" s="119"/>
      <c r="GR478" s="119"/>
      <c r="GS478" s="119"/>
      <c r="GT478" s="119"/>
      <c r="GU478" s="119"/>
      <c r="GV478" s="119"/>
      <c r="GW478" s="119"/>
      <c r="GX478" s="119"/>
      <c r="GY478" s="119"/>
      <c r="GZ478" s="119"/>
      <c r="HA478" s="119"/>
      <c r="HB478" s="119"/>
      <c r="HC478" s="119"/>
      <c r="HD478" s="119"/>
      <c r="HE478" s="119"/>
      <c r="HF478" s="119"/>
      <c r="HG478" s="119"/>
      <c r="HH478" s="119"/>
      <c r="HI478" s="119"/>
      <c r="HJ478" s="119"/>
      <c r="HK478" s="119"/>
      <c r="HL478" s="119"/>
      <c r="HM478" s="119"/>
      <c r="HN478" s="119"/>
      <c r="HO478" s="119"/>
      <c r="HP478" s="119"/>
      <c r="HQ478" s="119"/>
      <c r="HR478" s="119"/>
      <c r="HS478" s="119"/>
      <c r="HT478" s="119"/>
      <c r="HU478" s="119"/>
      <c r="HV478" s="119"/>
      <c r="HW478" s="119"/>
      <c r="HX478" s="119"/>
      <c r="HY478" s="119"/>
      <c r="HZ478" s="119"/>
      <c r="IA478" s="119"/>
      <c r="IB478" s="119"/>
      <c r="IC478" s="119"/>
      <c r="ID478" s="119"/>
      <c r="IE478" s="119"/>
      <c r="IF478" s="119"/>
      <c r="IG478" s="119"/>
      <c r="IH478" s="119"/>
      <c r="II478" s="119"/>
      <c r="IJ478" s="119"/>
      <c r="IK478" s="119"/>
      <c r="IL478" s="119"/>
      <c r="IM478" s="119"/>
      <c r="IN478" s="119"/>
      <c r="IO478" s="119"/>
      <c r="IP478" s="119"/>
      <c r="IQ478" s="119"/>
      <c r="IR478" s="119"/>
      <c r="IS478" s="119"/>
      <c r="IT478" s="119"/>
      <c r="IU478" s="119"/>
      <c r="IV478" s="119"/>
      <c r="IW478" s="119"/>
    </row>
    <row r="479" customFormat="false" ht="18.75" hidden="true" customHeight="false" outlineLevel="0" collapsed="false">
      <c r="A479" s="234" t="s">
        <v>448</v>
      </c>
      <c r="B479" s="113"/>
      <c r="C479" s="114"/>
      <c r="D479" s="69" t="n">
        <f aca="false">I479/0.03</f>
        <v>402.333333333333</v>
      </c>
      <c r="E479" s="116" t="n">
        <f aca="false">16993/1000</f>
        <v>16.993</v>
      </c>
      <c r="F479" s="116" t="n">
        <v>-4.923</v>
      </c>
      <c r="G479" s="116"/>
      <c r="H479" s="116"/>
      <c r="I479" s="117" t="n">
        <f aca="false">SUM(E479:G479)</f>
        <v>12.07</v>
      </c>
      <c r="J479" s="118" t="s">
        <v>226</v>
      </c>
      <c r="K479" s="119"/>
      <c r="L479" s="119"/>
      <c r="M479" s="119"/>
      <c r="N479" s="119"/>
      <c r="O479" s="119"/>
      <c r="P479" s="119"/>
      <c r="Q479" s="119"/>
      <c r="R479" s="119"/>
      <c r="S479" s="119"/>
      <c r="T479" s="65" t="n">
        <f aca="false">IF(D479&gt;0,(I479/D479),"")</f>
        <v>0.03</v>
      </c>
      <c r="U479" s="119"/>
      <c r="V479" s="119"/>
      <c r="W479" s="119"/>
      <c r="X479" s="119"/>
      <c r="Y479" s="119"/>
      <c r="Z479" s="119"/>
      <c r="AA479" s="119"/>
      <c r="AB479" s="119"/>
      <c r="AC479" s="119"/>
      <c r="AD479" s="119"/>
      <c r="AE479" s="119"/>
      <c r="AF479" s="119"/>
      <c r="AG479" s="119"/>
      <c r="AH479" s="119"/>
      <c r="AI479" s="119"/>
      <c r="AJ479" s="119"/>
      <c r="AK479" s="119"/>
      <c r="AL479" s="119"/>
      <c r="AM479" s="119"/>
      <c r="AN479" s="119"/>
      <c r="AO479" s="119"/>
      <c r="AP479" s="119"/>
      <c r="AQ479" s="119"/>
      <c r="AR479" s="119"/>
      <c r="AS479" s="119"/>
      <c r="AT479" s="119"/>
      <c r="AU479" s="119"/>
      <c r="AV479" s="119"/>
      <c r="AW479" s="119"/>
      <c r="AX479" s="119"/>
      <c r="AY479" s="119"/>
      <c r="AZ479" s="119"/>
      <c r="BA479" s="119"/>
      <c r="BB479" s="119"/>
      <c r="BC479" s="119"/>
      <c r="BD479" s="119"/>
      <c r="BE479" s="119"/>
      <c r="BF479" s="119"/>
      <c r="BG479" s="119"/>
      <c r="BH479" s="119"/>
      <c r="BI479" s="119"/>
      <c r="BJ479" s="119"/>
      <c r="BK479" s="119"/>
      <c r="BL479" s="119"/>
      <c r="BM479" s="119"/>
      <c r="BN479" s="119"/>
      <c r="BO479" s="119"/>
      <c r="BP479" s="119"/>
      <c r="BQ479" s="119"/>
      <c r="BR479" s="119"/>
      <c r="BS479" s="119"/>
      <c r="BT479" s="119"/>
      <c r="BU479" s="119"/>
      <c r="BV479" s="119"/>
      <c r="BW479" s="119"/>
      <c r="BX479" s="119"/>
      <c r="BY479" s="119"/>
      <c r="BZ479" s="119"/>
      <c r="CA479" s="119"/>
      <c r="CB479" s="119"/>
      <c r="CC479" s="119"/>
      <c r="CD479" s="119"/>
      <c r="CE479" s="119"/>
      <c r="CF479" s="119"/>
      <c r="CG479" s="119"/>
      <c r="CH479" s="119"/>
      <c r="CI479" s="119"/>
      <c r="CJ479" s="119"/>
      <c r="CK479" s="119"/>
      <c r="CL479" s="119"/>
      <c r="CM479" s="119"/>
      <c r="CN479" s="119"/>
      <c r="CO479" s="119"/>
      <c r="CP479" s="119"/>
      <c r="CQ479" s="119"/>
      <c r="CR479" s="119"/>
      <c r="CS479" s="119"/>
      <c r="CT479" s="119"/>
      <c r="CU479" s="119"/>
      <c r="CV479" s="119"/>
      <c r="CW479" s="119"/>
      <c r="CX479" s="119"/>
      <c r="CY479" s="119"/>
      <c r="CZ479" s="119"/>
      <c r="DA479" s="119"/>
      <c r="DB479" s="119"/>
      <c r="DC479" s="119"/>
      <c r="DD479" s="119"/>
      <c r="DE479" s="119"/>
      <c r="DF479" s="119"/>
      <c r="DG479" s="119"/>
      <c r="DH479" s="119"/>
      <c r="DI479" s="119"/>
      <c r="DJ479" s="119"/>
      <c r="DK479" s="119"/>
      <c r="DL479" s="119"/>
      <c r="DM479" s="119"/>
      <c r="DN479" s="119"/>
      <c r="DO479" s="119"/>
      <c r="DP479" s="119"/>
      <c r="DQ479" s="119"/>
      <c r="DR479" s="119"/>
      <c r="DS479" s="119"/>
      <c r="DT479" s="119"/>
      <c r="DU479" s="119"/>
      <c r="DV479" s="119"/>
      <c r="DW479" s="119"/>
      <c r="DX479" s="119"/>
      <c r="DY479" s="119"/>
      <c r="DZ479" s="119"/>
      <c r="EA479" s="119"/>
      <c r="EB479" s="119"/>
      <c r="EC479" s="119"/>
      <c r="ED479" s="119"/>
      <c r="EE479" s="119"/>
      <c r="EF479" s="119"/>
      <c r="EG479" s="119"/>
      <c r="EH479" s="119"/>
      <c r="EI479" s="119"/>
      <c r="EJ479" s="119"/>
      <c r="EK479" s="119"/>
      <c r="EL479" s="119"/>
      <c r="EM479" s="119"/>
      <c r="EN479" s="119"/>
      <c r="EO479" s="119"/>
      <c r="EP479" s="119"/>
      <c r="EQ479" s="119"/>
      <c r="ER479" s="119"/>
      <c r="ES479" s="119"/>
      <c r="ET479" s="119"/>
      <c r="EU479" s="119"/>
      <c r="EV479" s="119"/>
      <c r="EW479" s="119"/>
      <c r="EX479" s="119"/>
      <c r="EY479" s="119"/>
      <c r="EZ479" s="119"/>
      <c r="FA479" s="119"/>
      <c r="FB479" s="119"/>
      <c r="FC479" s="119"/>
      <c r="FD479" s="119"/>
      <c r="FE479" s="119"/>
      <c r="FF479" s="119"/>
      <c r="FG479" s="119"/>
      <c r="FH479" s="119"/>
      <c r="FI479" s="119"/>
      <c r="FJ479" s="119"/>
      <c r="FK479" s="119"/>
      <c r="FL479" s="119"/>
      <c r="FM479" s="119"/>
      <c r="FN479" s="119"/>
      <c r="FO479" s="119"/>
      <c r="FP479" s="119"/>
      <c r="FQ479" s="119"/>
      <c r="FR479" s="119"/>
      <c r="FS479" s="119"/>
      <c r="FT479" s="119"/>
      <c r="FU479" s="119"/>
      <c r="FV479" s="119"/>
      <c r="FW479" s="119"/>
      <c r="FX479" s="119"/>
      <c r="FY479" s="119"/>
      <c r="FZ479" s="119"/>
      <c r="GA479" s="119"/>
      <c r="GB479" s="119"/>
      <c r="GC479" s="119"/>
      <c r="GD479" s="119"/>
      <c r="GE479" s="119"/>
      <c r="GF479" s="119"/>
      <c r="GG479" s="119"/>
      <c r="GH479" s="119"/>
      <c r="GI479" s="119"/>
      <c r="GJ479" s="119"/>
      <c r="GK479" s="119"/>
      <c r="GL479" s="119"/>
      <c r="GM479" s="119"/>
      <c r="GN479" s="119"/>
      <c r="GO479" s="119"/>
      <c r="GP479" s="119"/>
      <c r="GQ479" s="119"/>
      <c r="GR479" s="119"/>
      <c r="GS479" s="119"/>
      <c r="GT479" s="119"/>
      <c r="GU479" s="119"/>
      <c r="GV479" s="119"/>
      <c r="GW479" s="119"/>
      <c r="GX479" s="119"/>
      <c r="GY479" s="119"/>
      <c r="GZ479" s="119"/>
      <c r="HA479" s="119"/>
      <c r="HB479" s="119"/>
      <c r="HC479" s="119"/>
      <c r="HD479" s="119"/>
      <c r="HE479" s="119"/>
      <c r="HF479" s="119"/>
      <c r="HG479" s="119"/>
      <c r="HH479" s="119"/>
      <c r="HI479" s="119"/>
      <c r="HJ479" s="119"/>
      <c r="HK479" s="119"/>
      <c r="HL479" s="119"/>
      <c r="HM479" s="119"/>
      <c r="HN479" s="119"/>
      <c r="HO479" s="119"/>
      <c r="HP479" s="119"/>
      <c r="HQ479" s="119"/>
      <c r="HR479" s="119"/>
      <c r="HS479" s="119"/>
      <c r="HT479" s="119"/>
      <c r="HU479" s="119"/>
      <c r="HV479" s="119"/>
      <c r="HW479" s="119"/>
      <c r="HX479" s="119"/>
      <c r="HY479" s="119"/>
      <c r="HZ479" s="119"/>
      <c r="IA479" s="119"/>
      <c r="IB479" s="119"/>
      <c r="IC479" s="119"/>
      <c r="ID479" s="119"/>
      <c r="IE479" s="119"/>
      <c r="IF479" s="119"/>
      <c r="IG479" s="119"/>
      <c r="IH479" s="119"/>
      <c r="II479" s="119"/>
      <c r="IJ479" s="119"/>
      <c r="IK479" s="119"/>
      <c r="IL479" s="119"/>
      <c r="IM479" s="119"/>
      <c r="IN479" s="119"/>
      <c r="IO479" s="119"/>
      <c r="IP479" s="119"/>
      <c r="IQ479" s="119"/>
      <c r="IR479" s="119"/>
      <c r="IS479" s="119"/>
      <c r="IT479" s="119"/>
      <c r="IU479" s="119"/>
      <c r="IV479" s="119"/>
      <c r="IW479" s="119"/>
    </row>
    <row r="480" customFormat="false" ht="18.75" hidden="true" customHeight="false" outlineLevel="0" collapsed="false">
      <c r="A480" s="234" t="s">
        <v>449</v>
      </c>
      <c r="B480" s="113"/>
      <c r="C480" s="114"/>
      <c r="D480" s="69" t="n">
        <f aca="false">I480/0.03</f>
        <v>1618.6</v>
      </c>
      <c r="E480" s="116" t="n">
        <f aca="false">58481/1000</f>
        <v>58.481</v>
      </c>
      <c r="F480" s="116" t="n">
        <v>-9.923</v>
      </c>
      <c r="G480" s="116"/>
      <c r="H480" s="116"/>
      <c r="I480" s="117" t="n">
        <f aca="false">SUM(E480:G480)</f>
        <v>48.558</v>
      </c>
      <c r="J480" s="118" t="s">
        <v>226</v>
      </c>
      <c r="K480" s="119"/>
      <c r="L480" s="119"/>
      <c r="M480" s="119"/>
      <c r="N480" s="119"/>
      <c r="O480" s="119"/>
      <c r="P480" s="119"/>
      <c r="Q480" s="119"/>
      <c r="R480" s="119"/>
      <c r="S480" s="119"/>
      <c r="T480" s="65" t="n">
        <f aca="false">IF(D480&gt;0,(I480/D480),"")</f>
        <v>0.03</v>
      </c>
      <c r="U480" s="119"/>
      <c r="V480" s="119"/>
      <c r="W480" s="119"/>
      <c r="X480" s="119"/>
      <c r="Y480" s="119"/>
      <c r="Z480" s="119"/>
      <c r="AA480" s="119"/>
      <c r="AB480" s="119"/>
      <c r="AC480" s="119"/>
      <c r="AD480" s="119"/>
      <c r="AE480" s="119"/>
      <c r="AF480" s="119"/>
      <c r="AG480" s="119"/>
      <c r="AH480" s="119"/>
      <c r="AI480" s="119"/>
      <c r="AJ480" s="119"/>
      <c r="AK480" s="119"/>
      <c r="AL480" s="119"/>
      <c r="AM480" s="119"/>
      <c r="AN480" s="119"/>
      <c r="AO480" s="119"/>
      <c r="AP480" s="119"/>
      <c r="AQ480" s="119"/>
      <c r="AR480" s="119"/>
      <c r="AS480" s="119"/>
      <c r="AT480" s="119"/>
      <c r="AU480" s="119"/>
      <c r="AV480" s="119"/>
      <c r="AW480" s="119"/>
      <c r="AX480" s="119"/>
      <c r="AY480" s="119"/>
      <c r="AZ480" s="119"/>
      <c r="BA480" s="119"/>
      <c r="BB480" s="119"/>
      <c r="BC480" s="119"/>
      <c r="BD480" s="119"/>
      <c r="BE480" s="119"/>
      <c r="BF480" s="119"/>
      <c r="BG480" s="119"/>
      <c r="BH480" s="119"/>
      <c r="BI480" s="119"/>
      <c r="BJ480" s="119"/>
      <c r="BK480" s="119"/>
      <c r="BL480" s="119"/>
      <c r="BM480" s="119"/>
      <c r="BN480" s="119"/>
      <c r="BO480" s="119"/>
      <c r="BP480" s="119"/>
      <c r="BQ480" s="119"/>
      <c r="BR480" s="119"/>
      <c r="BS480" s="119"/>
      <c r="BT480" s="119"/>
      <c r="BU480" s="119"/>
      <c r="BV480" s="119"/>
      <c r="BW480" s="119"/>
      <c r="BX480" s="119"/>
      <c r="BY480" s="119"/>
      <c r="BZ480" s="119"/>
      <c r="CA480" s="119"/>
      <c r="CB480" s="119"/>
      <c r="CC480" s="119"/>
      <c r="CD480" s="119"/>
      <c r="CE480" s="119"/>
      <c r="CF480" s="119"/>
      <c r="CG480" s="119"/>
      <c r="CH480" s="119"/>
      <c r="CI480" s="119"/>
      <c r="CJ480" s="119"/>
      <c r="CK480" s="119"/>
      <c r="CL480" s="119"/>
      <c r="CM480" s="119"/>
      <c r="CN480" s="119"/>
      <c r="CO480" s="119"/>
      <c r="CP480" s="119"/>
      <c r="CQ480" s="119"/>
      <c r="CR480" s="119"/>
      <c r="CS480" s="119"/>
      <c r="CT480" s="119"/>
      <c r="CU480" s="119"/>
      <c r="CV480" s="119"/>
      <c r="CW480" s="119"/>
      <c r="CX480" s="119"/>
      <c r="CY480" s="119"/>
      <c r="CZ480" s="119"/>
      <c r="DA480" s="119"/>
      <c r="DB480" s="119"/>
      <c r="DC480" s="119"/>
      <c r="DD480" s="119"/>
      <c r="DE480" s="119"/>
      <c r="DF480" s="119"/>
      <c r="DG480" s="119"/>
      <c r="DH480" s="119"/>
      <c r="DI480" s="119"/>
      <c r="DJ480" s="119"/>
      <c r="DK480" s="119"/>
      <c r="DL480" s="119"/>
      <c r="DM480" s="119"/>
      <c r="DN480" s="119"/>
      <c r="DO480" s="119"/>
      <c r="DP480" s="119"/>
      <c r="DQ480" s="119"/>
      <c r="DR480" s="119"/>
      <c r="DS480" s="119"/>
      <c r="DT480" s="119"/>
      <c r="DU480" s="119"/>
      <c r="DV480" s="119"/>
      <c r="DW480" s="119"/>
      <c r="DX480" s="119"/>
      <c r="DY480" s="119"/>
      <c r="DZ480" s="119"/>
      <c r="EA480" s="119"/>
      <c r="EB480" s="119"/>
      <c r="EC480" s="119"/>
      <c r="ED480" s="119"/>
      <c r="EE480" s="119"/>
      <c r="EF480" s="119"/>
      <c r="EG480" s="119"/>
      <c r="EH480" s="119"/>
      <c r="EI480" s="119"/>
      <c r="EJ480" s="119"/>
      <c r="EK480" s="119"/>
      <c r="EL480" s="119"/>
      <c r="EM480" s="119"/>
      <c r="EN480" s="119"/>
      <c r="EO480" s="119"/>
      <c r="EP480" s="119"/>
      <c r="EQ480" s="119"/>
      <c r="ER480" s="119"/>
      <c r="ES480" s="119"/>
      <c r="ET480" s="119"/>
      <c r="EU480" s="119"/>
      <c r="EV480" s="119"/>
      <c r="EW480" s="119"/>
      <c r="EX480" s="119"/>
      <c r="EY480" s="119"/>
      <c r="EZ480" s="119"/>
      <c r="FA480" s="119"/>
      <c r="FB480" s="119"/>
      <c r="FC480" s="119"/>
      <c r="FD480" s="119"/>
      <c r="FE480" s="119"/>
      <c r="FF480" s="119"/>
      <c r="FG480" s="119"/>
      <c r="FH480" s="119"/>
      <c r="FI480" s="119"/>
      <c r="FJ480" s="119"/>
      <c r="FK480" s="119"/>
      <c r="FL480" s="119"/>
      <c r="FM480" s="119"/>
      <c r="FN480" s="119"/>
      <c r="FO480" s="119"/>
      <c r="FP480" s="119"/>
      <c r="FQ480" s="119"/>
      <c r="FR480" s="119"/>
      <c r="FS480" s="119"/>
      <c r="FT480" s="119"/>
      <c r="FU480" s="119"/>
      <c r="FV480" s="119"/>
      <c r="FW480" s="119"/>
      <c r="FX480" s="119"/>
      <c r="FY480" s="119"/>
      <c r="FZ480" s="119"/>
      <c r="GA480" s="119"/>
      <c r="GB480" s="119"/>
      <c r="GC480" s="119"/>
      <c r="GD480" s="119"/>
      <c r="GE480" s="119"/>
      <c r="GF480" s="119"/>
      <c r="GG480" s="119"/>
      <c r="GH480" s="119"/>
      <c r="GI480" s="119"/>
      <c r="GJ480" s="119"/>
      <c r="GK480" s="119"/>
      <c r="GL480" s="119"/>
      <c r="GM480" s="119"/>
      <c r="GN480" s="119"/>
      <c r="GO480" s="119"/>
      <c r="GP480" s="119"/>
      <c r="GQ480" s="119"/>
      <c r="GR480" s="119"/>
      <c r="GS480" s="119"/>
      <c r="GT480" s="119"/>
      <c r="GU480" s="119"/>
      <c r="GV480" s="119"/>
      <c r="GW480" s="119"/>
      <c r="GX480" s="119"/>
      <c r="GY480" s="119"/>
      <c r="GZ480" s="119"/>
      <c r="HA480" s="119"/>
      <c r="HB480" s="119"/>
      <c r="HC480" s="119"/>
      <c r="HD480" s="119"/>
      <c r="HE480" s="119"/>
      <c r="HF480" s="119"/>
      <c r="HG480" s="119"/>
      <c r="HH480" s="119"/>
      <c r="HI480" s="119"/>
      <c r="HJ480" s="119"/>
      <c r="HK480" s="119"/>
      <c r="HL480" s="119"/>
      <c r="HM480" s="119"/>
      <c r="HN480" s="119"/>
      <c r="HO480" s="119"/>
      <c r="HP480" s="119"/>
      <c r="HQ480" s="119"/>
      <c r="HR480" s="119"/>
      <c r="HS480" s="119"/>
      <c r="HT480" s="119"/>
      <c r="HU480" s="119"/>
      <c r="HV480" s="119"/>
      <c r="HW480" s="119"/>
      <c r="HX480" s="119"/>
      <c r="HY480" s="119"/>
      <c r="HZ480" s="119"/>
      <c r="IA480" s="119"/>
      <c r="IB480" s="119"/>
      <c r="IC480" s="119"/>
      <c r="ID480" s="119"/>
      <c r="IE480" s="119"/>
      <c r="IF480" s="119"/>
      <c r="IG480" s="119"/>
      <c r="IH480" s="119"/>
      <c r="II480" s="119"/>
      <c r="IJ480" s="119"/>
      <c r="IK480" s="119"/>
      <c r="IL480" s="119"/>
      <c r="IM480" s="119"/>
      <c r="IN480" s="119"/>
      <c r="IO480" s="119"/>
      <c r="IP480" s="119"/>
      <c r="IQ480" s="119"/>
      <c r="IR480" s="119"/>
      <c r="IS480" s="119"/>
      <c r="IT480" s="119"/>
      <c r="IU480" s="119"/>
      <c r="IV480" s="119"/>
      <c r="IW480" s="119"/>
    </row>
    <row r="481" customFormat="false" ht="18.75" hidden="true" customHeight="false" outlineLevel="0" collapsed="false">
      <c r="A481" s="234" t="s">
        <v>450</v>
      </c>
      <c r="B481" s="113"/>
      <c r="C481" s="114"/>
      <c r="D481" s="69" t="n">
        <f aca="false">I481/0.03</f>
        <v>1982.46666666667</v>
      </c>
      <c r="E481" s="116" t="n">
        <f aca="false">75750/1000</f>
        <v>75.75</v>
      </c>
      <c r="F481" s="116" t="n">
        <v>-16.276</v>
      </c>
      <c r="G481" s="116"/>
      <c r="H481" s="116"/>
      <c r="I481" s="117" t="n">
        <f aca="false">SUM(E481:G481)</f>
        <v>59.474</v>
      </c>
      <c r="J481" s="118" t="s">
        <v>226</v>
      </c>
      <c r="K481" s="119"/>
      <c r="L481" s="119"/>
      <c r="M481" s="119"/>
      <c r="N481" s="119"/>
      <c r="O481" s="119"/>
      <c r="P481" s="119"/>
      <c r="Q481" s="119"/>
      <c r="R481" s="119"/>
      <c r="S481" s="119"/>
      <c r="T481" s="65" t="n">
        <f aca="false">IF(D481&gt;0,(I481/D481),"")</f>
        <v>0.03</v>
      </c>
      <c r="U481" s="119"/>
      <c r="V481" s="119"/>
      <c r="W481" s="119"/>
      <c r="X481" s="119"/>
      <c r="Y481" s="119"/>
      <c r="Z481" s="119"/>
      <c r="AA481" s="119"/>
      <c r="AB481" s="119"/>
      <c r="AC481" s="119"/>
      <c r="AD481" s="119"/>
      <c r="AE481" s="119"/>
      <c r="AF481" s="119"/>
      <c r="AG481" s="119"/>
      <c r="AH481" s="119"/>
      <c r="AI481" s="119"/>
      <c r="AJ481" s="119"/>
      <c r="AK481" s="119"/>
      <c r="AL481" s="119"/>
      <c r="AM481" s="119"/>
      <c r="AN481" s="119"/>
      <c r="AO481" s="119"/>
      <c r="AP481" s="119"/>
      <c r="AQ481" s="119"/>
      <c r="AR481" s="119"/>
      <c r="AS481" s="119"/>
      <c r="AT481" s="119"/>
      <c r="AU481" s="119"/>
      <c r="AV481" s="119"/>
      <c r="AW481" s="119"/>
      <c r="AX481" s="119"/>
      <c r="AY481" s="119"/>
      <c r="AZ481" s="119"/>
      <c r="BA481" s="119"/>
      <c r="BB481" s="119"/>
      <c r="BC481" s="119"/>
      <c r="BD481" s="119"/>
      <c r="BE481" s="119"/>
      <c r="BF481" s="119"/>
      <c r="BG481" s="119"/>
      <c r="BH481" s="119"/>
      <c r="BI481" s="119"/>
      <c r="BJ481" s="119"/>
      <c r="BK481" s="119"/>
      <c r="BL481" s="119"/>
      <c r="BM481" s="119"/>
      <c r="BN481" s="119"/>
      <c r="BO481" s="119"/>
      <c r="BP481" s="119"/>
      <c r="BQ481" s="119"/>
      <c r="BR481" s="119"/>
      <c r="BS481" s="119"/>
      <c r="BT481" s="119"/>
      <c r="BU481" s="119"/>
      <c r="BV481" s="119"/>
      <c r="BW481" s="119"/>
      <c r="BX481" s="119"/>
      <c r="BY481" s="119"/>
      <c r="BZ481" s="119"/>
      <c r="CA481" s="119"/>
      <c r="CB481" s="119"/>
      <c r="CC481" s="119"/>
      <c r="CD481" s="119"/>
      <c r="CE481" s="119"/>
      <c r="CF481" s="119"/>
      <c r="CG481" s="119"/>
      <c r="CH481" s="119"/>
      <c r="CI481" s="119"/>
      <c r="CJ481" s="119"/>
      <c r="CK481" s="119"/>
      <c r="CL481" s="119"/>
      <c r="CM481" s="119"/>
      <c r="CN481" s="119"/>
      <c r="CO481" s="119"/>
      <c r="CP481" s="119"/>
      <c r="CQ481" s="119"/>
      <c r="CR481" s="119"/>
      <c r="CS481" s="119"/>
      <c r="CT481" s="119"/>
      <c r="CU481" s="119"/>
      <c r="CV481" s="119"/>
      <c r="CW481" s="119"/>
      <c r="CX481" s="119"/>
      <c r="CY481" s="119"/>
      <c r="CZ481" s="119"/>
      <c r="DA481" s="119"/>
      <c r="DB481" s="119"/>
      <c r="DC481" s="119"/>
      <c r="DD481" s="119"/>
      <c r="DE481" s="119"/>
      <c r="DF481" s="119"/>
      <c r="DG481" s="119"/>
      <c r="DH481" s="119"/>
      <c r="DI481" s="119"/>
      <c r="DJ481" s="119"/>
      <c r="DK481" s="119"/>
      <c r="DL481" s="119"/>
      <c r="DM481" s="119"/>
      <c r="DN481" s="119"/>
      <c r="DO481" s="119"/>
      <c r="DP481" s="119"/>
      <c r="DQ481" s="119"/>
      <c r="DR481" s="119"/>
      <c r="DS481" s="119"/>
      <c r="DT481" s="119"/>
      <c r="DU481" s="119"/>
      <c r="DV481" s="119"/>
      <c r="DW481" s="119"/>
      <c r="DX481" s="119"/>
      <c r="DY481" s="119"/>
      <c r="DZ481" s="119"/>
      <c r="EA481" s="119"/>
      <c r="EB481" s="119"/>
      <c r="EC481" s="119"/>
      <c r="ED481" s="119"/>
      <c r="EE481" s="119"/>
      <c r="EF481" s="119"/>
      <c r="EG481" s="119"/>
      <c r="EH481" s="119"/>
      <c r="EI481" s="119"/>
      <c r="EJ481" s="119"/>
      <c r="EK481" s="119"/>
      <c r="EL481" s="119"/>
      <c r="EM481" s="119"/>
      <c r="EN481" s="119"/>
      <c r="EO481" s="119"/>
      <c r="EP481" s="119"/>
      <c r="EQ481" s="119"/>
      <c r="ER481" s="119"/>
      <c r="ES481" s="119"/>
      <c r="ET481" s="119"/>
      <c r="EU481" s="119"/>
      <c r="EV481" s="119"/>
      <c r="EW481" s="119"/>
      <c r="EX481" s="119"/>
      <c r="EY481" s="119"/>
      <c r="EZ481" s="119"/>
      <c r="FA481" s="119"/>
      <c r="FB481" s="119"/>
      <c r="FC481" s="119"/>
      <c r="FD481" s="119"/>
      <c r="FE481" s="119"/>
      <c r="FF481" s="119"/>
      <c r="FG481" s="119"/>
      <c r="FH481" s="119"/>
      <c r="FI481" s="119"/>
      <c r="FJ481" s="119"/>
      <c r="FK481" s="119"/>
      <c r="FL481" s="119"/>
      <c r="FM481" s="119"/>
      <c r="FN481" s="119"/>
      <c r="FO481" s="119"/>
      <c r="FP481" s="119"/>
      <c r="FQ481" s="119"/>
      <c r="FR481" s="119"/>
      <c r="FS481" s="119"/>
      <c r="FT481" s="119"/>
      <c r="FU481" s="119"/>
      <c r="FV481" s="119"/>
      <c r="FW481" s="119"/>
      <c r="FX481" s="119"/>
      <c r="FY481" s="119"/>
      <c r="FZ481" s="119"/>
      <c r="GA481" s="119"/>
      <c r="GB481" s="119"/>
      <c r="GC481" s="119"/>
      <c r="GD481" s="119"/>
      <c r="GE481" s="119"/>
      <c r="GF481" s="119"/>
      <c r="GG481" s="119"/>
      <c r="GH481" s="119"/>
      <c r="GI481" s="119"/>
      <c r="GJ481" s="119"/>
      <c r="GK481" s="119"/>
      <c r="GL481" s="119"/>
      <c r="GM481" s="119"/>
      <c r="GN481" s="119"/>
      <c r="GO481" s="119"/>
      <c r="GP481" s="119"/>
      <c r="GQ481" s="119"/>
      <c r="GR481" s="119"/>
      <c r="GS481" s="119"/>
      <c r="GT481" s="119"/>
      <c r="GU481" s="119"/>
      <c r="GV481" s="119"/>
      <c r="GW481" s="119"/>
      <c r="GX481" s="119"/>
      <c r="GY481" s="119"/>
      <c r="GZ481" s="119"/>
      <c r="HA481" s="119"/>
      <c r="HB481" s="119"/>
      <c r="HC481" s="119"/>
      <c r="HD481" s="119"/>
      <c r="HE481" s="119"/>
      <c r="HF481" s="119"/>
      <c r="HG481" s="119"/>
      <c r="HH481" s="119"/>
      <c r="HI481" s="119"/>
      <c r="HJ481" s="119"/>
      <c r="HK481" s="119"/>
      <c r="HL481" s="119"/>
      <c r="HM481" s="119"/>
      <c r="HN481" s="119"/>
      <c r="HO481" s="119"/>
      <c r="HP481" s="119"/>
      <c r="HQ481" s="119"/>
      <c r="HR481" s="119"/>
      <c r="HS481" s="119"/>
      <c r="HT481" s="119"/>
      <c r="HU481" s="119"/>
      <c r="HV481" s="119"/>
      <c r="HW481" s="119"/>
      <c r="HX481" s="119"/>
      <c r="HY481" s="119"/>
      <c r="HZ481" s="119"/>
      <c r="IA481" s="119"/>
      <c r="IB481" s="119"/>
      <c r="IC481" s="119"/>
      <c r="ID481" s="119"/>
      <c r="IE481" s="119"/>
      <c r="IF481" s="119"/>
      <c r="IG481" s="119"/>
      <c r="IH481" s="119"/>
      <c r="II481" s="119"/>
      <c r="IJ481" s="119"/>
      <c r="IK481" s="119"/>
      <c r="IL481" s="119"/>
      <c r="IM481" s="119"/>
      <c r="IN481" s="119"/>
      <c r="IO481" s="119"/>
      <c r="IP481" s="119"/>
      <c r="IQ481" s="119"/>
      <c r="IR481" s="119"/>
      <c r="IS481" s="119"/>
      <c r="IT481" s="119"/>
      <c r="IU481" s="119"/>
      <c r="IV481" s="119"/>
      <c r="IW481" s="119"/>
    </row>
    <row r="482" customFormat="false" ht="18.75" hidden="true" customHeight="false" outlineLevel="0" collapsed="false">
      <c r="A482" s="234" t="s">
        <v>451</v>
      </c>
      <c r="B482" s="113"/>
      <c r="C482" s="114"/>
      <c r="D482" s="69" t="n">
        <f aca="false">I482/0.03</f>
        <v>1602.5</v>
      </c>
      <c r="E482" s="116" t="n">
        <f aca="false">57466/1000</f>
        <v>57.466</v>
      </c>
      <c r="F482" s="116" t="n">
        <v>-9.391</v>
      </c>
      <c r="G482" s="116"/>
      <c r="H482" s="116"/>
      <c r="I482" s="117" t="n">
        <f aca="false">SUM(E482:G482)</f>
        <v>48.075</v>
      </c>
      <c r="J482" s="118" t="s">
        <v>226</v>
      </c>
      <c r="K482" s="119"/>
      <c r="L482" s="119"/>
      <c r="M482" s="119"/>
      <c r="N482" s="119"/>
      <c r="O482" s="119"/>
      <c r="P482" s="119"/>
      <c r="Q482" s="119"/>
      <c r="R482" s="119"/>
      <c r="S482" s="119"/>
      <c r="T482" s="65" t="n">
        <f aca="false">IF(D482&gt;0,(I482/D482),"")</f>
        <v>0.03</v>
      </c>
      <c r="U482" s="119"/>
      <c r="V482" s="119"/>
      <c r="W482" s="119"/>
      <c r="X482" s="119"/>
      <c r="Y482" s="119"/>
      <c r="Z482" s="119"/>
      <c r="AA482" s="119"/>
      <c r="AB482" s="119"/>
      <c r="AC482" s="119"/>
      <c r="AD482" s="119"/>
      <c r="AE482" s="119"/>
      <c r="AF482" s="119"/>
      <c r="AG482" s="119"/>
      <c r="AH482" s="119"/>
      <c r="AI482" s="119"/>
      <c r="AJ482" s="119"/>
      <c r="AK482" s="119"/>
      <c r="AL482" s="119"/>
      <c r="AM482" s="119"/>
      <c r="AN482" s="119"/>
      <c r="AO482" s="119"/>
      <c r="AP482" s="119"/>
      <c r="AQ482" s="119"/>
      <c r="AR482" s="119"/>
      <c r="AS482" s="119"/>
      <c r="AT482" s="119"/>
      <c r="AU482" s="119"/>
      <c r="AV482" s="119"/>
      <c r="AW482" s="119"/>
      <c r="AX482" s="119"/>
      <c r="AY482" s="119"/>
      <c r="AZ482" s="119"/>
      <c r="BA482" s="119"/>
      <c r="BB482" s="119"/>
      <c r="BC482" s="119"/>
      <c r="BD482" s="119"/>
      <c r="BE482" s="119"/>
      <c r="BF482" s="119"/>
      <c r="BG482" s="119"/>
      <c r="BH482" s="119"/>
      <c r="BI482" s="119"/>
      <c r="BJ482" s="119"/>
      <c r="BK482" s="119"/>
      <c r="BL482" s="119"/>
      <c r="BM482" s="119"/>
      <c r="BN482" s="119"/>
      <c r="BO482" s="119"/>
      <c r="BP482" s="119"/>
      <c r="BQ482" s="119"/>
      <c r="BR482" s="119"/>
      <c r="BS482" s="119"/>
      <c r="BT482" s="119"/>
      <c r="BU482" s="119"/>
      <c r="BV482" s="119"/>
      <c r="BW482" s="119"/>
      <c r="BX482" s="119"/>
      <c r="BY482" s="119"/>
      <c r="BZ482" s="119"/>
      <c r="CA482" s="119"/>
      <c r="CB482" s="119"/>
      <c r="CC482" s="119"/>
      <c r="CD482" s="119"/>
      <c r="CE482" s="119"/>
      <c r="CF482" s="119"/>
      <c r="CG482" s="119"/>
      <c r="CH482" s="119"/>
      <c r="CI482" s="119"/>
      <c r="CJ482" s="119"/>
      <c r="CK482" s="119"/>
      <c r="CL482" s="119"/>
      <c r="CM482" s="119"/>
      <c r="CN482" s="119"/>
      <c r="CO482" s="119"/>
      <c r="CP482" s="119"/>
      <c r="CQ482" s="119"/>
      <c r="CR482" s="119"/>
      <c r="CS482" s="119"/>
      <c r="CT482" s="119"/>
      <c r="CU482" s="119"/>
      <c r="CV482" s="119"/>
      <c r="CW482" s="119"/>
      <c r="CX482" s="119"/>
      <c r="CY482" s="119"/>
      <c r="CZ482" s="119"/>
      <c r="DA482" s="119"/>
      <c r="DB482" s="119"/>
      <c r="DC482" s="119"/>
      <c r="DD482" s="119"/>
      <c r="DE482" s="119"/>
      <c r="DF482" s="119"/>
      <c r="DG482" s="119"/>
      <c r="DH482" s="119"/>
      <c r="DI482" s="119"/>
      <c r="DJ482" s="119"/>
      <c r="DK482" s="119"/>
      <c r="DL482" s="119"/>
      <c r="DM482" s="119"/>
      <c r="DN482" s="119"/>
      <c r="DO482" s="119"/>
      <c r="DP482" s="119"/>
      <c r="DQ482" s="119"/>
      <c r="DR482" s="119"/>
      <c r="DS482" s="119"/>
      <c r="DT482" s="119"/>
      <c r="DU482" s="119"/>
      <c r="DV482" s="119"/>
      <c r="DW482" s="119"/>
      <c r="DX482" s="119"/>
      <c r="DY482" s="119"/>
      <c r="DZ482" s="119"/>
      <c r="EA482" s="119"/>
      <c r="EB482" s="119"/>
      <c r="EC482" s="119"/>
      <c r="ED482" s="119"/>
      <c r="EE482" s="119"/>
      <c r="EF482" s="119"/>
      <c r="EG482" s="119"/>
      <c r="EH482" s="119"/>
      <c r="EI482" s="119"/>
      <c r="EJ482" s="119"/>
      <c r="EK482" s="119"/>
      <c r="EL482" s="119"/>
      <c r="EM482" s="119"/>
      <c r="EN482" s="119"/>
      <c r="EO482" s="119"/>
      <c r="EP482" s="119"/>
      <c r="EQ482" s="119"/>
      <c r="ER482" s="119"/>
      <c r="ES482" s="119"/>
      <c r="ET482" s="119"/>
      <c r="EU482" s="119"/>
      <c r="EV482" s="119"/>
      <c r="EW482" s="119"/>
      <c r="EX482" s="119"/>
      <c r="EY482" s="119"/>
      <c r="EZ482" s="119"/>
      <c r="FA482" s="119"/>
      <c r="FB482" s="119"/>
      <c r="FC482" s="119"/>
      <c r="FD482" s="119"/>
      <c r="FE482" s="119"/>
      <c r="FF482" s="119"/>
      <c r="FG482" s="119"/>
      <c r="FH482" s="119"/>
      <c r="FI482" s="119"/>
      <c r="FJ482" s="119"/>
      <c r="FK482" s="119"/>
      <c r="FL482" s="119"/>
      <c r="FM482" s="119"/>
      <c r="FN482" s="119"/>
      <c r="FO482" s="119"/>
      <c r="FP482" s="119"/>
      <c r="FQ482" s="119"/>
      <c r="FR482" s="119"/>
      <c r="FS482" s="119"/>
      <c r="FT482" s="119"/>
      <c r="FU482" s="119"/>
      <c r="FV482" s="119"/>
      <c r="FW482" s="119"/>
      <c r="FX482" s="119"/>
      <c r="FY482" s="119"/>
      <c r="FZ482" s="119"/>
      <c r="GA482" s="119"/>
      <c r="GB482" s="119"/>
      <c r="GC482" s="119"/>
      <c r="GD482" s="119"/>
      <c r="GE482" s="119"/>
      <c r="GF482" s="119"/>
      <c r="GG482" s="119"/>
      <c r="GH482" s="119"/>
      <c r="GI482" s="119"/>
      <c r="GJ482" s="119"/>
      <c r="GK482" s="119"/>
      <c r="GL482" s="119"/>
      <c r="GM482" s="119"/>
      <c r="GN482" s="119"/>
      <c r="GO482" s="119"/>
      <c r="GP482" s="119"/>
      <c r="GQ482" s="119"/>
      <c r="GR482" s="119"/>
      <c r="GS482" s="119"/>
      <c r="GT482" s="119"/>
      <c r="GU482" s="119"/>
      <c r="GV482" s="119"/>
      <c r="GW482" s="119"/>
      <c r="GX482" s="119"/>
      <c r="GY482" s="119"/>
      <c r="GZ482" s="119"/>
      <c r="HA482" s="119"/>
      <c r="HB482" s="119"/>
      <c r="HC482" s="119"/>
      <c r="HD482" s="119"/>
      <c r="HE482" s="119"/>
      <c r="HF482" s="119"/>
      <c r="HG482" s="119"/>
      <c r="HH482" s="119"/>
      <c r="HI482" s="119"/>
      <c r="HJ482" s="119"/>
      <c r="HK482" s="119"/>
      <c r="HL482" s="119"/>
      <c r="HM482" s="119"/>
      <c r="HN482" s="119"/>
      <c r="HO482" s="119"/>
      <c r="HP482" s="119"/>
      <c r="HQ482" s="119"/>
      <c r="HR482" s="119"/>
      <c r="HS482" s="119"/>
      <c r="HT482" s="119"/>
      <c r="HU482" s="119"/>
      <c r="HV482" s="119"/>
      <c r="HW482" s="119"/>
      <c r="HX482" s="119"/>
      <c r="HY482" s="119"/>
      <c r="HZ482" s="119"/>
      <c r="IA482" s="119"/>
      <c r="IB482" s="119"/>
      <c r="IC482" s="119"/>
      <c r="ID482" s="119"/>
      <c r="IE482" s="119"/>
      <c r="IF482" s="119"/>
      <c r="IG482" s="119"/>
      <c r="IH482" s="119"/>
      <c r="II482" s="119"/>
      <c r="IJ482" s="119"/>
      <c r="IK482" s="119"/>
      <c r="IL482" s="119"/>
      <c r="IM482" s="119"/>
      <c r="IN482" s="119"/>
      <c r="IO482" s="119"/>
      <c r="IP482" s="119"/>
      <c r="IQ482" s="119"/>
      <c r="IR482" s="119"/>
      <c r="IS482" s="119"/>
      <c r="IT482" s="119"/>
      <c r="IU482" s="119"/>
      <c r="IV482" s="119"/>
      <c r="IW482" s="119"/>
    </row>
    <row r="483" customFormat="false" ht="18.75" hidden="true" customHeight="false" outlineLevel="0" collapsed="false">
      <c r="A483" s="234" t="s">
        <v>452</v>
      </c>
      <c r="B483" s="113"/>
      <c r="C483" s="114"/>
      <c r="D483" s="69" t="n">
        <f aca="false">I483/0.03</f>
        <v>2663.63333333333</v>
      </c>
      <c r="E483" s="116" t="n">
        <f aca="false">99006/1000</f>
        <v>99.006</v>
      </c>
      <c r="F483" s="116" t="n">
        <v>-19.097</v>
      </c>
      <c r="G483" s="116"/>
      <c r="H483" s="116"/>
      <c r="I483" s="117" t="n">
        <f aca="false">SUM(E483:G483)</f>
        <v>79.909</v>
      </c>
      <c r="J483" s="118" t="s">
        <v>226</v>
      </c>
      <c r="K483" s="119"/>
      <c r="L483" s="119"/>
      <c r="M483" s="119"/>
      <c r="N483" s="119"/>
      <c r="O483" s="119"/>
      <c r="P483" s="119"/>
      <c r="Q483" s="119"/>
      <c r="R483" s="119"/>
      <c r="S483" s="119"/>
      <c r="T483" s="65" t="n">
        <f aca="false">IF(D483&gt;0,(I483/D483),"")</f>
        <v>0.03</v>
      </c>
      <c r="U483" s="119"/>
      <c r="V483" s="119"/>
      <c r="W483" s="119"/>
      <c r="X483" s="119"/>
      <c r="Y483" s="119"/>
      <c r="Z483" s="119"/>
      <c r="AA483" s="119"/>
      <c r="AB483" s="119"/>
      <c r="AC483" s="119"/>
      <c r="AD483" s="119"/>
      <c r="AE483" s="119"/>
      <c r="AF483" s="119"/>
      <c r="AG483" s="119"/>
      <c r="AH483" s="119"/>
      <c r="AI483" s="119"/>
      <c r="AJ483" s="119"/>
      <c r="AK483" s="119"/>
      <c r="AL483" s="119"/>
      <c r="AM483" s="119"/>
      <c r="AN483" s="119"/>
      <c r="AO483" s="119"/>
      <c r="AP483" s="119"/>
      <c r="AQ483" s="119"/>
      <c r="AR483" s="119"/>
      <c r="AS483" s="119"/>
      <c r="AT483" s="119"/>
      <c r="AU483" s="119"/>
      <c r="AV483" s="119"/>
      <c r="AW483" s="119"/>
      <c r="AX483" s="119"/>
      <c r="AY483" s="119"/>
      <c r="AZ483" s="119"/>
      <c r="BA483" s="119"/>
      <c r="BB483" s="119"/>
      <c r="BC483" s="119"/>
      <c r="BD483" s="119"/>
      <c r="BE483" s="119"/>
      <c r="BF483" s="119"/>
      <c r="BG483" s="119"/>
      <c r="BH483" s="119"/>
      <c r="BI483" s="119"/>
      <c r="BJ483" s="119"/>
      <c r="BK483" s="119"/>
      <c r="BL483" s="119"/>
      <c r="BM483" s="119"/>
      <c r="BN483" s="119"/>
      <c r="BO483" s="119"/>
      <c r="BP483" s="119"/>
      <c r="BQ483" s="119"/>
      <c r="BR483" s="119"/>
      <c r="BS483" s="119"/>
      <c r="BT483" s="119"/>
      <c r="BU483" s="119"/>
      <c r="BV483" s="119"/>
      <c r="BW483" s="119"/>
      <c r="BX483" s="119"/>
      <c r="BY483" s="119"/>
      <c r="BZ483" s="119"/>
      <c r="CA483" s="119"/>
      <c r="CB483" s="119"/>
      <c r="CC483" s="119"/>
      <c r="CD483" s="119"/>
      <c r="CE483" s="119"/>
      <c r="CF483" s="119"/>
      <c r="CG483" s="119"/>
      <c r="CH483" s="119"/>
      <c r="CI483" s="119"/>
      <c r="CJ483" s="119"/>
      <c r="CK483" s="119"/>
      <c r="CL483" s="119"/>
      <c r="CM483" s="119"/>
      <c r="CN483" s="119"/>
      <c r="CO483" s="119"/>
      <c r="CP483" s="119"/>
      <c r="CQ483" s="119"/>
      <c r="CR483" s="119"/>
      <c r="CS483" s="119"/>
      <c r="CT483" s="119"/>
      <c r="CU483" s="119"/>
      <c r="CV483" s="119"/>
      <c r="CW483" s="119"/>
      <c r="CX483" s="119"/>
      <c r="CY483" s="119"/>
      <c r="CZ483" s="119"/>
      <c r="DA483" s="119"/>
      <c r="DB483" s="119"/>
      <c r="DC483" s="119"/>
      <c r="DD483" s="119"/>
      <c r="DE483" s="119"/>
      <c r="DF483" s="119"/>
      <c r="DG483" s="119"/>
      <c r="DH483" s="119"/>
      <c r="DI483" s="119"/>
      <c r="DJ483" s="119"/>
      <c r="DK483" s="119"/>
      <c r="DL483" s="119"/>
      <c r="DM483" s="119"/>
      <c r="DN483" s="119"/>
      <c r="DO483" s="119"/>
      <c r="DP483" s="119"/>
      <c r="DQ483" s="119"/>
      <c r="DR483" s="119"/>
      <c r="DS483" s="119"/>
      <c r="DT483" s="119"/>
      <c r="DU483" s="119"/>
      <c r="DV483" s="119"/>
      <c r="DW483" s="119"/>
      <c r="DX483" s="119"/>
      <c r="DY483" s="119"/>
      <c r="DZ483" s="119"/>
      <c r="EA483" s="119"/>
      <c r="EB483" s="119"/>
      <c r="EC483" s="119"/>
      <c r="ED483" s="119"/>
      <c r="EE483" s="119"/>
      <c r="EF483" s="119"/>
      <c r="EG483" s="119"/>
      <c r="EH483" s="119"/>
      <c r="EI483" s="119"/>
      <c r="EJ483" s="119"/>
      <c r="EK483" s="119"/>
      <c r="EL483" s="119"/>
      <c r="EM483" s="119"/>
      <c r="EN483" s="119"/>
      <c r="EO483" s="119"/>
      <c r="EP483" s="119"/>
      <c r="EQ483" s="119"/>
      <c r="ER483" s="119"/>
      <c r="ES483" s="119"/>
      <c r="ET483" s="119"/>
      <c r="EU483" s="119"/>
      <c r="EV483" s="119"/>
      <c r="EW483" s="119"/>
      <c r="EX483" s="119"/>
      <c r="EY483" s="119"/>
      <c r="EZ483" s="119"/>
      <c r="FA483" s="119"/>
      <c r="FB483" s="119"/>
      <c r="FC483" s="119"/>
      <c r="FD483" s="119"/>
      <c r="FE483" s="119"/>
      <c r="FF483" s="119"/>
      <c r="FG483" s="119"/>
      <c r="FH483" s="119"/>
      <c r="FI483" s="119"/>
      <c r="FJ483" s="119"/>
      <c r="FK483" s="119"/>
      <c r="FL483" s="119"/>
      <c r="FM483" s="119"/>
      <c r="FN483" s="119"/>
      <c r="FO483" s="119"/>
      <c r="FP483" s="119"/>
      <c r="FQ483" s="119"/>
      <c r="FR483" s="119"/>
      <c r="FS483" s="119"/>
      <c r="FT483" s="119"/>
      <c r="FU483" s="119"/>
      <c r="FV483" s="119"/>
      <c r="FW483" s="119"/>
      <c r="FX483" s="119"/>
      <c r="FY483" s="119"/>
      <c r="FZ483" s="119"/>
      <c r="GA483" s="119"/>
      <c r="GB483" s="119"/>
      <c r="GC483" s="119"/>
      <c r="GD483" s="119"/>
      <c r="GE483" s="119"/>
      <c r="GF483" s="119"/>
      <c r="GG483" s="119"/>
      <c r="GH483" s="119"/>
      <c r="GI483" s="119"/>
      <c r="GJ483" s="119"/>
      <c r="GK483" s="119"/>
      <c r="GL483" s="119"/>
      <c r="GM483" s="119"/>
      <c r="GN483" s="119"/>
      <c r="GO483" s="119"/>
      <c r="GP483" s="119"/>
      <c r="GQ483" s="119"/>
      <c r="GR483" s="119"/>
      <c r="GS483" s="119"/>
      <c r="GT483" s="119"/>
      <c r="GU483" s="119"/>
      <c r="GV483" s="119"/>
      <c r="GW483" s="119"/>
      <c r="GX483" s="119"/>
      <c r="GY483" s="119"/>
      <c r="GZ483" s="119"/>
      <c r="HA483" s="119"/>
      <c r="HB483" s="119"/>
      <c r="HC483" s="119"/>
      <c r="HD483" s="119"/>
      <c r="HE483" s="119"/>
      <c r="HF483" s="119"/>
      <c r="HG483" s="119"/>
      <c r="HH483" s="119"/>
      <c r="HI483" s="119"/>
      <c r="HJ483" s="119"/>
      <c r="HK483" s="119"/>
      <c r="HL483" s="119"/>
      <c r="HM483" s="119"/>
      <c r="HN483" s="119"/>
      <c r="HO483" s="119"/>
      <c r="HP483" s="119"/>
      <c r="HQ483" s="119"/>
      <c r="HR483" s="119"/>
      <c r="HS483" s="119"/>
      <c r="HT483" s="119"/>
      <c r="HU483" s="119"/>
      <c r="HV483" s="119"/>
      <c r="HW483" s="119"/>
      <c r="HX483" s="119"/>
      <c r="HY483" s="119"/>
      <c r="HZ483" s="119"/>
      <c r="IA483" s="119"/>
      <c r="IB483" s="119"/>
      <c r="IC483" s="119"/>
      <c r="ID483" s="119"/>
      <c r="IE483" s="119"/>
      <c r="IF483" s="119"/>
      <c r="IG483" s="119"/>
      <c r="IH483" s="119"/>
      <c r="II483" s="119"/>
      <c r="IJ483" s="119"/>
      <c r="IK483" s="119"/>
      <c r="IL483" s="119"/>
      <c r="IM483" s="119"/>
      <c r="IN483" s="119"/>
      <c r="IO483" s="119"/>
      <c r="IP483" s="119"/>
      <c r="IQ483" s="119"/>
      <c r="IR483" s="119"/>
      <c r="IS483" s="119"/>
      <c r="IT483" s="119"/>
      <c r="IU483" s="119"/>
      <c r="IV483" s="119"/>
      <c r="IW483" s="119"/>
    </row>
    <row r="484" customFormat="false" ht="18.75" hidden="true" customHeight="false" outlineLevel="0" collapsed="false">
      <c r="A484" s="234" t="s">
        <v>453</v>
      </c>
      <c r="B484" s="113"/>
      <c r="C484" s="114"/>
      <c r="D484" s="69" t="n">
        <f aca="false">I484/0.03</f>
        <v>2129.7</v>
      </c>
      <c r="E484" s="116" t="n">
        <f aca="false">80358/1000</f>
        <v>80.358</v>
      </c>
      <c r="F484" s="116" t="n">
        <v>-16.467</v>
      </c>
      <c r="G484" s="116"/>
      <c r="H484" s="116"/>
      <c r="I484" s="117" t="n">
        <f aca="false">SUM(E484:G484)</f>
        <v>63.891</v>
      </c>
      <c r="J484" s="118" t="s">
        <v>226</v>
      </c>
      <c r="K484" s="119"/>
      <c r="L484" s="119"/>
      <c r="M484" s="119"/>
      <c r="N484" s="119"/>
      <c r="O484" s="119"/>
      <c r="P484" s="119"/>
      <c r="Q484" s="119"/>
      <c r="R484" s="119"/>
      <c r="S484" s="119"/>
      <c r="T484" s="65" t="n">
        <f aca="false">IF(D484&gt;0,(I484/D484),"")</f>
        <v>0.03</v>
      </c>
      <c r="U484" s="119"/>
      <c r="V484" s="119"/>
      <c r="W484" s="119"/>
      <c r="X484" s="119"/>
      <c r="Y484" s="119"/>
      <c r="Z484" s="119"/>
      <c r="AA484" s="119"/>
      <c r="AB484" s="119"/>
      <c r="AC484" s="119"/>
      <c r="AD484" s="119"/>
      <c r="AE484" s="119"/>
      <c r="AF484" s="119"/>
      <c r="AG484" s="119"/>
      <c r="AH484" s="119"/>
      <c r="AI484" s="119"/>
      <c r="AJ484" s="119"/>
      <c r="AK484" s="119"/>
      <c r="AL484" s="119"/>
      <c r="AM484" s="119"/>
      <c r="AN484" s="119"/>
      <c r="AO484" s="119"/>
      <c r="AP484" s="119"/>
      <c r="AQ484" s="119"/>
      <c r="AR484" s="119"/>
      <c r="AS484" s="119"/>
      <c r="AT484" s="119"/>
      <c r="AU484" s="119"/>
      <c r="AV484" s="119"/>
      <c r="AW484" s="119"/>
      <c r="AX484" s="119"/>
      <c r="AY484" s="119"/>
      <c r="AZ484" s="119"/>
      <c r="BA484" s="119"/>
      <c r="BB484" s="119"/>
      <c r="BC484" s="119"/>
      <c r="BD484" s="119"/>
      <c r="BE484" s="119"/>
      <c r="BF484" s="119"/>
      <c r="BG484" s="119"/>
      <c r="BH484" s="119"/>
      <c r="BI484" s="119"/>
      <c r="BJ484" s="119"/>
      <c r="BK484" s="119"/>
      <c r="BL484" s="119"/>
      <c r="BM484" s="119"/>
      <c r="BN484" s="119"/>
      <c r="BO484" s="119"/>
      <c r="BP484" s="119"/>
      <c r="BQ484" s="119"/>
      <c r="BR484" s="119"/>
      <c r="BS484" s="119"/>
      <c r="BT484" s="119"/>
      <c r="BU484" s="119"/>
      <c r="BV484" s="119"/>
      <c r="BW484" s="119"/>
      <c r="BX484" s="119"/>
      <c r="BY484" s="119"/>
      <c r="BZ484" s="119"/>
      <c r="CA484" s="119"/>
      <c r="CB484" s="119"/>
      <c r="CC484" s="119"/>
      <c r="CD484" s="119"/>
      <c r="CE484" s="119"/>
      <c r="CF484" s="119"/>
      <c r="CG484" s="119"/>
      <c r="CH484" s="119"/>
      <c r="CI484" s="119"/>
      <c r="CJ484" s="119"/>
      <c r="CK484" s="119"/>
      <c r="CL484" s="119"/>
      <c r="CM484" s="119"/>
      <c r="CN484" s="119"/>
      <c r="CO484" s="119"/>
      <c r="CP484" s="119"/>
      <c r="CQ484" s="119"/>
      <c r="CR484" s="119"/>
      <c r="CS484" s="119"/>
      <c r="CT484" s="119"/>
      <c r="CU484" s="119"/>
      <c r="CV484" s="119"/>
      <c r="CW484" s="119"/>
      <c r="CX484" s="119"/>
      <c r="CY484" s="119"/>
      <c r="CZ484" s="119"/>
      <c r="DA484" s="119"/>
      <c r="DB484" s="119"/>
      <c r="DC484" s="119"/>
      <c r="DD484" s="119"/>
      <c r="DE484" s="119"/>
      <c r="DF484" s="119"/>
      <c r="DG484" s="119"/>
      <c r="DH484" s="119"/>
      <c r="DI484" s="119"/>
      <c r="DJ484" s="119"/>
      <c r="DK484" s="119"/>
      <c r="DL484" s="119"/>
      <c r="DM484" s="119"/>
      <c r="DN484" s="119"/>
      <c r="DO484" s="119"/>
      <c r="DP484" s="119"/>
      <c r="DQ484" s="119"/>
      <c r="DR484" s="119"/>
      <c r="DS484" s="119"/>
      <c r="DT484" s="119"/>
      <c r="DU484" s="119"/>
      <c r="DV484" s="119"/>
      <c r="DW484" s="119"/>
      <c r="DX484" s="119"/>
      <c r="DY484" s="119"/>
      <c r="DZ484" s="119"/>
      <c r="EA484" s="119"/>
      <c r="EB484" s="119"/>
      <c r="EC484" s="119"/>
      <c r="ED484" s="119"/>
      <c r="EE484" s="119"/>
      <c r="EF484" s="119"/>
      <c r="EG484" s="119"/>
      <c r="EH484" s="119"/>
      <c r="EI484" s="119"/>
      <c r="EJ484" s="119"/>
      <c r="EK484" s="119"/>
      <c r="EL484" s="119"/>
      <c r="EM484" s="119"/>
      <c r="EN484" s="119"/>
      <c r="EO484" s="119"/>
      <c r="EP484" s="119"/>
      <c r="EQ484" s="119"/>
      <c r="ER484" s="119"/>
      <c r="ES484" s="119"/>
      <c r="ET484" s="119"/>
      <c r="EU484" s="119"/>
      <c r="EV484" s="119"/>
      <c r="EW484" s="119"/>
      <c r="EX484" s="119"/>
      <c r="EY484" s="119"/>
      <c r="EZ484" s="119"/>
      <c r="FA484" s="119"/>
      <c r="FB484" s="119"/>
      <c r="FC484" s="119"/>
      <c r="FD484" s="119"/>
      <c r="FE484" s="119"/>
      <c r="FF484" s="119"/>
      <c r="FG484" s="119"/>
      <c r="FH484" s="119"/>
      <c r="FI484" s="119"/>
      <c r="FJ484" s="119"/>
      <c r="FK484" s="119"/>
      <c r="FL484" s="119"/>
      <c r="FM484" s="119"/>
      <c r="FN484" s="119"/>
      <c r="FO484" s="119"/>
      <c r="FP484" s="119"/>
      <c r="FQ484" s="119"/>
      <c r="FR484" s="119"/>
      <c r="FS484" s="119"/>
      <c r="FT484" s="119"/>
      <c r="FU484" s="119"/>
      <c r="FV484" s="119"/>
      <c r="FW484" s="119"/>
      <c r="FX484" s="119"/>
      <c r="FY484" s="119"/>
      <c r="FZ484" s="119"/>
      <c r="GA484" s="119"/>
      <c r="GB484" s="119"/>
      <c r="GC484" s="119"/>
      <c r="GD484" s="119"/>
      <c r="GE484" s="119"/>
      <c r="GF484" s="119"/>
      <c r="GG484" s="119"/>
      <c r="GH484" s="119"/>
      <c r="GI484" s="119"/>
      <c r="GJ484" s="119"/>
      <c r="GK484" s="119"/>
      <c r="GL484" s="119"/>
      <c r="GM484" s="119"/>
      <c r="GN484" s="119"/>
      <c r="GO484" s="119"/>
      <c r="GP484" s="119"/>
      <c r="GQ484" s="119"/>
      <c r="GR484" s="119"/>
      <c r="GS484" s="119"/>
      <c r="GT484" s="119"/>
      <c r="GU484" s="119"/>
      <c r="GV484" s="119"/>
      <c r="GW484" s="119"/>
      <c r="GX484" s="119"/>
      <c r="GY484" s="119"/>
      <c r="GZ484" s="119"/>
      <c r="HA484" s="119"/>
      <c r="HB484" s="119"/>
      <c r="HC484" s="119"/>
      <c r="HD484" s="119"/>
      <c r="HE484" s="119"/>
      <c r="HF484" s="119"/>
      <c r="HG484" s="119"/>
      <c r="HH484" s="119"/>
      <c r="HI484" s="119"/>
      <c r="HJ484" s="119"/>
      <c r="HK484" s="119"/>
      <c r="HL484" s="119"/>
      <c r="HM484" s="119"/>
      <c r="HN484" s="119"/>
      <c r="HO484" s="119"/>
      <c r="HP484" s="119"/>
      <c r="HQ484" s="119"/>
      <c r="HR484" s="119"/>
      <c r="HS484" s="119"/>
      <c r="HT484" s="119"/>
      <c r="HU484" s="119"/>
      <c r="HV484" s="119"/>
      <c r="HW484" s="119"/>
      <c r="HX484" s="119"/>
      <c r="HY484" s="119"/>
      <c r="HZ484" s="119"/>
      <c r="IA484" s="119"/>
      <c r="IB484" s="119"/>
      <c r="IC484" s="119"/>
      <c r="ID484" s="119"/>
      <c r="IE484" s="119"/>
      <c r="IF484" s="119"/>
      <c r="IG484" s="119"/>
      <c r="IH484" s="119"/>
      <c r="II484" s="119"/>
      <c r="IJ484" s="119"/>
      <c r="IK484" s="119"/>
      <c r="IL484" s="119"/>
      <c r="IM484" s="119"/>
      <c r="IN484" s="119"/>
      <c r="IO484" s="119"/>
      <c r="IP484" s="119"/>
      <c r="IQ484" s="119"/>
      <c r="IR484" s="119"/>
      <c r="IS484" s="119"/>
      <c r="IT484" s="119"/>
      <c r="IU484" s="119"/>
      <c r="IV484" s="119"/>
      <c r="IW484" s="119"/>
    </row>
    <row r="485" customFormat="false" ht="18.75" hidden="true" customHeight="false" outlineLevel="0" collapsed="false">
      <c r="A485" s="234" t="s">
        <v>454</v>
      </c>
      <c r="B485" s="113"/>
      <c r="C485" s="114"/>
      <c r="D485" s="69" t="n">
        <f aca="false">I485/0.03</f>
        <v>1335.6</v>
      </c>
      <c r="E485" s="116" t="n">
        <f aca="false">56918/1000</f>
        <v>56.918</v>
      </c>
      <c r="F485" s="116" t="n">
        <v>-16.85</v>
      </c>
      <c r="G485" s="116"/>
      <c r="H485" s="116"/>
      <c r="I485" s="117" t="n">
        <f aca="false">SUM(E485:G485)</f>
        <v>40.068</v>
      </c>
      <c r="J485" s="118" t="s">
        <v>226</v>
      </c>
      <c r="K485" s="119"/>
      <c r="L485" s="119"/>
      <c r="M485" s="119"/>
      <c r="N485" s="119"/>
      <c r="O485" s="119"/>
      <c r="P485" s="119"/>
      <c r="Q485" s="119"/>
      <c r="R485" s="119"/>
      <c r="S485" s="119"/>
      <c r="T485" s="65" t="n">
        <f aca="false">IF(D485&gt;0,(I485/D485),"")</f>
        <v>0.03</v>
      </c>
      <c r="U485" s="119"/>
      <c r="V485" s="119"/>
      <c r="W485" s="119"/>
      <c r="X485" s="119"/>
      <c r="Y485" s="119"/>
      <c r="Z485" s="119"/>
      <c r="AA485" s="119"/>
      <c r="AB485" s="119"/>
      <c r="AC485" s="119"/>
      <c r="AD485" s="119"/>
      <c r="AE485" s="119"/>
      <c r="AF485" s="119"/>
      <c r="AG485" s="119"/>
      <c r="AH485" s="119"/>
      <c r="AI485" s="119"/>
      <c r="AJ485" s="119"/>
      <c r="AK485" s="119"/>
      <c r="AL485" s="119"/>
      <c r="AM485" s="119"/>
      <c r="AN485" s="119"/>
      <c r="AO485" s="119"/>
      <c r="AP485" s="119"/>
      <c r="AQ485" s="119"/>
      <c r="AR485" s="119"/>
      <c r="AS485" s="119"/>
      <c r="AT485" s="119"/>
      <c r="AU485" s="119"/>
      <c r="AV485" s="119"/>
      <c r="AW485" s="119"/>
      <c r="AX485" s="119"/>
      <c r="AY485" s="119"/>
      <c r="AZ485" s="119"/>
      <c r="BA485" s="119"/>
      <c r="BB485" s="119"/>
      <c r="BC485" s="119"/>
      <c r="BD485" s="119"/>
      <c r="BE485" s="119"/>
      <c r="BF485" s="119"/>
      <c r="BG485" s="119"/>
      <c r="BH485" s="119"/>
      <c r="BI485" s="119"/>
      <c r="BJ485" s="119"/>
      <c r="BK485" s="119"/>
      <c r="BL485" s="119"/>
      <c r="BM485" s="119"/>
      <c r="BN485" s="119"/>
      <c r="BO485" s="119"/>
      <c r="BP485" s="119"/>
      <c r="BQ485" s="119"/>
      <c r="BR485" s="119"/>
      <c r="BS485" s="119"/>
      <c r="BT485" s="119"/>
      <c r="BU485" s="119"/>
      <c r="BV485" s="119"/>
      <c r="BW485" s="119"/>
      <c r="BX485" s="119"/>
      <c r="BY485" s="119"/>
      <c r="BZ485" s="119"/>
      <c r="CA485" s="119"/>
      <c r="CB485" s="119"/>
      <c r="CC485" s="119"/>
      <c r="CD485" s="119"/>
      <c r="CE485" s="119"/>
      <c r="CF485" s="119"/>
      <c r="CG485" s="119"/>
      <c r="CH485" s="119"/>
      <c r="CI485" s="119"/>
      <c r="CJ485" s="119"/>
      <c r="CK485" s="119"/>
      <c r="CL485" s="119"/>
      <c r="CM485" s="119"/>
      <c r="CN485" s="119"/>
      <c r="CO485" s="119"/>
      <c r="CP485" s="119"/>
      <c r="CQ485" s="119"/>
      <c r="CR485" s="119"/>
      <c r="CS485" s="119"/>
      <c r="CT485" s="119"/>
      <c r="CU485" s="119"/>
      <c r="CV485" s="119"/>
      <c r="CW485" s="119"/>
      <c r="CX485" s="119"/>
      <c r="CY485" s="119"/>
      <c r="CZ485" s="119"/>
      <c r="DA485" s="119"/>
      <c r="DB485" s="119"/>
      <c r="DC485" s="119"/>
      <c r="DD485" s="119"/>
      <c r="DE485" s="119"/>
      <c r="DF485" s="119"/>
      <c r="DG485" s="119"/>
      <c r="DH485" s="119"/>
      <c r="DI485" s="119"/>
      <c r="DJ485" s="119"/>
      <c r="DK485" s="119"/>
      <c r="DL485" s="119"/>
      <c r="DM485" s="119"/>
      <c r="DN485" s="119"/>
      <c r="DO485" s="119"/>
      <c r="DP485" s="119"/>
      <c r="DQ485" s="119"/>
      <c r="DR485" s="119"/>
      <c r="DS485" s="119"/>
      <c r="DT485" s="119"/>
      <c r="DU485" s="119"/>
      <c r="DV485" s="119"/>
      <c r="DW485" s="119"/>
      <c r="DX485" s="119"/>
      <c r="DY485" s="119"/>
      <c r="DZ485" s="119"/>
      <c r="EA485" s="119"/>
      <c r="EB485" s="119"/>
      <c r="EC485" s="119"/>
      <c r="ED485" s="119"/>
      <c r="EE485" s="119"/>
      <c r="EF485" s="119"/>
      <c r="EG485" s="119"/>
      <c r="EH485" s="119"/>
      <c r="EI485" s="119"/>
      <c r="EJ485" s="119"/>
      <c r="EK485" s="119"/>
      <c r="EL485" s="119"/>
      <c r="EM485" s="119"/>
      <c r="EN485" s="119"/>
      <c r="EO485" s="119"/>
      <c r="EP485" s="119"/>
      <c r="EQ485" s="119"/>
      <c r="ER485" s="119"/>
      <c r="ES485" s="119"/>
      <c r="ET485" s="119"/>
      <c r="EU485" s="119"/>
      <c r="EV485" s="119"/>
      <c r="EW485" s="119"/>
      <c r="EX485" s="119"/>
      <c r="EY485" s="119"/>
      <c r="EZ485" s="119"/>
      <c r="FA485" s="119"/>
      <c r="FB485" s="119"/>
      <c r="FC485" s="119"/>
      <c r="FD485" s="119"/>
      <c r="FE485" s="119"/>
      <c r="FF485" s="119"/>
      <c r="FG485" s="119"/>
      <c r="FH485" s="119"/>
      <c r="FI485" s="119"/>
      <c r="FJ485" s="119"/>
      <c r="FK485" s="119"/>
      <c r="FL485" s="119"/>
      <c r="FM485" s="119"/>
      <c r="FN485" s="119"/>
      <c r="FO485" s="119"/>
      <c r="FP485" s="119"/>
      <c r="FQ485" s="119"/>
      <c r="FR485" s="119"/>
      <c r="FS485" s="119"/>
      <c r="FT485" s="119"/>
      <c r="FU485" s="119"/>
      <c r="FV485" s="119"/>
      <c r="FW485" s="119"/>
      <c r="FX485" s="119"/>
      <c r="FY485" s="119"/>
      <c r="FZ485" s="119"/>
      <c r="GA485" s="119"/>
      <c r="GB485" s="119"/>
      <c r="GC485" s="119"/>
      <c r="GD485" s="119"/>
      <c r="GE485" s="119"/>
      <c r="GF485" s="119"/>
      <c r="GG485" s="119"/>
      <c r="GH485" s="119"/>
      <c r="GI485" s="119"/>
      <c r="GJ485" s="119"/>
      <c r="GK485" s="119"/>
      <c r="GL485" s="119"/>
      <c r="GM485" s="119"/>
      <c r="GN485" s="119"/>
      <c r="GO485" s="119"/>
      <c r="GP485" s="119"/>
      <c r="GQ485" s="119"/>
      <c r="GR485" s="119"/>
      <c r="GS485" s="119"/>
      <c r="GT485" s="119"/>
      <c r="GU485" s="119"/>
      <c r="GV485" s="119"/>
      <c r="GW485" s="119"/>
      <c r="GX485" s="119"/>
      <c r="GY485" s="119"/>
      <c r="GZ485" s="119"/>
      <c r="HA485" s="119"/>
      <c r="HB485" s="119"/>
      <c r="HC485" s="119"/>
      <c r="HD485" s="119"/>
      <c r="HE485" s="119"/>
      <c r="HF485" s="119"/>
      <c r="HG485" s="119"/>
      <c r="HH485" s="119"/>
      <c r="HI485" s="119"/>
      <c r="HJ485" s="119"/>
      <c r="HK485" s="119"/>
      <c r="HL485" s="119"/>
      <c r="HM485" s="119"/>
      <c r="HN485" s="119"/>
      <c r="HO485" s="119"/>
      <c r="HP485" s="119"/>
      <c r="HQ485" s="119"/>
      <c r="HR485" s="119"/>
      <c r="HS485" s="119"/>
      <c r="HT485" s="119"/>
      <c r="HU485" s="119"/>
      <c r="HV485" s="119"/>
      <c r="HW485" s="119"/>
      <c r="HX485" s="119"/>
      <c r="HY485" s="119"/>
      <c r="HZ485" s="119"/>
      <c r="IA485" s="119"/>
      <c r="IB485" s="119"/>
      <c r="IC485" s="119"/>
      <c r="ID485" s="119"/>
      <c r="IE485" s="119"/>
      <c r="IF485" s="119"/>
      <c r="IG485" s="119"/>
      <c r="IH485" s="119"/>
      <c r="II485" s="119"/>
      <c r="IJ485" s="119"/>
      <c r="IK485" s="119"/>
      <c r="IL485" s="119"/>
      <c r="IM485" s="119"/>
      <c r="IN485" s="119"/>
      <c r="IO485" s="119"/>
      <c r="IP485" s="119"/>
      <c r="IQ485" s="119"/>
      <c r="IR485" s="119"/>
      <c r="IS485" s="119"/>
      <c r="IT485" s="119"/>
      <c r="IU485" s="119"/>
      <c r="IV485" s="119"/>
      <c r="IW485" s="119"/>
    </row>
    <row r="486" customFormat="false" ht="18.75" hidden="true" customHeight="false" outlineLevel="0" collapsed="false">
      <c r="A486" s="234" t="s">
        <v>455</v>
      </c>
      <c r="B486" s="113"/>
      <c r="C486" s="114"/>
      <c r="D486" s="69" t="n">
        <f aca="false">I486/0.03</f>
        <v>1854.1</v>
      </c>
      <c r="E486" s="116" t="n">
        <f aca="false">82380/1000</f>
        <v>82.38</v>
      </c>
      <c r="F486" s="116" t="n">
        <v>-26.757</v>
      </c>
      <c r="G486" s="116"/>
      <c r="H486" s="116"/>
      <c r="I486" s="117" t="n">
        <f aca="false">SUM(E486:G486)</f>
        <v>55.623</v>
      </c>
      <c r="J486" s="118" t="s">
        <v>226</v>
      </c>
      <c r="K486" s="119"/>
      <c r="L486" s="119"/>
      <c r="M486" s="119"/>
      <c r="N486" s="119"/>
      <c r="O486" s="119"/>
      <c r="P486" s="119"/>
      <c r="Q486" s="119"/>
      <c r="R486" s="119"/>
      <c r="S486" s="119"/>
      <c r="T486" s="65" t="n">
        <f aca="false">IF(D486&gt;0,(I486/D486),"")</f>
        <v>0.03</v>
      </c>
      <c r="U486" s="119"/>
      <c r="V486" s="119"/>
      <c r="W486" s="119"/>
      <c r="X486" s="119"/>
      <c r="Y486" s="119"/>
      <c r="Z486" s="119"/>
      <c r="AA486" s="119"/>
      <c r="AB486" s="119"/>
      <c r="AC486" s="119"/>
      <c r="AD486" s="119"/>
      <c r="AE486" s="119"/>
      <c r="AF486" s="119"/>
      <c r="AG486" s="119"/>
      <c r="AH486" s="119"/>
      <c r="AI486" s="119"/>
      <c r="AJ486" s="119"/>
      <c r="AK486" s="119"/>
      <c r="AL486" s="119"/>
      <c r="AM486" s="119"/>
      <c r="AN486" s="119"/>
      <c r="AO486" s="119"/>
      <c r="AP486" s="119"/>
      <c r="AQ486" s="119"/>
      <c r="AR486" s="119"/>
      <c r="AS486" s="119"/>
      <c r="AT486" s="119"/>
      <c r="AU486" s="119"/>
      <c r="AV486" s="119"/>
      <c r="AW486" s="119"/>
      <c r="AX486" s="119"/>
      <c r="AY486" s="119"/>
      <c r="AZ486" s="119"/>
      <c r="BA486" s="119"/>
      <c r="BB486" s="119"/>
      <c r="BC486" s="119"/>
      <c r="BD486" s="119"/>
      <c r="BE486" s="119"/>
      <c r="BF486" s="119"/>
      <c r="BG486" s="119"/>
      <c r="BH486" s="119"/>
      <c r="BI486" s="119"/>
      <c r="BJ486" s="119"/>
      <c r="BK486" s="119"/>
      <c r="BL486" s="119"/>
      <c r="BM486" s="119"/>
      <c r="BN486" s="119"/>
      <c r="BO486" s="119"/>
      <c r="BP486" s="119"/>
      <c r="BQ486" s="119"/>
      <c r="BR486" s="119"/>
      <c r="BS486" s="119"/>
      <c r="BT486" s="119"/>
      <c r="BU486" s="119"/>
      <c r="BV486" s="119"/>
      <c r="BW486" s="119"/>
      <c r="BX486" s="119"/>
      <c r="BY486" s="119"/>
      <c r="BZ486" s="119"/>
      <c r="CA486" s="119"/>
      <c r="CB486" s="119"/>
      <c r="CC486" s="119"/>
      <c r="CD486" s="119"/>
      <c r="CE486" s="119"/>
      <c r="CF486" s="119"/>
      <c r="CG486" s="119"/>
      <c r="CH486" s="119"/>
      <c r="CI486" s="119"/>
      <c r="CJ486" s="119"/>
      <c r="CK486" s="119"/>
      <c r="CL486" s="119"/>
      <c r="CM486" s="119"/>
      <c r="CN486" s="119"/>
      <c r="CO486" s="119"/>
      <c r="CP486" s="119"/>
      <c r="CQ486" s="119"/>
      <c r="CR486" s="119"/>
      <c r="CS486" s="119"/>
      <c r="CT486" s="119"/>
      <c r="CU486" s="119"/>
      <c r="CV486" s="119"/>
      <c r="CW486" s="119"/>
      <c r="CX486" s="119"/>
      <c r="CY486" s="119"/>
      <c r="CZ486" s="119"/>
      <c r="DA486" s="119"/>
      <c r="DB486" s="119"/>
      <c r="DC486" s="119"/>
      <c r="DD486" s="119"/>
      <c r="DE486" s="119"/>
      <c r="DF486" s="119"/>
      <c r="DG486" s="119"/>
      <c r="DH486" s="119"/>
      <c r="DI486" s="119"/>
      <c r="DJ486" s="119"/>
      <c r="DK486" s="119"/>
      <c r="DL486" s="119"/>
      <c r="DM486" s="119"/>
      <c r="DN486" s="119"/>
      <c r="DO486" s="119"/>
      <c r="DP486" s="119"/>
      <c r="DQ486" s="119"/>
      <c r="DR486" s="119"/>
      <c r="DS486" s="119"/>
      <c r="DT486" s="119"/>
      <c r="DU486" s="119"/>
      <c r="DV486" s="119"/>
      <c r="DW486" s="119"/>
      <c r="DX486" s="119"/>
      <c r="DY486" s="119"/>
      <c r="DZ486" s="119"/>
      <c r="EA486" s="119"/>
      <c r="EB486" s="119"/>
      <c r="EC486" s="119"/>
      <c r="ED486" s="119"/>
      <c r="EE486" s="119"/>
      <c r="EF486" s="119"/>
      <c r="EG486" s="119"/>
      <c r="EH486" s="119"/>
      <c r="EI486" s="119"/>
      <c r="EJ486" s="119"/>
      <c r="EK486" s="119"/>
      <c r="EL486" s="119"/>
      <c r="EM486" s="119"/>
      <c r="EN486" s="119"/>
      <c r="EO486" s="119"/>
      <c r="EP486" s="119"/>
      <c r="EQ486" s="119"/>
      <c r="ER486" s="119"/>
      <c r="ES486" s="119"/>
      <c r="ET486" s="119"/>
      <c r="EU486" s="119"/>
      <c r="EV486" s="119"/>
      <c r="EW486" s="119"/>
      <c r="EX486" s="119"/>
      <c r="EY486" s="119"/>
      <c r="EZ486" s="119"/>
      <c r="FA486" s="119"/>
      <c r="FB486" s="119"/>
      <c r="FC486" s="119"/>
      <c r="FD486" s="119"/>
      <c r="FE486" s="119"/>
      <c r="FF486" s="119"/>
      <c r="FG486" s="119"/>
      <c r="FH486" s="119"/>
      <c r="FI486" s="119"/>
      <c r="FJ486" s="119"/>
      <c r="FK486" s="119"/>
      <c r="FL486" s="119"/>
      <c r="FM486" s="119"/>
      <c r="FN486" s="119"/>
      <c r="FO486" s="119"/>
      <c r="FP486" s="119"/>
      <c r="FQ486" s="119"/>
      <c r="FR486" s="119"/>
      <c r="FS486" s="119"/>
      <c r="FT486" s="119"/>
      <c r="FU486" s="119"/>
      <c r="FV486" s="119"/>
      <c r="FW486" s="119"/>
      <c r="FX486" s="119"/>
      <c r="FY486" s="119"/>
      <c r="FZ486" s="119"/>
      <c r="GA486" s="119"/>
      <c r="GB486" s="119"/>
      <c r="GC486" s="119"/>
      <c r="GD486" s="119"/>
      <c r="GE486" s="119"/>
      <c r="GF486" s="119"/>
      <c r="GG486" s="119"/>
      <c r="GH486" s="119"/>
      <c r="GI486" s="119"/>
      <c r="GJ486" s="119"/>
      <c r="GK486" s="119"/>
      <c r="GL486" s="119"/>
      <c r="GM486" s="119"/>
      <c r="GN486" s="119"/>
      <c r="GO486" s="119"/>
      <c r="GP486" s="119"/>
      <c r="GQ486" s="119"/>
      <c r="GR486" s="119"/>
      <c r="GS486" s="119"/>
      <c r="GT486" s="119"/>
      <c r="GU486" s="119"/>
      <c r="GV486" s="119"/>
      <c r="GW486" s="119"/>
      <c r="GX486" s="119"/>
      <c r="GY486" s="119"/>
      <c r="GZ486" s="119"/>
      <c r="HA486" s="119"/>
      <c r="HB486" s="119"/>
      <c r="HC486" s="119"/>
      <c r="HD486" s="119"/>
      <c r="HE486" s="119"/>
      <c r="HF486" s="119"/>
      <c r="HG486" s="119"/>
      <c r="HH486" s="119"/>
      <c r="HI486" s="119"/>
      <c r="HJ486" s="119"/>
      <c r="HK486" s="119"/>
      <c r="HL486" s="119"/>
      <c r="HM486" s="119"/>
      <c r="HN486" s="119"/>
      <c r="HO486" s="119"/>
      <c r="HP486" s="119"/>
      <c r="HQ486" s="119"/>
      <c r="HR486" s="119"/>
      <c r="HS486" s="119"/>
      <c r="HT486" s="119"/>
      <c r="HU486" s="119"/>
      <c r="HV486" s="119"/>
      <c r="HW486" s="119"/>
      <c r="HX486" s="119"/>
      <c r="HY486" s="119"/>
      <c r="HZ486" s="119"/>
      <c r="IA486" s="119"/>
      <c r="IB486" s="119"/>
      <c r="IC486" s="119"/>
      <c r="ID486" s="119"/>
      <c r="IE486" s="119"/>
      <c r="IF486" s="119"/>
      <c r="IG486" s="119"/>
      <c r="IH486" s="119"/>
      <c r="II486" s="119"/>
      <c r="IJ486" s="119"/>
      <c r="IK486" s="119"/>
      <c r="IL486" s="119"/>
      <c r="IM486" s="119"/>
      <c r="IN486" s="119"/>
      <c r="IO486" s="119"/>
      <c r="IP486" s="119"/>
      <c r="IQ486" s="119"/>
      <c r="IR486" s="119"/>
      <c r="IS486" s="119"/>
      <c r="IT486" s="119"/>
      <c r="IU486" s="119"/>
      <c r="IV486" s="119"/>
      <c r="IW486" s="119"/>
    </row>
    <row r="487" customFormat="false" ht="18.75" hidden="true" customHeight="false" outlineLevel="0" collapsed="false">
      <c r="A487" s="234" t="s">
        <v>456</v>
      </c>
      <c r="B487" s="113"/>
      <c r="C487" s="114"/>
      <c r="D487" s="69" t="n">
        <f aca="false">I487/0.03</f>
        <v>1006.8</v>
      </c>
      <c r="E487" s="116" t="n">
        <f aca="false">43284/1000</f>
        <v>43.284</v>
      </c>
      <c r="F487" s="116" t="n">
        <v>-13.08</v>
      </c>
      <c r="G487" s="116"/>
      <c r="H487" s="116"/>
      <c r="I487" s="117" t="n">
        <f aca="false">SUM(E487:G487)</f>
        <v>30.204</v>
      </c>
      <c r="J487" s="118" t="s">
        <v>226</v>
      </c>
      <c r="K487" s="119"/>
      <c r="L487" s="119"/>
      <c r="M487" s="119"/>
      <c r="N487" s="119"/>
      <c r="O487" s="119"/>
      <c r="P487" s="119"/>
      <c r="Q487" s="119"/>
      <c r="R487" s="119"/>
      <c r="S487" s="119"/>
      <c r="T487" s="65" t="n">
        <f aca="false">IF(D487&gt;0,(I487/D487),"")</f>
        <v>0.03</v>
      </c>
      <c r="U487" s="119"/>
      <c r="V487" s="119"/>
      <c r="W487" s="119"/>
      <c r="X487" s="119"/>
      <c r="Y487" s="119"/>
      <c r="Z487" s="119"/>
      <c r="AA487" s="119"/>
      <c r="AB487" s="119"/>
      <c r="AC487" s="119"/>
      <c r="AD487" s="119"/>
      <c r="AE487" s="119"/>
      <c r="AF487" s="119"/>
      <c r="AG487" s="119"/>
      <c r="AH487" s="119"/>
      <c r="AI487" s="119"/>
      <c r="AJ487" s="119"/>
      <c r="AK487" s="119"/>
      <c r="AL487" s="119"/>
      <c r="AM487" s="119"/>
      <c r="AN487" s="119"/>
      <c r="AO487" s="119"/>
      <c r="AP487" s="119"/>
      <c r="AQ487" s="119"/>
      <c r="AR487" s="119"/>
      <c r="AS487" s="119"/>
      <c r="AT487" s="119"/>
      <c r="AU487" s="119"/>
      <c r="AV487" s="119"/>
      <c r="AW487" s="119"/>
      <c r="AX487" s="119"/>
      <c r="AY487" s="119"/>
      <c r="AZ487" s="119"/>
      <c r="BA487" s="119"/>
      <c r="BB487" s="119"/>
      <c r="BC487" s="119"/>
      <c r="BD487" s="119"/>
      <c r="BE487" s="119"/>
      <c r="BF487" s="119"/>
      <c r="BG487" s="119"/>
      <c r="BH487" s="119"/>
      <c r="BI487" s="119"/>
      <c r="BJ487" s="119"/>
      <c r="BK487" s="119"/>
      <c r="BL487" s="119"/>
      <c r="BM487" s="119"/>
      <c r="BN487" s="119"/>
      <c r="BO487" s="119"/>
      <c r="BP487" s="119"/>
      <c r="BQ487" s="119"/>
      <c r="BR487" s="119"/>
      <c r="BS487" s="119"/>
      <c r="BT487" s="119"/>
      <c r="BU487" s="119"/>
      <c r="BV487" s="119"/>
      <c r="BW487" s="119"/>
      <c r="BX487" s="119"/>
      <c r="BY487" s="119"/>
      <c r="BZ487" s="119"/>
      <c r="CA487" s="119"/>
      <c r="CB487" s="119"/>
      <c r="CC487" s="119"/>
      <c r="CD487" s="119"/>
      <c r="CE487" s="119"/>
      <c r="CF487" s="119"/>
      <c r="CG487" s="119"/>
      <c r="CH487" s="119"/>
      <c r="CI487" s="119"/>
      <c r="CJ487" s="119"/>
      <c r="CK487" s="119"/>
      <c r="CL487" s="119"/>
      <c r="CM487" s="119"/>
      <c r="CN487" s="119"/>
      <c r="CO487" s="119"/>
      <c r="CP487" s="119"/>
      <c r="CQ487" s="119"/>
      <c r="CR487" s="119"/>
      <c r="CS487" s="119"/>
      <c r="CT487" s="119"/>
      <c r="CU487" s="119"/>
      <c r="CV487" s="119"/>
      <c r="CW487" s="119"/>
      <c r="CX487" s="119"/>
      <c r="CY487" s="119"/>
      <c r="CZ487" s="119"/>
      <c r="DA487" s="119"/>
      <c r="DB487" s="119"/>
      <c r="DC487" s="119"/>
      <c r="DD487" s="119"/>
      <c r="DE487" s="119"/>
      <c r="DF487" s="119"/>
      <c r="DG487" s="119"/>
      <c r="DH487" s="119"/>
      <c r="DI487" s="119"/>
      <c r="DJ487" s="119"/>
      <c r="DK487" s="119"/>
      <c r="DL487" s="119"/>
      <c r="DM487" s="119"/>
      <c r="DN487" s="119"/>
      <c r="DO487" s="119"/>
      <c r="DP487" s="119"/>
      <c r="DQ487" s="119"/>
      <c r="DR487" s="119"/>
      <c r="DS487" s="119"/>
      <c r="DT487" s="119"/>
      <c r="DU487" s="119"/>
      <c r="DV487" s="119"/>
      <c r="DW487" s="119"/>
      <c r="DX487" s="119"/>
      <c r="DY487" s="119"/>
      <c r="DZ487" s="119"/>
      <c r="EA487" s="119"/>
      <c r="EB487" s="119"/>
      <c r="EC487" s="119"/>
      <c r="ED487" s="119"/>
      <c r="EE487" s="119"/>
      <c r="EF487" s="119"/>
      <c r="EG487" s="119"/>
      <c r="EH487" s="119"/>
      <c r="EI487" s="119"/>
      <c r="EJ487" s="119"/>
      <c r="EK487" s="119"/>
      <c r="EL487" s="119"/>
      <c r="EM487" s="119"/>
      <c r="EN487" s="119"/>
      <c r="EO487" s="119"/>
      <c r="EP487" s="119"/>
      <c r="EQ487" s="119"/>
      <c r="ER487" s="119"/>
      <c r="ES487" s="119"/>
      <c r="ET487" s="119"/>
      <c r="EU487" s="119"/>
      <c r="EV487" s="119"/>
      <c r="EW487" s="119"/>
      <c r="EX487" s="119"/>
      <c r="EY487" s="119"/>
      <c r="EZ487" s="119"/>
      <c r="FA487" s="119"/>
      <c r="FB487" s="119"/>
      <c r="FC487" s="119"/>
      <c r="FD487" s="119"/>
      <c r="FE487" s="119"/>
      <c r="FF487" s="119"/>
      <c r="FG487" s="119"/>
      <c r="FH487" s="119"/>
      <c r="FI487" s="119"/>
      <c r="FJ487" s="119"/>
      <c r="FK487" s="119"/>
      <c r="FL487" s="119"/>
      <c r="FM487" s="119"/>
      <c r="FN487" s="119"/>
      <c r="FO487" s="119"/>
      <c r="FP487" s="119"/>
      <c r="FQ487" s="119"/>
      <c r="FR487" s="119"/>
      <c r="FS487" s="119"/>
      <c r="FT487" s="119"/>
      <c r="FU487" s="119"/>
      <c r="FV487" s="119"/>
      <c r="FW487" s="119"/>
      <c r="FX487" s="119"/>
      <c r="FY487" s="119"/>
      <c r="FZ487" s="119"/>
      <c r="GA487" s="119"/>
      <c r="GB487" s="119"/>
      <c r="GC487" s="119"/>
      <c r="GD487" s="119"/>
      <c r="GE487" s="119"/>
      <c r="GF487" s="119"/>
      <c r="GG487" s="119"/>
      <c r="GH487" s="119"/>
      <c r="GI487" s="119"/>
      <c r="GJ487" s="119"/>
      <c r="GK487" s="119"/>
      <c r="GL487" s="119"/>
      <c r="GM487" s="119"/>
      <c r="GN487" s="119"/>
      <c r="GO487" s="119"/>
      <c r="GP487" s="119"/>
      <c r="GQ487" s="119"/>
      <c r="GR487" s="119"/>
      <c r="GS487" s="119"/>
      <c r="GT487" s="119"/>
      <c r="GU487" s="119"/>
      <c r="GV487" s="119"/>
      <c r="GW487" s="119"/>
      <c r="GX487" s="119"/>
      <c r="GY487" s="119"/>
      <c r="GZ487" s="119"/>
      <c r="HA487" s="119"/>
      <c r="HB487" s="119"/>
      <c r="HC487" s="119"/>
      <c r="HD487" s="119"/>
      <c r="HE487" s="119"/>
      <c r="HF487" s="119"/>
      <c r="HG487" s="119"/>
      <c r="HH487" s="119"/>
      <c r="HI487" s="119"/>
      <c r="HJ487" s="119"/>
      <c r="HK487" s="119"/>
      <c r="HL487" s="119"/>
      <c r="HM487" s="119"/>
      <c r="HN487" s="119"/>
      <c r="HO487" s="119"/>
      <c r="HP487" s="119"/>
      <c r="HQ487" s="119"/>
      <c r="HR487" s="119"/>
      <c r="HS487" s="119"/>
      <c r="HT487" s="119"/>
      <c r="HU487" s="119"/>
      <c r="HV487" s="119"/>
      <c r="HW487" s="119"/>
      <c r="HX487" s="119"/>
      <c r="HY487" s="119"/>
      <c r="HZ487" s="119"/>
      <c r="IA487" s="119"/>
      <c r="IB487" s="119"/>
      <c r="IC487" s="119"/>
      <c r="ID487" s="119"/>
      <c r="IE487" s="119"/>
      <c r="IF487" s="119"/>
      <c r="IG487" s="119"/>
      <c r="IH487" s="119"/>
      <c r="II487" s="119"/>
      <c r="IJ487" s="119"/>
      <c r="IK487" s="119"/>
      <c r="IL487" s="119"/>
      <c r="IM487" s="119"/>
      <c r="IN487" s="119"/>
      <c r="IO487" s="119"/>
      <c r="IP487" s="119"/>
      <c r="IQ487" s="119"/>
      <c r="IR487" s="119"/>
      <c r="IS487" s="119"/>
      <c r="IT487" s="119"/>
      <c r="IU487" s="119"/>
      <c r="IV487" s="119"/>
      <c r="IW487" s="119"/>
    </row>
    <row r="488" customFormat="false" ht="18.75" hidden="true" customHeight="false" outlineLevel="0" collapsed="false">
      <c r="A488" s="234" t="s">
        <v>457</v>
      </c>
      <c r="B488" s="113"/>
      <c r="C488" s="114"/>
      <c r="D488" s="69" t="n">
        <f aca="false">I488/0.03</f>
        <v>949.8</v>
      </c>
      <c r="E488" s="116" t="n">
        <f aca="false">40083/1000</f>
        <v>40.083</v>
      </c>
      <c r="F488" s="116" t="n">
        <v>-11.589</v>
      </c>
      <c r="G488" s="116"/>
      <c r="H488" s="116"/>
      <c r="I488" s="117" t="n">
        <f aca="false">SUM(E488:G488)</f>
        <v>28.494</v>
      </c>
      <c r="J488" s="118" t="s">
        <v>226</v>
      </c>
      <c r="K488" s="119"/>
      <c r="L488" s="119"/>
      <c r="M488" s="119"/>
      <c r="N488" s="119"/>
      <c r="O488" s="119"/>
      <c r="P488" s="119"/>
      <c r="Q488" s="119"/>
      <c r="R488" s="119"/>
      <c r="S488" s="119"/>
      <c r="T488" s="65" t="n">
        <f aca="false">IF(D488&gt;0,(I488/D488),"")</f>
        <v>0.03</v>
      </c>
      <c r="U488" s="119"/>
      <c r="V488" s="119"/>
      <c r="W488" s="119"/>
      <c r="X488" s="119"/>
      <c r="Y488" s="119"/>
      <c r="Z488" s="119"/>
      <c r="AA488" s="119"/>
      <c r="AB488" s="119"/>
      <c r="AC488" s="119"/>
      <c r="AD488" s="119"/>
      <c r="AE488" s="119"/>
      <c r="AF488" s="119"/>
      <c r="AG488" s="119"/>
      <c r="AH488" s="119"/>
      <c r="AI488" s="119"/>
      <c r="AJ488" s="119"/>
      <c r="AK488" s="119"/>
      <c r="AL488" s="119"/>
      <c r="AM488" s="119"/>
      <c r="AN488" s="119"/>
      <c r="AO488" s="119"/>
      <c r="AP488" s="119"/>
      <c r="AQ488" s="119"/>
      <c r="AR488" s="119"/>
      <c r="AS488" s="119"/>
      <c r="AT488" s="119"/>
      <c r="AU488" s="119"/>
      <c r="AV488" s="119"/>
      <c r="AW488" s="119"/>
      <c r="AX488" s="119"/>
      <c r="AY488" s="119"/>
      <c r="AZ488" s="119"/>
      <c r="BA488" s="119"/>
      <c r="BB488" s="119"/>
      <c r="BC488" s="119"/>
      <c r="BD488" s="119"/>
      <c r="BE488" s="119"/>
      <c r="BF488" s="119"/>
      <c r="BG488" s="119"/>
      <c r="BH488" s="119"/>
      <c r="BI488" s="119"/>
      <c r="BJ488" s="119"/>
      <c r="BK488" s="119"/>
      <c r="BL488" s="119"/>
      <c r="BM488" s="119"/>
      <c r="BN488" s="119"/>
      <c r="BO488" s="119"/>
      <c r="BP488" s="119"/>
      <c r="BQ488" s="119"/>
      <c r="BR488" s="119"/>
      <c r="BS488" s="119"/>
      <c r="BT488" s="119"/>
      <c r="BU488" s="119"/>
      <c r="BV488" s="119"/>
      <c r="BW488" s="119"/>
      <c r="BX488" s="119"/>
      <c r="BY488" s="119"/>
      <c r="BZ488" s="119"/>
      <c r="CA488" s="119"/>
      <c r="CB488" s="119"/>
      <c r="CC488" s="119"/>
      <c r="CD488" s="119"/>
      <c r="CE488" s="119"/>
      <c r="CF488" s="119"/>
      <c r="CG488" s="119"/>
      <c r="CH488" s="119"/>
      <c r="CI488" s="119"/>
      <c r="CJ488" s="119"/>
      <c r="CK488" s="119"/>
      <c r="CL488" s="119"/>
      <c r="CM488" s="119"/>
      <c r="CN488" s="119"/>
      <c r="CO488" s="119"/>
      <c r="CP488" s="119"/>
      <c r="CQ488" s="119"/>
      <c r="CR488" s="119"/>
      <c r="CS488" s="119"/>
      <c r="CT488" s="119"/>
      <c r="CU488" s="119"/>
      <c r="CV488" s="119"/>
      <c r="CW488" s="119"/>
      <c r="CX488" s="119"/>
      <c r="CY488" s="119"/>
      <c r="CZ488" s="119"/>
      <c r="DA488" s="119"/>
      <c r="DB488" s="119"/>
      <c r="DC488" s="119"/>
      <c r="DD488" s="119"/>
      <c r="DE488" s="119"/>
      <c r="DF488" s="119"/>
      <c r="DG488" s="119"/>
      <c r="DH488" s="119"/>
      <c r="DI488" s="119"/>
      <c r="DJ488" s="119"/>
      <c r="DK488" s="119"/>
      <c r="DL488" s="119"/>
      <c r="DM488" s="119"/>
      <c r="DN488" s="119"/>
      <c r="DO488" s="119"/>
      <c r="DP488" s="119"/>
      <c r="DQ488" s="119"/>
      <c r="DR488" s="119"/>
      <c r="DS488" s="119"/>
      <c r="DT488" s="119"/>
      <c r="DU488" s="119"/>
      <c r="DV488" s="119"/>
      <c r="DW488" s="119"/>
      <c r="DX488" s="119"/>
      <c r="DY488" s="119"/>
      <c r="DZ488" s="119"/>
      <c r="EA488" s="119"/>
      <c r="EB488" s="119"/>
      <c r="EC488" s="119"/>
      <c r="ED488" s="119"/>
      <c r="EE488" s="119"/>
      <c r="EF488" s="119"/>
      <c r="EG488" s="119"/>
      <c r="EH488" s="119"/>
      <c r="EI488" s="119"/>
      <c r="EJ488" s="119"/>
      <c r="EK488" s="119"/>
      <c r="EL488" s="119"/>
      <c r="EM488" s="119"/>
      <c r="EN488" s="119"/>
      <c r="EO488" s="119"/>
      <c r="EP488" s="119"/>
      <c r="EQ488" s="119"/>
      <c r="ER488" s="119"/>
      <c r="ES488" s="119"/>
      <c r="ET488" s="119"/>
      <c r="EU488" s="119"/>
      <c r="EV488" s="119"/>
      <c r="EW488" s="119"/>
      <c r="EX488" s="119"/>
      <c r="EY488" s="119"/>
      <c r="EZ488" s="119"/>
      <c r="FA488" s="119"/>
      <c r="FB488" s="119"/>
      <c r="FC488" s="119"/>
      <c r="FD488" s="119"/>
      <c r="FE488" s="119"/>
      <c r="FF488" s="119"/>
      <c r="FG488" s="119"/>
      <c r="FH488" s="119"/>
      <c r="FI488" s="119"/>
      <c r="FJ488" s="119"/>
      <c r="FK488" s="119"/>
      <c r="FL488" s="119"/>
      <c r="FM488" s="119"/>
      <c r="FN488" s="119"/>
      <c r="FO488" s="119"/>
      <c r="FP488" s="119"/>
      <c r="FQ488" s="119"/>
      <c r="FR488" s="119"/>
      <c r="FS488" s="119"/>
      <c r="FT488" s="119"/>
      <c r="FU488" s="119"/>
      <c r="FV488" s="119"/>
      <c r="FW488" s="119"/>
      <c r="FX488" s="119"/>
      <c r="FY488" s="119"/>
      <c r="FZ488" s="119"/>
      <c r="GA488" s="119"/>
      <c r="GB488" s="119"/>
      <c r="GC488" s="119"/>
      <c r="GD488" s="119"/>
      <c r="GE488" s="119"/>
      <c r="GF488" s="119"/>
      <c r="GG488" s="119"/>
      <c r="GH488" s="119"/>
      <c r="GI488" s="119"/>
      <c r="GJ488" s="119"/>
      <c r="GK488" s="119"/>
      <c r="GL488" s="119"/>
      <c r="GM488" s="119"/>
      <c r="GN488" s="119"/>
      <c r="GO488" s="119"/>
      <c r="GP488" s="119"/>
      <c r="GQ488" s="119"/>
      <c r="GR488" s="119"/>
      <c r="GS488" s="119"/>
      <c r="GT488" s="119"/>
      <c r="GU488" s="119"/>
      <c r="GV488" s="119"/>
      <c r="GW488" s="119"/>
      <c r="GX488" s="119"/>
      <c r="GY488" s="119"/>
      <c r="GZ488" s="119"/>
      <c r="HA488" s="119"/>
      <c r="HB488" s="119"/>
      <c r="HC488" s="119"/>
      <c r="HD488" s="119"/>
      <c r="HE488" s="119"/>
      <c r="HF488" s="119"/>
      <c r="HG488" s="119"/>
      <c r="HH488" s="119"/>
      <c r="HI488" s="119"/>
      <c r="HJ488" s="119"/>
      <c r="HK488" s="119"/>
      <c r="HL488" s="119"/>
      <c r="HM488" s="119"/>
      <c r="HN488" s="119"/>
      <c r="HO488" s="119"/>
      <c r="HP488" s="119"/>
      <c r="HQ488" s="119"/>
      <c r="HR488" s="119"/>
      <c r="HS488" s="119"/>
      <c r="HT488" s="119"/>
      <c r="HU488" s="119"/>
      <c r="HV488" s="119"/>
      <c r="HW488" s="119"/>
      <c r="HX488" s="119"/>
      <c r="HY488" s="119"/>
      <c r="HZ488" s="119"/>
      <c r="IA488" s="119"/>
      <c r="IB488" s="119"/>
      <c r="IC488" s="119"/>
      <c r="ID488" s="119"/>
      <c r="IE488" s="119"/>
      <c r="IF488" s="119"/>
      <c r="IG488" s="119"/>
      <c r="IH488" s="119"/>
      <c r="II488" s="119"/>
      <c r="IJ488" s="119"/>
      <c r="IK488" s="119"/>
      <c r="IL488" s="119"/>
      <c r="IM488" s="119"/>
      <c r="IN488" s="119"/>
      <c r="IO488" s="119"/>
      <c r="IP488" s="119"/>
      <c r="IQ488" s="119"/>
      <c r="IR488" s="119"/>
      <c r="IS488" s="119"/>
      <c r="IT488" s="119"/>
      <c r="IU488" s="119"/>
      <c r="IV488" s="119"/>
      <c r="IW488" s="119"/>
    </row>
    <row r="489" customFormat="false" ht="18.75" hidden="true" customHeight="false" outlineLevel="0" collapsed="false">
      <c r="A489" s="234" t="s">
        <v>458</v>
      </c>
      <c r="B489" s="113"/>
      <c r="C489" s="114"/>
      <c r="D489" s="69" t="n">
        <f aca="false">I489/0.03</f>
        <v>79.2333333333333</v>
      </c>
      <c r="E489" s="116" t="n">
        <f aca="false">4084/1000</f>
        <v>4.084</v>
      </c>
      <c r="F489" s="116" t="n">
        <v>-1.707</v>
      </c>
      <c r="G489" s="116"/>
      <c r="H489" s="116"/>
      <c r="I489" s="117" t="n">
        <f aca="false">SUM(E489:G489)</f>
        <v>2.377</v>
      </c>
      <c r="J489" s="118" t="s">
        <v>226</v>
      </c>
      <c r="K489" s="119"/>
      <c r="L489" s="119"/>
      <c r="M489" s="119"/>
      <c r="N489" s="119"/>
      <c r="O489" s="119"/>
      <c r="P489" s="119"/>
      <c r="Q489" s="119"/>
      <c r="R489" s="119"/>
      <c r="S489" s="119"/>
      <c r="T489" s="65" t="n">
        <f aca="false">IF(D489&gt;0,(I489/D489),"")</f>
        <v>0.03</v>
      </c>
      <c r="U489" s="119"/>
      <c r="V489" s="119"/>
      <c r="W489" s="119"/>
      <c r="X489" s="119"/>
      <c r="Y489" s="119"/>
      <c r="Z489" s="119"/>
      <c r="AA489" s="119"/>
      <c r="AB489" s="119"/>
      <c r="AC489" s="119"/>
      <c r="AD489" s="119"/>
      <c r="AE489" s="119"/>
      <c r="AF489" s="119"/>
      <c r="AG489" s="119"/>
      <c r="AH489" s="119"/>
      <c r="AI489" s="119"/>
      <c r="AJ489" s="119"/>
      <c r="AK489" s="119"/>
      <c r="AL489" s="119"/>
      <c r="AM489" s="119"/>
      <c r="AN489" s="119"/>
      <c r="AO489" s="119"/>
      <c r="AP489" s="119"/>
      <c r="AQ489" s="119"/>
      <c r="AR489" s="119"/>
      <c r="AS489" s="119"/>
      <c r="AT489" s="119"/>
      <c r="AU489" s="119"/>
      <c r="AV489" s="119"/>
      <c r="AW489" s="119"/>
      <c r="AX489" s="119"/>
      <c r="AY489" s="119"/>
      <c r="AZ489" s="119"/>
      <c r="BA489" s="119"/>
      <c r="BB489" s="119"/>
      <c r="BC489" s="119"/>
      <c r="BD489" s="119"/>
      <c r="BE489" s="119"/>
      <c r="BF489" s="119"/>
      <c r="BG489" s="119"/>
      <c r="BH489" s="119"/>
      <c r="BI489" s="119"/>
      <c r="BJ489" s="119"/>
      <c r="BK489" s="119"/>
      <c r="BL489" s="119"/>
      <c r="BM489" s="119"/>
      <c r="BN489" s="119"/>
      <c r="BO489" s="119"/>
      <c r="BP489" s="119"/>
      <c r="BQ489" s="119"/>
      <c r="BR489" s="119"/>
      <c r="BS489" s="119"/>
      <c r="BT489" s="119"/>
      <c r="BU489" s="119"/>
      <c r="BV489" s="119"/>
      <c r="BW489" s="119"/>
      <c r="BX489" s="119"/>
      <c r="BY489" s="119"/>
      <c r="BZ489" s="119"/>
      <c r="CA489" s="119"/>
      <c r="CB489" s="119"/>
      <c r="CC489" s="119"/>
      <c r="CD489" s="119"/>
      <c r="CE489" s="119"/>
      <c r="CF489" s="119"/>
      <c r="CG489" s="119"/>
      <c r="CH489" s="119"/>
      <c r="CI489" s="119"/>
      <c r="CJ489" s="119"/>
      <c r="CK489" s="119"/>
      <c r="CL489" s="119"/>
      <c r="CM489" s="119"/>
      <c r="CN489" s="119"/>
      <c r="CO489" s="119"/>
      <c r="CP489" s="119"/>
      <c r="CQ489" s="119"/>
      <c r="CR489" s="119"/>
      <c r="CS489" s="119"/>
      <c r="CT489" s="119"/>
      <c r="CU489" s="119"/>
      <c r="CV489" s="119"/>
      <c r="CW489" s="119"/>
      <c r="CX489" s="119"/>
      <c r="CY489" s="119"/>
      <c r="CZ489" s="119"/>
      <c r="DA489" s="119"/>
      <c r="DB489" s="119"/>
      <c r="DC489" s="119"/>
      <c r="DD489" s="119"/>
      <c r="DE489" s="119"/>
      <c r="DF489" s="119"/>
      <c r="DG489" s="119"/>
      <c r="DH489" s="119"/>
      <c r="DI489" s="119"/>
      <c r="DJ489" s="119"/>
      <c r="DK489" s="119"/>
      <c r="DL489" s="119"/>
      <c r="DM489" s="119"/>
      <c r="DN489" s="119"/>
      <c r="DO489" s="119"/>
      <c r="DP489" s="119"/>
      <c r="DQ489" s="119"/>
      <c r="DR489" s="119"/>
      <c r="DS489" s="119"/>
      <c r="DT489" s="119"/>
      <c r="DU489" s="119"/>
      <c r="DV489" s="119"/>
      <c r="DW489" s="119"/>
      <c r="DX489" s="119"/>
      <c r="DY489" s="119"/>
      <c r="DZ489" s="119"/>
      <c r="EA489" s="119"/>
      <c r="EB489" s="119"/>
      <c r="EC489" s="119"/>
      <c r="ED489" s="119"/>
      <c r="EE489" s="119"/>
      <c r="EF489" s="119"/>
      <c r="EG489" s="119"/>
      <c r="EH489" s="119"/>
      <c r="EI489" s="119"/>
      <c r="EJ489" s="119"/>
      <c r="EK489" s="119"/>
      <c r="EL489" s="119"/>
      <c r="EM489" s="119"/>
      <c r="EN489" s="119"/>
      <c r="EO489" s="119"/>
      <c r="EP489" s="119"/>
      <c r="EQ489" s="119"/>
      <c r="ER489" s="119"/>
      <c r="ES489" s="119"/>
      <c r="ET489" s="119"/>
      <c r="EU489" s="119"/>
      <c r="EV489" s="119"/>
      <c r="EW489" s="119"/>
      <c r="EX489" s="119"/>
      <c r="EY489" s="119"/>
      <c r="EZ489" s="119"/>
      <c r="FA489" s="119"/>
      <c r="FB489" s="119"/>
      <c r="FC489" s="119"/>
      <c r="FD489" s="119"/>
      <c r="FE489" s="119"/>
      <c r="FF489" s="119"/>
      <c r="FG489" s="119"/>
      <c r="FH489" s="119"/>
      <c r="FI489" s="119"/>
      <c r="FJ489" s="119"/>
      <c r="FK489" s="119"/>
      <c r="FL489" s="119"/>
      <c r="FM489" s="119"/>
      <c r="FN489" s="119"/>
      <c r="FO489" s="119"/>
      <c r="FP489" s="119"/>
      <c r="FQ489" s="119"/>
      <c r="FR489" s="119"/>
      <c r="FS489" s="119"/>
      <c r="FT489" s="119"/>
      <c r="FU489" s="119"/>
      <c r="FV489" s="119"/>
      <c r="FW489" s="119"/>
      <c r="FX489" s="119"/>
      <c r="FY489" s="119"/>
      <c r="FZ489" s="119"/>
      <c r="GA489" s="119"/>
      <c r="GB489" s="119"/>
      <c r="GC489" s="119"/>
      <c r="GD489" s="119"/>
      <c r="GE489" s="119"/>
      <c r="GF489" s="119"/>
      <c r="GG489" s="119"/>
      <c r="GH489" s="119"/>
      <c r="GI489" s="119"/>
      <c r="GJ489" s="119"/>
      <c r="GK489" s="119"/>
      <c r="GL489" s="119"/>
      <c r="GM489" s="119"/>
      <c r="GN489" s="119"/>
      <c r="GO489" s="119"/>
      <c r="GP489" s="119"/>
      <c r="GQ489" s="119"/>
      <c r="GR489" s="119"/>
      <c r="GS489" s="119"/>
      <c r="GT489" s="119"/>
      <c r="GU489" s="119"/>
      <c r="GV489" s="119"/>
      <c r="GW489" s="119"/>
      <c r="GX489" s="119"/>
      <c r="GY489" s="119"/>
      <c r="GZ489" s="119"/>
      <c r="HA489" s="119"/>
      <c r="HB489" s="119"/>
      <c r="HC489" s="119"/>
      <c r="HD489" s="119"/>
      <c r="HE489" s="119"/>
      <c r="HF489" s="119"/>
      <c r="HG489" s="119"/>
      <c r="HH489" s="119"/>
      <c r="HI489" s="119"/>
      <c r="HJ489" s="119"/>
      <c r="HK489" s="119"/>
      <c r="HL489" s="119"/>
      <c r="HM489" s="119"/>
      <c r="HN489" s="119"/>
      <c r="HO489" s="119"/>
      <c r="HP489" s="119"/>
      <c r="HQ489" s="119"/>
      <c r="HR489" s="119"/>
      <c r="HS489" s="119"/>
      <c r="HT489" s="119"/>
      <c r="HU489" s="119"/>
      <c r="HV489" s="119"/>
      <c r="HW489" s="119"/>
      <c r="HX489" s="119"/>
      <c r="HY489" s="119"/>
      <c r="HZ489" s="119"/>
      <c r="IA489" s="119"/>
      <c r="IB489" s="119"/>
      <c r="IC489" s="119"/>
      <c r="ID489" s="119"/>
      <c r="IE489" s="119"/>
      <c r="IF489" s="119"/>
      <c r="IG489" s="119"/>
      <c r="IH489" s="119"/>
      <c r="II489" s="119"/>
      <c r="IJ489" s="119"/>
      <c r="IK489" s="119"/>
      <c r="IL489" s="119"/>
      <c r="IM489" s="119"/>
      <c r="IN489" s="119"/>
      <c r="IO489" s="119"/>
      <c r="IP489" s="119"/>
      <c r="IQ489" s="119"/>
      <c r="IR489" s="119"/>
      <c r="IS489" s="119"/>
      <c r="IT489" s="119"/>
      <c r="IU489" s="119"/>
      <c r="IV489" s="119"/>
      <c r="IW489" s="119"/>
    </row>
    <row r="490" customFormat="false" ht="18.75" hidden="true" customHeight="false" outlineLevel="0" collapsed="false">
      <c r="A490" s="234" t="s">
        <v>459</v>
      </c>
      <c r="B490" s="113"/>
      <c r="C490" s="114"/>
      <c r="D490" s="69" t="n">
        <f aca="false">I490/0.03</f>
        <v>-10.6</v>
      </c>
      <c r="E490" s="116" t="n">
        <f aca="false">1312/1000</f>
        <v>1.312</v>
      </c>
      <c r="F490" s="116" t="n">
        <v>-1.63</v>
      </c>
      <c r="G490" s="116"/>
      <c r="H490" s="116"/>
      <c r="I490" s="117" t="n">
        <f aca="false">SUM(E490:G490)</f>
        <v>-0.318</v>
      </c>
      <c r="J490" s="118" t="s">
        <v>226</v>
      </c>
      <c r="K490" s="119"/>
      <c r="L490" s="119"/>
      <c r="M490" s="119"/>
      <c r="N490" s="119"/>
      <c r="O490" s="119"/>
      <c r="P490" s="119"/>
      <c r="Q490" s="119"/>
      <c r="R490" s="119"/>
      <c r="S490" s="119"/>
      <c r="T490" s="65" t="str">
        <f aca="false">IF(D490&gt;0,(I490/D490),"")</f>
        <v/>
      </c>
      <c r="U490" s="119"/>
      <c r="V490" s="119"/>
      <c r="W490" s="119"/>
      <c r="X490" s="119"/>
      <c r="Y490" s="119"/>
      <c r="Z490" s="119"/>
      <c r="AA490" s="119"/>
      <c r="AB490" s="119"/>
      <c r="AC490" s="119"/>
      <c r="AD490" s="119"/>
      <c r="AE490" s="119"/>
      <c r="AF490" s="119"/>
      <c r="AG490" s="119"/>
      <c r="AH490" s="119"/>
      <c r="AI490" s="119"/>
      <c r="AJ490" s="119"/>
      <c r="AK490" s="119"/>
      <c r="AL490" s="119"/>
      <c r="AM490" s="119"/>
      <c r="AN490" s="119"/>
      <c r="AO490" s="119"/>
      <c r="AP490" s="119"/>
      <c r="AQ490" s="119"/>
      <c r="AR490" s="119"/>
      <c r="AS490" s="119"/>
      <c r="AT490" s="119"/>
      <c r="AU490" s="119"/>
      <c r="AV490" s="119"/>
      <c r="AW490" s="119"/>
      <c r="AX490" s="119"/>
      <c r="AY490" s="119"/>
      <c r="AZ490" s="119"/>
      <c r="BA490" s="119"/>
      <c r="BB490" s="119"/>
      <c r="BC490" s="119"/>
      <c r="BD490" s="119"/>
      <c r="BE490" s="119"/>
      <c r="BF490" s="119"/>
      <c r="BG490" s="119"/>
      <c r="BH490" s="119"/>
      <c r="BI490" s="119"/>
      <c r="BJ490" s="119"/>
      <c r="BK490" s="119"/>
      <c r="BL490" s="119"/>
      <c r="BM490" s="119"/>
      <c r="BN490" s="119"/>
      <c r="BO490" s="119"/>
      <c r="BP490" s="119"/>
      <c r="BQ490" s="119"/>
      <c r="BR490" s="119"/>
      <c r="BS490" s="119"/>
      <c r="BT490" s="119"/>
      <c r="BU490" s="119"/>
      <c r="BV490" s="119"/>
      <c r="BW490" s="119"/>
      <c r="BX490" s="119"/>
      <c r="BY490" s="119"/>
      <c r="BZ490" s="119"/>
      <c r="CA490" s="119"/>
      <c r="CB490" s="119"/>
      <c r="CC490" s="119"/>
      <c r="CD490" s="119"/>
      <c r="CE490" s="119"/>
      <c r="CF490" s="119"/>
      <c r="CG490" s="119"/>
      <c r="CH490" s="119"/>
      <c r="CI490" s="119"/>
      <c r="CJ490" s="119"/>
      <c r="CK490" s="119"/>
      <c r="CL490" s="119"/>
      <c r="CM490" s="119"/>
      <c r="CN490" s="119"/>
      <c r="CO490" s="119"/>
      <c r="CP490" s="119"/>
      <c r="CQ490" s="119"/>
      <c r="CR490" s="119"/>
      <c r="CS490" s="119"/>
      <c r="CT490" s="119"/>
      <c r="CU490" s="119"/>
      <c r="CV490" s="119"/>
      <c r="CW490" s="119"/>
      <c r="CX490" s="119"/>
      <c r="CY490" s="119"/>
      <c r="CZ490" s="119"/>
      <c r="DA490" s="119"/>
      <c r="DB490" s="119"/>
      <c r="DC490" s="119"/>
      <c r="DD490" s="119"/>
      <c r="DE490" s="119"/>
      <c r="DF490" s="119"/>
      <c r="DG490" s="119"/>
      <c r="DH490" s="119"/>
      <c r="DI490" s="119"/>
      <c r="DJ490" s="119"/>
      <c r="DK490" s="119"/>
      <c r="DL490" s="119"/>
      <c r="DM490" s="119"/>
      <c r="DN490" s="119"/>
      <c r="DO490" s="119"/>
      <c r="DP490" s="119"/>
      <c r="DQ490" s="119"/>
      <c r="DR490" s="119"/>
      <c r="DS490" s="119"/>
      <c r="DT490" s="119"/>
      <c r="DU490" s="119"/>
      <c r="DV490" s="119"/>
      <c r="DW490" s="119"/>
      <c r="DX490" s="119"/>
      <c r="DY490" s="119"/>
      <c r="DZ490" s="119"/>
      <c r="EA490" s="119"/>
      <c r="EB490" s="119"/>
      <c r="EC490" s="119"/>
      <c r="ED490" s="119"/>
      <c r="EE490" s="119"/>
      <c r="EF490" s="119"/>
      <c r="EG490" s="119"/>
      <c r="EH490" s="119"/>
      <c r="EI490" s="119"/>
      <c r="EJ490" s="119"/>
      <c r="EK490" s="119"/>
      <c r="EL490" s="119"/>
      <c r="EM490" s="119"/>
      <c r="EN490" s="119"/>
      <c r="EO490" s="119"/>
      <c r="EP490" s="119"/>
      <c r="EQ490" s="119"/>
      <c r="ER490" s="119"/>
      <c r="ES490" s="119"/>
      <c r="ET490" s="119"/>
      <c r="EU490" s="119"/>
      <c r="EV490" s="119"/>
      <c r="EW490" s="119"/>
      <c r="EX490" s="119"/>
      <c r="EY490" s="119"/>
      <c r="EZ490" s="119"/>
      <c r="FA490" s="119"/>
      <c r="FB490" s="119"/>
      <c r="FC490" s="119"/>
      <c r="FD490" s="119"/>
      <c r="FE490" s="119"/>
      <c r="FF490" s="119"/>
      <c r="FG490" s="119"/>
      <c r="FH490" s="119"/>
      <c r="FI490" s="119"/>
      <c r="FJ490" s="119"/>
      <c r="FK490" s="119"/>
      <c r="FL490" s="119"/>
      <c r="FM490" s="119"/>
      <c r="FN490" s="119"/>
      <c r="FO490" s="119"/>
      <c r="FP490" s="119"/>
      <c r="FQ490" s="119"/>
      <c r="FR490" s="119"/>
      <c r="FS490" s="119"/>
      <c r="FT490" s="119"/>
      <c r="FU490" s="119"/>
      <c r="FV490" s="119"/>
      <c r="FW490" s="119"/>
      <c r="FX490" s="119"/>
      <c r="FY490" s="119"/>
      <c r="FZ490" s="119"/>
      <c r="GA490" s="119"/>
      <c r="GB490" s="119"/>
      <c r="GC490" s="119"/>
      <c r="GD490" s="119"/>
      <c r="GE490" s="119"/>
      <c r="GF490" s="119"/>
      <c r="GG490" s="119"/>
      <c r="GH490" s="119"/>
      <c r="GI490" s="119"/>
      <c r="GJ490" s="119"/>
      <c r="GK490" s="119"/>
      <c r="GL490" s="119"/>
      <c r="GM490" s="119"/>
      <c r="GN490" s="119"/>
      <c r="GO490" s="119"/>
      <c r="GP490" s="119"/>
      <c r="GQ490" s="119"/>
      <c r="GR490" s="119"/>
      <c r="GS490" s="119"/>
      <c r="GT490" s="119"/>
      <c r="GU490" s="119"/>
      <c r="GV490" s="119"/>
      <c r="GW490" s="119"/>
      <c r="GX490" s="119"/>
      <c r="GY490" s="119"/>
      <c r="GZ490" s="119"/>
      <c r="HA490" s="119"/>
      <c r="HB490" s="119"/>
      <c r="HC490" s="119"/>
      <c r="HD490" s="119"/>
      <c r="HE490" s="119"/>
      <c r="HF490" s="119"/>
      <c r="HG490" s="119"/>
      <c r="HH490" s="119"/>
      <c r="HI490" s="119"/>
      <c r="HJ490" s="119"/>
      <c r="HK490" s="119"/>
      <c r="HL490" s="119"/>
      <c r="HM490" s="119"/>
      <c r="HN490" s="119"/>
      <c r="HO490" s="119"/>
      <c r="HP490" s="119"/>
      <c r="HQ490" s="119"/>
      <c r="HR490" s="119"/>
      <c r="HS490" s="119"/>
      <c r="HT490" s="119"/>
      <c r="HU490" s="119"/>
      <c r="HV490" s="119"/>
      <c r="HW490" s="119"/>
      <c r="HX490" s="119"/>
      <c r="HY490" s="119"/>
      <c r="HZ490" s="119"/>
      <c r="IA490" s="119"/>
      <c r="IB490" s="119"/>
      <c r="IC490" s="119"/>
      <c r="ID490" s="119"/>
      <c r="IE490" s="119"/>
      <c r="IF490" s="119"/>
      <c r="IG490" s="119"/>
      <c r="IH490" s="119"/>
      <c r="II490" s="119"/>
      <c r="IJ490" s="119"/>
      <c r="IK490" s="119"/>
      <c r="IL490" s="119"/>
      <c r="IM490" s="119"/>
      <c r="IN490" s="119"/>
      <c r="IO490" s="119"/>
      <c r="IP490" s="119"/>
      <c r="IQ490" s="119"/>
      <c r="IR490" s="119"/>
      <c r="IS490" s="119"/>
      <c r="IT490" s="119"/>
      <c r="IU490" s="119"/>
      <c r="IV490" s="119"/>
      <c r="IW490" s="119"/>
    </row>
    <row r="491" customFormat="false" ht="18.75" hidden="true" customHeight="false" outlineLevel="0" collapsed="false">
      <c r="A491" s="234" t="s">
        <v>460</v>
      </c>
      <c r="B491" s="113"/>
      <c r="C491" s="114"/>
      <c r="D491" s="69" t="n">
        <f aca="false">I491/0.03</f>
        <v>1719.43333333333</v>
      </c>
      <c r="E491" s="116" t="n">
        <f aca="false">75072/1000</f>
        <v>75.072</v>
      </c>
      <c r="F491" s="116" t="n">
        <v>-23.489</v>
      </c>
      <c r="G491" s="116"/>
      <c r="H491" s="116"/>
      <c r="I491" s="117" t="n">
        <f aca="false">SUM(E491:G491)</f>
        <v>51.583</v>
      </c>
      <c r="J491" s="118" t="s">
        <v>226</v>
      </c>
      <c r="K491" s="119"/>
      <c r="L491" s="119"/>
      <c r="M491" s="119"/>
      <c r="N491" s="119"/>
      <c r="O491" s="119"/>
      <c r="P491" s="119"/>
      <c r="Q491" s="119"/>
      <c r="R491" s="119"/>
      <c r="S491" s="119"/>
      <c r="T491" s="65" t="n">
        <f aca="false">IF(D491&gt;0,(I491/D491),"")</f>
        <v>0.03</v>
      </c>
      <c r="U491" s="119"/>
      <c r="V491" s="119"/>
      <c r="W491" s="119"/>
      <c r="X491" s="119"/>
      <c r="Y491" s="119"/>
      <c r="Z491" s="119"/>
      <c r="AA491" s="119"/>
      <c r="AB491" s="119"/>
      <c r="AC491" s="119"/>
      <c r="AD491" s="119"/>
      <c r="AE491" s="119"/>
      <c r="AF491" s="119"/>
      <c r="AG491" s="119"/>
      <c r="AH491" s="119"/>
      <c r="AI491" s="119"/>
      <c r="AJ491" s="119"/>
      <c r="AK491" s="119"/>
      <c r="AL491" s="119"/>
      <c r="AM491" s="119"/>
      <c r="AN491" s="119"/>
      <c r="AO491" s="119"/>
      <c r="AP491" s="119"/>
      <c r="AQ491" s="119"/>
      <c r="AR491" s="119"/>
      <c r="AS491" s="119"/>
      <c r="AT491" s="119"/>
      <c r="AU491" s="119"/>
      <c r="AV491" s="119"/>
      <c r="AW491" s="119"/>
      <c r="AX491" s="119"/>
      <c r="AY491" s="119"/>
      <c r="AZ491" s="119"/>
      <c r="BA491" s="119"/>
      <c r="BB491" s="119"/>
      <c r="BC491" s="119"/>
      <c r="BD491" s="119"/>
      <c r="BE491" s="119"/>
      <c r="BF491" s="119"/>
      <c r="BG491" s="119"/>
      <c r="BH491" s="119"/>
      <c r="BI491" s="119"/>
      <c r="BJ491" s="119"/>
      <c r="BK491" s="119"/>
      <c r="BL491" s="119"/>
      <c r="BM491" s="119"/>
      <c r="BN491" s="119"/>
      <c r="BO491" s="119"/>
      <c r="BP491" s="119"/>
      <c r="BQ491" s="119"/>
      <c r="BR491" s="119"/>
      <c r="BS491" s="119"/>
      <c r="BT491" s="119"/>
      <c r="BU491" s="119"/>
      <c r="BV491" s="119"/>
      <c r="BW491" s="119"/>
      <c r="BX491" s="119"/>
      <c r="BY491" s="119"/>
      <c r="BZ491" s="119"/>
      <c r="CA491" s="119"/>
      <c r="CB491" s="119"/>
      <c r="CC491" s="119"/>
      <c r="CD491" s="119"/>
      <c r="CE491" s="119"/>
      <c r="CF491" s="119"/>
      <c r="CG491" s="119"/>
      <c r="CH491" s="119"/>
      <c r="CI491" s="119"/>
      <c r="CJ491" s="119"/>
      <c r="CK491" s="119"/>
      <c r="CL491" s="119"/>
      <c r="CM491" s="119"/>
      <c r="CN491" s="119"/>
      <c r="CO491" s="119"/>
      <c r="CP491" s="119"/>
      <c r="CQ491" s="119"/>
      <c r="CR491" s="119"/>
      <c r="CS491" s="119"/>
      <c r="CT491" s="119"/>
      <c r="CU491" s="119"/>
      <c r="CV491" s="119"/>
      <c r="CW491" s="119"/>
      <c r="CX491" s="119"/>
      <c r="CY491" s="119"/>
      <c r="CZ491" s="119"/>
      <c r="DA491" s="119"/>
      <c r="DB491" s="119"/>
      <c r="DC491" s="119"/>
      <c r="DD491" s="119"/>
      <c r="DE491" s="119"/>
      <c r="DF491" s="119"/>
      <c r="DG491" s="119"/>
      <c r="DH491" s="119"/>
      <c r="DI491" s="119"/>
      <c r="DJ491" s="119"/>
      <c r="DK491" s="119"/>
      <c r="DL491" s="119"/>
      <c r="DM491" s="119"/>
      <c r="DN491" s="119"/>
      <c r="DO491" s="119"/>
      <c r="DP491" s="119"/>
      <c r="DQ491" s="119"/>
      <c r="DR491" s="119"/>
      <c r="DS491" s="119"/>
      <c r="DT491" s="119"/>
      <c r="DU491" s="119"/>
      <c r="DV491" s="119"/>
      <c r="DW491" s="119"/>
      <c r="DX491" s="119"/>
      <c r="DY491" s="119"/>
      <c r="DZ491" s="119"/>
      <c r="EA491" s="119"/>
      <c r="EB491" s="119"/>
      <c r="EC491" s="119"/>
      <c r="ED491" s="119"/>
      <c r="EE491" s="119"/>
      <c r="EF491" s="119"/>
      <c r="EG491" s="119"/>
      <c r="EH491" s="119"/>
      <c r="EI491" s="119"/>
      <c r="EJ491" s="119"/>
      <c r="EK491" s="119"/>
      <c r="EL491" s="119"/>
      <c r="EM491" s="119"/>
      <c r="EN491" s="119"/>
      <c r="EO491" s="119"/>
      <c r="EP491" s="119"/>
      <c r="EQ491" s="119"/>
      <c r="ER491" s="119"/>
      <c r="ES491" s="119"/>
      <c r="ET491" s="119"/>
      <c r="EU491" s="119"/>
      <c r="EV491" s="119"/>
      <c r="EW491" s="119"/>
      <c r="EX491" s="119"/>
      <c r="EY491" s="119"/>
      <c r="EZ491" s="119"/>
      <c r="FA491" s="119"/>
      <c r="FB491" s="119"/>
      <c r="FC491" s="119"/>
      <c r="FD491" s="119"/>
      <c r="FE491" s="119"/>
      <c r="FF491" s="119"/>
      <c r="FG491" s="119"/>
      <c r="FH491" s="119"/>
      <c r="FI491" s="119"/>
      <c r="FJ491" s="119"/>
      <c r="FK491" s="119"/>
      <c r="FL491" s="119"/>
      <c r="FM491" s="119"/>
      <c r="FN491" s="119"/>
      <c r="FO491" s="119"/>
      <c r="FP491" s="119"/>
      <c r="FQ491" s="119"/>
      <c r="FR491" s="119"/>
      <c r="FS491" s="119"/>
      <c r="FT491" s="119"/>
      <c r="FU491" s="119"/>
      <c r="FV491" s="119"/>
      <c r="FW491" s="119"/>
      <c r="FX491" s="119"/>
      <c r="FY491" s="119"/>
      <c r="FZ491" s="119"/>
      <c r="GA491" s="119"/>
      <c r="GB491" s="119"/>
      <c r="GC491" s="119"/>
      <c r="GD491" s="119"/>
      <c r="GE491" s="119"/>
      <c r="GF491" s="119"/>
      <c r="GG491" s="119"/>
      <c r="GH491" s="119"/>
      <c r="GI491" s="119"/>
      <c r="GJ491" s="119"/>
      <c r="GK491" s="119"/>
      <c r="GL491" s="119"/>
      <c r="GM491" s="119"/>
      <c r="GN491" s="119"/>
      <c r="GO491" s="119"/>
      <c r="GP491" s="119"/>
      <c r="GQ491" s="119"/>
      <c r="GR491" s="119"/>
      <c r="GS491" s="119"/>
      <c r="GT491" s="119"/>
      <c r="GU491" s="119"/>
      <c r="GV491" s="119"/>
      <c r="GW491" s="119"/>
      <c r="GX491" s="119"/>
      <c r="GY491" s="119"/>
      <c r="GZ491" s="119"/>
      <c r="HA491" s="119"/>
      <c r="HB491" s="119"/>
      <c r="HC491" s="119"/>
      <c r="HD491" s="119"/>
      <c r="HE491" s="119"/>
      <c r="HF491" s="119"/>
      <c r="HG491" s="119"/>
      <c r="HH491" s="119"/>
      <c r="HI491" s="119"/>
      <c r="HJ491" s="119"/>
      <c r="HK491" s="119"/>
      <c r="HL491" s="119"/>
      <c r="HM491" s="119"/>
      <c r="HN491" s="119"/>
      <c r="HO491" s="119"/>
      <c r="HP491" s="119"/>
      <c r="HQ491" s="119"/>
      <c r="HR491" s="119"/>
      <c r="HS491" s="119"/>
      <c r="HT491" s="119"/>
      <c r="HU491" s="119"/>
      <c r="HV491" s="119"/>
      <c r="HW491" s="119"/>
      <c r="HX491" s="119"/>
      <c r="HY491" s="119"/>
      <c r="HZ491" s="119"/>
      <c r="IA491" s="119"/>
      <c r="IB491" s="119"/>
      <c r="IC491" s="119"/>
      <c r="ID491" s="119"/>
      <c r="IE491" s="119"/>
      <c r="IF491" s="119"/>
      <c r="IG491" s="119"/>
      <c r="IH491" s="119"/>
      <c r="II491" s="119"/>
      <c r="IJ491" s="119"/>
      <c r="IK491" s="119"/>
      <c r="IL491" s="119"/>
      <c r="IM491" s="119"/>
      <c r="IN491" s="119"/>
      <c r="IO491" s="119"/>
      <c r="IP491" s="119"/>
      <c r="IQ491" s="119"/>
      <c r="IR491" s="119"/>
      <c r="IS491" s="119"/>
      <c r="IT491" s="119"/>
      <c r="IU491" s="119"/>
      <c r="IV491" s="119"/>
      <c r="IW491" s="119"/>
    </row>
    <row r="492" customFormat="false" ht="18.75" hidden="true" customHeight="false" outlineLevel="0" collapsed="false">
      <c r="A492" s="234" t="s">
        <v>461</v>
      </c>
      <c r="B492" s="113"/>
      <c r="C492" s="114"/>
      <c r="D492" s="69" t="n">
        <f aca="false">I492/0.03</f>
        <v>1376.3</v>
      </c>
      <c r="E492" s="116" t="n">
        <f aca="false">59633/1000</f>
        <v>59.633</v>
      </c>
      <c r="F492" s="116" t="n">
        <v>-18.344</v>
      </c>
      <c r="G492" s="116"/>
      <c r="H492" s="116"/>
      <c r="I492" s="117" t="n">
        <f aca="false">SUM(E492:G492)</f>
        <v>41.289</v>
      </c>
      <c r="J492" s="118" t="s">
        <v>226</v>
      </c>
      <c r="K492" s="119"/>
      <c r="L492" s="119"/>
      <c r="M492" s="119"/>
      <c r="N492" s="119"/>
      <c r="O492" s="119"/>
      <c r="P492" s="119"/>
      <c r="Q492" s="119"/>
      <c r="R492" s="119"/>
      <c r="S492" s="119"/>
      <c r="T492" s="65" t="n">
        <f aca="false">IF(D492&gt;0,(I492/D492),"")</f>
        <v>0.03</v>
      </c>
      <c r="U492" s="119"/>
      <c r="V492" s="119"/>
      <c r="W492" s="119"/>
      <c r="X492" s="119"/>
      <c r="Y492" s="119"/>
      <c r="Z492" s="119"/>
      <c r="AA492" s="119"/>
      <c r="AB492" s="119"/>
      <c r="AC492" s="119"/>
      <c r="AD492" s="119"/>
      <c r="AE492" s="119"/>
      <c r="AF492" s="119"/>
      <c r="AG492" s="119"/>
      <c r="AH492" s="119"/>
      <c r="AI492" s="119"/>
      <c r="AJ492" s="119"/>
      <c r="AK492" s="119"/>
      <c r="AL492" s="119"/>
      <c r="AM492" s="119"/>
      <c r="AN492" s="119"/>
      <c r="AO492" s="119"/>
      <c r="AP492" s="119"/>
      <c r="AQ492" s="119"/>
      <c r="AR492" s="119"/>
      <c r="AS492" s="119"/>
      <c r="AT492" s="119"/>
      <c r="AU492" s="119"/>
      <c r="AV492" s="119"/>
      <c r="AW492" s="119"/>
      <c r="AX492" s="119"/>
      <c r="AY492" s="119"/>
      <c r="AZ492" s="119"/>
      <c r="BA492" s="119"/>
      <c r="BB492" s="119"/>
      <c r="BC492" s="119"/>
      <c r="BD492" s="119"/>
      <c r="BE492" s="119"/>
      <c r="BF492" s="119"/>
      <c r="BG492" s="119"/>
      <c r="BH492" s="119"/>
      <c r="BI492" s="119"/>
      <c r="BJ492" s="119"/>
      <c r="BK492" s="119"/>
      <c r="BL492" s="119"/>
      <c r="BM492" s="119"/>
      <c r="BN492" s="119"/>
      <c r="BO492" s="119"/>
      <c r="BP492" s="119"/>
      <c r="BQ492" s="119"/>
      <c r="BR492" s="119"/>
      <c r="BS492" s="119"/>
      <c r="BT492" s="119"/>
      <c r="BU492" s="119"/>
      <c r="BV492" s="119"/>
      <c r="BW492" s="119"/>
      <c r="BX492" s="119"/>
      <c r="BY492" s="119"/>
      <c r="BZ492" s="119"/>
      <c r="CA492" s="119"/>
      <c r="CB492" s="119"/>
      <c r="CC492" s="119"/>
      <c r="CD492" s="119"/>
      <c r="CE492" s="119"/>
      <c r="CF492" s="119"/>
      <c r="CG492" s="119"/>
      <c r="CH492" s="119"/>
      <c r="CI492" s="119"/>
      <c r="CJ492" s="119"/>
      <c r="CK492" s="119"/>
      <c r="CL492" s="119"/>
      <c r="CM492" s="119"/>
      <c r="CN492" s="119"/>
      <c r="CO492" s="119"/>
      <c r="CP492" s="119"/>
      <c r="CQ492" s="119"/>
      <c r="CR492" s="119"/>
      <c r="CS492" s="119"/>
      <c r="CT492" s="119"/>
      <c r="CU492" s="119"/>
      <c r="CV492" s="119"/>
      <c r="CW492" s="119"/>
      <c r="CX492" s="119"/>
      <c r="CY492" s="119"/>
      <c r="CZ492" s="119"/>
      <c r="DA492" s="119"/>
      <c r="DB492" s="119"/>
      <c r="DC492" s="119"/>
      <c r="DD492" s="119"/>
      <c r="DE492" s="119"/>
      <c r="DF492" s="119"/>
      <c r="DG492" s="119"/>
      <c r="DH492" s="119"/>
      <c r="DI492" s="119"/>
      <c r="DJ492" s="119"/>
      <c r="DK492" s="119"/>
      <c r="DL492" s="119"/>
      <c r="DM492" s="119"/>
      <c r="DN492" s="119"/>
      <c r="DO492" s="119"/>
      <c r="DP492" s="119"/>
      <c r="DQ492" s="119"/>
      <c r="DR492" s="119"/>
      <c r="DS492" s="119"/>
      <c r="DT492" s="119"/>
      <c r="DU492" s="119"/>
      <c r="DV492" s="119"/>
      <c r="DW492" s="119"/>
      <c r="DX492" s="119"/>
      <c r="DY492" s="119"/>
      <c r="DZ492" s="119"/>
      <c r="EA492" s="119"/>
      <c r="EB492" s="119"/>
      <c r="EC492" s="119"/>
      <c r="ED492" s="119"/>
      <c r="EE492" s="119"/>
      <c r="EF492" s="119"/>
      <c r="EG492" s="119"/>
      <c r="EH492" s="119"/>
      <c r="EI492" s="119"/>
      <c r="EJ492" s="119"/>
      <c r="EK492" s="119"/>
      <c r="EL492" s="119"/>
      <c r="EM492" s="119"/>
      <c r="EN492" s="119"/>
      <c r="EO492" s="119"/>
      <c r="EP492" s="119"/>
      <c r="EQ492" s="119"/>
      <c r="ER492" s="119"/>
      <c r="ES492" s="119"/>
      <c r="ET492" s="119"/>
      <c r="EU492" s="119"/>
      <c r="EV492" s="119"/>
      <c r="EW492" s="119"/>
      <c r="EX492" s="119"/>
      <c r="EY492" s="119"/>
      <c r="EZ492" s="119"/>
      <c r="FA492" s="119"/>
      <c r="FB492" s="119"/>
      <c r="FC492" s="119"/>
      <c r="FD492" s="119"/>
      <c r="FE492" s="119"/>
      <c r="FF492" s="119"/>
      <c r="FG492" s="119"/>
      <c r="FH492" s="119"/>
      <c r="FI492" s="119"/>
      <c r="FJ492" s="119"/>
      <c r="FK492" s="119"/>
      <c r="FL492" s="119"/>
      <c r="FM492" s="119"/>
      <c r="FN492" s="119"/>
      <c r="FO492" s="119"/>
      <c r="FP492" s="119"/>
      <c r="FQ492" s="119"/>
      <c r="FR492" s="119"/>
      <c r="FS492" s="119"/>
      <c r="FT492" s="119"/>
      <c r="FU492" s="119"/>
      <c r="FV492" s="119"/>
      <c r="FW492" s="119"/>
      <c r="FX492" s="119"/>
      <c r="FY492" s="119"/>
      <c r="FZ492" s="119"/>
      <c r="GA492" s="119"/>
      <c r="GB492" s="119"/>
      <c r="GC492" s="119"/>
      <c r="GD492" s="119"/>
      <c r="GE492" s="119"/>
      <c r="GF492" s="119"/>
      <c r="GG492" s="119"/>
      <c r="GH492" s="119"/>
      <c r="GI492" s="119"/>
      <c r="GJ492" s="119"/>
      <c r="GK492" s="119"/>
      <c r="GL492" s="119"/>
      <c r="GM492" s="119"/>
      <c r="GN492" s="119"/>
      <c r="GO492" s="119"/>
      <c r="GP492" s="119"/>
      <c r="GQ492" s="119"/>
      <c r="GR492" s="119"/>
      <c r="GS492" s="119"/>
      <c r="GT492" s="119"/>
      <c r="GU492" s="119"/>
      <c r="GV492" s="119"/>
      <c r="GW492" s="119"/>
      <c r="GX492" s="119"/>
      <c r="GY492" s="119"/>
      <c r="GZ492" s="119"/>
      <c r="HA492" s="119"/>
      <c r="HB492" s="119"/>
      <c r="HC492" s="119"/>
      <c r="HD492" s="119"/>
      <c r="HE492" s="119"/>
      <c r="HF492" s="119"/>
      <c r="HG492" s="119"/>
      <c r="HH492" s="119"/>
      <c r="HI492" s="119"/>
      <c r="HJ492" s="119"/>
      <c r="HK492" s="119"/>
      <c r="HL492" s="119"/>
      <c r="HM492" s="119"/>
      <c r="HN492" s="119"/>
      <c r="HO492" s="119"/>
      <c r="HP492" s="119"/>
      <c r="HQ492" s="119"/>
      <c r="HR492" s="119"/>
      <c r="HS492" s="119"/>
      <c r="HT492" s="119"/>
      <c r="HU492" s="119"/>
      <c r="HV492" s="119"/>
      <c r="HW492" s="119"/>
      <c r="HX492" s="119"/>
      <c r="HY492" s="119"/>
      <c r="HZ492" s="119"/>
      <c r="IA492" s="119"/>
      <c r="IB492" s="119"/>
      <c r="IC492" s="119"/>
      <c r="ID492" s="119"/>
      <c r="IE492" s="119"/>
      <c r="IF492" s="119"/>
      <c r="IG492" s="119"/>
      <c r="IH492" s="119"/>
      <c r="II492" s="119"/>
      <c r="IJ492" s="119"/>
      <c r="IK492" s="119"/>
      <c r="IL492" s="119"/>
      <c r="IM492" s="119"/>
      <c r="IN492" s="119"/>
      <c r="IO492" s="119"/>
      <c r="IP492" s="119"/>
      <c r="IQ492" s="119"/>
      <c r="IR492" s="119"/>
      <c r="IS492" s="119"/>
      <c r="IT492" s="119"/>
      <c r="IU492" s="119"/>
      <c r="IV492" s="119"/>
      <c r="IW492" s="119"/>
    </row>
    <row r="493" customFormat="false" ht="18.75" hidden="true" customHeight="false" outlineLevel="0" collapsed="false">
      <c r="A493" s="234" t="s">
        <v>462</v>
      </c>
      <c r="B493" s="113"/>
      <c r="C493" s="114"/>
      <c r="D493" s="69" t="n">
        <f aca="false">I493/0.03</f>
        <v>3924.63333333333</v>
      </c>
      <c r="E493" s="116" t="n">
        <f aca="false">164507/1000</f>
        <v>164.507</v>
      </c>
      <c r="F493" s="116" t="n">
        <f aca="false">-46768/1000</f>
        <v>-46.768</v>
      </c>
      <c r="G493" s="116"/>
      <c r="H493" s="116"/>
      <c r="I493" s="117" t="n">
        <f aca="false">SUM(E493:G493)</f>
        <v>117.739</v>
      </c>
      <c r="J493" s="118" t="s">
        <v>226</v>
      </c>
      <c r="K493" s="119"/>
      <c r="L493" s="119"/>
      <c r="M493" s="119"/>
      <c r="N493" s="119"/>
      <c r="O493" s="119"/>
      <c r="P493" s="119"/>
      <c r="Q493" s="119"/>
      <c r="R493" s="119"/>
      <c r="S493" s="119"/>
      <c r="T493" s="65" t="n">
        <f aca="false">IF(D493&gt;0,(I493/D493),"")</f>
        <v>0.03</v>
      </c>
      <c r="U493" s="119"/>
      <c r="V493" s="119"/>
      <c r="W493" s="119"/>
      <c r="X493" s="119"/>
      <c r="Y493" s="119"/>
      <c r="Z493" s="119"/>
      <c r="AA493" s="119"/>
      <c r="AB493" s="119"/>
      <c r="AC493" s="119"/>
      <c r="AD493" s="119"/>
      <c r="AE493" s="119"/>
      <c r="AF493" s="119"/>
      <c r="AG493" s="119"/>
      <c r="AH493" s="119"/>
      <c r="AI493" s="119"/>
      <c r="AJ493" s="119"/>
      <c r="AK493" s="119"/>
      <c r="AL493" s="119"/>
      <c r="AM493" s="119"/>
      <c r="AN493" s="119"/>
      <c r="AO493" s="119"/>
      <c r="AP493" s="119"/>
      <c r="AQ493" s="119"/>
      <c r="AR493" s="119"/>
      <c r="AS493" s="119"/>
      <c r="AT493" s="119"/>
      <c r="AU493" s="119"/>
      <c r="AV493" s="119"/>
      <c r="AW493" s="119"/>
      <c r="AX493" s="119"/>
      <c r="AY493" s="119"/>
      <c r="AZ493" s="119"/>
      <c r="BA493" s="119"/>
      <c r="BB493" s="119"/>
      <c r="BC493" s="119"/>
      <c r="BD493" s="119"/>
      <c r="BE493" s="119"/>
      <c r="BF493" s="119"/>
      <c r="BG493" s="119"/>
      <c r="BH493" s="119"/>
      <c r="BI493" s="119"/>
      <c r="BJ493" s="119"/>
      <c r="BK493" s="119"/>
      <c r="BL493" s="119"/>
      <c r="BM493" s="119"/>
      <c r="BN493" s="119"/>
      <c r="BO493" s="119"/>
      <c r="BP493" s="119"/>
      <c r="BQ493" s="119"/>
      <c r="BR493" s="119"/>
      <c r="BS493" s="119"/>
      <c r="BT493" s="119"/>
      <c r="BU493" s="119"/>
      <c r="BV493" s="119"/>
      <c r="BW493" s="119"/>
      <c r="BX493" s="119"/>
      <c r="BY493" s="119"/>
      <c r="BZ493" s="119"/>
      <c r="CA493" s="119"/>
      <c r="CB493" s="119"/>
      <c r="CC493" s="119"/>
      <c r="CD493" s="119"/>
      <c r="CE493" s="119"/>
      <c r="CF493" s="119"/>
      <c r="CG493" s="119"/>
      <c r="CH493" s="119"/>
      <c r="CI493" s="119"/>
      <c r="CJ493" s="119"/>
      <c r="CK493" s="119"/>
      <c r="CL493" s="119"/>
      <c r="CM493" s="119"/>
      <c r="CN493" s="119"/>
      <c r="CO493" s="119"/>
      <c r="CP493" s="119"/>
      <c r="CQ493" s="119"/>
      <c r="CR493" s="119"/>
      <c r="CS493" s="119"/>
      <c r="CT493" s="119"/>
      <c r="CU493" s="119"/>
      <c r="CV493" s="119"/>
      <c r="CW493" s="119"/>
      <c r="CX493" s="119"/>
      <c r="CY493" s="119"/>
      <c r="CZ493" s="119"/>
      <c r="DA493" s="119"/>
      <c r="DB493" s="119"/>
      <c r="DC493" s="119"/>
      <c r="DD493" s="119"/>
      <c r="DE493" s="119"/>
      <c r="DF493" s="119"/>
      <c r="DG493" s="119"/>
      <c r="DH493" s="119"/>
      <c r="DI493" s="119"/>
      <c r="DJ493" s="119"/>
      <c r="DK493" s="119"/>
      <c r="DL493" s="119"/>
      <c r="DM493" s="119"/>
      <c r="DN493" s="119"/>
      <c r="DO493" s="119"/>
      <c r="DP493" s="119"/>
      <c r="DQ493" s="119"/>
      <c r="DR493" s="119"/>
      <c r="DS493" s="119"/>
      <c r="DT493" s="119"/>
      <c r="DU493" s="119"/>
      <c r="DV493" s="119"/>
      <c r="DW493" s="119"/>
      <c r="DX493" s="119"/>
      <c r="DY493" s="119"/>
      <c r="DZ493" s="119"/>
      <c r="EA493" s="119"/>
      <c r="EB493" s="119"/>
      <c r="EC493" s="119"/>
      <c r="ED493" s="119"/>
      <c r="EE493" s="119"/>
      <c r="EF493" s="119"/>
      <c r="EG493" s="119"/>
      <c r="EH493" s="119"/>
      <c r="EI493" s="119"/>
      <c r="EJ493" s="119"/>
      <c r="EK493" s="119"/>
      <c r="EL493" s="119"/>
      <c r="EM493" s="119"/>
      <c r="EN493" s="119"/>
      <c r="EO493" s="119"/>
      <c r="EP493" s="119"/>
      <c r="EQ493" s="119"/>
      <c r="ER493" s="119"/>
      <c r="ES493" s="119"/>
      <c r="ET493" s="119"/>
      <c r="EU493" s="119"/>
      <c r="EV493" s="119"/>
      <c r="EW493" s="119"/>
      <c r="EX493" s="119"/>
      <c r="EY493" s="119"/>
      <c r="EZ493" s="119"/>
      <c r="FA493" s="119"/>
      <c r="FB493" s="119"/>
      <c r="FC493" s="119"/>
      <c r="FD493" s="119"/>
      <c r="FE493" s="119"/>
      <c r="FF493" s="119"/>
      <c r="FG493" s="119"/>
      <c r="FH493" s="119"/>
      <c r="FI493" s="119"/>
      <c r="FJ493" s="119"/>
      <c r="FK493" s="119"/>
      <c r="FL493" s="119"/>
      <c r="FM493" s="119"/>
      <c r="FN493" s="119"/>
      <c r="FO493" s="119"/>
      <c r="FP493" s="119"/>
      <c r="FQ493" s="119"/>
      <c r="FR493" s="119"/>
      <c r="FS493" s="119"/>
      <c r="FT493" s="119"/>
      <c r="FU493" s="119"/>
      <c r="FV493" s="119"/>
      <c r="FW493" s="119"/>
      <c r="FX493" s="119"/>
      <c r="FY493" s="119"/>
      <c r="FZ493" s="119"/>
      <c r="GA493" s="119"/>
      <c r="GB493" s="119"/>
      <c r="GC493" s="119"/>
      <c r="GD493" s="119"/>
      <c r="GE493" s="119"/>
      <c r="GF493" s="119"/>
      <c r="GG493" s="119"/>
      <c r="GH493" s="119"/>
      <c r="GI493" s="119"/>
      <c r="GJ493" s="119"/>
      <c r="GK493" s="119"/>
      <c r="GL493" s="119"/>
      <c r="GM493" s="119"/>
      <c r="GN493" s="119"/>
      <c r="GO493" s="119"/>
      <c r="GP493" s="119"/>
      <c r="GQ493" s="119"/>
      <c r="GR493" s="119"/>
      <c r="GS493" s="119"/>
      <c r="GT493" s="119"/>
      <c r="GU493" s="119"/>
      <c r="GV493" s="119"/>
      <c r="GW493" s="119"/>
      <c r="GX493" s="119"/>
      <c r="GY493" s="119"/>
      <c r="GZ493" s="119"/>
      <c r="HA493" s="119"/>
      <c r="HB493" s="119"/>
      <c r="HC493" s="119"/>
      <c r="HD493" s="119"/>
      <c r="HE493" s="119"/>
      <c r="HF493" s="119"/>
      <c r="HG493" s="119"/>
      <c r="HH493" s="119"/>
      <c r="HI493" s="119"/>
      <c r="HJ493" s="119"/>
      <c r="HK493" s="119"/>
      <c r="HL493" s="119"/>
      <c r="HM493" s="119"/>
      <c r="HN493" s="119"/>
      <c r="HO493" s="119"/>
      <c r="HP493" s="119"/>
      <c r="HQ493" s="119"/>
      <c r="HR493" s="119"/>
      <c r="HS493" s="119"/>
      <c r="HT493" s="119"/>
      <c r="HU493" s="119"/>
      <c r="HV493" s="119"/>
      <c r="HW493" s="119"/>
      <c r="HX493" s="119"/>
      <c r="HY493" s="119"/>
      <c r="HZ493" s="119"/>
      <c r="IA493" s="119"/>
      <c r="IB493" s="119"/>
      <c r="IC493" s="119"/>
      <c r="ID493" s="119"/>
      <c r="IE493" s="119"/>
      <c r="IF493" s="119"/>
      <c r="IG493" s="119"/>
      <c r="IH493" s="119"/>
      <c r="II493" s="119"/>
      <c r="IJ493" s="119"/>
      <c r="IK493" s="119"/>
      <c r="IL493" s="119"/>
      <c r="IM493" s="119"/>
      <c r="IN493" s="119"/>
      <c r="IO493" s="119"/>
      <c r="IP493" s="119"/>
      <c r="IQ493" s="119"/>
      <c r="IR493" s="119"/>
      <c r="IS493" s="119"/>
      <c r="IT493" s="119"/>
      <c r="IU493" s="119"/>
      <c r="IV493" s="119"/>
      <c r="IW493" s="119"/>
    </row>
    <row r="494" customFormat="false" ht="18.75" hidden="true" customHeight="false" outlineLevel="0" collapsed="false">
      <c r="A494" s="234" t="s">
        <v>463</v>
      </c>
      <c r="B494" s="113"/>
      <c r="C494" s="114"/>
      <c r="D494" s="69" t="n">
        <f aca="false">I494/0.03</f>
        <v>377.666666666667</v>
      </c>
      <c r="E494" s="116" t="n">
        <f aca="false">15488/1000</f>
        <v>15.488</v>
      </c>
      <c r="F494" s="116" t="n">
        <v>-4.158</v>
      </c>
      <c r="G494" s="116"/>
      <c r="H494" s="116"/>
      <c r="I494" s="117" t="n">
        <f aca="false">SUM(E494:G494)</f>
        <v>11.33</v>
      </c>
      <c r="J494" s="118" t="s">
        <v>226</v>
      </c>
      <c r="K494" s="119"/>
      <c r="L494" s="119"/>
      <c r="M494" s="119"/>
      <c r="N494" s="119"/>
      <c r="O494" s="119"/>
      <c r="P494" s="119"/>
      <c r="Q494" s="119"/>
      <c r="R494" s="119"/>
      <c r="S494" s="119"/>
      <c r="T494" s="65" t="n">
        <f aca="false">IF(D494&gt;0,(I494/D494),"")</f>
        <v>0.03</v>
      </c>
      <c r="U494" s="119"/>
      <c r="V494" s="119"/>
      <c r="W494" s="119"/>
      <c r="X494" s="119"/>
      <c r="Y494" s="119"/>
      <c r="Z494" s="119"/>
      <c r="AA494" s="119"/>
      <c r="AB494" s="119"/>
      <c r="AC494" s="119"/>
      <c r="AD494" s="119"/>
      <c r="AE494" s="119"/>
      <c r="AF494" s="119"/>
      <c r="AG494" s="119"/>
      <c r="AH494" s="119"/>
      <c r="AI494" s="119"/>
      <c r="AJ494" s="119"/>
      <c r="AK494" s="119"/>
      <c r="AL494" s="119"/>
      <c r="AM494" s="119"/>
      <c r="AN494" s="119"/>
      <c r="AO494" s="119"/>
      <c r="AP494" s="119"/>
      <c r="AQ494" s="119"/>
      <c r="AR494" s="119"/>
      <c r="AS494" s="119"/>
      <c r="AT494" s="119"/>
      <c r="AU494" s="119"/>
      <c r="AV494" s="119"/>
      <c r="AW494" s="119"/>
      <c r="AX494" s="119"/>
      <c r="AY494" s="119"/>
      <c r="AZ494" s="119"/>
      <c r="BA494" s="119"/>
      <c r="BB494" s="119"/>
      <c r="BC494" s="119"/>
      <c r="BD494" s="119"/>
      <c r="BE494" s="119"/>
      <c r="BF494" s="119"/>
      <c r="BG494" s="119"/>
      <c r="BH494" s="119"/>
      <c r="BI494" s="119"/>
      <c r="BJ494" s="119"/>
      <c r="BK494" s="119"/>
      <c r="BL494" s="119"/>
      <c r="BM494" s="119"/>
      <c r="BN494" s="119"/>
      <c r="BO494" s="119"/>
      <c r="BP494" s="119"/>
      <c r="BQ494" s="119"/>
      <c r="BR494" s="119"/>
      <c r="BS494" s="119"/>
      <c r="BT494" s="119"/>
      <c r="BU494" s="119"/>
      <c r="BV494" s="119"/>
      <c r="BW494" s="119"/>
      <c r="BX494" s="119"/>
      <c r="BY494" s="119"/>
      <c r="BZ494" s="119"/>
      <c r="CA494" s="119"/>
      <c r="CB494" s="119"/>
      <c r="CC494" s="119"/>
      <c r="CD494" s="119"/>
      <c r="CE494" s="119"/>
      <c r="CF494" s="119"/>
      <c r="CG494" s="119"/>
      <c r="CH494" s="119"/>
      <c r="CI494" s="119"/>
      <c r="CJ494" s="119"/>
      <c r="CK494" s="119"/>
      <c r="CL494" s="119"/>
      <c r="CM494" s="119"/>
      <c r="CN494" s="119"/>
      <c r="CO494" s="119"/>
      <c r="CP494" s="119"/>
      <c r="CQ494" s="119"/>
      <c r="CR494" s="119"/>
      <c r="CS494" s="119"/>
      <c r="CT494" s="119"/>
      <c r="CU494" s="119"/>
      <c r="CV494" s="119"/>
      <c r="CW494" s="119"/>
      <c r="CX494" s="119"/>
      <c r="CY494" s="119"/>
      <c r="CZ494" s="119"/>
      <c r="DA494" s="119"/>
      <c r="DB494" s="119"/>
      <c r="DC494" s="119"/>
      <c r="DD494" s="119"/>
      <c r="DE494" s="119"/>
      <c r="DF494" s="119"/>
      <c r="DG494" s="119"/>
      <c r="DH494" s="119"/>
      <c r="DI494" s="119"/>
      <c r="DJ494" s="119"/>
      <c r="DK494" s="119"/>
      <c r="DL494" s="119"/>
      <c r="DM494" s="119"/>
      <c r="DN494" s="119"/>
      <c r="DO494" s="119"/>
      <c r="DP494" s="119"/>
      <c r="DQ494" s="119"/>
      <c r="DR494" s="119"/>
      <c r="DS494" s="119"/>
      <c r="DT494" s="119"/>
      <c r="DU494" s="119"/>
      <c r="DV494" s="119"/>
      <c r="DW494" s="119"/>
      <c r="DX494" s="119"/>
      <c r="DY494" s="119"/>
      <c r="DZ494" s="119"/>
      <c r="EA494" s="119"/>
      <c r="EB494" s="119"/>
      <c r="EC494" s="119"/>
      <c r="ED494" s="119"/>
      <c r="EE494" s="119"/>
      <c r="EF494" s="119"/>
      <c r="EG494" s="119"/>
      <c r="EH494" s="119"/>
      <c r="EI494" s="119"/>
      <c r="EJ494" s="119"/>
      <c r="EK494" s="119"/>
      <c r="EL494" s="119"/>
      <c r="EM494" s="119"/>
      <c r="EN494" s="119"/>
      <c r="EO494" s="119"/>
      <c r="EP494" s="119"/>
      <c r="EQ494" s="119"/>
      <c r="ER494" s="119"/>
      <c r="ES494" s="119"/>
      <c r="ET494" s="119"/>
      <c r="EU494" s="119"/>
      <c r="EV494" s="119"/>
      <c r="EW494" s="119"/>
      <c r="EX494" s="119"/>
      <c r="EY494" s="119"/>
      <c r="EZ494" s="119"/>
      <c r="FA494" s="119"/>
      <c r="FB494" s="119"/>
      <c r="FC494" s="119"/>
      <c r="FD494" s="119"/>
      <c r="FE494" s="119"/>
      <c r="FF494" s="119"/>
      <c r="FG494" s="119"/>
      <c r="FH494" s="119"/>
      <c r="FI494" s="119"/>
      <c r="FJ494" s="119"/>
      <c r="FK494" s="119"/>
      <c r="FL494" s="119"/>
      <c r="FM494" s="119"/>
      <c r="FN494" s="119"/>
      <c r="FO494" s="119"/>
      <c r="FP494" s="119"/>
      <c r="FQ494" s="119"/>
      <c r="FR494" s="119"/>
      <c r="FS494" s="119"/>
      <c r="FT494" s="119"/>
      <c r="FU494" s="119"/>
      <c r="FV494" s="119"/>
      <c r="FW494" s="119"/>
      <c r="FX494" s="119"/>
      <c r="FY494" s="119"/>
      <c r="FZ494" s="119"/>
      <c r="GA494" s="119"/>
      <c r="GB494" s="119"/>
      <c r="GC494" s="119"/>
      <c r="GD494" s="119"/>
      <c r="GE494" s="119"/>
      <c r="GF494" s="119"/>
      <c r="GG494" s="119"/>
      <c r="GH494" s="119"/>
      <c r="GI494" s="119"/>
      <c r="GJ494" s="119"/>
      <c r="GK494" s="119"/>
      <c r="GL494" s="119"/>
      <c r="GM494" s="119"/>
      <c r="GN494" s="119"/>
      <c r="GO494" s="119"/>
      <c r="GP494" s="119"/>
      <c r="GQ494" s="119"/>
      <c r="GR494" s="119"/>
      <c r="GS494" s="119"/>
      <c r="GT494" s="119"/>
      <c r="GU494" s="119"/>
      <c r="GV494" s="119"/>
      <c r="GW494" s="119"/>
      <c r="GX494" s="119"/>
      <c r="GY494" s="119"/>
      <c r="GZ494" s="119"/>
      <c r="HA494" s="119"/>
      <c r="HB494" s="119"/>
      <c r="HC494" s="119"/>
      <c r="HD494" s="119"/>
      <c r="HE494" s="119"/>
      <c r="HF494" s="119"/>
      <c r="HG494" s="119"/>
      <c r="HH494" s="119"/>
      <c r="HI494" s="119"/>
      <c r="HJ494" s="119"/>
      <c r="HK494" s="119"/>
      <c r="HL494" s="119"/>
      <c r="HM494" s="119"/>
      <c r="HN494" s="119"/>
      <c r="HO494" s="119"/>
      <c r="HP494" s="119"/>
      <c r="HQ494" s="119"/>
      <c r="HR494" s="119"/>
      <c r="HS494" s="119"/>
      <c r="HT494" s="119"/>
      <c r="HU494" s="119"/>
      <c r="HV494" s="119"/>
      <c r="HW494" s="119"/>
      <c r="HX494" s="119"/>
      <c r="HY494" s="119"/>
      <c r="HZ494" s="119"/>
      <c r="IA494" s="119"/>
      <c r="IB494" s="119"/>
      <c r="IC494" s="119"/>
      <c r="ID494" s="119"/>
      <c r="IE494" s="119"/>
      <c r="IF494" s="119"/>
      <c r="IG494" s="119"/>
      <c r="IH494" s="119"/>
      <c r="II494" s="119"/>
      <c r="IJ494" s="119"/>
      <c r="IK494" s="119"/>
      <c r="IL494" s="119"/>
      <c r="IM494" s="119"/>
      <c r="IN494" s="119"/>
      <c r="IO494" s="119"/>
      <c r="IP494" s="119"/>
      <c r="IQ494" s="119"/>
      <c r="IR494" s="119"/>
      <c r="IS494" s="119"/>
      <c r="IT494" s="119"/>
      <c r="IU494" s="119"/>
      <c r="IV494" s="119"/>
      <c r="IW494" s="119"/>
    </row>
    <row r="495" customFormat="false" ht="18.75" hidden="true" customHeight="false" outlineLevel="0" collapsed="false">
      <c r="A495" s="234" t="s">
        <v>464</v>
      </c>
      <c r="B495" s="113"/>
      <c r="C495" s="114"/>
      <c r="D495" s="69" t="n">
        <f aca="false">I495/0.03</f>
        <v>1962.96666666667</v>
      </c>
      <c r="E495" s="116" t="n">
        <f aca="false">84463/1000</f>
        <v>84.463</v>
      </c>
      <c r="F495" s="116" t="n">
        <v>-25.574</v>
      </c>
      <c r="G495" s="116"/>
      <c r="H495" s="116"/>
      <c r="I495" s="117" t="n">
        <f aca="false">SUM(E495:G495)</f>
        <v>58.889</v>
      </c>
      <c r="J495" s="118" t="s">
        <v>226</v>
      </c>
      <c r="K495" s="119"/>
      <c r="L495" s="119"/>
      <c r="M495" s="119"/>
      <c r="N495" s="119"/>
      <c r="O495" s="119"/>
      <c r="P495" s="119"/>
      <c r="Q495" s="119"/>
      <c r="R495" s="119"/>
      <c r="S495" s="119"/>
      <c r="T495" s="65" t="n">
        <f aca="false">IF(D495&gt;0,(I495/D495),"")</f>
        <v>0.03</v>
      </c>
      <c r="U495" s="119"/>
      <c r="V495" s="119"/>
      <c r="W495" s="119"/>
      <c r="X495" s="119"/>
      <c r="Y495" s="119"/>
      <c r="Z495" s="119"/>
      <c r="AA495" s="119"/>
      <c r="AB495" s="119"/>
      <c r="AC495" s="119"/>
      <c r="AD495" s="119"/>
      <c r="AE495" s="119"/>
      <c r="AF495" s="119"/>
      <c r="AG495" s="119"/>
      <c r="AH495" s="119"/>
      <c r="AI495" s="119"/>
      <c r="AJ495" s="119"/>
      <c r="AK495" s="119"/>
      <c r="AL495" s="119"/>
      <c r="AM495" s="119"/>
      <c r="AN495" s="119"/>
      <c r="AO495" s="119"/>
      <c r="AP495" s="119"/>
      <c r="AQ495" s="119"/>
      <c r="AR495" s="119"/>
      <c r="AS495" s="119"/>
      <c r="AT495" s="119"/>
      <c r="AU495" s="119"/>
      <c r="AV495" s="119"/>
      <c r="AW495" s="119"/>
      <c r="AX495" s="119"/>
      <c r="AY495" s="119"/>
      <c r="AZ495" s="119"/>
      <c r="BA495" s="119"/>
      <c r="BB495" s="119"/>
      <c r="BC495" s="119"/>
      <c r="BD495" s="119"/>
      <c r="BE495" s="119"/>
      <c r="BF495" s="119"/>
      <c r="BG495" s="119"/>
      <c r="BH495" s="119"/>
      <c r="BI495" s="119"/>
      <c r="BJ495" s="119"/>
      <c r="BK495" s="119"/>
      <c r="BL495" s="119"/>
      <c r="BM495" s="119"/>
      <c r="BN495" s="119"/>
      <c r="BO495" s="119"/>
      <c r="BP495" s="119"/>
      <c r="BQ495" s="119"/>
      <c r="BR495" s="119"/>
      <c r="BS495" s="119"/>
      <c r="BT495" s="119"/>
      <c r="BU495" s="119"/>
      <c r="BV495" s="119"/>
      <c r="BW495" s="119"/>
      <c r="BX495" s="119"/>
      <c r="BY495" s="119"/>
      <c r="BZ495" s="119"/>
      <c r="CA495" s="119"/>
      <c r="CB495" s="119"/>
      <c r="CC495" s="119"/>
      <c r="CD495" s="119"/>
      <c r="CE495" s="119"/>
      <c r="CF495" s="119"/>
      <c r="CG495" s="119"/>
      <c r="CH495" s="119"/>
      <c r="CI495" s="119"/>
      <c r="CJ495" s="119"/>
      <c r="CK495" s="119"/>
      <c r="CL495" s="119"/>
      <c r="CM495" s="119"/>
      <c r="CN495" s="119"/>
      <c r="CO495" s="119"/>
      <c r="CP495" s="119"/>
      <c r="CQ495" s="119"/>
      <c r="CR495" s="119"/>
      <c r="CS495" s="119"/>
      <c r="CT495" s="119"/>
      <c r="CU495" s="119"/>
      <c r="CV495" s="119"/>
      <c r="CW495" s="119"/>
      <c r="CX495" s="119"/>
      <c r="CY495" s="119"/>
      <c r="CZ495" s="119"/>
      <c r="DA495" s="119"/>
      <c r="DB495" s="119"/>
      <c r="DC495" s="119"/>
      <c r="DD495" s="119"/>
      <c r="DE495" s="119"/>
      <c r="DF495" s="119"/>
      <c r="DG495" s="119"/>
      <c r="DH495" s="119"/>
      <c r="DI495" s="119"/>
      <c r="DJ495" s="119"/>
      <c r="DK495" s="119"/>
      <c r="DL495" s="119"/>
      <c r="DM495" s="119"/>
      <c r="DN495" s="119"/>
      <c r="DO495" s="119"/>
      <c r="DP495" s="119"/>
      <c r="DQ495" s="119"/>
      <c r="DR495" s="119"/>
      <c r="DS495" s="119"/>
      <c r="DT495" s="119"/>
      <c r="DU495" s="119"/>
      <c r="DV495" s="119"/>
      <c r="DW495" s="119"/>
      <c r="DX495" s="119"/>
      <c r="DY495" s="119"/>
      <c r="DZ495" s="119"/>
      <c r="EA495" s="119"/>
      <c r="EB495" s="119"/>
      <c r="EC495" s="119"/>
      <c r="ED495" s="119"/>
      <c r="EE495" s="119"/>
      <c r="EF495" s="119"/>
      <c r="EG495" s="119"/>
      <c r="EH495" s="119"/>
      <c r="EI495" s="119"/>
      <c r="EJ495" s="119"/>
      <c r="EK495" s="119"/>
      <c r="EL495" s="119"/>
      <c r="EM495" s="119"/>
      <c r="EN495" s="119"/>
      <c r="EO495" s="119"/>
      <c r="EP495" s="119"/>
      <c r="EQ495" s="119"/>
      <c r="ER495" s="119"/>
      <c r="ES495" s="119"/>
      <c r="ET495" s="119"/>
      <c r="EU495" s="119"/>
      <c r="EV495" s="119"/>
      <c r="EW495" s="119"/>
      <c r="EX495" s="119"/>
      <c r="EY495" s="119"/>
      <c r="EZ495" s="119"/>
      <c r="FA495" s="119"/>
      <c r="FB495" s="119"/>
      <c r="FC495" s="119"/>
      <c r="FD495" s="119"/>
      <c r="FE495" s="119"/>
      <c r="FF495" s="119"/>
      <c r="FG495" s="119"/>
      <c r="FH495" s="119"/>
      <c r="FI495" s="119"/>
      <c r="FJ495" s="119"/>
      <c r="FK495" s="119"/>
      <c r="FL495" s="119"/>
      <c r="FM495" s="119"/>
      <c r="FN495" s="119"/>
      <c r="FO495" s="119"/>
      <c r="FP495" s="119"/>
      <c r="FQ495" s="119"/>
      <c r="FR495" s="119"/>
      <c r="FS495" s="119"/>
      <c r="FT495" s="119"/>
      <c r="FU495" s="119"/>
      <c r="FV495" s="119"/>
      <c r="FW495" s="119"/>
      <c r="FX495" s="119"/>
      <c r="FY495" s="119"/>
      <c r="FZ495" s="119"/>
      <c r="GA495" s="119"/>
      <c r="GB495" s="119"/>
      <c r="GC495" s="119"/>
      <c r="GD495" s="119"/>
      <c r="GE495" s="119"/>
      <c r="GF495" s="119"/>
      <c r="GG495" s="119"/>
      <c r="GH495" s="119"/>
      <c r="GI495" s="119"/>
      <c r="GJ495" s="119"/>
      <c r="GK495" s="119"/>
      <c r="GL495" s="119"/>
      <c r="GM495" s="119"/>
      <c r="GN495" s="119"/>
      <c r="GO495" s="119"/>
      <c r="GP495" s="119"/>
      <c r="GQ495" s="119"/>
      <c r="GR495" s="119"/>
      <c r="GS495" s="119"/>
      <c r="GT495" s="119"/>
      <c r="GU495" s="119"/>
      <c r="GV495" s="119"/>
      <c r="GW495" s="119"/>
      <c r="GX495" s="119"/>
      <c r="GY495" s="119"/>
      <c r="GZ495" s="119"/>
      <c r="HA495" s="119"/>
      <c r="HB495" s="119"/>
      <c r="HC495" s="119"/>
      <c r="HD495" s="119"/>
      <c r="HE495" s="119"/>
      <c r="HF495" s="119"/>
      <c r="HG495" s="119"/>
      <c r="HH495" s="119"/>
      <c r="HI495" s="119"/>
      <c r="HJ495" s="119"/>
      <c r="HK495" s="119"/>
      <c r="HL495" s="119"/>
      <c r="HM495" s="119"/>
      <c r="HN495" s="119"/>
      <c r="HO495" s="119"/>
      <c r="HP495" s="119"/>
      <c r="HQ495" s="119"/>
      <c r="HR495" s="119"/>
      <c r="HS495" s="119"/>
      <c r="HT495" s="119"/>
      <c r="HU495" s="119"/>
      <c r="HV495" s="119"/>
      <c r="HW495" s="119"/>
      <c r="HX495" s="119"/>
      <c r="HY495" s="119"/>
      <c r="HZ495" s="119"/>
      <c r="IA495" s="119"/>
      <c r="IB495" s="119"/>
      <c r="IC495" s="119"/>
      <c r="ID495" s="119"/>
      <c r="IE495" s="119"/>
      <c r="IF495" s="119"/>
      <c r="IG495" s="119"/>
      <c r="IH495" s="119"/>
      <c r="II495" s="119"/>
      <c r="IJ495" s="119"/>
      <c r="IK495" s="119"/>
      <c r="IL495" s="119"/>
      <c r="IM495" s="119"/>
      <c r="IN495" s="119"/>
      <c r="IO495" s="119"/>
      <c r="IP495" s="119"/>
      <c r="IQ495" s="119"/>
      <c r="IR495" s="119"/>
      <c r="IS495" s="119"/>
      <c r="IT495" s="119"/>
      <c r="IU495" s="119"/>
      <c r="IV495" s="119"/>
      <c r="IW495" s="119"/>
    </row>
    <row r="496" customFormat="false" ht="18.75" hidden="true" customHeight="false" outlineLevel="0" collapsed="false">
      <c r="A496" s="234" t="s">
        <v>465</v>
      </c>
      <c r="B496" s="113"/>
      <c r="C496" s="114"/>
      <c r="D496" s="69" t="n">
        <f aca="false">I496/0.03</f>
        <v>1361.73333333333</v>
      </c>
      <c r="E496" s="116" t="n">
        <f aca="false">61396/1000</f>
        <v>61.396</v>
      </c>
      <c r="F496" s="116" t="n">
        <v>-20.544</v>
      </c>
      <c r="G496" s="116"/>
      <c r="H496" s="116"/>
      <c r="I496" s="117" t="n">
        <f aca="false">SUM(E496:G496)</f>
        <v>40.852</v>
      </c>
      <c r="J496" s="118" t="s">
        <v>226</v>
      </c>
      <c r="K496" s="119"/>
      <c r="L496" s="119"/>
      <c r="M496" s="119"/>
      <c r="N496" s="119"/>
      <c r="O496" s="119"/>
      <c r="P496" s="119"/>
      <c r="Q496" s="119"/>
      <c r="R496" s="119"/>
      <c r="S496" s="119"/>
      <c r="T496" s="65" t="n">
        <f aca="false">IF(D496&gt;0,(I496/D496),"")</f>
        <v>0.03</v>
      </c>
      <c r="U496" s="119"/>
      <c r="V496" s="119"/>
      <c r="W496" s="119"/>
      <c r="X496" s="119"/>
      <c r="Y496" s="119"/>
      <c r="Z496" s="119"/>
      <c r="AA496" s="119"/>
      <c r="AB496" s="119"/>
      <c r="AC496" s="119"/>
      <c r="AD496" s="119"/>
      <c r="AE496" s="119"/>
      <c r="AF496" s="119"/>
      <c r="AG496" s="119"/>
      <c r="AH496" s="119"/>
      <c r="AI496" s="119"/>
      <c r="AJ496" s="119"/>
      <c r="AK496" s="119"/>
      <c r="AL496" s="119"/>
      <c r="AM496" s="119"/>
      <c r="AN496" s="119"/>
      <c r="AO496" s="119"/>
      <c r="AP496" s="119"/>
      <c r="AQ496" s="119"/>
      <c r="AR496" s="119"/>
      <c r="AS496" s="119"/>
      <c r="AT496" s="119"/>
      <c r="AU496" s="119"/>
      <c r="AV496" s="119"/>
      <c r="AW496" s="119"/>
      <c r="AX496" s="119"/>
      <c r="AY496" s="119"/>
      <c r="AZ496" s="119"/>
      <c r="BA496" s="119"/>
      <c r="BB496" s="119"/>
      <c r="BC496" s="119"/>
      <c r="BD496" s="119"/>
      <c r="BE496" s="119"/>
      <c r="BF496" s="119"/>
      <c r="BG496" s="119"/>
      <c r="BH496" s="119"/>
      <c r="BI496" s="119"/>
      <c r="BJ496" s="119"/>
      <c r="BK496" s="119"/>
      <c r="BL496" s="119"/>
      <c r="BM496" s="119"/>
      <c r="BN496" s="119"/>
      <c r="BO496" s="119"/>
      <c r="BP496" s="119"/>
      <c r="BQ496" s="119"/>
      <c r="BR496" s="119"/>
      <c r="BS496" s="119"/>
      <c r="BT496" s="119"/>
      <c r="BU496" s="119"/>
      <c r="BV496" s="119"/>
      <c r="BW496" s="119"/>
      <c r="BX496" s="119"/>
      <c r="BY496" s="119"/>
      <c r="BZ496" s="119"/>
      <c r="CA496" s="119"/>
      <c r="CB496" s="119"/>
      <c r="CC496" s="119"/>
      <c r="CD496" s="119"/>
      <c r="CE496" s="119"/>
      <c r="CF496" s="119"/>
      <c r="CG496" s="119"/>
      <c r="CH496" s="119"/>
      <c r="CI496" s="119"/>
      <c r="CJ496" s="119"/>
      <c r="CK496" s="119"/>
      <c r="CL496" s="119"/>
      <c r="CM496" s="119"/>
      <c r="CN496" s="119"/>
      <c r="CO496" s="119"/>
      <c r="CP496" s="119"/>
      <c r="CQ496" s="119"/>
      <c r="CR496" s="119"/>
      <c r="CS496" s="119"/>
      <c r="CT496" s="119"/>
      <c r="CU496" s="119"/>
      <c r="CV496" s="119"/>
      <c r="CW496" s="119"/>
      <c r="CX496" s="119"/>
      <c r="CY496" s="119"/>
      <c r="CZ496" s="119"/>
      <c r="DA496" s="119"/>
      <c r="DB496" s="119"/>
      <c r="DC496" s="119"/>
      <c r="DD496" s="119"/>
      <c r="DE496" s="119"/>
      <c r="DF496" s="119"/>
      <c r="DG496" s="119"/>
      <c r="DH496" s="119"/>
      <c r="DI496" s="119"/>
      <c r="DJ496" s="119"/>
      <c r="DK496" s="119"/>
      <c r="DL496" s="119"/>
      <c r="DM496" s="119"/>
      <c r="DN496" s="119"/>
      <c r="DO496" s="119"/>
      <c r="DP496" s="119"/>
      <c r="DQ496" s="119"/>
      <c r="DR496" s="119"/>
      <c r="DS496" s="119"/>
      <c r="DT496" s="119"/>
      <c r="DU496" s="119"/>
      <c r="DV496" s="119"/>
      <c r="DW496" s="119"/>
      <c r="DX496" s="119"/>
      <c r="DY496" s="119"/>
      <c r="DZ496" s="119"/>
      <c r="EA496" s="119"/>
      <c r="EB496" s="119"/>
      <c r="EC496" s="119"/>
      <c r="ED496" s="119"/>
      <c r="EE496" s="119"/>
      <c r="EF496" s="119"/>
      <c r="EG496" s="119"/>
      <c r="EH496" s="119"/>
      <c r="EI496" s="119"/>
      <c r="EJ496" s="119"/>
      <c r="EK496" s="119"/>
      <c r="EL496" s="119"/>
      <c r="EM496" s="119"/>
      <c r="EN496" s="119"/>
      <c r="EO496" s="119"/>
      <c r="EP496" s="119"/>
      <c r="EQ496" s="119"/>
      <c r="ER496" s="119"/>
      <c r="ES496" s="119"/>
      <c r="ET496" s="119"/>
      <c r="EU496" s="119"/>
      <c r="EV496" s="119"/>
      <c r="EW496" s="119"/>
      <c r="EX496" s="119"/>
      <c r="EY496" s="119"/>
      <c r="EZ496" s="119"/>
      <c r="FA496" s="119"/>
      <c r="FB496" s="119"/>
      <c r="FC496" s="119"/>
      <c r="FD496" s="119"/>
      <c r="FE496" s="119"/>
      <c r="FF496" s="119"/>
      <c r="FG496" s="119"/>
      <c r="FH496" s="119"/>
      <c r="FI496" s="119"/>
      <c r="FJ496" s="119"/>
      <c r="FK496" s="119"/>
      <c r="FL496" s="119"/>
      <c r="FM496" s="119"/>
      <c r="FN496" s="119"/>
      <c r="FO496" s="119"/>
      <c r="FP496" s="119"/>
      <c r="FQ496" s="119"/>
      <c r="FR496" s="119"/>
      <c r="FS496" s="119"/>
      <c r="FT496" s="119"/>
      <c r="FU496" s="119"/>
      <c r="FV496" s="119"/>
      <c r="FW496" s="119"/>
      <c r="FX496" s="119"/>
      <c r="FY496" s="119"/>
      <c r="FZ496" s="119"/>
      <c r="GA496" s="119"/>
      <c r="GB496" s="119"/>
      <c r="GC496" s="119"/>
      <c r="GD496" s="119"/>
      <c r="GE496" s="119"/>
      <c r="GF496" s="119"/>
      <c r="GG496" s="119"/>
      <c r="GH496" s="119"/>
      <c r="GI496" s="119"/>
      <c r="GJ496" s="119"/>
      <c r="GK496" s="119"/>
      <c r="GL496" s="119"/>
      <c r="GM496" s="119"/>
      <c r="GN496" s="119"/>
      <c r="GO496" s="119"/>
      <c r="GP496" s="119"/>
      <c r="GQ496" s="119"/>
      <c r="GR496" s="119"/>
      <c r="GS496" s="119"/>
      <c r="GT496" s="119"/>
      <c r="GU496" s="119"/>
      <c r="GV496" s="119"/>
      <c r="GW496" s="119"/>
      <c r="GX496" s="119"/>
      <c r="GY496" s="119"/>
      <c r="GZ496" s="119"/>
      <c r="HA496" s="119"/>
      <c r="HB496" s="119"/>
      <c r="HC496" s="119"/>
      <c r="HD496" s="119"/>
      <c r="HE496" s="119"/>
      <c r="HF496" s="119"/>
      <c r="HG496" s="119"/>
      <c r="HH496" s="119"/>
      <c r="HI496" s="119"/>
      <c r="HJ496" s="119"/>
      <c r="HK496" s="119"/>
      <c r="HL496" s="119"/>
      <c r="HM496" s="119"/>
      <c r="HN496" s="119"/>
      <c r="HO496" s="119"/>
      <c r="HP496" s="119"/>
      <c r="HQ496" s="119"/>
      <c r="HR496" s="119"/>
      <c r="HS496" s="119"/>
      <c r="HT496" s="119"/>
      <c r="HU496" s="119"/>
      <c r="HV496" s="119"/>
      <c r="HW496" s="119"/>
      <c r="HX496" s="119"/>
      <c r="HY496" s="119"/>
      <c r="HZ496" s="119"/>
      <c r="IA496" s="119"/>
      <c r="IB496" s="119"/>
      <c r="IC496" s="119"/>
      <c r="ID496" s="119"/>
      <c r="IE496" s="119"/>
      <c r="IF496" s="119"/>
      <c r="IG496" s="119"/>
      <c r="IH496" s="119"/>
      <c r="II496" s="119"/>
      <c r="IJ496" s="119"/>
      <c r="IK496" s="119"/>
      <c r="IL496" s="119"/>
      <c r="IM496" s="119"/>
      <c r="IN496" s="119"/>
      <c r="IO496" s="119"/>
      <c r="IP496" s="119"/>
      <c r="IQ496" s="119"/>
      <c r="IR496" s="119"/>
      <c r="IS496" s="119"/>
      <c r="IT496" s="119"/>
      <c r="IU496" s="119"/>
      <c r="IV496" s="119"/>
      <c r="IW496" s="119"/>
    </row>
    <row r="497" customFormat="false" ht="18.75" hidden="true" customHeight="false" outlineLevel="0" collapsed="false">
      <c r="A497" s="234" t="s">
        <v>466</v>
      </c>
      <c r="B497" s="113"/>
      <c r="C497" s="114"/>
      <c r="D497" s="69" t="n">
        <f aca="false">I497/0.03</f>
        <v>627.933333333333</v>
      </c>
      <c r="E497" s="116" t="n">
        <f aca="false">26945/1000</f>
        <v>26.945</v>
      </c>
      <c r="F497" s="116" t="n">
        <v>-8.107</v>
      </c>
      <c r="G497" s="116"/>
      <c r="H497" s="116"/>
      <c r="I497" s="117" t="n">
        <f aca="false">SUM(E497:G497)</f>
        <v>18.838</v>
      </c>
      <c r="J497" s="118" t="s">
        <v>226</v>
      </c>
      <c r="K497" s="119"/>
      <c r="L497" s="119"/>
      <c r="M497" s="119"/>
      <c r="N497" s="119"/>
      <c r="O497" s="119"/>
      <c r="P497" s="119"/>
      <c r="Q497" s="119"/>
      <c r="R497" s="119"/>
      <c r="S497" s="119"/>
      <c r="T497" s="65" t="n">
        <f aca="false">IF(D497&gt;0,(I497/D497),"")</f>
        <v>0.03</v>
      </c>
      <c r="U497" s="119"/>
      <c r="V497" s="119"/>
      <c r="W497" s="119"/>
      <c r="X497" s="119"/>
      <c r="Y497" s="119"/>
      <c r="Z497" s="119"/>
      <c r="AA497" s="119"/>
      <c r="AB497" s="119"/>
      <c r="AC497" s="119"/>
      <c r="AD497" s="119"/>
      <c r="AE497" s="119"/>
      <c r="AF497" s="119"/>
      <c r="AG497" s="119"/>
      <c r="AH497" s="119"/>
      <c r="AI497" s="119"/>
      <c r="AJ497" s="119"/>
      <c r="AK497" s="119"/>
      <c r="AL497" s="119"/>
      <c r="AM497" s="119"/>
      <c r="AN497" s="119"/>
      <c r="AO497" s="119"/>
      <c r="AP497" s="119"/>
      <c r="AQ497" s="119"/>
      <c r="AR497" s="119"/>
      <c r="AS497" s="119"/>
      <c r="AT497" s="119"/>
      <c r="AU497" s="119"/>
      <c r="AV497" s="119"/>
      <c r="AW497" s="119"/>
      <c r="AX497" s="119"/>
      <c r="AY497" s="119"/>
      <c r="AZ497" s="119"/>
      <c r="BA497" s="119"/>
      <c r="BB497" s="119"/>
      <c r="BC497" s="119"/>
      <c r="BD497" s="119"/>
      <c r="BE497" s="119"/>
      <c r="BF497" s="119"/>
      <c r="BG497" s="119"/>
      <c r="BH497" s="119"/>
      <c r="BI497" s="119"/>
      <c r="BJ497" s="119"/>
      <c r="BK497" s="119"/>
      <c r="BL497" s="119"/>
      <c r="BM497" s="119"/>
      <c r="BN497" s="119"/>
      <c r="BO497" s="119"/>
      <c r="BP497" s="119"/>
      <c r="BQ497" s="119"/>
      <c r="BR497" s="119"/>
      <c r="BS497" s="119"/>
      <c r="BT497" s="119"/>
      <c r="BU497" s="119"/>
      <c r="BV497" s="119"/>
      <c r="BW497" s="119"/>
      <c r="BX497" s="119"/>
      <c r="BY497" s="119"/>
      <c r="BZ497" s="119"/>
      <c r="CA497" s="119"/>
      <c r="CB497" s="119"/>
      <c r="CC497" s="119"/>
      <c r="CD497" s="119"/>
      <c r="CE497" s="119"/>
      <c r="CF497" s="119"/>
      <c r="CG497" s="119"/>
      <c r="CH497" s="119"/>
      <c r="CI497" s="119"/>
      <c r="CJ497" s="119"/>
      <c r="CK497" s="119"/>
      <c r="CL497" s="119"/>
      <c r="CM497" s="119"/>
      <c r="CN497" s="119"/>
      <c r="CO497" s="119"/>
      <c r="CP497" s="119"/>
      <c r="CQ497" s="119"/>
      <c r="CR497" s="119"/>
      <c r="CS497" s="119"/>
      <c r="CT497" s="119"/>
      <c r="CU497" s="119"/>
      <c r="CV497" s="119"/>
      <c r="CW497" s="119"/>
      <c r="CX497" s="119"/>
      <c r="CY497" s="119"/>
      <c r="CZ497" s="119"/>
      <c r="DA497" s="119"/>
      <c r="DB497" s="119"/>
      <c r="DC497" s="119"/>
      <c r="DD497" s="119"/>
      <c r="DE497" s="119"/>
      <c r="DF497" s="119"/>
      <c r="DG497" s="119"/>
      <c r="DH497" s="119"/>
      <c r="DI497" s="119"/>
      <c r="DJ497" s="119"/>
      <c r="DK497" s="119"/>
      <c r="DL497" s="119"/>
      <c r="DM497" s="119"/>
      <c r="DN497" s="119"/>
      <c r="DO497" s="119"/>
      <c r="DP497" s="119"/>
      <c r="DQ497" s="119"/>
      <c r="DR497" s="119"/>
      <c r="DS497" s="119"/>
      <c r="DT497" s="119"/>
      <c r="DU497" s="119"/>
      <c r="DV497" s="119"/>
      <c r="DW497" s="119"/>
      <c r="DX497" s="119"/>
      <c r="DY497" s="119"/>
      <c r="DZ497" s="119"/>
      <c r="EA497" s="119"/>
      <c r="EB497" s="119"/>
      <c r="EC497" s="119"/>
      <c r="ED497" s="119"/>
      <c r="EE497" s="119"/>
      <c r="EF497" s="119"/>
      <c r="EG497" s="119"/>
      <c r="EH497" s="119"/>
      <c r="EI497" s="119"/>
      <c r="EJ497" s="119"/>
      <c r="EK497" s="119"/>
      <c r="EL497" s="119"/>
      <c r="EM497" s="119"/>
      <c r="EN497" s="119"/>
      <c r="EO497" s="119"/>
      <c r="EP497" s="119"/>
      <c r="EQ497" s="119"/>
      <c r="ER497" s="119"/>
      <c r="ES497" s="119"/>
      <c r="ET497" s="119"/>
      <c r="EU497" s="119"/>
      <c r="EV497" s="119"/>
      <c r="EW497" s="119"/>
      <c r="EX497" s="119"/>
      <c r="EY497" s="119"/>
      <c r="EZ497" s="119"/>
      <c r="FA497" s="119"/>
      <c r="FB497" s="119"/>
      <c r="FC497" s="119"/>
      <c r="FD497" s="119"/>
      <c r="FE497" s="119"/>
      <c r="FF497" s="119"/>
      <c r="FG497" s="119"/>
      <c r="FH497" s="119"/>
      <c r="FI497" s="119"/>
      <c r="FJ497" s="119"/>
      <c r="FK497" s="119"/>
      <c r="FL497" s="119"/>
      <c r="FM497" s="119"/>
      <c r="FN497" s="119"/>
      <c r="FO497" s="119"/>
      <c r="FP497" s="119"/>
      <c r="FQ497" s="119"/>
      <c r="FR497" s="119"/>
      <c r="FS497" s="119"/>
      <c r="FT497" s="119"/>
      <c r="FU497" s="119"/>
      <c r="FV497" s="119"/>
      <c r="FW497" s="119"/>
      <c r="FX497" s="119"/>
      <c r="FY497" s="119"/>
      <c r="FZ497" s="119"/>
      <c r="GA497" s="119"/>
      <c r="GB497" s="119"/>
      <c r="GC497" s="119"/>
      <c r="GD497" s="119"/>
      <c r="GE497" s="119"/>
      <c r="GF497" s="119"/>
      <c r="GG497" s="119"/>
      <c r="GH497" s="119"/>
      <c r="GI497" s="119"/>
      <c r="GJ497" s="119"/>
      <c r="GK497" s="119"/>
      <c r="GL497" s="119"/>
      <c r="GM497" s="119"/>
      <c r="GN497" s="119"/>
      <c r="GO497" s="119"/>
      <c r="GP497" s="119"/>
      <c r="GQ497" s="119"/>
      <c r="GR497" s="119"/>
      <c r="GS497" s="119"/>
      <c r="GT497" s="119"/>
      <c r="GU497" s="119"/>
      <c r="GV497" s="119"/>
      <c r="GW497" s="119"/>
      <c r="GX497" s="119"/>
      <c r="GY497" s="119"/>
      <c r="GZ497" s="119"/>
      <c r="HA497" s="119"/>
      <c r="HB497" s="119"/>
      <c r="HC497" s="119"/>
      <c r="HD497" s="119"/>
      <c r="HE497" s="119"/>
      <c r="HF497" s="119"/>
      <c r="HG497" s="119"/>
      <c r="HH497" s="119"/>
      <c r="HI497" s="119"/>
      <c r="HJ497" s="119"/>
      <c r="HK497" s="119"/>
      <c r="HL497" s="119"/>
      <c r="HM497" s="119"/>
      <c r="HN497" s="119"/>
      <c r="HO497" s="119"/>
      <c r="HP497" s="119"/>
      <c r="HQ497" s="119"/>
      <c r="HR497" s="119"/>
      <c r="HS497" s="119"/>
      <c r="HT497" s="119"/>
      <c r="HU497" s="119"/>
      <c r="HV497" s="119"/>
      <c r="HW497" s="119"/>
      <c r="HX497" s="119"/>
      <c r="HY497" s="119"/>
      <c r="HZ497" s="119"/>
      <c r="IA497" s="119"/>
      <c r="IB497" s="119"/>
      <c r="IC497" s="119"/>
      <c r="ID497" s="119"/>
      <c r="IE497" s="119"/>
      <c r="IF497" s="119"/>
      <c r="IG497" s="119"/>
      <c r="IH497" s="119"/>
      <c r="II497" s="119"/>
      <c r="IJ497" s="119"/>
      <c r="IK497" s="119"/>
      <c r="IL497" s="119"/>
      <c r="IM497" s="119"/>
      <c r="IN497" s="119"/>
      <c r="IO497" s="119"/>
      <c r="IP497" s="119"/>
      <c r="IQ497" s="119"/>
      <c r="IR497" s="119"/>
      <c r="IS497" s="119"/>
      <c r="IT497" s="119"/>
      <c r="IU497" s="119"/>
      <c r="IV497" s="119"/>
      <c r="IW497" s="119"/>
    </row>
    <row r="498" customFormat="false" ht="18.75" hidden="true" customHeight="false" outlineLevel="0" collapsed="false">
      <c r="A498" s="234" t="s">
        <v>467</v>
      </c>
      <c r="B498" s="113"/>
      <c r="C498" s="114"/>
      <c r="D498" s="69" t="n">
        <f aca="false">I498/0.03</f>
        <v>3707.93333333333</v>
      </c>
      <c r="E498" s="116" t="n">
        <f aca="false">155640/1000</f>
        <v>155.64</v>
      </c>
      <c r="F498" s="116" t="n">
        <f aca="false">-44402/1000</f>
        <v>-44.402</v>
      </c>
      <c r="G498" s="116"/>
      <c r="H498" s="116"/>
      <c r="I498" s="117" t="n">
        <f aca="false">SUM(E498:G498)</f>
        <v>111.238</v>
      </c>
      <c r="J498" s="118" t="s">
        <v>226</v>
      </c>
      <c r="K498" s="119"/>
      <c r="L498" s="119"/>
      <c r="M498" s="119"/>
      <c r="N498" s="119"/>
      <c r="O498" s="119"/>
      <c r="P498" s="119"/>
      <c r="Q498" s="119"/>
      <c r="R498" s="119"/>
      <c r="S498" s="119"/>
      <c r="T498" s="65" t="n">
        <f aca="false">IF(D498&gt;0,(I498/D498),"")</f>
        <v>0.03</v>
      </c>
      <c r="U498" s="119"/>
      <c r="V498" s="119"/>
      <c r="W498" s="119"/>
      <c r="X498" s="119"/>
      <c r="Y498" s="119"/>
      <c r="Z498" s="119"/>
      <c r="AA498" s="119"/>
      <c r="AB498" s="119"/>
      <c r="AC498" s="119"/>
      <c r="AD498" s="119"/>
      <c r="AE498" s="119"/>
      <c r="AF498" s="119"/>
      <c r="AG498" s="119"/>
      <c r="AH498" s="119"/>
      <c r="AI498" s="119"/>
      <c r="AJ498" s="119"/>
      <c r="AK498" s="119"/>
      <c r="AL498" s="119"/>
      <c r="AM498" s="119"/>
      <c r="AN498" s="119"/>
      <c r="AO498" s="119"/>
      <c r="AP498" s="119"/>
      <c r="AQ498" s="119"/>
      <c r="AR498" s="119"/>
      <c r="AS498" s="119"/>
      <c r="AT498" s="119"/>
      <c r="AU498" s="119"/>
      <c r="AV498" s="119"/>
      <c r="AW498" s="119"/>
      <c r="AX498" s="119"/>
      <c r="AY498" s="119"/>
      <c r="AZ498" s="119"/>
      <c r="BA498" s="119"/>
      <c r="BB498" s="119"/>
      <c r="BC498" s="119"/>
      <c r="BD498" s="119"/>
      <c r="BE498" s="119"/>
      <c r="BF498" s="119"/>
      <c r="BG498" s="119"/>
      <c r="BH498" s="119"/>
      <c r="BI498" s="119"/>
      <c r="BJ498" s="119"/>
      <c r="BK498" s="119"/>
      <c r="BL498" s="119"/>
      <c r="BM498" s="119"/>
      <c r="BN498" s="119"/>
      <c r="BO498" s="119"/>
      <c r="BP498" s="119"/>
      <c r="BQ498" s="119"/>
      <c r="BR498" s="119"/>
      <c r="BS498" s="119"/>
      <c r="BT498" s="119"/>
      <c r="BU498" s="119"/>
      <c r="BV498" s="119"/>
      <c r="BW498" s="119"/>
      <c r="BX498" s="119"/>
      <c r="BY498" s="119"/>
      <c r="BZ498" s="119"/>
      <c r="CA498" s="119"/>
      <c r="CB498" s="119"/>
      <c r="CC498" s="119"/>
      <c r="CD498" s="119"/>
      <c r="CE498" s="119"/>
      <c r="CF498" s="119"/>
      <c r="CG498" s="119"/>
      <c r="CH498" s="119"/>
      <c r="CI498" s="119"/>
      <c r="CJ498" s="119"/>
      <c r="CK498" s="119"/>
      <c r="CL498" s="119"/>
      <c r="CM498" s="119"/>
      <c r="CN498" s="119"/>
      <c r="CO498" s="119"/>
      <c r="CP498" s="119"/>
      <c r="CQ498" s="119"/>
      <c r="CR498" s="119"/>
      <c r="CS498" s="119"/>
      <c r="CT498" s="119"/>
      <c r="CU498" s="119"/>
      <c r="CV498" s="119"/>
      <c r="CW498" s="119"/>
      <c r="CX498" s="119"/>
      <c r="CY498" s="119"/>
      <c r="CZ498" s="119"/>
      <c r="DA498" s="119"/>
      <c r="DB498" s="119"/>
      <c r="DC498" s="119"/>
      <c r="DD498" s="119"/>
      <c r="DE498" s="119"/>
      <c r="DF498" s="119"/>
      <c r="DG498" s="119"/>
      <c r="DH498" s="119"/>
      <c r="DI498" s="119"/>
      <c r="DJ498" s="119"/>
      <c r="DK498" s="119"/>
      <c r="DL498" s="119"/>
      <c r="DM498" s="119"/>
      <c r="DN498" s="119"/>
      <c r="DO498" s="119"/>
      <c r="DP498" s="119"/>
      <c r="DQ498" s="119"/>
      <c r="DR498" s="119"/>
      <c r="DS498" s="119"/>
      <c r="DT498" s="119"/>
      <c r="DU498" s="119"/>
      <c r="DV498" s="119"/>
      <c r="DW498" s="119"/>
      <c r="DX498" s="119"/>
      <c r="DY498" s="119"/>
      <c r="DZ498" s="119"/>
      <c r="EA498" s="119"/>
      <c r="EB498" s="119"/>
      <c r="EC498" s="119"/>
      <c r="ED498" s="119"/>
      <c r="EE498" s="119"/>
      <c r="EF498" s="119"/>
      <c r="EG498" s="119"/>
      <c r="EH498" s="119"/>
      <c r="EI498" s="119"/>
      <c r="EJ498" s="119"/>
      <c r="EK498" s="119"/>
      <c r="EL498" s="119"/>
      <c r="EM498" s="119"/>
      <c r="EN498" s="119"/>
      <c r="EO498" s="119"/>
      <c r="EP498" s="119"/>
      <c r="EQ498" s="119"/>
      <c r="ER498" s="119"/>
      <c r="ES498" s="119"/>
      <c r="ET498" s="119"/>
      <c r="EU498" s="119"/>
      <c r="EV498" s="119"/>
      <c r="EW498" s="119"/>
      <c r="EX498" s="119"/>
      <c r="EY498" s="119"/>
      <c r="EZ498" s="119"/>
      <c r="FA498" s="119"/>
      <c r="FB498" s="119"/>
      <c r="FC498" s="119"/>
      <c r="FD498" s="119"/>
      <c r="FE498" s="119"/>
      <c r="FF498" s="119"/>
      <c r="FG498" s="119"/>
      <c r="FH498" s="119"/>
      <c r="FI498" s="119"/>
      <c r="FJ498" s="119"/>
      <c r="FK498" s="119"/>
      <c r="FL498" s="119"/>
      <c r="FM498" s="119"/>
      <c r="FN498" s="119"/>
      <c r="FO498" s="119"/>
      <c r="FP498" s="119"/>
      <c r="FQ498" s="119"/>
      <c r="FR498" s="119"/>
      <c r="FS498" s="119"/>
      <c r="FT498" s="119"/>
      <c r="FU498" s="119"/>
      <c r="FV498" s="119"/>
      <c r="FW498" s="119"/>
      <c r="FX498" s="119"/>
      <c r="FY498" s="119"/>
      <c r="FZ498" s="119"/>
      <c r="GA498" s="119"/>
      <c r="GB498" s="119"/>
      <c r="GC498" s="119"/>
      <c r="GD498" s="119"/>
      <c r="GE498" s="119"/>
      <c r="GF498" s="119"/>
      <c r="GG498" s="119"/>
      <c r="GH498" s="119"/>
      <c r="GI498" s="119"/>
      <c r="GJ498" s="119"/>
      <c r="GK498" s="119"/>
      <c r="GL498" s="119"/>
      <c r="GM498" s="119"/>
      <c r="GN498" s="119"/>
      <c r="GO498" s="119"/>
      <c r="GP498" s="119"/>
      <c r="GQ498" s="119"/>
      <c r="GR498" s="119"/>
      <c r="GS498" s="119"/>
      <c r="GT498" s="119"/>
      <c r="GU498" s="119"/>
      <c r="GV498" s="119"/>
      <c r="GW498" s="119"/>
      <c r="GX498" s="119"/>
      <c r="GY498" s="119"/>
      <c r="GZ498" s="119"/>
      <c r="HA498" s="119"/>
      <c r="HB498" s="119"/>
      <c r="HC498" s="119"/>
      <c r="HD498" s="119"/>
      <c r="HE498" s="119"/>
      <c r="HF498" s="119"/>
      <c r="HG498" s="119"/>
      <c r="HH498" s="119"/>
      <c r="HI498" s="119"/>
      <c r="HJ498" s="119"/>
      <c r="HK498" s="119"/>
      <c r="HL498" s="119"/>
      <c r="HM498" s="119"/>
      <c r="HN498" s="119"/>
      <c r="HO498" s="119"/>
      <c r="HP498" s="119"/>
      <c r="HQ498" s="119"/>
      <c r="HR498" s="119"/>
      <c r="HS498" s="119"/>
      <c r="HT498" s="119"/>
      <c r="HU498" s="119"/>
      <c r="HV498" s="119"/>
      <c r="HW498" s="119"/>
      <c r="HX498" s="119"/>
      <c r="HY498" s="119"/>
      <c r="HZ498" s="119"/>
      <c r="IA498" s="119"/>
      <c r="IB498" s="119"/>
      <c r="IC498" s="119"/>
      <c r="ID498" s="119"/>
      <c r="IE498" s="119"/>
      <c r="IF498" s="119"/>
      <c r="IG498" s="119"/>
      <c r="IH498" s="119"/>
      <c r="II498" s="119"/>
      <c r="IJ498" s="119"/>
      <c r="IK498" s="119"/>
      <c r="IL498" s="119"/>
      <c r="IM498" s="119"/>
      <c r="IN498" s="119"/>
      <c r="IO498" s="119"/>
      <c r="IP498" s="119"/>
      <c r="IQ498" s="119"/>
      <c r="IR498" s="119"/>
      <c r="IS498" s="119"/>
      <c r="IT498" s="119"/>
      <c r="IU498" s="119"/>
      <c r="IV498" s="119"/>
      <c r="IW498" s="119"/>
    </row>
    <row r="499" customFormat="false" ht="18.75" hidden="true" customHeight="false" outlineLevel="0" collapsed="false">
      <c r="A499" s="234" t="s">
        <v>468</v>
      </c>
      <c r="B499" s="113"/>
      <c r="C499" s="114"/>
      <c r="D499" s="69" t="n">
        <f aca="false">I499/0.03</f>
        <v>1541.66666666667</v>
      </c>
      <c r="E499" s="116" t="n">
        <f aca="false">64962/1000</f>
        <v>64.962</v>
      </c>
      <c r="F499" s="116" t="n">
        <v>-18.712</v>
      </c>
      <c r="G499" s="116"/>
      <c r="H499" s="116"/>
      <c r="I499" s="117" t="n">
        <f aca="false">SUM(E499:G499)</f>
        <v>46.25</v>
      </c>
      <c r="J499" s="118" t="s">
        <v>226</v>
      </c>
      <c r="K499" s="119"/>
      <c r="L499" s="119"/>
      <c r="M499" s="119"/>
      <c r="N499" s="119"/>
      <c r="O499" s="119"/>
      <c r="P499" s="119"/>
      <c r="Q499" s="119"/>
      <c r="R499" s="119"/>
      <c r="S499" s="119"/>
      <c r="T499" s="65" t="n">
        <f aca="false">IF(D499&gt;0,(I499/D499),"")</f>
        <v>0.03</v>
      </c>
      <c r="U499" s="119"/>
      <c r="V499" s="119"/>
      <c r="W499" s="119"/>
      <c r="X499" s="119"/>
      <c r="Y499" s="119"/>
      <c r="Z499" s="119"/>
      <c r="AA499" s="119"/>
      <c r="AB499" s="119"/>
      <c r="AC499" s="119"/>
      <c r="AD499" s="119"/>
      <c r="AE499" s="119"/>
      <c r="AF499" s="119"/>
      <c r="AG499" s="119"/>
      <c r="AH499" s="119"/>
      <c r="AI499" s="119"/>
      <c r="AJ499" s="119"/>
      <c r="AK499" s="119"/>
      <c r="AL499" s="119"/>
      <c r="AM499" s="119"/>
      <c r="AN499" s="119"/>
      <c r="AO499" s="119"/>
      <c r="AP499" s="119"/>
      <c r="AQ499" s="119"/>
      <c r="AR499" s="119"/>
      <c r="AS499" s="119"/>
      <c r="AT499" s="119"/>
      <c r="AU499" s="119"/>
      <c r="AV499" s="119"/>
      <c r="AW499" s="119"/>
      <c r="AX499" s="119"/>
      <c r="AY499" s="119"/>
      <c r="AZ499" s="119"/>
      <c r="BA499" s="119"/>
      <c r="BB499" s="119"/>
      <c r="BC499" s="119"/>
      <c r="BD499" s="119"/>
      <c r="BE499" s="119"/>
      <c r="BF499" s="119"/>
      <c r="BG499" s="119"/>
      <c r="BH499" s="119"/>
      <c r="BI499" s="119"/>
      <c r="BJ499" s="119"/>
      <c r="BK499" s="119"/>
      <c r="BL499" s="119"/>
      <c r="BM499" s="119"/>
      <c r="BN499" s="119"/>
      <c r="BO499" s="119"/>
      <c r="BP499" s="119"/>
      <c r="BQ499" s="119"/>
      <c r="BR499" s="119"/>
      <c r="BS499" s="119"/>
      <c r="BT499" s="119"/>
      <c r="BU499" s="119"/>
      <c r="BV499" s="119"/>
      <c r="BW499" s="119"/>
      <c r="BX499" s="119"/>
      <c r="BY499" s="119"/>
      <c r="BZ499" s="119"/>
      <c r="CA499" s="119"/>
      <c r="CB499" s="119"/>
      <c r="CC499" s="119"/>
      <c r="CD499" s="119"/>
      <c r="CE499" s="119"/>
      <c r="CF499" s="119"/>
      <c r="CG499" s="119"/>
      <c r="CH499" s="119"/>
      <c r="CI499" s="119"/>
      <c r="CJ499" s="119"/>
      <c r="CK499" s="119"/>
      <c r="CL499" s="119"/>
      <c r="CM499" s="119"/>
      <c r="CN499" s="119"/>
      <c r="CO499" s="119"/>
      <c r="CP499" s="119"/>
      <c r="CQ499" s="119"/>
      <c r="CR499" s="119"/>
      <c r="CS499" s="119"/>
      <c r="CT499" s="119"/>
      <c r="CU499" s="119"/>
      <c r="CV499" s="119"/>
      <c r="CW499" s="119"/>
      <c r="CX499" s="119"/>
      <c r="CY499" s="119"/>
      <c r="CZ499" s="119"/>
      <c r="DA499" s="119"/>
      <c r="DB499" s="119"/>
      <c r="DC499" s="119"/>
      <c r="DD499" s="119"/>
      <c r="DE499" s="119"/>
      <c r="DF499" s="119"/>
      <c r="DG499" s="119"/>
      <c r="DH499" s="119"/>
      <c r="DI499" s="119"/>
      <c r="DJ499" s="119"/>
      <c r="DK499" s="119"/>
      <c r="DL499" s="119"/>
      <c r="DM499" s="119"/>
      <c r="DN499" s="119"/>
      <c r="DO499" s="119"/>
      <c r="DP499" s="119"/>
      <c r="DQ499" s="119"/>
      <c r="DR499" s="119"/>
      <c r="DS499" s="119"/>
      <c r="DT499" s="119"/>
      <c r="DU499" s="119"/>
      <c r="DV499" s="119"/>
      <c r="DW499" s="119"/>
      <c r="DX499" s="119"/>
      <c r="DY499" s="119"/>
      <c r="DZ499" s="119"/>
      <c r="EA499" s="119"/>
      <c r="EB499" s="119"/>
      <c r="EC499" s="119"/>
      <c r="ED499" s="119"/>
      <c r="EE499" s="119"/>
      <c r="EF499" s="119"/>
      <c r="EG499" s="119"/>
      <c r="EH499" s="119"/>
      <c r="EI499" s="119"/>
      <c r="EJ499" s="119"/>
      <c r="EK499" s="119"/>
      <c r="EL499" s="119"/>
      <c r="EM499" s="119"/>
      <c r="EN499" s="119"/>
      <c r="EO499" s="119"/>
      <c r="EP499" s="119"/>
      <c r="EQ499" s="119"/>
      <c r="ER499" s="119"/>
      <c r="ES499" s="119"/>
      <c r="ET499" s="119"/>
      <c r="EU499" s="119"/>
      <c r="EV499" s="119"/>
      <c r="EW499" s="119"/>
      <c r="EX499" s="119"/>
      <c r="EY499" s="119"/>
      <c r="EZ499" s="119"/>
      <c r="FA499" s="119"/>
      <c r="FB499" s="119"/>
      <c r="FC499" s="119"/>
      <c r="FD499" s="119"/>
      <c r="FE499" s="119"/>
      <c r="FF499" s="119"/>
      <c r="FG499" s="119"/>
      <c r="FH499" s="119"/>
      <c r="FI499" s="119"/>
      <c r="FJ499" s="119"/>
      <c r="FK499" s="119"/>
      <c r="FL499" s="119"/>
      <c r="FM499" s="119"/>
      <c r="FN499" s="119"/>
      <c r="FO499" s="119"/>
      <c r="FP499" s="119"/>
      <c r="FQ499" s="119"/>
      <c r="FR499" s="119"/>
      <c r="FS499" s="119"/>
      <c r="FT499" s="119"/>
      <c r="FU499" s="119"/>
      <c r="FV499" s="119"/>
      <c r="FW499" s="119"/>
      <c r="FX499" s="119"/>
      <c r="FY499" s="119"/>
      <c r="FZ499" s="119"/>
      <c r="GA499" s="119"/>
      <c r="GB499" s="119"/>
      <c r="GC499" s="119"/>
      <c r="GD499" s="119"/>
      <c r="GE499" s="119"/>
      <c r="GF499" s="119"/>
      <c r="GG499" s="119"/>
      <c r="GH499" s="119"/>
      <c r="GI499" s="119"/>
      <c r="GJ499" s="119"/>
      <c r="GK499" s="119"/>
      <c r="GL499" s="119"/>
      <c r="GM499" s="119"/>
      <c r="GN499" s="119"/>
      <c r="GO499" s="119"/>
      <c r="GP499" s="119"/>
      <c r="GQ499" s="119"/>
      <c r="GR499" s="119"/>
      <c r="GS499" s="119"/>
      <c r="GT499" s="119"/>
      <c r="GU499" s="119"/>
      <c r="GV499" s="119"/>
      <c r="GW499" s="119"/>
      <c r="GX499" s="119"/>
      <c r="GY499" s="119"/>
      <c r="GZ499" s="119"/>
      <c r="HA499" s="119"/>
      <c r="HB499" s="119"/>
      <c r="HC499" s="119"/>
      <c r="HD499" s="119"/>
      <c r="HE499" s="119"/>
      <c r="HF499" s="119"/>
      <c r="HG499" s="119"/>
      <c r="HH499" s="119"/>
      <c r="HI499" s="119"/>
      <c r="HJ499" s="119"/>
      <c r="HK499" s="119"/>
      <c r="HL499" s="119"/>
      <c r="HM499" s="119"/>
      <c r="HN499" s="119"/>
      <c r="HO499" s="119"/>
      <c r="HP499" s="119"/>
      <c r="HQ499" s="119"/>
      <c r="HR499" s="119"/>
      <c r="HS499" s="119"/>
      <c r="HT499" s="119"/>
      <c r="HU499" s="119"/>
      <c r="HV499" s="119"/>
      <c r="HW499" s="119"/>
      <c r="HX499" s="119"/>
      <c r="HY499" s="119"/>
      <c r="HZ499" s="119"/>
      <c r="IA499" s="119"/>
      <c r="IB499" s="119"/>
      <c r="IC499" s="119"/>
      <c r="ID499" s="119"/>
      <c r="IE499" s="119"/>
      <c r="IF499" s="119"/>
      <c r="IG499" s="119"/>
      <c r="IH499" s="119"/>
      <c r="II499" s="119"/>
      <c r="IJ499" s="119"/>
      <c r="IK499" s="119"/>
      <c r="IL499" s="119"/>
      <c r="IM499" s="119"/>
      <c r="IN499" s="119"/>
      <c r="IO499" s="119"/>
      <c r="IP499" s="119"/>
      <c r="IQ499" s="119"/>
      <c r="IR499" s="119"/>
      <c r="IS499" s="119"/>
      <c r="IT499" s="119"/>
      <c r="IU499" s="119"/>
      <c r="IV499" s="119"/>
      <c r="IW499" s="119"/>
    </row>
    <row r="500" customFormat="false" ht="18.75" hidden="true" customHeight="false" outlineLevel="0" collapsed="false">
      <c r="A500" s="234" t="s">
        <v>469</v>
      </c>
      <c r="B500" s="113"/>
      <c r="C500" s="114"/>
      <c r="D500" s="69" t="n">
        <f aca="false">I500/0.03</f>
        <v>3466.3</v>
      </c>
      <c r="E500" s="116" t="n">
        <f aca="false">150410/1000</f>
        <v>150.41</v>
      </c>
      <c r="F500" s="116" t="n">
        <f aca="false">-46421/1000</f>
        <v>-46.421</v>
      </c>
      <c r="G500" s="116"/>
      <c r="H500" s="116"/>
      <c r="I500" s="117" t="n">
        <f aca="false">SUM(E500:G500)</f>
        <v>103.989</v>
      </c>
      <c r="J500" s="118" t="s">
        <v>226</v>
      </c>
      <c r="K500" s="119"/>
      <c r="L500" s="119"/>
      <c r="M500" s="119"/>
      <c r="N500" s="119"/>
      <c r="O500" s="119"/>
      <c r="P500" s="119"/>
      <c r="Q500" s="119"/>
      <c r="R500" s="119"/>
      <c r="S500" s="119"/>
      <c r="T500" s="65" t="n">
        <f aca="false">IF(D500&gt;0,(I500/D500),"")</f>
        <v>0.03</v>
      </c>
      <c r="U500" s="119"/>
      <c r="V500" s="119"/>
      <c r="W500" s="119"/>
      <c r="X500" s="119"/>
      <c r="Y500" s="119"/>
      <c r="Z500" s="119"/>
      <c r="AA500" s="119"/>
      <c r="AB500" s="119"/>
      <c r="AC500" s="119"/>
      <c r="AD500" s="119"/>
      <c r="AE500" s="119"/>
      <c r="AF500" s="119"/>
      <c r="AG500" s="119"/>
      <c r="AH500" s="119"/>
      <c r="AI500" s="119"/>
      <c r="AJ500" s="119"/>
      <c r="AK500" s="119"/>
      <c r="AL500" s="119"/>
      <c r="AM500" s="119"/>
      <c r="AN500" s="119"/>
      <c r="AO500" s="119"/>
      <c r="AP500" s="119"/>
      <c r="AQ500" s="119"/>
      <c r="AR500" s="119"/>
      <c r="AS500" s="119"/>
      <c r="AT500" s="119"/>
      <c r="AU500" s="119"/>
      <c r="AV500" s="119"/>
      <c r="AW500" s="119"/>
      <c r="AX500" s="119"/>
      <c r="AY500" s="119"/>
      <c r="AZ500" s="119"/>
      <c r="BA500" s="119"/>
      <c r="BB500" s="119"/>
      <c r="BC500" s="119"/>
      <c r="BD500" s="119"/>
      <c r="BE500" s="119"/>
      <c r="BF500" s="119"/>
      <c r="BG500" s="119"/>
      <c r="BH500" s="119"/>
      <c r="BI500" s="119"/>
      <c r="BJ500" s="119"/>
      <c r="BK500" s="119"/>
      <c r="BL500" s="119"/>
      <c r="BM500" s="119"/>
      <c r="BN500" s="119"/>
      <c r="BO500" s="119"/>
      <c r="BP500" s="119"/>
      <c r="BQ500" s="119"/>
      <c r="BR500" s="119"/>
      <c r="BS500" s="119"/>
      <c r="BT500" s="119"/>
      <c r="BU500" s="119"/>
      <c r="BV500" s="119"/>
      <c r="BW500" s="119"/>
      <c r="BX500" s="119"/>
      <c r="BY500" s="119"/>
      <c r="BZ500" s="119"/>
      <c r="CA500" s="119"/>
      <c r="CB500" s="119"/>
      <c r="CC500" s="119"/>
      <c r="CD500" s="119"/>
      <c r="CE500" s="119"/>
      <c r="CF500" s="119"/>
      <c r="CG500" s="119"/>
      <c r="CH500" s="119"/>
      <c r="CI500" s="119"/>
      <c r="CJ500" s="119"/>
      <c r="CK500" s="119"/>
      <c r="CL500" s="119"/>
      <c r="CM500" s="119"/>
      <c r="CN500" s="119"/>
      <c r="CO500" s="119"/>
      <c r="CP500" s="119"/>
      <c r="CQ500" s="119"/>
      <c r="CR500" s="119"/>
      <c r="CS500" s="119"/>
      <c r="CT500" s="119"/>
      <c r="CU500" s="119"/>
      <c r="CV500" s="119"/>
      <c r="CW500" s="119"/>
      <c r="CX500" s="119"/>
      <c r="CY500" s="119"/>
      <c r="CZ500" s="119"/>
      <c r="DA500" s="119"/>
      <c r="DB500" s="119"/>
      <c r="DC500" s="119"/>
      <c r="DD500" s="119"/>
      <c r="DE500" s="119"/>
      <c r="DF500" s="119"/>
      <c r="DG500" s="119"/>
      <c r="DH500" s="119"/>
      <c r="DI500" s="119"/>
      <c r="DJ500" s="119"/>
      <c r="DK500" s="119"/>
      <c r="DL500" s="119"/>
      <c r="DM500" s="119"/>
      <c r="DN500" s="119"/>
      <c r="DO500" s="119"/>
      <c r="DP500" s="119"/>
      <c r="DQ500" s="119"/>
      <c r="DR500" s="119"/>
      <c r="DS500" s="119"/>
      <c r="DT500" s="119"/>
      <c r="DU500" s="119"/>
      <c r="DV500" s="119"/>
      <c r="DW500" s="119"/>
      <c r="DX500" s="119"/>
      <c r="DY500" s="119"/>
      <c r="DZ500" s="119"/>
      <c r="EA500" s="119"/>
      <c r="EB500" s="119"/>
      <c r="EC500" s="119"/>
      <c r="ED500" s="119"/>
      <c r="EE500" s="119"/>
      <c r="EF500" s="119"/>
      <c r="EG500" s="119"/>
      <c r="EH500" s="119"/>
      <c r="EI500" s="119"/>
      <c r="EJ500" s="119"/>
      <c r="EK500" s="119"/>
      <c r="EL500" s="119"/>
      <c r="EM500" s="119"/>
      <c r="EN500" s="119"/>
      <c r="EO500" s="119"/>
      <c r="EP500" s="119"/>
      <c r="EQ500" s="119"/>
      <c r="ER500" s="119"/>
      <c r="ES500" s="119"/>
      <c r="ET500" s="119"/>
      <c r="EU500" s="119"/>
      <c r="EV500" s="119"/>
      <c r="EW500" s="119"/>
      <c r="EX500" s="119"/>
      <c r="EY500" s="119"/>
      <c r="EZ500" s="119"/>
      <c r="FA500" s="119"/>
      <c r="FB500" s="119"/>
      <c r="FC500" s="119"/>
      <c r="FD500" s="119"/>
      <c r="FE500" s="119"/>
      <c r="FF500" s="119"/>
      <c r="FG500" s="119"/>
      <c r="FH500" s="119"/>
      <c r="FI500" s="119"/>
      <c r="FJ500" s="119"/>
      <c r="FK500" s="119"/>
      <c r="FL500" s="119"/>
      <c r="FM500" s="119"/>
      <c r="FN500" s="119"/>
      <c r="FO500" s="119"/>
      <c r="FP500" s="119"/>
      <c r="FQ500" s="119"/>
      <c r="FR500" s="119"/>
      <c r="FS500" s="119"/>
      <c r="FT500" s="119"/>
      <c r="FU500" s="119"/>
      <c r="FV500" s="119"/>
      <c r="FW500" s="119"/>
      <c r="FX500" s="119"/>
      <c r="FY500" s="119"/>
      <c r="FZ500" s="119"/>
      <c r="GA500" s="119"/>
      <c r="GB500" s="119"/>
      <c r="GC500" s="119"/>
      <c r="GD500" s="119"/>
      <c r="GE500" s="119"/>
      <c r="GF500" s="119"/>
      <c r="GG500" s="119"/>
      <c r="GH500" s="119"/>
      <c r="GI500" s="119"/>
      <c r="GJ500" s="119"/>
      <c r="GK500" s="119"/>
      <c r="GL500" s="119"/>
      <c r="GM500" s="119"/>
      <c r="GN500" s="119"/>
      <c r="GO500" s="119"/>
      <c r="GP500" s="119"/>
      <c r="GQ500" s="119"/>
      <c r="GR500" s="119"/>
      <c r="GS500" s="119"/>
      <c r="GT500" s="119"/>
      <c r="GU500" s="119"/>
      <c r="GV500" s="119"/>
      <c r="GW500" s="119"/>
      <c r="GX500" s="119"/>
      <c r="GY500" s="119"/>
      <c r="GZ500" s="119"/>
      <c r="HA500" s="119"/>
      <c r="HB500" s="119"/>
      <c r="HC500" s="119"/>
      <c r="HD500" s="119"/>
      <c r="HE500" s="119"/>
      <c r="HF500" s="119"/>
      <c r="HG500" s="119"/>
      <c r="HH500" s="119"/>
      <c r="HI500" s="119"/>
      <c r="HJ500" s="119"/>
      <c r="HK500" s="119"/>
      <c r="HL500" s="119"/>
      <c r="HM500" s="119"/>
      <c r="HN500" s="119"/>
      <c r="HO500" s="119"/>
      <c r="HP500" s="119"/>
      <c r="HQ500" s="119"/>
      <c r="HR500" s="119"/>
      <c r="HS500" s="119"/>
      <c r="HT500" s="119"/>
      <c r="HU500" s="119"/>
      <c r="HV500" s="119"/>
      <c r="HW500" s="119"/>
      <c r="HX500" s="119"/>
      <c r="HY500" s="119"/>
      <c r="HZ500" s="119"/>
      <c r="IA500" s="119"/>
      <c r="IB500" s="119"/>
      <c r="IC500" s="119"/>
      <c r="ID500" s="119"/>
      <c r="IE500" s="119"/>
      <c r="IF500" s="119"/>
      <c r="IG500" s="119"/>
      <c r="IH500" s="119"/>
      <c r="II500" s="119"/>
      <c r="IJ500" s="119"/>
      <c r="IK500" s="119"/>
      <c r="IL500" s="119"/>
      <c r="IM500" s="119"/>
      <c r="IN500" s="119"/>
      <c r="IO500" s="119"/>
      <c r="IP500" s="119"/>
      <c r="IQ500" s="119"/>
      <c r="IR500" s="119"/>
      <c r="IS500" s="119"/>
      <c r="IT500" s="119"/>
      <c r="IU500" s="119"/>
      <c r="IV500" s="119"/>
      <c r="IW500" s="119"/>
    </row>
    <row r="501" customFormat="false" ht="18.75" hidden="true" customHeight="false" outlineLevel="0" collapsed="false">
      <c r="A501" s="234" t="s">
        <v>470</v>
      </c>
      <c r="B501" s="113"/>
      <c r="C501" s="114"/>
      <c r="D501" s="69" t="n">
        <f aca="false">I501/0.03</f>
        <v>3759.06666666667</v>
      </c>
      <c r="E501" s="116" t="n">
        <f aca="false">160234/1000</f>
        <v>160.234</v>
      </c>
      <c r="F501" s="116" t="n">
        <f aca="false">-47462/1000</f>
        <v>-47.462</v>
      </c>
      <c r="G501" s="116"/>
      <c r="H501" s="116"/>
      <c r="I501" s="117" t="n">
        <f aca="false">SUM(E501:G501)</f>
        <v>112.772</v>
      </c>
      <c r="J501" s="118" t="s">
        <v>226</v>
      </c>
      <c r="K501" s="119"/>
      <c r="L501" s="119"/>
      <c r="M501" s="119"/>
      <c r="N501" s="119"/>
      <c r="O501" s="119"/>
      <c r="P501" s="119"/>
      <c r="Q501" s="119"/>
      <c r="R501" s="119"/>
      <c r="S501" s="119"/>
      <c r="T501" s="65" t="n">
        <f aca="false">IF(D501&gt;0,(I501/D501),"")</f>
        <v>0.03</v>
      </c>
      <c r="U501" s="119"/>
      <c r="V501" s="119"/>
      <c r="W501" s="119"/>
      <c r="X501" s="119"/>
      <c r="Y501" s="119"/>
      <c r="Z501" s="119"/>
      <c r="AA501" s="119"/>
      <c r="AB501" s="119"/>
      <c r="AC501" s="119"/>
      <c r="AD501" s="119"/>
      <c r="AE501" s="119"/>
      <c r="AF501" s="119"/>
      <c r="AG501" s="119"/>
      <c r="AH501" s="119"/>
      <c r="AI501" s="119"/>
      <c r="AJ501" s="119"/>
      <c r="AK501" s="119"/>
      <c r="AL501" s="119"/>
      <c r="AM501" s="119"/>
      <c r="AN501" s="119"/>
      <c r="AO501" s="119"/>
      <c r="AP501" s="119"/>
      <c r="AQ501" s="119"/>
      <c r="AR501" s="119"/>
      <c r="AS501" s="119"/>
      <c r="AT501" s="119"/>
      <c r="AU501" s="119"/>
      <c r="AV501" s="119"/>
      <c r="AW501" s="119"/>
      <c r="AX501" s="119"/>
      <c r="AY501" s="119"/>
      <c r="AZ501" s="119"/>
      <c r="BA501" s="119"/>
      <c r="BB501" s="119"/>
      <c r="BC501" s="119"/>
      <c r="BD501" s="119"/>
      <c r="BE501" s="119"/>
      <c r="BF501" s="119"/>
      <c r="BG501" s="119"/>
      <c r="BH501" s="119"/>
      <c r="BI501" s="119"/>
      <c r="BJ501" s="119"/>
      <c r="BK501" s="119"/>
      <c r="BL501" s="119"/>
      <c r="BM501" s="119"/>
      <c r="BN501" s="119"/>
      <c r="BO501" s="119"/>
      <c r="BP501" s="119"/>
      <c r="BQ501" s="119"/>
      <c r="BR501" s="119"/>
      <c r="BS501" s="119"/>
      <c r="BT501" s="119"/>
      <c r="BU501" s="119"/>
      <c r="BV501" s="119"/>
      <c r="BW501" s="119"/>
      <c r="BX501" s="119"/>
      <c r="BY501" s="119"/>
      <c r="BZ501" s="119"/>
      <c r="CA501" s="119"/>
      <c r="CB501" s="119"/>
      <c r="CC501" s="119"/>
      <c r="CD501" s="119"/>
      <c r="CE501" s="119"/>
      <c r="CF501" s="119"/>
      <c r="CG501" s="119"/>
      <c r="CH501" s="119"/>
      <c r="CI501" s="119"/>
      <c r="CJ501" s="119"/>
      <c r="CK501" s="119"/>
      <c r="CL501" s="119"/>
      <c r="CM501" s="119"/>
      <c r="CN501" s="119"/>
      <c r="CO501" s="119"/>
      <c r="CP501" s="119"/>
      <c r="CQ501" s="119"/>
      <c r="CR501" s="119"/>
      <c r="CS501" s="119"/>
      <c r="CT501" s="119"/>
      <c r="CU501" s="119"/>
      <c r="CV501" s="119"/>
      <c r="CW501" s="119"/>
      <c r="CX501" s="119"/>
      <c r="CY501" s="119"/>
      <c r="CZ501" s="119"/>
      <c r="DA501" s="119"/>
      <c r="DB501" s="119"/>
      <c r="DC501" s="119"/>
      <c r="DD501" s="119"/>
      <c r="DE501" s="119"/>
      <c r="DF501" s="119"/>
      <c r="DG501" s="119"/>
      <c r="DH501" s="119"/>
      <c r="DI501" s="119"/>
      <c r="DJ501" s="119"/>
      <c r="DK501" s="119"/>
      <c r="DL501" s="119"/>
      <c r="DM501" s="119"/>
      <c r="DN501" s="119"/>
      <c r="DO501" s="119"/>
      <c r="DP501" s="119"/>
      <c r="DQ501" s="119"/>
      <c r="DR501" s="119"/>
      <c r="DS501" s="119"/>
      <c r="DT501" s="119"/>
      <c r="DU501" s="119"/>
      <c r="DV501" s="119"/>
      <c r="DW501" s="119"/>
      <c r="DX501" s="119"/>
      <c r="DY501" s="119"/>
      <c r="DZ501" s="119"/>
      <c r="EA501" s="119"/>
      <c r="EB501" s="119"/>
      <c r="EC501" s="119"/>
      <c r="ED501" s="119"/>
      <c r="EE501" s="119"/>
      <c r="EF501" s="119"/>
      <c r="EG501" s="119"/>
      <c r="EH501" s="119"/>
      <c r="EI501" s="119"/>
      <c r="EJ501" s="119"/>
      <c r="EK501" s="119"/>
      <c r="EL501" s="119"/>
      <c r="EM501" s="119"/>
      <c r="EN501" s="119"/>
      <c r="EO501" s="119"/>
      <c r="EP501" s="119"/>
      <c r="EQ501" s="119"/>
      <c r="ER501" s="119"/>
      <c r="ES501" s="119"/>
      <c r="ET501" s="119"/>
      <c r="EU501" s="119"/>
      <c r="EV501" s="119"/>
      <c r="EW501" s="119"/>
      <c r="EX501" s="119"/>
      <c r="EY501" s="119"/>
      <c r="EZ501" s="119"/>
      <c r="FA501" s="119"/>
      <c r="FB501" s="119"/>
      <c r="FC501" s="119"/>
      <c r="FD501" s="119"/>
      <c r="FE501" s="119"/>
      <c r="FF501" s="119"/>
      <c r="FG501" s="119"/>
      <c r="FH501" s="119"/>
      <c r="FI501" s="119"/>
      <c r="FJ501" s="119"/>
      <c r="FK501" s="119"/>
      <c r="FL501" s="119"/>
      <c r="FM501" s="119"/>
      <c r="FN501" s="119"/>
      <c r="FO501" s="119"/>
      <c r="FP501" s="119"/>
      <c r="FQ501" s="119"/>
      <c r="FR501" s="119"/>
      <c r="FS501" s="119"/>
      <c r="FT501" s="119"/>
      <c r="FU501" s="119"/>
      <c r="FV501" s="119"/>
      <c r="FW501" s="119"/>
      <c r="FX501" s="119"/>
      <c r="FY501" s="119"/>
      <c r="FZ501" s="119"/>
      <c r="GA501" s="119"/>
      <c r="GB501" s="119"/>
      <c r="GC501" s="119"/>
      <c r="GD501" s="119"/>
      <c r="GE501" s="119"/>
      <c r="GF501" s="119"/>
      <c r="GG501" s="119"/>
      <c r="GH501" s="119"/>
      <c r="GI501" s="119"/>
      <c r="GJ501" s="119"/>
      <c r="GK501" s="119"/>
      <c r="GL501" s="119"/>
      <c r="GM501" s="119"/>
      <c r="GN501" s="119"/>
      <c r="GO501" s="119"/>
      <c r="GP501" s="119"/>
      <c r="GQ501" s="119"/>
      <c r="GR501" s="119"/>
      <c r="GS501" s="119"/>
      <c r="GT501" s="119"/>
      <c r="GU501" s="119"/>
      <c r="GV501" s="119"/>
      <c r="GW501" s="119"/>
      <c r="GX501" s="119"/>
      <c r="GY501" s="119"/>
      <c r="GZ501" s="119"/>
      <c r="HA501" s="119"/>
      <c r="HB501" s="119"/>
      <c r="HC501" s="119"/>
      <c r="HD501" s="119"/>
      <c r="HE501" s="119"/>
      <c r="HF501" s="119"/>
      <c r="HG501" s="119"/>
      <c r="HH501" s="119"/>
      <c r="HI501" s="119"/>
      <c r="HJ501" s="119"/>
      <c r="HK501" s="119"/>
      <c r="HL501" s="119"/>
      <c r="HM501" s="119"/>
      <c r="HN501" s="119"/>
      <c r="HO501" s="119"/>
      <c r="HP501" s="119"/>
      <c r="HQ501" s="119"/>
      <c r="HR501" s="119"/>
      <c r="HS501" s="119"/>
      <c r="HT501" s="119"/>
      <c r="HU501" s="119"/>
      <c r="HV501" s="119"/>
      <c r="HW501" s="119"/>
      <c r="HX501" s="119"/>
      <c r="HY501" s="119"/>
      <c r="HZ501" s="119"/>
      <c r="IA501" s="119"/>
      <c r="IB501" s="119"/>
      <c r="IC501" s="119"/>
      <c r="ID501" s="119"/>
      <c r="IE501" s="119"/>
      <c r="IF501" s="119"/>
      <c r="IG501" s="119"/>
      <c r="IH501" s="119"/>
      <c r="II501" s="119"/>
      <c r="IJ501" s="119"/>
      <c r="IK501" s="119"/>
      <c r="IL501" s="119"/>
      <c r="IM501" s="119"/>
      <c r="IN501" s="119"/>
      <c r="IO501" s="119"/>
      <c r="IP501" s="119"/>
      <c r="IQ501" s="119"/>
      <c r="IR501" s="119"/>
      <c r="IS501" s="119"/>
      <c r="IT501" s="119"/>
      <c r="IU501" s="119"/>
      <c r="IV501" s="119"/>
      <c r="IW501" s="119"/>
    </row>
    <row r="502" customFormat="false" ht="18.75" hidden="true" customHeight="false" outlineLevel="0" collapsed="false">
      <c r="A502" s="234" t="s">
        <v>471</v>
      </c>
      <c r="B502" s="113"/>
      <c r="C502" s="114"/>
      <c r="D502" s="69" t="n">
        <f aca="false">I502/0.03</f>
        <v>2872.33333333333</v>
      </c>
      <c r="E502" s="116" t="n">
        <f aca="false">120274/1000</f>
        <v>120.274</v>
      </c>
      <c r="F502" s="116" t="n">
        <f aca="false">-34104/1000</f>
        <v>-34.104</v>
      </c>
      <c r="G502" s="116"/>
      <c r="H502" s="116"/>
      <c r="I502" s="117" t="n">
        <f aca="false">SUM(E502:G502)</f>
        <v>86.17</v>
      </c>
      <c r="J502" s="118" t="s">
        <v>226</v>
      </c>
      <c r="K502" s="119"/>
      <c r="L502" s="119"/>
      <c r="M502" s="119"/>
      <c r="N502" s="119"/>
      <c r="O502" s="119"/>
      <c r="P502" s="119"/>
      <c r="Q502" s="119"/>
      <c r="R502" s="119"/>
      <c r="S502" s="119"/>
      <c r="T502" s="65" t="n">
        <f aca="false">IF(D502&gt;0,(I502/D502),"")</f>
        <v>0.03</v>
      </c>
      <c r="U502" s="119"/>
      <c r="V502" s="119"/>
      <c r="W502" s="119"/>
      <c r="X502" s="119"/>
      <c r="Y502" s="119"/>
      <c r="Z502" s="119"/>
      <c r="AA502" s="119"/>
      <c r="AB502" s="119"/>
      <c r="AC502" s="119"/>
      <c r="AD502" s="119"/>
      <c r="AE502" s="119"/>
      <c r="AF502" s="119"/>
      <c r="AG502" s="119"/>
      <c r="AH502" s="119"/>
      <c r="AI502" s="119"/>
      <c r="AJ502" s="119"/>
      <c r="AK502" s="119"/>
      <c r="AL502" s="119"/>
      <c r="AM502" s="119"/>
      <c r="AN502" s="119"/>
      <c r="AO502" s="119"/>
      <c r="AP502" s="119"/>
      <c r="AQ502" s="119"/>
      <c r="AR502" s="119"/>
      <c r="AS502" s="119"/>
      <c r="AT502" s="119"/>
      <c r="AU502" s="119"/>
      <c r="AV502" s="119"/>
      <c r="AW502" s="119"/>
      <c r="AX502" s="119"/>
      <c r="AY502" s="119"/>
      <c r="AZ502" s="119"/>
      <c r="BA502" s="119"/>
      <c r="BB502" s="119"/>
      <c r="BC502" s="119"/>
      <c r="BD502" s="119"/>
      <c r="BE502" s="119"/>
      <c r="BF502" s="119"/>
      <c r="BG502" s="119"/>
      <c r="BH502" s="119"/>
      <c r="BI502" s="119"/>
      <c r="BJ502" s="119"/>
      <c r="BK502" s="119"/>
      <c r="BL502" s="119"/>
      <c r="BM502" s="119"/>
      <c r="BN502" s="119"/>
      <c r="BO502" s="119"/>
      <c r="BP502" s="119"/>
      <c r="BQ502" s="119"/>
      <c r="BR502" s="119"/>
      <c r="BS502" s="119"/>
      <c r="BT502" s="119"/>
      <c r="BU502" s="119"/>
      <c r="BV502" s="119"/>
      <c r="BW502" s="119"/>
      <c r="BX502" s="119"/>
      <c r="BY502" s="119"/>
      <c r="BZ502" s="119"/>
      <c r="CA502" s="119"/>
      <c r="CB502" s="119"/>
      <c r="CC502" s="119"/>
      <c r="CD502" s="119"/>
      <c r="CE502" s="119"/>
      <c r="CF502" s="119"/>
      <c r="CG502" s="119"/>
      <c r="CH502" s="119"/>
      <c r="CI502" s="119"/>
      <c r="CJ502" s="119"/>
      <c r="CK502" s="119"/>
      <c r="CL502" s="119"/>
      <c r="CM502" s="119"/>
      <c r="CN502" s="119"/>
      <c r="CO502" s="119"/>
      <c r="CP502" s="119"/>
      <c r="CQ502" s="119"/>
      <c r="CR502" s="119"/>
      <c r="CS502" s="119"/>
      <c r="CT502" s="119"/>
      <c r="CU502" s="119"/>
      <c r="CV502" s="119"/>
      <c r="CW502" s="119"/>
      <c r="CX502" s="119"/>
      <c r="CY502" s="119"/>
      <c r="CZ502" s="119"/>
      <c r="DA502" s="119"/>
      <c r="DB502" s="119"/>
      <c r="DC502" s="119"/>
      <c r="DD502" s="119"/>
      <c r="DE502" s="119"/>
      <c r="DF502" s="119"/>
      <c r="DG502" s="119"/>
      <c r="DH502" s="119"/>
      <c r="DI502" s="119"/>
      <c r="DJ502" s="119"/>
      <c r="DK502" s="119"/>
      <c r="DL502" s="119"/>
      <c r="DM502" s="119"/>
      <c r="DN502" s="119"/>
      <c r="DO502" s="119"/>
      <c r="DP502" s="119"/>
      <c r="DQ502" s="119"/>
      <c r="DR502" s="119"/>
      <c r="DS502" s="119"/>
      <c r="DT502" s="119"/>
      <c r="DU502" s="119"/>
      <c r="DV502" s="119"/>
      <c r="DW502" s="119"/>
      <c r="DX502" s="119"/>
      <c r="DY502" s="119"/>
      <c r="DZ502" s="119"/>
      <c r="EA502" s="119"/>
      <c r="EB502" s="119"/>
      <c r="EC502" s="119"/>
      <c r="ED502" s="119"/>
      <c r="EE502" s="119"/>
      <c r="EF502" s="119"/>
      <c r="EG502" s="119"/>
      <c r="EH502" s="119"/>
      <c r="EI502" s="119"/>
      <c r="EJ502" s="119"/>
      <c r="EK502" s="119"/>
      <c r="EL502" s="119"/>
      <c r="EM502" s="119"/>
      <c r="EN502" s="119"/>
      <c r="EO502" s="119"/>
      <c r="EP502" s="119"/>
      <c r="EQ502" s="119"/>
      <c r="ER502" s="119"/>
      <c r="ES502" s="119"/>
      <c r="ET502" s="119"/>
      <c r="EU502" s="119"/>
      <c r="EV502" s="119"/>
      <c r="EW502" s="119"/>
      <c r="EX502" s="119"/>
      <c r="EY502" s="119"/>
      <c r="EZ502" s="119"/>
      <c r="FA502" s="119"/>
      <c r="FB502" s="119"/>
      <c r="FC502" s="119"/>
      <c r="FD502" s="119"/>
      <c r="FE502" s="119"/>
      <c r="FF502" s="119"/>
      <c r="FG502" s="119"/>
      <c r="FH502" s="119"/>
      <c r="FI502" s="119"/>
      <c r="FJ502" s="119"/>
      <c r="FK502" s="119"/>
      <c r="FL502" s="119"/>
      <c r="FM502" s="119"/>
      <c r="FN502" s="119"/>
      <c r="FO502" s="119"/>
      <c r="FP502" s="119"/>
      <c r="FQ502" s="119"/>
      <c r="FR502" s="119"/>
      <c r="FS502" s="119"/>
      <c r="FT502" s="119"/>
      <c r="FU502" s="119"/>
      <c r="FV502" s="119"/>
      <c r="FW502" s="119"/>
      <c r="FX502" s="119"/>
      <c r="FY502" s="119"/>
      <c r="FZ502" s="119"/>
      <c r="GA502" s="119"/>
      <c r="GB502" s="119"/>
      <c r="GC502" s="119"/>
      <c r="GD502" s="119"/>
      <c r="GE502" s="119"/>
      <c r="GF502" s="119"/>
      <c r="GG502" s="119"/>
      <c r="GH502" s="119"/>
      <c r="GI502" s="119"/>
      <c r="GJ502" s="119"/>
      <c r="GK502" s="119"/>
      <c r="GL502" s="119"/>
      <c r="GM502" s="119"/>
      <c r="GN502" s="119"/>
      <c r="GO502" s="119"/>
      <c r="GP502" s="119"/>
      <c r="GQ502" s="119"/>
      <c r="GR502" s="119"/>
      <c r="GS502" s="119"/>
      <c r="GT502" s="119"/>
      <c r="GU502" s="119"/>
      <c r="GV502" s="119"/>
      <c r="GW502" s="119"/>
      <c r="GX502" s="119"/>
      <c r="GY502" s="119"/>
      <c r="GZ502" s="119"/>
      <c r="HA502" s="119"/>
      <c r="HB502" s="119"/>
      <c r="HC502" s="119"/>
      <c r="HD502" s="119"/>
      <c r="HE502" s="119"/>
      <c r="HF502" s="119"/>
      <c r="HG502" s="119"/>
      <c r="HH502" s="119"/>
      <c r="HI502" s="119"/>
      <c r="HJ502" s="119"/>
      <c r="HK502" s="119"/>
      <c r="HL502" s="119"/>
      <c r="HM502" s="119"/>
      <c r="HN502" s="119"/>
      <c r="HO502" s="119"/>
      <c r="HP502" s="119"/>
      <c r="HQ502" s="119"/>
      <c r="HR502" s="119"/>
      <c r="HS502" s="119"/>
      <c r="HT502" s="119"/>
      <c r="HU502" s="119"/>
      <c r="HV502" s="119"/>
      <c r="HW502" s="119"/>
      <c r="HX502" s="119"/>
      <c r="HY502" s="119"/>
      <c r="HZ502" s="119"/>
      <c r="IA502" s="119"/>
      <c r="IB502" s="119"/>
      <c r="IC502" s="119"/>
      <c r="ID502" s="119"/>
      <c r="IE502" s="119"/>
      <c r="IF502" s="119"/>
      <c r="IG502" s="119"/>
      <c r="IH502" s="119"/>
      <c r="II502" s="119"/>
      <c r="IJ502" s="119"/>
      <c r="IK502" s="119"/>
      <c r="IL502" s="119"/>
      <c r="IM502" s="119"/>
      <c r="IN502" s="119"/>
      <c r="IO502" s="119"/>
      <c r="IP502" s="119"/>
      <c r="IQ502" s="119"/>
      <c r="IR502" s="119"/>
      <c r="IS502" s="119"/>
      <c r="IT502" s="119"/>
      <c r="IU502" s="119"/>
      <c r="IV502" s="119"/>
      <c r="IW502" s="119"/>
    </row>
    <row r="503" customFormat="false" ht="18.75" hidden="true" customHeight="false" outlineLevel="0" collapsed="false">
      <c r="A503" s="234" t="s">
        <v>472</v>
      </c>
      <c r="B503" s="113"/>
      <c r="C503" s="114"/>
      <c r="D503" s="69" t="n">
        <f aca="false">I503/0.03</f>
        <v>4471.53333333333</v>
      </c>
      <c r="E503" s="116" t="n">
        <f aca="false">185422/1000</f>
        <v>185.422</v>
      </c>
      <c r="F503" s="116" t="n">
        <f aca="false">-51276/1000</f>
        <v>-51.276</v>
      </c>
      <c r="G503" s="116"/>
      <c r="H503" s="116"/>
      <c r="I503" s="117" t="n">
        <f aca="false">SUM(E503:G503)</f>
        <v>134.146</v>
      </c>
      <c r="J503" s="118" t="s">
        <v>226</v>
      </c>
      <c r="K503" s="119"/>
      <c r="L503" s="119"/>
      <c r="M503" s="119"/>
      <c r="N503" s="119"/>
      <c r="O503" s="119"/>
      <c r="P503" s="119"/>
      <c r="Q503" s="119"/>
      <c r="R503" s="119"/>
      <c r="S503" s="119"/>
      <c r="T503" s="65" t="n">
        <f aca="false">IF(D503&gt;0,(I503/D503),"")</f>
        <v>0.03</v>
      </c>
      <c r="U503" s="119"/>
      <c r="V503" s="119"/>
      <c r="W503" s="119"/>
      <c r="X503" s="119"/>
      <c r="Y503" s="119"/>
      <c r="Z503" s="119"/>
      <c r="AA503" s="119"/>
      <c r="AB503" s="119"/>
      <c r="AC503" s="119"/>
      <c r="AD503" s="119"/>
      <c r="AE503" s="119"/>
      <c r="AF503" s="119"/>
      <c r="AG503" s="119"/>
      <c r="AH503" s="119"/>
      <c r="AI503" s="119"/>
      <c r="AJ503" s="119"/>
      <c r="AK503" s="119"/>
      <c r="AL503" s="119"/>
      <c r="AM503" s="119"/>
      <c r="AN503" s="119"/>
      <c r="AO503" s="119"/>
      <c r="AP503" s="119"/>
      <c r="AQ503" s="119"/>
      <c r="AR503" s="119"/>
      <c r="AS503" s="119"/>
      <c r="AT503" s="119"/>
      <c r="AU503" s="119"/>
      <c r="AV503" s="119"/>
      <c r="AW503" s="119"/>
      <c r="AX503" s="119"/>
      <c r="AY503" s="119"/>
      <c r="AZ503" s="119"/>
      <c r="BA503" s="119"/>
      <c r="BB503" s="119"/>
      <c r="BC503" s="119"/>
      <c r="BD503" s="119"/>
      <c r="BE503" s="119"/>
      <c r="BF503" s="119"/>
      <c r="BG503" s="119"/>
      <c r="BH503" s="119"/>
      <c r="BI503" s="119"/>
      <c r="BJ503" s="119"/>
      <c r="BK503" s="119"/>
      <c r="BL503" s="119"/>
      <c r="BM503" s="119"/>
      <c r="BN503" s="119"/>
      <c r="BO503" s="119"/>
      <c r="BP503" s="119"/>
      <c r="BQ503" s="119"/>
      <c r="BR503" s="119"/>
      <c r="BS503" s="119"/>
      <c r="BT503" s="119"/>
      <c r="BU503" s="119"/>
      <c r="BV503" s="119"/>
      <c r="BW503" s="119"/>
      <c r="BX503" s="119"/>
      <c r="BY503" s="119"/>
      <c r="BZ503" s="119"/>
      <c r="CA503" s="119"/>
      <c r="CB503" s="119"/>
      <c r="CC503" s="119"/>
      <c r="CD503" s="119"/>
      <c r="CE503" s="119"/>
      <c r="CF503" s="119"/>
      <c r="CG503" s="119"/>
      <c r="CH503" s="119"/>
      <c r="CI503" s="119"/>
      <c r="CJ503" s="119"/>
      <c r="CK503" s="119"/>
      <c r="CL503" s="119"/>
      <c r="CM503" s="119"/>
      <c r="CN503" s="119"/>
      <c r="CO503" s="119"/>
      <c r="CP503" s="119"/>
      <c r="CQ503" s="119"/>
      <c r="CR503" s="119"/>
      <c r="CS503" s="119"/>
      <c r="CT503" s="119"/>
      <c r="CU503" s="119"/>
      <c r="CV503" s="119"/>
      <c r="CW503" s="119"/>
      <c r="CX503" s="119"/>
      <c r="CY503" s="119"/>
      <c r="CZ503" s="119"/>
      <c r="DA503" s="119"/>
      <c r="DB503" s="119"/>
      <c r="DC503" s="119"/>
      <c r="DD503" s="119"/>
      <c r="DE503" s="119"/>
      <c r="DF503" s="119"/>
      <c r="DG503" s="119"/>
      <c r="DH503" s="119"/>
      <c r="DI503" s="119"/>
      <c r="DJ503" s="119"/>
      <c r="DK503" s="119"/>
      <c r="DL503" s="119"/>
      <c r="DM503" s="119"/>
      <c r="DN503" s="119"/>
      <c r="DO503" s="119"/>
      <c r="DP503" s="119"/>
      <c r="DQ503" s="119"/>
      <c r="DR503" s="119"/>
      <c r="DS503" s="119"/>
      <c r="DT503" s="119"/>
      <c r="DU503" s="119"/>
      <c r="DV503" s="119"/>
      <c r="DW503" s="119"/>
      <c r="DX503" s="119"/>
      <c r="DY503" s="119"/>
      <c r="DZ503" s="119"/>
      <c r="EA503" s="119"/>
      <c r="EB503" s="119"/>
      <c r="EC503" s="119"/>
      <c r="ED503" s="119"/>
      <c r="EE503" s="119"/>
      <c r="EF503" s="119"/>
      <c r="EG503" s="119"/>
      <c r="EH503" s="119"/>
      <c r="EI503" s="119"/>
      <c r="EJ503" s="119"/>
      <c r="EK503" s="119"/>
      <c r="EL503" s="119"/>
      <c r="EM503" s="119"/>
      <c r="EN503" s="119"/>
      <c r="EO503" s="119"/>
      <c r="EP503" s="119"/>
      <c r="EQ503" s="119"/>
      <c r="ER503" s="119"/>
      <c r="ES503" s="119"/>
      <c r="ET503" s="119"/>
      <c r="EU503" s="119"/>
      <c r="EV503" s="119"/>
      <c r="EW503" s="119"/>
      <c r="EX503" s="119"/>
      <c r="EY503" s="119"/>
      <c r="EZ503" s="119"/>
      <c r="FA503" s="119"/>
      <c r="FB503" s="119"/>
      <c r="FC503" s="119"/>
      <c r="FD503" s="119"/>
      <c r="FE503" s="119"/>
      <c r="FF503" s="119"/>
      <c r="FG503" s="119"/>
      <c r="FH503" s="119"/>
      <c r="FI503" s="119"/>
      <c r="FJ503" s="119"/>
      <c r="FK503" s="119"/>
      <c r="FL503" s="119"/>
      <c r="FM503" s="119"/>
      <c r="FN503" s="119"/>
      <c r="FO503" s="119"/>
      <c r="FP503" s="119"/>
      <c r="FQ503" s="119"/>
      <c r="FR503" s="119"/>
      <c r="FS503" s="119"/>
      <c r="FT503" s="119"/>
      <c r="FU503" s="119"/>
      <c r="FV503" s="119"/>
      <c r="FW503" s="119"/>
      <c r="FX503" s="119"/>
      <c r="FY503" s="119"/>
      <c r="FZ503" s="119"/>
      <c r="GA503" s="119"/>
      <c r="GB503" s="119"/>
      <c r="GC503" s="119"/>
      <c r="GD503" s="119"/>
      <c r="GE503" s="119"/>
      <c r="GF503" s="119"/>
      <c r="GG503" s="119"/>
      <c r="GH503" s="119"/>
      <c r="GI503" s="119"/>
      <c r="GJ503" s="119"/>
      <c r="GK503" s="119"/>
      <c r="GL503" s="119"/>
      <c r="GM503" s="119"/>
      <c r="GN503" s="119"/>
      <c r="GO503" s="119"/>
      <c r="GP503" s="119"/>
      <c r="GQ503" s="119"/>
      <c r="GR503" s="119"/>
      <c r="GS503" s="119"/>
      <c r="GT503" s="119"/>
      <c r="GU503" s="119"/>
      <c r="GV503" s="119"/>
      <c r="GW503" s="119"/>
      <c r="GX503" s="119"/>
      <c r="GY503" s="119"/>
      <c r="GZ503" s="119"/>
      <c r="HA503" s="119"/>
      <c r="HB503" s="119"/>
      <c r="HC503" s="119"/>
      <c r="HD503" s="119"/>
      <c r="HE503" s="119"/>
      <c r="HF503" s="119"/>
      <c r="HG503" s="119"/>
      <c r="HH503" s="119"/>
      <c r="HI503" s="119"/>
      <c r="HJ503" s="119"/>
      <c r="HK503" s="119"/>
      <c r="HL503" s="119"/>
      <c r="HM503" s="119"/>
      <c r="HN503" s="119"/>
      <c r="HO503" s="119"/>
      <c r="HP503" s="119"/>
      <c r="HQ503" s="119"/>
      <c r="HR503" s="119"/>
      <c r="HS503" s="119"/>
      <c r="HT503" s="119"/>
      <c r="HU503" s="119"/>
      <c r="HV503" s="119"/>
      <c r="HW503" s="119"/>
      <c r="HX503" s="119"/>
      <c r="HY503" s="119"/>
      <c r="HZ503" s="119"/>
      <c r="IA503" s="119"/>
      <c r="IB503" s="119"/>
      <c r="IC503" s="119"/>
      <c r="ID503" s="119"/>
      <c r="IE503" s="119"/>
      <c r="IF503" s="119"/>
      <c r="IG503" s="119"/>
      <c r="IH503" s="119"/>
      <c r="II503" s="119"/>
      <c r="IJ503" s="119"/>
      <c r="IK503" s="119"/>
      <c r="IL503" s="119"/>
      <c r="IM503" s="119"/>
      <c r="IN503" s="119"/>
      <c r="IO503" s="119"/>
      <c r="IP503" s="119"/>
      <c r="IQ503" s="119"/>
      <c r="IR503" s="119"/>
      <c r="IS503" s="119"/>
      <c r="IT503" s="119"/>
      <c r="IU503" s="119"/>
      <c r="IV503" s="119"/>
      <c r="IW503" s="119"/>
    </row>
    <row r="504" customFormat="false" ht="18.75" hidden="true" customHeight="false" outlineLevel="0" collapsed="false">
      <c r="A504" s="234" t="s">
        <v>473</v>
      </c>
      <c r="B504" s="113"/>
      <c r="C504" s="114"/>
      <c r="D504" s="69" t="n">
        <f aca="false">I504/0.03</f>
        <v>2017.33333333333</v>
      </c>
      <c r="E504" s="116" t="n">
        <f aca="false">84301/1000</f>
        <v>84.301</v>
      </c>
      <c r="F504" s="116" t="n">
        <v>-23.781</v>
      </c>
      <c r="G504" s="116"/>
      <c r="H504" s="116"/>
      <c r="I504" s="117" t="n">
        <f aca="false">SUM(E504:G504)</f>
        <v>60.52</v>
      </c>
      <c r="J504" s="118" t="s">
        <v>226</v>
      </c>
      <c r="K504" s="119"/>
      <c r="L504" s="119"/>
      <c r="M504" s="119"/>
      <c r="N504" s="119"/>
      <c r="O504" s="119"/>
      <c r="P504" s="119"/>
      <c r="Q504" s="119"/>
      <c r="R504" s="119"/>
      <c r="S504" s="119"/>
      <c r="T504" s="65" t="n">
        <f aca="false">IF(D504&gt;0,(I504/D504),"")</f>
        <v>0.03</v>
      </c>
      <c r="U504" s="119"/>
      <c r="V504" s="119"/>
      <c r="W504" s="119"/>
      <c r="X504" s="119"/>
      <c r="Y504" s="119"/>
      <c r="Z504" s="119"/>
      <c r="AA504" s="119"/>
      <c r="AB504" s="119"/>
      <c r="AC504" s="119"/>
      <c r="AD504" s="119"/>
      <c r="AE504" s="119"/>
      <c r="AF504" s="119"/>
      <c r="AG504" s="119"/>
      <c r="AH504" s="119"/>
      <c r="AI504" s="119"/>
      <c r="AJ504" s="119"/>
      <c r="AK504" s="119"/>
      <c r="AL504" s="119"/>
      <c r="AM504" s="119"/>
      <c r="AN504" s="119"/>
      <c r="AO504" s="119"/>
      <c r="AP504" s="119"/>
      <c r="AQ504" s="119"/>
      <c r="AR504" s="119"/>
      <c r="AS504" s="119"/>
      <c r="AT504" s="119"/>
      <c r="AU504" s="119"/>
      <c r="AV504" s="119"/>
      <c r="AW504" s="119"/>
      <c r="AX504" s="119"/>
      <c r="AY504" s="119"/>
      <c r="AZ504" s="119"/>
      <c r="BA504" s="119"/>
      <c r="BB504" s="119"/>
      <c r="BC504" s="119"/>
      <c r="BD504" s="119"/>
      <c r="BE504" s="119"/>
      <c r="BF504" s="119"/>
      <c r="BG504" s="119"/>
      <c r="BH504" s="119"/>
      <c r="BI504" s="119"/>
      <c r="BJ504" s="119"/>
      <c r="BK504" s="119"/>
      <c r="BL504" s="119"/>
      <c r="BM504" s="119"/>
      <c r="BN504" s="119"/>
      <c r="BO504" s="119"/>
      <c r="BP504" s="119"/>
      <c r="BQ504" s="119"/>
      <c r="BR504" s="119"/>
      <c r="BS504" s="119"/>
      <c r="BT504" s="119"/>
      <c r="BU504" s="119"/>
      <c r="BV504" s="119"/>
      <c r="BW504" s="119"/>
      <c r="BX504" s="119"/>
      <c r="BY504" s="119"/>
      <c r="BZ504" s="119"/>
      <c r="CA504" s="119"/>
      <c r="CB504" s="119"/>
      <c r="CC504" s="119"/>
      <c r="CD504" s="119"/>
      <c r="CE504" s="119"/>
      <c r="CF504" s="119"/>
      <c r="CG504" s="119"/>
      <c r="CH504" s="119"/>
      <c r="CI504" s="119"/>
      <c r="CJ504" s="119"/>
      <c r="CK504" s="119"/>
      <c r="CL504" s="119"/>
      <c r="CM504" s="119"/>
      <c r="CN504" s="119"/>
      <c r="CO504" s="119"/>
      <c r="CP504" s="119"/>
      <c r="CQ504" s="119"/>
      <c r="CR504" s="119"/>
      <c r="CS504" s="119"/>
      <c r="CT504" s="119"/>
      <c r="CU504" s="119"/>
      <c r="CV504" s="119"/>
      <c r="CW504" s="119"/>
      <c r="CX504" s="119"/>
      <c r="CY504" s="119"/>
      <c r="CZ504" s="119"/>
      <c r="DA504" s="119"/>
      <c r="DB504" s="119"/>
      <c r="DC504" s="119"/>
      <c r="DD504" s="119"/>
      <c r="DE504" s="119"/>
      <c r="DF504" s="119"/>
      <c r="DG504" s="119"/>
      <c r="DH504" s="119"/>
      <c r="DI504" s="119"/>
      <c r="DJ504" s="119"/>
      <c r="DK504" s="119"/>
      <c r="DL504" s="119"/>
      <c r="DM504" s="119"/>
      <c r="DN504" s="119"/>
      <c r="DO504" s="119"/>
      <c r="DP504" s="119"/>
      <c r="DQ504" s="119"/>
      <c r="DR504" s="119"/>
      <c r="DS504" s="119"/>
      <c r="DT504" s="119"/>
      <c r="DU504" s="119"/>
      <c r="DV504" s="119"/>
      <c r="DW504" s="119"/>
      <c r="DX504" s="119"/>
      <c r="DY504" s="119"/>
      <c r="DZ504" s="119"/>
      <c r="EA504" s="119"/>
      <c r="EB504" s="119"/>
      <c r="EC504" s="119"/>
      <c r="ED504" s="119"/>
      <c r="EE504" s="119"/>
      <c r="EF504" s="119"/>
      <c r="EG504" s="119"/>
      <c r="EH504" s="119"/>
      <c r="EI504" s="119"/>
      <c r="EJ504" s="119"/>
      <c r="EK504" s="119"/>
      <c r="EL504" s="119"/>
      <c r="EM504" s="119"/>
      <c r="EN504" s="119"/>
      <c r="EO504" s="119"/>
      <c r="EP504" s="119"/>
      <c r="EQ504" s="119"/>
      <c r="ER504" s="119"/>
      <c r="ES504" s="119"/>
      <c r="ET504" s="119"/>
      <c r="EU504" s="119"/>
      <c r="EV504" s="119"/>
      <c r="EW504" s="119"/>
      <c r="EX504" s="119"/>
      <c r="EY504" s="119"/>
      <c r="EZ504" s="119"/>
      <c r="FA504" s="119"/>
      <c r="FB504" s="119"/>
      <c r="FC504" s="119"/>
      <c r="FD504" s="119"/>
      <c r="FE504" s="119"/>
      <c r="FF504" s="119"/>
      <c r="FG504" s="119"/>
      <c r="FH504" s="119"/>
      <c r="FI504" s="119"/>
      <c r="FJ504" s="119"/>
      <c r="FK504" s="119"/>
      <c r="FL504" s="119"/>
      <c r="FM504" s="119"/>
      <c r="FN504" s="119"/>
      <c r="FO504" s="119"/>
      <c r="FP504" s="119"/>
      <c r="FQ504" s="119"/>
      <c r="FR504" s="119"/>
      <c r="FS504" s="119"/>
      <c r="FT504" s="119"/>
      <c r="FU504" s="119"/>
      <c r="FV504" s="119"/>
      <c r="FW504" s="119"/>
      <c r="FX504" s="119"/>
      <c r="FY504" s="119"/>
      <c r="FZ504" s="119"/>
      <c r="GA504" s="119"/>
      <c r="GB504" s="119"/>
      <c r="GC504" s="119"/>
      <c r="GD504" s="119"/>
      <c r="GE504" s="119"/>
      <c r="GF504" s="119"/>
      <c r="GG504" s="119"/>
      <c r="GH504" s="119"/>
      <c r="GI504" s="119"/>
      <c r="GJ504" s="119"/>
      <c r="GK504" s="119"/>
      <c r="GL504" s="119"/>
      <c r="GM504" s="119"/>
      <c r="GN504" s="119"/>
      <c r="GO504" s="119"/>
      <c r="GP504" s="119"/>
      <c r="GQ504" s="119"/>
      <c r="GR504" s="119"/>
      <c r="GS504" s="119"/>
      <c r="GT504" s="119"/>
      <c r="GU504" s="119"/>
      <c r="GV504" s="119"/>
      <c r="GW504" s="119"/>
      <c r="GX504" s="119"/>
      <c r="GY504" s="119"/>
      <c r="GZ504" s="119"/>
      <c r="HA504" s="119"/>
      <c r="HB504" s="119"/>
      <c r="HC504" s="119"/>
      <c r="HD504" s="119"/>
      <c r="HE504" s="119"/>
      <c r="HF504" s="119"/>
      <c r="HG504" s="119"/>
      <c r="HH504" s="119"/>
      <c r="HI504" s="119"/>
      <c r="HJ504" s="119"/>
      <c r="HK504" s="119"/>
      <c r="HL504" s="119"/>
      <c r="HM504" s="119"/>
      <c r="HN504" s="119"/>
      <c r="HO504" s="119"/>
      <c r="HP504" s="119"/>
      <c r="HQ504" s="119"/>
      <c r="HR504" s="119"/>
      <c r="HS504" s="119"/>
      <c r="HT504" s="119"/>
      <c r="HU504" s="119"/>
      <c r="HV504" s="119"/>
      <c r="HW504" s="119"/>
      <c r="HX504" s="119"/>
      <c r="HY504" s="119"/>
      <c r="HZ504" s="119"/>
      <c r="IA504" s="119"/>
      <c r="IB504" s="119"/>
      <c r="IC504" s="119"/>
      <c r="ID504" s="119"/>
      <c r="IE504" s="119"/>
      <c r="IF504" s="119"/>
      <c r="IG504" s="119"/>
      <c r="IH504" s="119"/>
      <c r="II504" s="119"/>
      <c r="IJ504" s="119"/>
      <c r="IK504" s="119"/>
      <c r="IL504" s="119"/>
      <c r="IM504" s="119"/>
      <c r="IN504" s="119"/>
      <c r="IO504" s="119"/>
      <c r="IP504" s="119"/>
      <c r="IQ504" s="119"/>
      <c r="IR504" s="119"/>
      <c r="IS504" s="119"/>
      <c r="IT504" s="119"/>
      <c r="IU504" s="119"/>
      <c r="IV504" s="119"/>
      <c r="IW504" s="119"/>
    </row>
    <row r="505" customFormat="false" ht="18.75" hidden="true" customHeight="false" outlineLevel="0" collapsed="false">
      <c r="A505" s="234" t="s">
        <v>474</v>
      </c>
      <c r="B505" s="113"/>
      <c r="C505" s="114"/>
      <c r="D505" s="69" t="n">
        <f aca="false">I505/0.03</f>
        <v>6771.4</v>
      </c>
      <c r="E505" s="116" t="n">
        <f aca="false">280662/1000</f>
        <v>280.662</v>
      </c>
      <c r="F505" s="116" t="n">
        <f aca="false">-77520/1000</f>
        <v>-77.52</v>
      </c>
      <c r="G505" s="116"/>
      <c r="H505" s="116"/>
      <c r="I505" s="117" t="n">
        <f aca="false">SUM(E505:G505)</f>
        <v>203.142</v>
      </c>
      <c r="J505" s="118" t="s">
        <v>21</v>
      </c>
      <c r="K505" s="119"/>
      <c r="L505" s="119"/>
      <c r="M505" s="119"/>
      <c r="N505" s="119"/>
      <c r="O505" s="119"/>
      <c r="P505" s="119"/>
      <c r="Q505" s="119"/>
      <c r="R505" s="119"/>
      <c r="S505" s="119"/>
      <c r="T505" s="65" t="n">
        <f aca="false">IF(D505&gt;0,(I505/D505),"")</f>
        <v>0.03</v>
      </c>
      <c r="U505" s="119"/>
      <c r="V505" s="119"/>
      <c r="W505" s="119"/>
      <c r="X505" s="119"/>
      <c r="Y505" s="119"/>
      <c r="Z505" s="119"/>
      <c r="AA505" s="119"/>
      <c r="AB505" s="119"/>
      <c r="AC505" s="119"/>
      <c r="AD505" s="119"/>
      <c r="AE505" s="119"/>
      <c r="AF505" s="119"/>
      <c r="AG505" s="119"/>
      <c r="AH505" s="119"/>
      <c r="AI505" s="119"/>
      <c r="AJ505" s="119"/>
      <c r="AK505" s="119"/>
      <c r="AL505" s="119"/>
      <c r="AM505" s="119"/>
      <c r="AN505" s="119"/>
      <c r="AO505" s="119"/>
      <c r="AP505" s="119"/>
      <c r="AQ505" s="119"/>
      <c r="AR505" s="119"/>
      <c r="AS505" s="119"/>
      <c r="AT505" s="119"/>
      <c r="AU505" s="119"/>
      <c r="AV505" s="119"/>
      <c r="AW505" s="119"/>
      <c r="AX505" s="119"/>
      <c r="AY505" s="119"/>
      <c r="AZ505" s="119"/>
      <c r="BA505" s="119"/>
      <c r="BB505" s="119"/>
      <c r="BC505" s="119"/>
      <c r="BD505" s="119"/>
      <c r="BE505" s="119"/>
      <c r="BF505" s="119"/>
      <c r="BG505" s="119"/>
      <c r="BH505" s="119"/>
      <c r="BI505" s="119"/>
      <c r="BJ505" s="119"/>
      <c r="BK505" s="119"/>
      <c r="BL505" s="119"/>
      <c r="BM505" s="119"/>
      <c r="BN505" s="119"/>
      <c r="BO505" s="119"/>
      <c r="BP505" s="119"/>
      <c r="BQ505" s="119"/>
      <c r="BR505" s="119"/>
      <c r="BS505" s="119"/>
      <c r="BT505" s="119"/>
      <c r="BU505" s="119"/>
      <c r="BV505" s="119"/>
      <c r="BW505" s="119"/>
      <c r="BX505" s="119"/>
      <c r="BY505" s="119"/>
      <c r="BZ505" s="119"/>
      <c r="CA505" s="119"/>
      <c r="CB505" s="119"/>
      <c r="CC505" s="119"/>
      <c r="CD505" s="119"/>
      <c r="CE505" s="119"/>
      <c r="CF505" s="119"/>
      <c r="CG505" s="119"/>
      <c r="CH505" s="119"/>
      <c r="CI505" s="119"/>
      <c r="CJ505" s="119"/>
      <c r="CK505" s="119"/>
      <c r="CL505" s="119"/>
      <c r="CM505" s="119"/>
      <c r="CN505" s="119"/>
      <c r="CO505" s="119"/>
      <c r="CP505" s="119"/>
      <c r="CQ505" s="119"/>
      <c r="CR505" s="119"/>
      <c r="CS505" s="119"/>
      <c r="CT505" s="119"/>
      <c r="CU505" s="119"/>
      <c r="CV505" s="119"/>
      <c r="CW505" s="119"/>
      <c r="CX505" s="119"/>
      <c r="CY505" s="119"/>
      <c r="CZ505" s="119"/>
      <c r="DA505" s="119"/>
      <c r="DB505" s="119"/>
      <c r="DC505" s="119"/>
      <c r="DD505" s="119"/>
      <c r="DE505" s="119"/>
      <c r="DF505" s="119"/>
      <c r="DG505" s="119"/>
      <c r="DH505" s="119"/>
      <c r="DI505" s="119"/>
      <c r="DJ505" s="119"/>
      <c r="DK505" s="119"/>
      <c r="DL505" s="119"/>
      <c r="DM505" s="119"/>
      <c r="DN505" s="119"/>
      <c r="DO505" s="119"/>
      <c r="DP505" s="119"/>
      <c r="DQ505" s="119"/>
      <c r="DR505" s="119"/>
      <c r="DS505" s="119"/>
      <c r="DT505" s="119"/>
      <c r="DU505" s="119"/>
      <c r="DV505" s="119"/>
      <c r="DW505" s="119"/>
      <c r="DX505" s="119"/>
      <c r="DY505" s="119"/>
      <c r="DZ505" s="119"/>
      <c r="EA505" s="119"/>
      <c r="EB505" s="119"/>
      <c r="EC505" s="119"/>
      <c r="ED505" s="119"/>
      <c r="EE505" s="119"/>
      <c r="EF505" s="119"/>
      <c r="EG505" s="119"/>
      <c r="EH505" s="119"/>
      <c r="EI505" s="119"/>
      <c r="EJ505" s="119"/>
      <c r="EK505" s="119"/>
      <c r="EL505" s="119"/>
      <c r="EM505" s="119"/>
      <c r="EN505" s="119"/>
      <c r="EO505" s="119"/>
      <c r="EP505" s="119"/>
      <c r="EQ505" s="119"/>
      <c r="ER505" s="119"/>
      <c r="ES505" s="119"/>
      <c r="ET505" s="119"/>
      <c r="EU505" s="119"/>
      <c r="EV505" s="119"/>
      <c r="EW505" s="119"/>
      <c r="EX505" s="119"/>
      <c r="EY505" s="119"/>
      <c r="EZ505" s="119"/>
      <c r="FA505" s="119"/>
      <c r="FB505" s="119"/>
      <c r="FC505" s="119"/>
      <c r="FD505" s="119"/>
      <c r="FE505" s="119"/>
      <c r="FF505" s="119"/>
      <c r="FG505" s="119"/>
      <c r="FH505" s="119"/>
      <c r="FI505" s="119"/>
      <c r="FJ505" s="119"/>
      <c r="FK505" s="119"/>
      <c r="FL505" s="119"/>
      <c r="FM505" s="119"/>
      <c r="FN505" s="119"/>
      <c r="FO505" s="119"/>
      <c r="FP505" s="119"/>
      <c r="FQ505" s="119"/>
      <c r="FR505" s="119"/>
      <c r="FS505" s="119"/>
      <c r="FT505" s="119"/>
      <c r="FU505" s="119"/>
      <c r="FV505" s="119"/>
      <c r="FW505" s="119"/>
      <c r="FX505" s="119"/>
      <c r="FY505" s="119"/>
      <c r="FZ505" s="119"/>
      <c r="GA505" s="119"/>
      <c r="GB505" s="119"/>
      <c r="GC505" s="119"/>
      <c r="GD505" s="119"/>
      <c r="GE505" s="119"/>
      <c r="GF505" s="119"/>
      <c r="GG505" s="119"/>
      <c r="GH505" s="119"/>
      <c r="GI505" s="119"/>
      <c r="GJ505" s="119"/>
      <c r="GK505" s="119"/>
      <c r="GL505" s="119"/>
      <c r="GM505" s="119"/>
      <c r="GN505" s="119"/>
      <c r="GO505" s="119"/>
      <c r="GP505" s="119"/>
      <c r="GQ505" s="119"/>
      <c r="GR505" s="119"/>
      <c r="GS505" s="119"/>
      <c r="GT505" s="119"/>
      <c r="GU505" s="119"/>
      <c r="GV505" s="119"/>
      <c r="GW505" s="119"/>
      <c r="GX505" s="119"/>
      <c r="GY505" s="119"/>
      <c r="GZ505" s="119"/>
      <c r="HA505" s="119"/>
      <c r="HB505" s="119"/>
      <c r="HC505" s="119"/>
      <c r="HD505" s="119"/>
      <c r="HE505" s="119"/>
      <c r="HF505" s="119"/>
      <c r="HG505" s="119"/>
      <c r="HH505" s="119"/>
      <c r="HI505" s="119"/>
      <c r="HJ505" s="119"/>
      <c r="HK505" s="119"/>
      <c r="HL505" s="119"/>
      <c r="HM505" s="119"/>
      <c r="HN505" s="119"/>
      <c r="HO505" s="119"/>
      <c r="HP505" s="119"/>
      <c r="HQ505" s="119"/>
      <c r="HR505" s="119"/>
      <c r="HS505" s="119"/>
      <c r="HT505" s="119"/>
      <c r="HU505" s="119"/>
      <c r="HV505" s="119"/>
      <c r="HW505" s="119"/>
      <c r="HX505" s="119"/>
      <c r="HY505" s="119"/>
      <c r="HZ505" s="119"/>
      <c r="IA505" s="119"/>
      <c r="IB505" s="119"/>
      <c r="IC505" s="119"/>
      <c r="ID505" s="119"/>
      <c r="IE505" s="119"/>
      <c r="IF505" s="119"/>
      <c r="IG505" s="119"/>
      <c r="IH505" s="119"/>
      <c r="II505" s="119"/>
      <c r="IJ505" s="119"/>
      <c r="IK505" s="119"/>
      <c r="IL505" s="119"/>
      <c r="IM505" s="119"/>
      <c r="IN505" s="119"/>
      <c r="IO505" s="119"/>
      <c r="IP505" s="119"/>
      <c r="IQ505" s="119"/>
      <c r="IR505" s="119"/>
      <c r="IS505" s="119"/>
      <c r="IT505" s="119"/>
      <c r="IU505" s="119"/>
      <c r="IV505" s="119"/>
      <c r="IW505" s="119"/>
    </row>
    <row r="506" customFormat="false" ht="18.75" hidden="true" customHeight="false" outlineLevel="0" collapsed="false">
      <c r="A506" s="234" t="s">
        <v>475</v>
      </c>
      <c r="B506" s="113"/>
      <c r="C506" s="114"/>
      <c r="D506" s="69" t="n">
        <f aca="false">I506/0.03</f>
        <v>10564.5333333333</v>
      </c>
      <c r="E506" s="116" t="n">
        <v>435.209</v>
      </c>
      <c r="F506" s="116" t="n">
        <v>-118.273</v>
      </c>
      <c r="G506" s="116"/>
      <c r="H506" s="116"/>
      <c r="I506" s="117" t="n">
        <f aca="false">SUM(E506:G506)</f>
        <v>316.936</v>
      </c>
      <c r="J506" s="118" t="s">
        <v>21</v>
      </c>
      <c r="K506" s="119"/>
      <c r="L506" s="119"/>
      <c r="M506" s="119"/>
      <c r="N506" s="119"/>
      <c r="O506" s="119"/>
      <c r="P506" s="119"/>
      <c r="Q506" s="119"/>
      <c r="R506" s="119"/>
      <c r="S506" s="119"/>
      <c r="T506" s="65" t="n">
        <f aca="false">IF(D506&gt;0,(I506/D506),"")</f>
        <v>0.03</v>
      </c>
      <c r="U506" s="119"/>
      <c r="V506" s="119"/>
      <c r="W506" s="119"/>
      <c r="X506" s="119"/>
      <c r="Y506" s="119"/>
      <c r="Z506" s="119"/>
      <c r="AA506" s="119"/>
      <c r="AB506" s="119"/>
      <c r="AC506" s="119"/>
      <c r="AD506" s="119"/>
      <c r="AE506" s="119"/>
      <c r="AF506" s="119"/>
      <c r="AG506" s="119"/>
      <c r="AH506" s="119"/>
      <c r="AI506" s="119"/>
      <c r="AJ506" s="119"/>
      <c r="AK506" s="119"/>
      <c r="AL506" s="119"/>
      <c r="AM506" s="119"/>
      <c r="AN506" s="119"/>
      <c r="AO506" s="119"/>
      <c r="AP506" s="119"/>
      <c r="AQ506" s="119"/>
      <c r="AR506" s="119"/>
      <c r="AS506" s="119"/>
      <c r="AT506" s="119"/>
      <c r="AU506" s="119"/>
      <c r="AV506" s="119"/>
      <c r="AW506" s="119"/>
      <c r="AX506" s="119"/>
      <c r="AY506" s="119"/>
      <c r="AZ506" s="119"/>
      <c r="BA506" s="119"/>
      <c r="BB506" s="119"/>
      <c r="BC506" s="119"/>
      <c r="BD506" s="119"/>
      <c r="BE506" s="119"/>
      <c r="BF506" s="119"/>
      <c r="BG506" s="119"/>
      <c r="BH506" s="119"/>
      <c r="BI506" s="119"/>
      <c r="BJ506" s="119"/>
      <c r="BK506" s="119"/>
      <c r="BL506" s="119"/>
      <c r="BM506" s="119"/>
      <c r="BN506" s="119"/>
      <c r="BO506" s="119"/>
      <c r="BP506" s="119"/>
      <c r="BQ506" s="119"/>
      <c r="BR506" s="119"/>
      <c r="BS506" s="119"/>
      <c r="BT506" s="119"/>
      <c r="BU506" s="119"/>
      <c r="BV506" s="119"/>
      <c r="BW506" s="119"/>
      <c r="BX506" s="119"/>
      <c r="BY506" s="119"/>
      <c r="BZ506" s="119"/>
      <c r="CA506" s="119"/>
      <c r="CB506" s="119"/>
      <c r="CC506" s="119"/>
      <c r="CD506" s="119"/>
      <c r="CE506" s="119"/>
      <c r="CF506" s="119"/>
      <c r="CG506" s="119"/>
      <c r="CH506" s="119"/>
      <c r="CI506" s="119"/>
      <c r="CJ506" s="119"/>
      <c r="CK506" s="119"/>
      <c r="CL506" s="119"/>
      <c r="CM506" s="119"/>
      <c r="CN506" s="119"/>
      <c r="CO506" s="119"/>
      <c r="CP506" s="119"/>
      <c r="CQ506" s="119"/>
      <c r="CR506" s="119"/>
      <c r="CS506" s="119"/>
      <c r="CT506" s="119"/>
      <c r="CU506" s="119"/>
      <c r="CV506" s="119"/>
      <c r="CW506" s="119"/>
      <c r="CX506" s="119"/>
      <c r="CY506" s="119"/>
      <c r="CZ506" s="119"/>
      <c r="DA506" s="119"/>
      <c r="DB506" s="119"/>
      <c r="DC506" s="119"/>
      <c r="DD506" s="119"/>
      <c r="DE506" s="119"/>
      <c r="DF506" s="119"/>
      <c r="DG506" s="119"/>
      <c r="DH506" s="119"/>
      <c r="DI506" s="119"/>
      <c r="DJ506" s="119"/>
      <c r="DK506" s="119"/>
      <c r="DL506" s="119"/>
      <c r="DM506" s="119"/>
      <c r="DN506" s="119"/>
      <c r="DO506" s="119"/>
      <c r="DP506" s="119"/>
      <c r="DQ506" s="119"/>
      <c r="DR506" s="119"/>
      <c r="DS506" s="119"/>
      <c r="DT506" s="119"/>
      <c r="DU506" s="119"/>
      <c r="DV506" s="119"/>
      <c r="DW506" s="119"/>
      <c r="DX506" s="119"/>
      <c r="DY506" s="119"/>
      <c r="DZ506" s="119"/>
      <c r="EA506" s="119"/>
      <c r="EB506" s="119"/>
      <c r="EC506" s="119"/>
      <c r="ED506" s="119"/>
      <c r="EE506" s="119"/>
      <c r="EF506" s="119"/>
      <c r="EG506" s="119"/>
      <c r="EH506" s="119"/>
      <c r="EI506" s="119"/>
      <c r="EJ506" s="119"/>
      <c r="EK506" s="119"/>
      <c r="EL506" s="119"/>
      <c r="EM506" s="119"/>
      <c r="EN506" s="119"/>
      <c r="EO506" s="119"/>
      <c r="EP506" s="119"/>
      <c r="EQ506" s="119"/>
      <c r="ER506" s="119"/>
      <c r="ES506" s="119"/>
      <c r="ET506" s="119"/>
      <c r="EU506" s="119"/>
      <c r="EV506" s="119"/>
      <c r="EW506" s="119"/>
      <c r="EX506" s="119"/>
      <c r="EY506" s="119"/>
      <c r="EZ506" s="119"/>
      <c r="FA506" s="119"/>
      <c r="FB506" s="119"/>
      <c r="FC506" s="119"/>
      <c r="FD506" s="119"/>
      <c r="FE506" s="119"/>
      <c r="FF506" s="119"/>
      <c r="FG506" s="119"/>
      <c r="FH506" s="119"/>
      <c r="FI506" s="119"/>
      <c r="FJ506" s="119"/>
      <c r="FK506" s="119"/>
      <c r="FL506" s="119"/>
      <c r="FM506" s="119"/>
      <c r="FN506" s="119"/>
      <c r="FO506" s="119"/>
      <c r="FP506" s="119"/>
      <c r="FQ506" s="119"/>
      <c r="FR506" s="119"/>
      <c r="FS506" s="119"/>
      <c r="FT506" s="119"/>
      <c r="FU506" s="119"/>
      <c r="FV506" s="119"/>
      <c r="FW506" s="119"/>
      <c r="FX506" s="119"/>
      <c r="FY506" s="119"/>
      <c r="FZ506" s="119"/>
      <c r="GA506" s="119"/>
      <c r="GB506" s="119"/>
      <c r="GC506" s="119"/>
      <c r="GD506" s="119"/>
      <c r="GE506" s="119"/>
      <c r="GF506" s="119"/>
      <c r="GG506" s="119"/>
      <c r="GH506" s="119"/>
      <c r="GI506" s="119"/>
      <c r="GJ506" s="119"/>
      <c r="GK506" s="119"/>
      <c r="GL506" s="119"/>
      <c r="GM506" s="119"/>
      <c r="GN506" s="119"/>
      <c r="GO506" s="119"/>
      <c r="GP506" s="119"/>
      <c r="GQ506" s="119"/>
      <c r="GR506" s="119"/>
      <c r="GS506" s="119"/>
      <c r="GT506" s="119"/>
      <c r="GU506" s="119"/>
      <c r="GV506" s="119"/>
      <c r="GW506" s="119"/>
      <c r="GX506" s="119"/>
      <c r="GY506" s="119"/>
      <c r="GZ506" s="119"/>
      <c r="HA506" s="119"/>
      <c r="HB506" s="119"/>
      <c r="HC506" s="119"/>
      <c r="HD506" s="119"/>
      <c r="HE506" s="119"/>
      <c r="HF506" s="119"/>
      <c r="HG506" s="119"/>
      <c r="HH506" s="119"/>
      <c r="HI506" s="119"/>
      <c r="HJ506" s="119"/>
      <c r="HK506" s="119"/>
      <c r="HL506" s="119"/>
      <c r="HM506" s="119"/>
      <c r="HN506" s="119"/>
      <c r="HO506" s="119"/>
      <c r="HP506" s="119"/>
      <c r="HQ506" s="119"/>
      <c r="HR506" s="119"/>
      <c r="HS506" s="119"/>
      <c r="HT506" s="119"/>
      <c r="HU506" s="119"/>
      <c r="HV506" s="119"/>
      <c r="HW506" s="119"/>
      <c r="HX506" s="119"/>
      <c r="HY506" s="119"/>
      <c r="HZ506" s="119"/>
      <c r="IA506" s="119"/>
      <c r="IB506" s="119"/>
      <c r="IC506" s="119"/>
      <c r="ID506" s="119"/>
      <c r="IE506" s="119"/>
      <c r="IF506" s="119"/>
      <c r="IG506" s="119"/>
      <c r="IH506" s="119"/>
      <c r="II506" s="119"/>
      <c r="IJ506" s="119"/>
      <c r="IK506" s="119"/>
      <c r="IL506" s="119"/>
      <c r="IM506" s="119"/>
      <c r="IN506" s="119"/>
      <c r="IO506" s="119"/>
      <c r="IP506" s="119"/>
      <c r="IQ506" s="119"/>
      <c r="IR506" s="119"/>
      <c r="IS506" s="119"/>
      <c r="IT506" s="119"/>
      <c r="IU506" s="119"/>
      <c r="IV506" s="119"/>
      <c r="IW506" s="119"/>
    </row>
    <row r="507" customFormat="false" ht="18.75" hidden="true" customHeight="false" outlineLevel="0" collapsed="false">
      <c r="A507" s="234" t="s">
        <v>476</v>
      </c>
      <c r="B507" s="113"/>
      <c r="C507" s="114"/>
      <c r="D507" s="69" t="n">
        <f aca="false">I507/0.03</f>
        <v>5609.9</v>
      </c>
      <c r="E507" s="116" t="n">
        <f aca="false">229642/1000</f>
        <v>229.642</v>
      </c>
      <c r="F507" s="116" t="n">
        <f aca="false">-61345/1000</f>
        <v>-61.345</v>
      </c>
      <c r="G507" s="116"/>
      <c r="H507" s="116"/>
      <c r="I507" s="117" t="n">
        <f aca="false">SUM(E507:G507)</f>
        <v>168.297</v>
      </c>
      <c r="J507" s="118" t="s">
        <v>21</v>
      </c>
      <c r="K507" s="119"/>
      <c r="L507" s="119"/>
      <c r="M507" s="119"/>
      <c r="N507" s="119"/>
      <c r="O507" s="119"/>
      <c r="P507" s="119"/>
      <c r="Q507" s="119"/>
      <c r="R507" s="119"/>
      <c r="S507" s="119"/>
      <c r="T507" s="65" t="n">
        <f aca="false">IF(D507&gt;0,(I507/D507),"")</f>
        <v>0.03</v>
      </c>
      <c r="U507" s="119"/>
      <c r="V507" s="119"/>
      <c r="W507" s="119"/>
      <c r="X507" s="119"/>
      <c r="Y507" s="119"/>
      <c r="Z507" s="119"/>
      <c r="AA507" s="119"/>
      <c r="AB507" s="119"/>
      <c r="AC507" s="119"/>
      <c r="AD507" s="119"/>
      <c r="AE507" s="119"/>
      <c r="AF507" s="119"/>
      <c r="AG507" s="119"/>
      <c r="AH507" s="119"/>
      <c r="AI507" s="119"/>
      <c r="AJ507" s="119"/>
      <c r="AK507" s="119"/>
      <c r="AL507" s="119"/>
      <c r="AM507" s="119"/>
      <c r="AN507" s="119"/>
      <c r="AO507" s="119"/>
      <c r="AP507" s="119"/>
      <c r="AQ507" s="119"/>
      <c r="AR507" s="119"/>
      <c r="AS507" s="119"/>
      <c r="AT507" s="119"/>
      <c r="AU507" s="119"/>
      <c r="AV507" s="119"/>
      <c r="AW507" s="119"/>
      <c r="AX507" s="119"/>
      <c r="AY507" s="119"/>
      <c r="AZ507" s="119"/>
      <c r="BA507" s="119"/>
      <c r="BB507" s="119"/>
      <c r="BC507" s="119"/>
      <c r="BD507" s="119"/>
      <c r="BE507" s="119"/>
      <c r="BF507" s="119"/>
      <c r="BG507" s="119"/>
      <c r="BH507" s="119"/>
      <c r="BI507" s="119"/>
      <c r="BJ507" s="119"/>
      <c r="BK507" s="119"/>
      <c r="BL507" s="119"/>
      <c r="BM507" s="119"/>
      <c r="BN507" s="119"/>
      <c r="BO507" s="119"/>
      <c r="BP507" s="119"/>
      <c r="BQ507" s="119"/>
      <c r="BR507" s="119"/>
      <c r="BS507" s="119"/>
      <c r="BT507" s="119"/>
      <c r="BU507" s="119"/>
      <c r="BV507" s="119"/>
      <c r="BW507" s="119"/>
      <c r="BX507" s="119"/>
      <c r="BY507" s="119"/>
      <c r="BZ507" s="119"/>
      <c r="CA507" s="119"/>
      <c r="CB507" s="119"/>
      <c r="CC507" s="119"/>
      <c r="CD507" s="119"/>
      <c r="CE507" s="119"/>
      <c r="CF507" s="119"/>
      <c r="CG507" s="119"/>
      <c r="CH507" s="119"/>
      <c r="CI507" s="119"/>
      <c r="CJ507" s="119"/>
      <c r="CK507" s="119"/>
      <c r="CL507" s="119"/>
      <c r="CM507" s="119"/>
      <c r="CN507" s="119"/>
      <c r="CO507" s="119"/>
      <c r="CP507" s="119"/>
      <c r="CQ507" s="119"/>
      <c r="CR507" s="119"/>
      <c r="CS507" s="119"/>
      <c r="CT507" s="119"/>
      <c r="CU507" s="119"/>
      <c r="CV507" s="119"/>
      <c r="CW507" s="119"/>
      <c r="CX507" s="119"/>
      <c r="CY507" s="119"/>
      <c r="CZ507" s="119"/>
      <c r="DA507" s="119"/>
      <c r="DB507" s="119"/>
      <c r="DC507" s="119"/>
      <c r="DD507" s="119"/>
      <c r="DE507" s="119"/>
      <c r="DF507" s="119"/>
      <c r="DG507" s="119"/>
      <c r="DH507" s="119"/>
      <c r="DI507" s="119"/>
      <c r="DJ507" s="119"/>
      <c r="DK507" s="119"/>
      <c r="DL507" s="119"/>
      <c r="DM507" s="119"/>
      <c r="DN507" s="119"/>
      <c r="DO507" s="119"/>
      <c r="DP507" s="119"/>
      <c r="DQ507" s="119"/>
      <c r="DR507" s="119"/>
      <c r="DS507" s="119"/>
      <c r="DT507" s="119"/>
      <c r="DU507" s="119"/>
      <c r="DV507" s="119"/>
      <c r="DW507" s="119"/>
      <c r="DX507" s="119"/>
      <c r="DY507" s="119"/>
      <c r="DZ507" s="119"/>
      <c r="EA507" s="119"/>
      <c r="EB507" s="119"/>
      <c r="EC507" s="119"/>
      <c r="ED507" s="119"/>
      <c r="EE507" s="119"/>
      <c r="EF507" s="119"/>
      <c r="EG507" s="119"/>
      <c r="EH507" s="119"/>
      <c r="EI507" s="119"/>
      <c r="EJ507" s="119"/>
      <c r="EK507" s="119"/>
      <c r="EL507" s="119"/>
      <c r="EM507" s="119"/>
      <c r="EN507" s="119"/>
      <c r="EO507" s="119"/>
      <c r="EP507" s="119"/>
      <c r="EQ507" s="119"/>
      <c r="ER507" s="119"/>
      <c r="ES507" s="119"/>
      <c r="ET507" s="119"/>
      <c r="EU507" s="119"/>
      <c r="EV507" s="119"/>
      <c r="EW507" s="119"/>
      <c r="EX507" s="119"/>
      <c r="EY507" s="119"/>
      <c r="EZ507" s="119"/>
      <c r="FA507" s="119"/>
      <c r="FB507" s="119"/>
      <c r="FC507" s="119"/>
      <c r="FD507" s="119"/>
      <c r="FE507" s="119"/>
      <c r="FF507" s="119"/>
      <c r="FG507" s="119"/>
      <c r="FH507" s="119"/>
      <c r="FI507" s="119"/>
      <c r="FJ507" s="119"/>
      <c r="FK507" s="119"/>
      <c r="FL507" s="119"/>
      <c r="FM507" s="119"/>
      <c r="FN507" s="119"/>
      <c r="FO507" s="119"/>
      <c r="FP507" s="119"/>
      <c r="FQ507" s="119"/>
      <c r="FR507" s="119"/>
      <c r="FS507" s="119"/>
      <c r="FT507" s="119"/>
      <c r="FU507" s="119"/>
      <c r="FV507" s="119"/>
      <c r="FW507" s="119"/>
      <c r="FX507" s="119"/>
      <c r="FY507" s="119"/>
      <c r="FZ507" s="119"/>
      <c r="GA507" s="119"/>
      <c r="GB507" s="119"/>
      <c r="GC507" s="119"/>
      <c r="GD507" s="119"/>
      <c r="GE507" s="119"/>
      <c r="GF507" s="119"/>
      <c r="GG507" s="119"/>
      <c r="GH507" s="119"/>
      <c r="GI507" s="119"/>
      <c r="GJ507" s="119"/>
      <c r="GK507" s="119"/>
      <c r="GL507" s="119"/>
      <c r="GM507" s="119"/>
      <c r="GN507" s="119"/>
      <c r="GO507" s="119"/>
      <c r="GP507" s="119"/>
      <c r="GQ507" s="119"/>
      <c r="GR507" s="119"/>
      <c r="GS507" s="119"/>
      <c r="GT507" s="119"/>
      <c r="GU507" s="119"/>
      <c r="GV507" s="119"/>
      <c r="GW507" s="119"/>
      <c r="GX507" s="119"/>
      <c r="GY507" s="119"/>
      <c r="GZ507" s="119"/>
      <c r="HA507" s="119"/>
      <c r="HB507" s="119"/>
      <c r="HC507" s="119"/>
      <c r="HD507" s="119"/>
      <c r="HE507" s="119"/>
      <c r="HF507" s="119"/>
      <c r="HG507" s="119"/>
      <c r="HH507" s="119"/>
      <c r="HI507" s="119"/>
      <c r="HJ507" s="119"/>
      <c r="HK507" s="119"/>
      <c r="HL507" s="119"/>
      <c r="HM507" s="119"/>
      <c r="HN507" s="119"/>
      <c r="HO507" s="119"/>
      <c r="HP507" s="119"/>
      <c r="HQ507" s="119"/>
      <c r="HR507" s="119"/>
      <c r="HS507" s="119"/>
      <c r="HT507" s="119"/>
      <c r="HU507" s="119"/>
      <c r="HV507" s="119"/>
      <c r="HW507" s="119"/>
      <c r="HX507" s="119"/>
      <c r="HY507" s="119"/>
      <c r="HZ507" s="119"/>
      <c r="IA507" s="119"/>
      <c r="IB507" s="119"/>
      <c r="IC507" s="119"/>
      <c r="ID507" s="119"/>
      <c r="IE507" s="119"/>
      <c r="IF507" s="119"/>
      <c r="IG507" s="119"/>
      <c r="IH507" s="119"/>
      <c r="II507" s="119"/>
      <c r="IJ507" s="119"/>
      <c r="IK507" s="119"/>
      <c r="IL507" s="119"/>
      <c r="IM507" s="119"/>
      <c r="IN507" s="119"/>
      <c r="IO507" s="119"/>
      <c r="IP507" s="119"/>
      <c r="IQ507" s="119"/>
      <c r="IR507" s="119"/>
      <c r="IS507" s="119"/>
      <c r="IT507" s="119"/>
      <c r="IU507" s="119"/>
      <c r="IV507" s="119"/>
      <c r="IW507" s="119"/>
    </row>
    <row r="508" customFormat="false" ht="18.75" hidden="true" customHeight="false" outlineLevel="0" collapsed="false">
      <c r="A508" s="234" t="s">
        <v>477</v>
      </c>
      <c r="B508" s="113"/>
      <c r="C508" s="114"/>
      <c r="D508" s="69" t="n">
        <f aca="false">I508/0.03</f>
        <v>8208.63333333333</v>
      </c>
      <c r="E508" s="116" t="n">
        <f aca="false">338010/1000</f>
        <v>338.01</v>
      </c>
      <c r="F508" s="116" t="n">
        <f aca="false">-91751/1000</f>
        <v>-91.751</v>
      </c>
      <c r="G508" s="116"/>
      <c r="H508" s="116"/>
      <c r="I508" s="117" t="n">
        <f aca="false">SUM(E508:G508)</f>
        <v>246.259</v>
      </c>
      <c r="J508" s="118" t="s">
        <v>21</v>
      </c>
      <c r="K508" s="119"/>
      <c r="L508" s="119"/>
      <c r="M508" s="119"/>
      <c r="N508" s="119"/>
      <c r="O508" s="119"/>
      <c r="P508" s="119"/>
      <c r="Q508" s="119"/>
      <c r="R508" s="119"/>
      <c r="S508" s="119"/>
      <c r="T508" s="65" t="n">
        <f aca="false">IF(D508&gt;0,(I508/D508),"")</f>
        <v>0.03</v>
      </c>
      <c r="U508" s="119"/>
      <c r="V508" s="119"/>
      <c r="W508" s="119"/>
      <c r="X508" s="119"/>
      <c r="Y508" s="119"/>
      <c r="Z508" s="119"/>
      <c r="AA508" s="119"/>
      <c r="AB508" s="119"/>
      <c r="AC508" s="119"/>
      <c r="AD508" s="119"/>
      <c r="AE508" s="119"/>
      <c r="AF508" s="119"/>
      <c r="AG508" s="119"/>
      <c r="AH508" s="119"/>
      <c r="AI508" s="119"/>
      <c r="AJ508" s="119"/>
      <c r="AK508" s="119"/>
      <c r="AL508" s="119"/>
      <c r="AM508" s="119"/>
      <c r="AN508" s="119"/>
      <c r="AO508" s="119"/>
      <c r="AP508" s="119"/>
      <c r="AQ508" s="119"/>
      <c r="AR508" s="119"/>
      <c r="AS508" s="119"/>
      <c r="AT508" s="119"/>
      <c r="AU508" s="119"/>
      <c r="AV508" s="119"/>
      <c r="AW508" s="119"/>
      <c r="AX508" s="119"/>
      <c r="AY508" s="119"/>
      <c r="AZ508" s="119"/>
      <c r="BA508" s="119"/>
      <c r="BB508" s="119"/>
      <c r="BC508" s="119"/>
      <c r="BD508" s="119"/>
      <c r="BE508" s="119"/>
      <c r="BF508" s="119"/>
      <c r="BG508" s="119"/>
      <c r="BH508" s="119"/>
      <c r="BI508" s="119"/>
      <c r="BJ508" s="119"/>
      <c r="BK508" s="119"/>
      <c r="BL508" s="119"/>
      <c r="BM508" s="119"/>
      <c r="BN508" s="119"/>
      <c r="BO508" s="119"/>
      <c r="BP508" s="119"/>
      <c r="BQ508" s="119"/>
      <c r="BR508" s="119"/>
      <c r="BS508" s="119"/>
      <c r="BT508" s="119"/>
      <c r="BU508" s="119"/>
      <c r="BV508" s="119"/>
      <c r="BW508" s="119"/>
      <c r="BX508" s="119"/>
      <c r="BY508" s="119"/>
      <c r="BZ508" s="119"/>
      <c r="CA508" s="119"/>
      <c r="CB508" s="119"/>
      <c r="CC508" s="119"/>
      <c r="CD508" s="119"/>
      <c r="CE508" s="119"/>
      <c r="CF508" s="119"/>
      <c r="CG508" s="119"/>
      <c r="CH508" s="119"/>
      <c r="CI508" s="119"/>
      <c r="CJ508" s="119"/>
      <c r="CK508" s="119"/>
      <c r="CL508" s="119"/>
      <c r="CM508" s="119"/>
      <c r="CN508" s="119"/>
      <c r="CO508" s="119"/>
      <c r="CP508" s="119"/>
      <c r="CQ508" s="119"/>
      <c r="CR508" s="119"/>
      <c r="CS508" s="119"/>
      <c r="CT508" s="119"/>
      <c r="CU508" s="119"/>
      <c r="CV508" s="119"/>
      <c r="CW508" s="119"/>
      <c r="CX508" s="119"/>
      <c r="CY508" s="119"/>
      <c r="CZ508" s="119"/>
      <c r="DA508" s="119"/>
      <c r="DB508" s="119"/>
      <c r="DC508" s="119"/>
      <c r="DD508" s="119"/>
      <c r="DE508" s="119"/>
      <c r="DF508" s="119"/>
      <c r="DG508" s="119"/>
      <c r="DH508" s="119"/>
      <c r="DI508" s="119"/>
      <c r="DJ508" s="119"/>
      <c r="DK508" s="119"/>
      <c r="DL508" s="119"/>
      <c r="DM508" s="119"/>
      <c r="DN508" s="119"/>
      <c r="DO508" s="119"/>
      <c r="DP508" s="119"/>
      <c r="DQ508" s="119"/>
      <c r="DR508" s="119"/>
      <c r="DS508" s="119"/>
      <c r="DT508" s="119"/>
      <c r="DU508" s="119"/>
      <c r="DV508" s="119"/>
      <c r="DW508" s="119"/>
      <c r="DX508" s="119"/>
      <c r="DY508" s="119"/>
      <c r="DZ508" s="119"/>
      <c r="EA508" s="119"/>
      <c r="EB508" s="119"/>
      <c r="EC508" s="119"/>
      <c r="ED508" s="119"/>
      <c r="EE508" s="119"/>
      <c r="EF508" s="119"/>
      <c r="EG508" s="119"/>
      <c r="EH508" s="119"/>
      <c r="EI508" s="119"/>
      <c r="EJ508" s="119"/>
      <c r="EK508" s="119"/>
      <c r="EL508" s="119"/>
      <c r="EM508" s="119"/>
      <c r="EN508" s="119"/>
      <c r="EO508" s="119"/>
      <c r="EP508" s="119"/>
      <c r="EQ508" s="119"/>
      <c r="ER508" s="119"/>
      <c r="ES508" s="119"/>
      <c r="ET508" s="119"/>
      <c r="EU508" s="119"/>
      <c r="EV508" s="119"/>
      <c r="EW508" s="119"/>
      <c r="EX508" s="119"/>
      <c r="EY508" s="119"/>
      <c r="EZ508" s="119"/>
      <c r="FA508" s="119"/>
      <c r="FB508" s="119"/>
      <c r="FC508" s="119"/>
      <c r="FD508" s="119"/>
      <c r="FE508" s="119"/>
      <c r="FF508" s="119"/>
      <c r="FG508" s="119"/>
      <c r="FH508" s="119"/>
      <c r="FI508" s="119"/>
      <c r="FJ508" s="119"/>
      <c r="FK508" s="119"/>
      <c r="FL508" s="119"/>
      <c r="FM508" s="119"/>
      <c r="FN508" s="119"/>
      <c r="FO508" s="119"/>
      <c r="FP508" s="119"/>
      <c r="FQ508" s="119"/>
      <c r="FR508" s="119"/>
      <c r="FS508" s="119"/>
      <c r="FT508" s="119"/>
      <c r="FU508" s="119"/>
      <c r="FV508" s="119"/>
      <c r="FW508" s="119"/>
      <c r="FX508" s="119"/>
      <c r="FY508" s="119"/>
      <c r="FZ508" s="119"/>
      <c r="GA508" s="119"/>
      <c r="GB508" s="119"/>
      <c r="GC508" s="119"/>
      <c r="GD508" s="119"/>
      <c r="GE508" s="119"/>
      <c r="GF508" s="119"/>
      <c r="GG508" s="119"/>
      <c r="GH508" s="119"/>
      <c r="GI508" s="119"/>
      <c r="GJ508" s="119"/>
      <c r="GK508" s="119"/>
      <c r="GL508" s="119"/>
      <c r="GM508" s="119"/>
      <c r="GN508" s="119"/>
      <c r="GO508" s="119"/>
      <c r="GP508" s="119"/>
      <c r="GQ508" s="119"/>
      <c r="GR508" s="119"/>
      <c r="GS508" s="119"/>
      <c r="GT508" s="119"/>
      <c r="GU508" s="119"/>
      <c r="GV508" s="119"/>
      <c r="GW508" s="119"/>
      <c r="GX508" s="119"/>
      <c r="GY508" s="119"/>
      <c r="GZ508" s="119"/>
      <c r="HA508" s="119"/>
      <c r="HB508" s="119"/>
      <c r="HC508" s="119"/>
      <c r="HD508" s="119"/>
      <c r="HE508" s="119"/>
      <c r="HF508" s="119"/>
      <c r="HG508" s="119"/>
      <c r="HH508" s="119"/>
      <c r="HI508" s="119"/>
      <c r="HJ508" s="119"/>
      <c r="HK508" s="119"/>
      <c r="HL508" s="119"/>
      <c r="HM508" s="119"/>
      <c r="HN508" s="119"/>
      <c r="HO508" s="119"/>
      <c r="HP508" s="119"/>
      <c r="HQ508" s="119"/>
      <c r="HR508" s="119"/>
      <c r="HS508" s="119"/>
      <c r="HT508" s="119"/>
      <c r="HU508" s="119"/>
      <c r="HV508" s="119"/>
      <c r="HW508" s="119"/>
      <c r="HX508" s="119"/>
      <c r="HY508" s="119"/>
      <c r="HZ508" s="119"/>
      <c r="IA508" s="119"/>
      <c r="IB508" s="119"/>
      <c r="IC508" s="119"/>
      <c r="ID508" s="119"/>
      <c r="IE508" s="119"/>
      <c r="IF508" s="119"/>
      <c r="IG508" s="119"/>
      <c r="IH508" s="119"/>
      <c r="II508" s="119"/>
      <c r="IJ508" s="119"/>
      <c r="IK508" s="119"/>
      <c r="IL508" s="119"/>
      <c r="IM508" s="119"/>
      <c r="IN508" s="119"/>
      <c r="IO508" s="119"/>
      <c r="IP508" s="119"/>
      <c r="IQ508" s="119"/>
      <c r="IR508" s="119"/>
      <c r="IS508" s="119"/>
      <c r="IT508" s="119"/>
      <c r="IU508" s="119"/>
      <c r="IV508" s="119"/>
      <c r="IW508" s="119"/>
    </row>
    <row r="509" customFormat="false" ht="18.75" hidden="true" customHeight="false" outlineLevel="0" collapsed="false">
      <c r="A509" s="234" t="s">
        <v>478</v>
      </c>
      <c r="B509" s="113"/>
      <c r="C509" s="114"/>
      <c r="D509" s="69" t="n">
        <f aca="false">I509/0.03</f>
        <v>8096.43333333333</v>
      </c>
      <c r="E509" s="116" t="n">
        <f aca="false">334431/1000</f>
        <v>334.431</v>
      </c>
      <c r="F509" s="116" t="n">
        <f aca="false">-91538/1000</f>
        <v>-91.538</v>
      </c>
      <c r="G509" s="116"/>
      <c r="H509" s="116"/>
      <c r="I509" s="117" t="n">
        <f aca="false">SUM(E509:G509)</f>
        <v>242.893</v>
      </c>
      <c r="J509" s="118" t="s">
        <v>21</v>
      </c>
      <c r="K509" s="119"/>
      <c r="L509" s="119"/>
      <c r="M509" s="119"/>
      <c r="N509" s="119"/>
      <c r="O509" s="119"/>
      <c r="P509" s="119"/>
      <c r="Q509" s="119"/>
      <c r="R509" s="119"/>
      <c r="S509" s="119"/>
      <c r="T509" s="65" t="n">
        <f aca="false">IF(D509&gt;0,(I509/D509),"")</f>
        <v>0.03</v>
      </c>
      <c r="U509" s="119"/>
      <c r="V509" s="119"/>
      <c r="W509" s="119"/>
      <c r="X509" s="119"/>
      <c r="Y509" s="119"/>
      <c r="Z509" s="119"/>
      <c r="AA509" s="119"/>
      <c r="AB509" s="119"/>
      <c r="AC509" s="119"/>
      <c r="AD509" s="119"/>
      <c r="AE509" s="119"/>
      <c r="AF509" s="119"/>
      <c r="AG509" s="119"/>
      <c r="AH509" s="119"/>
      <c r="AI509" s="119"/>
      <c r="AJ509" s="119"/>
      <c r="AK509" s="119"/>
      <c r="AL509" s="119"/>
      <c r="AM509" s="119"/>
      <c r="AN509" s="119"/>
      <c r="AO509" s="119"/>
      <c r="AP509" s="119"/>
      <c r="AQ509" s="119"/>
      <c r="AR509" s="119"/>
      <c r="AS509" s="119"/>
      <c r="AT509" s="119"/>
      <c r="AU509" s="119"/>
      <c r="AV509" s="119"/>
      <c r="AW509" s="119"/>
      <c r="AX509" s="119"/>
      <c r="AY509" s="119"/>
      <c r="AZ509" s="119"/>
      <c r="BA509" s="119"/>
      <c r="BB509" s="119"/>
      <c r="BC509" s="119"/>
      <c r="BD509" s="119"/>
      <c r="BE509" s="119"/>
      <c r="BF509" s="119"/>
      <c r="BG509" s="119"/>
      <c r="BH509" s="119"/>
      <c r="BI509" s="119"/>
      <c r="BJ509" s="119"/>
      <c r="BK509" s="119"/>
      <c r="BL509" s="119"/>
      <c r="BM509" s="119"/>
      <c r="BN509" s="119"/>
      <c r="BO509" s="119"/>
      <c r="BP509" s="119"/>
      <c r="BQ509" s="119"/>
      <c r="BR509" s="119"/>
      <c r="BS509" s="119"/>
      <c r="BT509" s="119"/>
      <c r="BU509" s="119"/>
      <c r="BV509" s="119"/>
      <c r="BW509" s="119"/>
      <c r="BX509" s="119"/>
      <c r="BY509" s="119"/>
      <c r="BZ509" s="119"/>
      <c r="CA509" s="119"/>
      <c r="CB509" s="119"/>
      <c r="CC509" s="119"/>
      <c r="CD509" s="119"/>
      <c r="CE509" s="119"/>
      <c r="CF509" s="119"/>
      <c r="CG509" s="119"/>
      <c r="CH509" s="119"/>
      <c r="CI509" s="119"/>
      <c r="CJ509" s="119"/>
      <c r="CK509" s="119"/>
      <c r="CL509" s="119"/>
      <c r="CM509" s="119"/>
      <c r="CN509" s="119"/>
      <c r="CO509" s="119"/>
      <c r="CP509" s="119"/>
      <c r="CQ509" s="119"/>
      <c r="CR509" s="119"/>
      <c r="CS509" s="119"/>
      <c r="CT509" s="119"/>
      <c r="CU509" s="119"/>
      <c r="CV509" s="119"/>
      <c r="CW509" s="119"/>
      <c r="CX509" s="119"/>
      <c r="CY509" s="119"/>
      <c r="CZ509" s="119"/>
      <c r="DA509" s="119"/>
      <c r="DB509" s="119"/>
      <c r="DC509" s="119"/>
      <c r="DD509" s="119"/>
      <c r="DE509" s="119"/>
      <c r="DF509" s="119"/>
      <c r="DG509" s="119"/>
      <c r="DH509" s="119"/>
      <c r="DI509" s="119"/>
      <c r="DJ509" s="119"/>
      <c r="DK509" s="119"/>
      <c r="DL509" s="119"/>
      <c r="DM509" s="119"/>
      <c r="DN509" s="119"/>
      <c r="DO509" s="119"/>
      <c r="DP509" s="119"/>
      <c r="DQ509" s="119"/>
      <c r="DR509" s="119"/>
      <c r="DS509" s="119"/>
      <c r="DT509" s="119"/>
      <c r="DU509" s="119"/>
      <c r="DV509" s="119"/>
      <c r="DW509" s="119"/>
      <c r="DX509" s="119"/>
      <c r="DY509" s="119"/>
      <c r="DZ509" s="119"/>
      <c r="EA509" s="119"/>
      <c r="EB509" s="119"/>
      <c r="EC509" s="119"/>
      <c r="ED509" s="119"/>
      <c r="EE509" s="119"/>
      <c r="EF509" s="119"/>
      <c r="EG509" s="119"/>
      <c r="EH509" s="119"/>
      <c r="EI509" s="119"/>
      <c r="EJ509" s="119"/>
      <c r="EK509" s="119"/>
      <c r="EL509" s="119"/>
      <c r="EM509" s="119"/>
      <c r="EN509" s="119"/>
      <c r="EO509" s="119"/>
      <c r="EP509" s="119"/>
      <c r="EQ509" s="119"/>
      <c r="ER509" s="119"/>
      <c r="ES509" s="119"/>
      <c r="ET509" s="119"/>
      <c r="EU509" s="119"/>
      <c r="EV509" s="119"/>
      <c r="EW509" s="119"/>
      <c r="EX509" s="119"/>
      <c r="EY509" s="119"/>
      <c r="EZ509" s="119"/>
      <c r="FA509" s="119"/>
      <c r="FB509" s="119"/>
      <c r="FC509" s="119"/>
      <c r="FD509" s="119"/>
      <c r="FE509" s="119"/>
      <c r="FF509" s="119"/>
      <c r="FG509" s="119"/>
      <c r="FH509" s="119"/>
      <c r="FI509" s="119"/>
      <c r="FJ509" s="119"/>
      <c r="FK509" s="119"/>
      <c r="FL509" s="119"/>
      <c r="FM509" s="119"/>
      <c r="FN509" s="119"/>
      <c r="FO509" s="119"/>
      <c r="FP509" s="119"/>
      <c r="FQ509" s="119"/>
      <c r="FR509" s="119"/>
      <c r="FS509" s="119"/>
      <c r="FT509" s="119"/>
      <c r="FU509" s="119"/>
      <c r="FV509" s="119"/>
      <c r="FW509" s="119"/>
      <c r="FX509" s="119"/>
      <c r="FY509" s="119"/>
      <c r="FZ509" s="119"/>
      <c r="GA509" s="119"/>
      <c r="GB509" s="119"/>
      <c r="GC509" s="119"/>
      <c r="GD509" s="119"/>
      <c r="GE509" s="119"/>
      <c r="GF509" s="119"/>
      <c r="GG509" s="119"/>
      <c r="GH509" s="119"/>
      <c r="GI509" s="119"/>
      <c r="GJ509" s="119"/>
      <c r="GK509" s="119"/>
      <c r="GL509" s="119"/>
      <c r="GM509" s="119"/>
      <c r="GN509" s="119"/>
      <c r="GO509" s="119"/>
      <c r="GP509" s="119"/>
      <c r="GQ509" s="119"/>
      <c r="GR509" s="119"/>
      <c r="GS509" s="119"/>
      <c r="GT509" s="119"/>
      <c r="GU509" s="119"/>
      <c r="GV509" s="119"/>
      <c r="GW509" s="119"/>
      <c r="GX509" s="119"/>
      <c r="GY509" s="119"/>
      <c r="GZ509" s="119"/>
      <c r="HA509" s="119"/>
      <c r="HB509" s="119"/>
      <c r="HC509" s="119"/>
      <c r="HD509" s="119"/>
      <c r="HE509" s="119"/>
      <c r="HF509" s="119"/>
      <c r="HG509" s="119"/>
      <c r="HH509" s="119"/>
      <c r="HI509" s="119"/>
      <c r="HJ509" s="119"/>
      <c r="HK509" s="119"/>
      <c r="HL509" s="119"/>
      <c r="HM509" s="119"/>
      <c r="HN509" s="119"/>
      <c r="HO509" s="119"/>
      <c r="HP509" s="119"/>
      <c r="HQ509" s="119"/>
      <c r="HR509" s="119"/>
      <c r="HS509" s="119"/>
      <c r="HT509" s="119"/>
      <c r="HU509" s="119"/>
      <c r="HV509" s="119"/>
      <c r="HW509" s="119"/>
      <c r="HX509" s="119"/>
      <c r="HY509" s="119"/>
      <c r="HZ509" s="119"/>
      <c r="IA509" s="119"/>
      <c r="IB509" s="119"/>
      <c r="IC509" s="119"/>
      <c r="ID509" s="119"/>
      <c r="IE509" s="119"/>
      <c r="IF509" s="119"/>
      <c r="IG509" s="119"/>
      <c r="IH509" s="119"/>
      <c r="II509" s="119"/>
      <c r="IJ509" s="119"/>
      <c r="IK509" s="119"/>
      <c r="IL509" s="119"/>
      <c r="IM509" s="119"/>
      <c r="IN509" s="119"/>
      <c r="IO509" s="119"/>
      <c r="IP509" s="119"/>
      <c r="IQ509" s="119"/>
      <c r="IR509" s="119"/>
      <c r="IS509" s="119"/>
      <c r="IT509" s="119"/>
      <c r="IU509" s="119"/>
      <c r="IV509" s="119"/>
      <c r="IW509" s="119"/>
    </row>
    <row r="510" customFormat="false" ht="18.75" hidden="true" customHeight="false" outlineLevel="0" collapsed="false">
      <c r="A510" s="234" t="s">
        <v>479</v>
      </c>
      <c r="B510" s="113"/>
      <c r="C510" s="114"/>
      <c r="D510" s="69" t="n">
        <f aca="false">I510/0.03</f>
        <v>6606.6</v>
      </c>
      <c r="E510" s="116" t="n">
        <f aca="false">273240/1000</f>
        <v>273.24</v>
      </c>
      <c r="F510" s="116" t="n">
        <f aca="false">-75042/1000</f>
        <v>-75.042</v>
      </c>
      <c r="G510" s="116"/>
      <c r="H510" s="116"/>
      <c r="I510" s="117" t="n">
        <f aca="false">SUM(E510:G510)</f>
        <v>198.198</v>
      </c>
      <c r="J510" s="118" t="s">
        <v>21</v>
      </c>
      <c r="K510" s="119"/>
      <c r="L510" s="119"/>
      <c r="M510" s="119"/>
      <c r="N510" s="119"/>
      <c r="O510" s="119"/>
      <c r="P510" s="119"/>
      <c r="Q510" s="119"/>
      <c r="R510" s="119"/>
      <c r="S510" s="119"/>
      <c r="T510" s="65" t="n">
        <f aca="false">IF(D510&gt;0,(I510/D510),"")</f>
        <v>0.03</v>
      </c>
      <c r="U510" s="119"/>
      <c r="V510" s="119"/>
      <c r="W510" s="119"/>
      <c r="X510" s="119"/>
      <c r="Y510" s="119"/>
      <c r="Z510" s="119"/>
      <c r="AA510" s="119"/>
      <c r="AB510" s="119"/>
      <c r="AC510" s="119"/>
      <c r="AD510" s="119"/>
      <c r="AE510" s="119"/>
      <c r="AF510" s="119"/>
      <c r="AG510" s="119"/>
      <c r="AH510" s="119"/>
      <c r="AI510" s="119"/>
      <c r="AJ510" s="119"/>
      <c r="AK510" s="119"/>
      <c r="AL510" s="119"/>
      <c r="AM510" s="119"/>
      <c r="AN510" s="119"/>
      <c r="AO510" s="119"/>
      <c r="AP510" s="119"/>
      <c r="AQ510" s="119"/>
      <c r="AR510" s="119"/>
      <c r="AS510" s="119"/>
      <c r="AT510" s="119"/>
      <c r="AU510" s="119"/>
      <c r="AV510" s="119"/>
      <c r="AW510" s="119"/>
      <c r="AX510" s="119"/>
      <c r="AY510" s="119"/>
      <c r="AZ510" s="119"/>
      <c r="BA510" s="119"/>
      <c r="BB510" s="119"/>
      <c r="BC510" s="119"/>
      <c r="BD510" s="119"/>
      <c r="BE510" s="119"/>
      <c r="BF510" s="119"/>
      <c r="BG510" s="119"/>
      <c r="BH510" s="119"/>
      <c r="BI510" s="119"/>
      <c r="BJ510" s="119"/>
      <c r="BK510" s="119"/>
      <c r="BL510" s="119"/>
      <c r="BM510" s="119"/>
      <c r="BN510" s="119"/>
      <c r="BO510" s="119"/>
      <c r="BP510" s="119"/>
      <c r="BQ510" s="119"/>
      <c r="BR510" s="119"/>
      <c r="BS510" s="119"/>
      <c r="BT510" s="119"/>
      <c r="BU510" s="119"/>
      <c r="BV510" s="119"/>
      <c r="BW510" s="119"/>
      <c r="BX510" s="119"/>
      <c r="BY510" s="119"/>
      <c r="BZ510" s="119"/>
      <c r="CA510" s="119"/>
      <c r="CB510" s="119"/>
      <c r="CC510" s="119"/>
      <c r="CD510" s="119"/>
      <c r="CE510" s="119"/>
      <c r="CF510" s="119"/>
      <c r="CG510" s="119"/>
      <c r="CH510" s="119"/>
      <c r="CI510" s="119"/>
      <c r="CJ510" s="119"/>
      <c r="CK510" s="119"/>
      <c r="CL510" s="119"/>
      <c r="CM510" s="119"/>
      <c r="CN510" s="119"/>
      <c r="CO510" s="119"/>
      <c r="CP510" s="119"/>
      <c r="CQ510" s="119"/>
      <c r="CR510" s="119"/>
      <c r="CS510" s="119"/>
      <c r="CT510" s="119"/>
      <c r="CU510" s="119"/>
      <c r="CV510" s="119"/>
      <c r="CW510" s="119"/>
      <c r="CX510" s="119"/>
      <c r="CY510" s="119"/>
      <c r="CZ510" s="119"/>
      <c r="DA510" s="119"/>
      <c r="DB510" s="119"/>
      <c r="DC510" s="119"/>
      <c r="DD510" s="119"/>
      <c r="DE510" s="119"/>
      <c r="DF510" s="119"/>
      <c r="DG510" s="119"/>
      <c r="DH510" s="119"/>
      <c r="DI510" s="119"/>
      <c r="DJ510" s="119"/>
      <c r="DK510" s="119"/>
      <c r="DL510" s="119"/>
      <c r="DM510" s="119"/>
      <c r="DN510" s="119"/>
      <c r="DO510" s="119"/>
      <c r="DP510" s="119"/>
      <c r="DQ510" s="119"/>
      <c r="DR510" s="119"/>
      <c r="DS510" s="119"/>
      <c r="DT510" s="119"/>
      <c r="DU510" s="119"/>
      <c r="DV510" s="119"/>
      <c r="DW510" s="119"/>
      <c r="DX510" s="119"/>
      <c r="DY510" s="119"/>
      <c r="DZ510" s="119"/>
      <c r="EA510" s="119"/>
      <c r="EB510" s="119"/>
      <c r="EC510" s="119"/>
      <c r="ED510" s="119"/>
      <c r="EE510" s="119"/>
      <c r="EF510" s="119"/>
      <c r="EG510" s="119"/>
      <c r="EH510" s="119"/>
      <c r="EI510" s="119"/>
      <c r="EJ510" s="119"/>
      <c r="EK510" s="119"/>
      <c r="EL510" s="119"/>
      <c r="EM510" s="119"/>
      <c r="EN510" s="119"/>
      <c r="EO510" s="119"/>
      <c r="EP510" s="119"/>
      <c r="EQ510" s="119"/>
      <c r="ER510" s="119"/>
      <c r="ES510" s="119"/>
      <c r="ET510" s="119"/>
      <c r="EU510" s="119"/>
      <c r="EV510" s="119"/>
      <c r="EW510" s="119"/>
      <c r="EX510" s="119"/>
      <c r="EY510" s="119"/>
      <c r="EZ510" s="119"/>
      <c r="FA510" s="119"/>
      <c r="FB510" s="119"/>
      <c r="FC510" s="119"/>
      <c r="FD510" s="119"/>
      <c r="FE510" s="119"/>
      <c r="FF510" s="119"/>
      <c r="FG510" s="119"/>
      <c r="FH510" s="119"/>
      <c r="FI510" s="119"/>
      <c r="FJ510" s="119"/>
      <c r="FK510" s="119"/>
      <c r="FL510" s="119"/>
      <c r="FM510" s="119"/>
      <c r="FN510" s="119"/>
      <c r="FO510" s="119"/>
      <c r="FP510" s="119"/>
      <c r="FQ510" s="119"/>
      <c r="FR510" s="119"/>
      <c r="FS510" s="119"/>
      <c r="FT510" s="119"/>
      <c r="FU510" s="119"/>
      <c r="FV510" s="119"/>
      <c r="FW510" s="119"/>
      <c r="FX510" s="119"/>
      <c r="FY510" s="119"/>
      <c r="FZ510" s="119"/>
      <c r="GA510" s="119"/>
      <c r="GB510" s="119"/>
      <c r="GC510" s="119"/>
      <c r="GD510" s="119"/>
      <c r="GE510" s="119"/>
      <c r="GF510" s="119"/>
      <c r="GG510" s="119"/>
      <c r="GH510" s="119"/>
      <c r="GI510" s="119"/>
      <c r="GJ510" s="119"/>
      <c r="GK510" s="119"/>
      <c r="GL510" s="119"/>
      <c r="GM510" s="119"/>
      <c r="GN510" s="119"/>
      <c r="GO510" s="119"/>
      <c r="GP510" s="119"/>
      <c r="GQ510" s="119"/>
      <c r="GR510" s="119"/>
      <c r="GS510" s="119"/>
      <c r="GT510" s="119"/>
      <c r="GU510" s="119"/>
      <c r="GV510" s="119"/>
      <c r="GW510" s="119"/>
      <c r="GX510" s="119"/>
      <c r="GY510" s="119"/>
      <c r="GZ510" s="119"/>
      <c r="HA510" s="119"/>
      <c r="HB510" s="119"/>
      <c r="HC510" s="119"/>
      <c r="HD510" s="119"/>
      <c r="HE510" s="119"/>
      <c r="HF510" s="119"/>
      <c r="HG510" s="119"/>
      <c r="HH510" s="119"/>
      <c r="HI510" s="119"/>
      <c r="HJ510" s="119"/>
      <c r="HK510" s="119"/>
      <c r="HL510" s="119"/>
      <c r="HM510" s="119"/>
      <c r="HN510" s="119"/>
      <c r="HO510" s="119"/>
      <c r="HP510" s="119"/>
      <c r="HQ510" s="119"/>
      <c r="HR510" s="119"/>
      <c r="HS510" s="119"/>
      <c r="HT510" s="119"/>
      <c r="HU510" s="119"/>
      <c r="HV510" s="119"/>
      <c r="HW510" s="119"/>
      <c r="HX510" s="119"/>
      <c r="HY510" s="119"/>
      <c r="HZ510" s="119"/>
      <c r="IA510" s="119"/>
      <c r="IB510" s="119"/>
      <c r="IC510" s="119"/>
      <c r="ID510" s="119"/>
      <c r="IE510" s="119"/>
      <c r="IF510" s="119"/>
      <c r="IG510" s="119"/>
      <c r="IH510" s="119"/>
      <c r="II510" s="119"/>
      <c r="IJ510" s="119"/>
      <c r="IK510" s="119"/>
      <c r="IL510" s="119"/>
      <c r="IM510" s="119"/>
      <c r="IN510" s="119"/>
      <c r="IO510" s="119"/>
      <c r="IP510" s="119"/>
      <c r="IQ510" s="119"/>
      <c r="IR510" s="119"/>
      <c r="IS510" s="119"/>
      <c r="IT510" s="119"/>
      <c r="IU510" s="119"/>
      <c r="IV510" s="119"/>
      <c r="IW510" s="119"/>
    </row>
    <row r="511" customFormat="false" ht="18.75" hidden="true" customHeight="false" outlineLevel="0" collapsed="false">
      <c r="A511" s="234" t="s">
        <v>480</v>
      </c>
      <c r="B511" s="113"/>
      <c r="C511" s="114"/>
      <c r="D511" s="69" t="n">
        <f aca="false">I511/0.03</f>
        <v>4582.06666666667</v>
      </c>
      <c r="E511" s="116" t="n">
        <f aca="false">191207/1000</f>
        <v>191.207</v>
      </c>
      <c r="F511" s="116" t="n">
        <f aca="false">-53745/1000</f>
        <v>-53.745</v>
      </c>
      <c r="G511" s="116"/>
      <c r="H511" s="116"/>
      <c r="I511" s="117" t="n">
        <f aca="false">SUM(E511:G511)</f>
        <v>137.462</v>
      </c>
      <c r="J511" s="118" t="s">
        <v>21</v>
      </c>
      <c r="K511" s="119"/>
      <c r="L511" s="119"/>
      <c r="M511" s="119"/>
      <c r="N511" s="119"/>
      <c r="O511" s="119"/>
      <c r="P511" s="119"/>
      <c r="Q511" s="119"/>
      <c r="R511" s="119"/>
      <c r="S511" s="119"/>
      <c r="T511" s="65" t="n">
        <f aca="false">IF(D511&gt;0,(I511/D511),"")</f>
        <v>0.03</v>
      </c>
      <c r="U511" s="119"/>
      <c r="V511" s="119"/>
      <c r="W511" s="119"/>
      <c r="X511" s="119"/>
      <c r="Y511" s="119"/>
      <c r="Z511" s="119"/>
      <c r="AA511" s="119"/>
      <c r="AB511" s="119"/>
      <c r="AC511" s="119"/>
      <c r="AD511" s="119"/>
      <c r="AE511" s="119"/>
      <c r="AF511" s="119"/>
      <c r="AG511" s="119"/>
      <c r="AH511" s="119"/>
      <c r="AI511" s="119"/>
      <c r="AJ511" s="119"/>
      <c r="AK511" s="119"/>
      <c r="AL511" s="119"/>
      <c r="AM511" s="119"/>
      <c r="AN511" s="119"/>
      <c r="AO511" s="119"/>
      <c r="AP511" s="119"/>
      <c r="AQ511" s="119"/>
      <c r="AR511" s="119"/>
      <c r="AS511" s="119"/>
      <c r="AT511" s="119"/>
      <c r="AU511" s="119"/>
      <c r="AV511" s="119"/>
      <c r="AW511" s="119"/>
      <c r="AX511" s="119"/>
      <c r="AY511" s="119"/>
      <c r="AZ511" s="119"/>
      <c r="BA511" s="119"/>
      <c r="BB511" s="119"/>
      <c r="BC511" s="119"/>
      <c r="BD511" s="119"/>
      <c r="BE511" s="119"/>
      <c r="BF511" s="119"/>
      <c r="BG511" s="119"/>
      <c r="BH511" s="119"/>
      <c r="BI511" s="119"/>
      <c r="BJ511" s="119"/>
      <c r="BK511" s="119"/>
      <c r="BL511" s="119"/>
      <c r="BM511" s="119"/>
      <c r="BN511" s="119"/>
      <c r="BO511" s="119"/>
      <c r="BP511" s="119"/>
      <c r="BQ511" s="119"/>
      <c r="BR511" s="119"/>
      <c r="BS511" s="119"/>
      <c r="BT511" s="119"/>
      <c r="BU511" s="119"/>
      <c r="BV511" s="119"/>
      <c r="BW511" s="119"/>
      <c r="BX511" s="119"/>
      <c r="BY511" s="119"/>
      <c r="BZ511" s="119"/>
      <c r="CA511" s="119"/>
      <c r="CB511" s="119"/>
      <c r="CC511" s="119"/>
      <c r="CD511" s="119"/>
      <c r="CE511" s="119"/>
      <c r="CF511" s="119"/>
      <c r="CG511" s="119"/>
      <c r="CH511" s="119"/>
      <c r="CI511" s="119"/>
      <c r="CJ511" s="119"/>
      <c r="CK511" s="119"/>
      <c r="CL511" s="119"/>
      <c r="CM511" s="119"/>
      <c r="CN511" s="119"/>
      <c r="CO511" s="119"/>
      <c r="CP511" s="119"/>
      <c r="CQ511" s="119"/>
      <c r="CR511" s="119"/>
      <c r="CS511" s="119"/>
      <c r="CT511" s="119"/>
      <c r="CU511" s="119"/>
      <c r="CV511" s="119"/>
      <c r="CW511" s="119"/>
      <c r="CX511" s="119"/>
      <c r="CY511" s="119"/>
      <c r="CZ511" s="119"/>
      <c r="DA511" s="119"/>
      <c r="DB511" s="119"/>
      <c r="DC511" s="119"/>
      <c r="DD511" s="119"/>
      <c r="DE511" s="119"/>
      <c r="DF511" s="119"/>
      <c r="DG511" s="119"/>
      <c r="DH511" s="119"/>
      <c r="DI511" s="119"/>
      <c r="DJ511" s="119"/>
      <c r="DK511" s="119"/>
      <c r="DL511" s="119"/>
      <c r="DM511" s="119"/>
      <c r="DN511" s="119"/>
      <c r="DO511" s="119"/>
      <c r="DP511" s="119"/>
      <c r="DQ511" s="119"/>
      <c r="DR511" s="119"/>
      <c r="DS511" s="119"/>
      <c r="DT511" s="119"/>
      <c r="DU511" s="119"/>
      <c r="DV511" s="119"/>
      <c r="DW511" s="119"/>
      <c r="DX511" s="119"/>
      <c r="DY511" s="119"/>
      <c r="DZ511" s="119"/>
      <c r="EA511" s="119"/>
      <c r="EB511" s="119"/>
      <c r="EC511" s="119"/>
      <c r="ED511" s="119"/>
      <c r="EE511" s="119"/>
      <c r="EF511" s="119"/>
      <c r="EG511" s="119"/>
      <c r="EH511" s="119"/>
      <c r="EI511" s="119"/>
      <c r="EJ511" s="119"/>
      <c r="EK511" s="119"/>
      <c r="EL511" s="119"/>
      <c r="EM511" s="119"/>
      <c r="EN511" s="119"/>
      <c r="EO511" s="119"/>
      <c r="EP511" s="119"/>
      <c r="EQ511" s="119"/>
      <c r="ER511" s="119"/>
      <c r="ES511" s="119"/>
      <c r="ET511" s="119"/>
      <c r="EU511" s="119"/>
      <c r="EV511" s="119"/>
      <c r="EW511" s="119"/>
      <c r="EX511" s="119"/>
      <c r="EY511" s="119"/>
      <c r="EZ511" s="119"/>
      <c r="FA511" s="119"/>
      <c r="FB511" s="119"/>
      <c r="FC511" s="119"/>
      <c r="FD511" s="119"/>
      <c r="FE511" s="119"/>
      <c r="FF511" s="119"/>
      <c r="FG511" s="119"/>
      <c r="FH511" s="119"/>
      <c r="FI511" s="119"/>
      <c r="FJ511" s="119"/>
      <c r="FK511" s="119"/>
      <c r="FL511" s="119"/>
      <c r="FM511" s="119"/>
      <c r="FN511" s="119"/>
      <c r="FO511" s="119"/>
      <c r="FP511" s="119"/>
      <c r="FQ511" s="119"/>
      <c r="FR511" s="119"/>
      <c r="FS511" s="119"/>
      <c r="FT511" s="119"/>
      <c r="FU511" s="119"/>
      <c r="FV511" s="119"/>
      <c r="FW511" s="119"/>
      <c r="FX511" s="119"/>
      <c r="FY511" s="119"/>
      <c r="FZ511" s="119"/>
      <c r="GA511" s="119"/>
      <c r="GB511" s="119"/>
      <c r="GC511" s="119"/>
      <c r="GD511" s="119"/>
      <c r="GE511" s="119"/>
      <c r="GF511" s="119"/>
      <c r="GG511" s="119"/>
      <c r="GH511" s="119"/>
      <c r="GI511" s="119"/>
      <c r="GJ511" s="119"/>
      <c r="GK511" s="119"/>
      <c r="GL511" s="119"/>
      <c r="GM511" s="119"/>
      <c r="GN511" s="119"/>
      <c r="GO511" s="119"/>
      <c r="GP511" s="119"/>
      <c r="GQ511" s="119"/>
      <c r="GR511" s="119"/>
      <c r="GS511" s="119"/>
      <c r="GT511" s="119"/>
      <c r="GU511" s="119"/>
      <c r="GV511" s="119"/>
      <c r="GW511" s="119"/>
      <c r="GX511" s="119"/>
      <c r="GY511" s="119"/>
      <c r="GZ511" s="119"/>
      <c r="HA511" s="119"/>
      <c r="HB511" s="119"/>
      <c r="HC511" s="119"/>
      <c r="HD511" s="119"/>
      <c r="HE511" s="119"/>
      <c r="HF511" s="119"/>
      <c r="HG511" s="119"/>
      <c r="HH511" s="119"/>
      <c r="HI511" s="119"/>
      <c r="HJ511" s="119"/>
      <c r="HK511" s="119"/>
      <c r="HL511" s="119"/>
      <c r="HM511" s="119"/>
      <c r="HN511" s="119"/>
      <c r="HO511" s="119"/>
      <c r="HP511" s="119"/>
      <c r="HQ511" s="119"/>
      <c r="HR511" s="119"/>
      <c r="HS511" s="119"/>
      <c r="HT511" s="119"/>
      <c r="HU511" s="119"/>
      <c r="HV511" s="119"/>
      <c r="HW511" s="119"/>
      <c r="HX511" s="119"/>
      <c r="HY511" s="119"/>
      <c r="HZ511" s="119"/>
      <c r="IA511" s="119"/>
      <c r="IB511" s="119"/>
      <c r="IC511" s="119"/>
      <c r="ID511" s="119"/>
      <c r="IE511" s="119"/>
      <c r="IF511" s="119"/>
      <c r="IG511" s="119"/>
      <c r="IH511" s="119"/>
      <c r="II511" s="119"/>
      <c r="IJ511" s="119"/>
      <c r="IK511" s="119"/>
      <c r="IL511" s="119"/>
      <c r="IM511" s="119"/>
      <c r="IN511" s="119"/>
      <c r="IO511" s="119"/>
      <c r="IP511" s="119"/>
      <c r="IQ511" s="119"/>
      <c r="IR511" s="119"/>
      <c r="IS511" s="119"/>
      <c r="IT511" s="119"/>
      <c r="IU511" s="119"/>
      <c r="IV511" s="119"/>
      <c r="IW511" s="119"/>
    </row>
    <row r="512" customFormat="false" ht="18.75" hidden="true" customHeight="false" outlineLevel="0" collapsed="false">
      <c r="A512" s="234" t="s">
        <v>481</v>
      </c>
      <c r="B512" s="113"/>
      <c r="C512" s="114"/>
      <c r="D512" s="69" t="n">
        <f aca="false">I512/0.03</f>
        <v>4204.06666666667</v>
      </c>
      <c r="E512" s="116" t="n">
        <f aca="false">174135/1000</f>
        <v>174.135</v>
      </c>
      <c r="F512" s="116" t="n">
        <f aca="false">-48013/1000</f>
        <v>-48.013</v>
      </c>
      <c r="G512" s="116"/>
      <c r="H512" s="116"/>
      <c r="I512" s="117" t="n">
        <f aca="false">SUM(E512:G512)</f>
        <v>126.122</v>
      </c>
      <c r="J512" s="118" t="s">
        <v>21</v>
      </c>
      <c r="K512" s="119"/>
      <c r="L512" s="119"/>
      <c r="M512" s="119"/>
      <c r="N512" s="119"/>
      <c r="O512" s="119"/>
      <c r="P512" s="119"/>
      <c r="Q512" s="119"/>
      <c r="R512" s="119"/>
      <c r="S512" s="119"/>
      <c r="T512" s="65" t="n">
        <f aca="false">IF(D512&gt;0,(I512/D512),"")</f>
        <v>0.03</v>
      </c>
      <c r="U512" s="119"/>
      <c r="V512" s="119"/>
      <c r="W512" s="119"/>
      <c r="X512" s="119"/>
      <c r="Y512" s="119"/>
      <c r="Z512" s="119"/>
      <c r="AA512" s="119"/>
      <c r="AB512" s="119"/>
      <c r="AC512" s="119"/>
      <c r="AD512" s="119"/>
      <c r="AE512" s="119"/>
      <c r="AF512" s="119"/>
      <c r="AG512" s="119"/>
      <c r="AH512" s="119"/>
      <c r="AI512" s="119"/>
      <c r="AJ512" s="119"/>
      <c r="AK512" s="119"/>
      <c r="AL512" s="119"/>
      <c r="AM512" s="119"/>
      <c r="AN512" s="119"/>
      <c r="AO512" s="119"/>
      <c r="AP512" s="119"/>
      <c r="AQ512" s="119"/>
      <c r="AR512" s="119"/>
      <c r="AS512" s="119"/>
      <c r="AT512" s="119"/>
      <c r="AU512" s="119"/>
      <c r="AV512" s="119"/>
      <c r="AW512" s="119"/>
      <c r="AX512" s="119"/>
      <c r="AY512" s="119"/>
      <c r="AZ512" s="119"/>
      <c r="BA512" s="119"/>
      <c r="BB512" s="119"/>
      <c r="BC512" s="119"/>
      <c r="BD512" s="119"/>
      <c r="BE512" s="119"/>
      <c r="BF512" s="119"/>
      <c r="BG512" s="119"/>
      <c r="BH512" s="119"/>
      <c r="BI512" s="119"/>
      <c r="BJ512" s="119"/>
      <c r="BK512" s="119"/>
      <c r="BL512" s="119"/>
      <c r="BM512" s="119"/>
      <c r="BN512" s="119"/>
      <c r="BO512" s="119"/>
      <c r="BP512" s="119"/>
      <c r="BQ512" s="119"/>
      <c r="BR512" s="119"/>
      <c r="BS512" s="119"/>
      <c r="BT512" s="119"/>
      <c r="BU512" s="119"/>
      <c r="BV512" s="119"/>
      <c r="BW512" s="119"/>
      <c r="BX512" s="119"/>
      <c r="BY512" s="119"/>
      <c r="BZ512" s="119"/>
      <c r="CA512" s="119"/>
      <c r="CB512" s="119"/>
      <c r="CC512" s="119"/>
      <c r="CD512" s="119"/>
      <c r="CE512" s="119"/>
      <c r="CF512" s="119"/>
      <c r="CG512" s="119"/>
      <c r="CH512" s="119"/>
      <c r="CI512" s="119"/>
      <c r="CJ512" s="119"/>
      <c r="CK512" s="119"/>
      <c r="CL512" s="119"/>
      <c r="CM512" s="119"/>
      <c r="CN512" s="119"/>
      <c r="CO512" s="119"/>
      <c r="CP512" s="119"/>
      <c r="CQ512" s="119"/>
      <c r="CR512" s="119"/>
      <c r="CS512" s="119"/>
      <c r="CT512" s="119"/>
      <c r="CU512" s="119"/>
      <c r="CV512" s="119"/>
      <c r="CW512" s="119"/>
      <c r="CX512" s="119"/>
      <c r="CY512" s="119"/>
      <c r="CZ512" s="119"/>
      <c r="DA512" s="119"/>
      <c r="DB512" s="119"/>
      <c r="DC512" s="119"/>
      <c r="DD512" s="119"/>
      <c r="DE512" s="119"/>
      <c r="DF512" s="119"/>
      <c r="DG512" s="119"/>
      <c r="DH512" s="119"/>
      <c r="DI512" s="119"/>
      <c r="DJ512" s="119"/>
      <c r="DK512" s="119"/>
      <c r="DL512" s="119"/>
      <c r="DM512" s="119"/>
      <c r="DN512" s="119"/>
      <c r="DO512" s="119"/>
      <c r="DP512" s="119"/>
      <c r="DQ512" s="119"/>
      <c r="DR512" s="119"/>
      <c r="DS512" s="119"/>
      <c r="DT512" s="119"/>
      <c r="DU512" s="119"/>
      <c r="DV512" s="119"/>
      <c r="DW512" s="119"/>
      <c r="DX512" s="119"/>
      <c r="DY512" s="119"/>
      <c r="DZ512" s="119"/>
      <c r="EA512" s="119"/>
      <c r="EB512" s="119"/>
      <c r="EC512" s="119"/>
      <c r="ED512" s="119"/>
      <c r="EE512" s="119"/>
      <c r="EF512" s="119"/>
      <c r="EG512" s="119"/>
      <c r="EH512" s="119"/>
      <c r="EI512" s="119"/>
      <c r="EJ512" s="119"/>
      <c r="EK512" s="119"/>
      <c r="EL512" s="119"/>
      <c r="EM512" s="119"/>
      <c r="EN512" s="119"/>
      <c r="EO512" s="119"/>
      <c r="EP512" s="119"/>
      <c r="EQ512" s="119"/>
      <c r="ER512" s="119"/>
      <c r="ES512" s="119"/>
      <c r="ET512" s="119"/>
      <c r="EU512" s="119"/>
      <c r="EV512" s="119"/>
      <c r="EW512" s="119"/>
      <c r="EX512" s="119"/>
      <c r="EY512" s="119"/>
      <c r="EZ512" s="119"/>
      <c r="FA512" s="119"/>
      <c r="FB512" s="119"/>
      <c r="FC512" s="119"/>
      <c r="FD512" s="119"/>
      <c r="FE512" s="119"/>
      <c r="FF512" s="119"/>
      <c r="FG512" s="119"/>
      <c r="FH512" s="119"/>
      <c r="FI512" s="119"/>
      <c r="FJ512" s="119"/>
      <c r="FK512" s="119"/>
      <c r="FL512" s="119"/>
      <c r="FM512" s="119"/>
      <c r="FN512" s="119"/>
      <c r="FO512" s="119"/>
      <c r="FP512" s="119"/>
      <c r="FQ512" s="119"/>
      <c r="FR512" s="119"/>
      <c r="FS512" s="119"/>
      <c r="FT512" s="119"/>
      <c r="FU512" s="119"/>
      <c r="FV512" s="119"/>
      <c r="FW512" s="119"/>
      <c r="FX512" s="119"/>
      <c r="FY512" s="119"/>
      <c r="FZ512" s="119"/>
      <c r="GA512" s="119"/>
      <c r="GB512" s="119"/>
      <c r="GC512" s="119"/>
      <c r="GD512" s="119"/>
      <c r="GE512" s="119"/>
      <c r="GF512" s="119"/>
      <c r="GG512" s="119"/>
      <c r="GH512" s="119"/>
      <c r="GI512" s="119"/>
      <c r="GJ512" s="119"/>
      <c r="GK512" s="119"/>
      <c r="GL512" s="119"/>
      <c r="GM512" s="119"/>
      <c r="GN512" s="119"/>
      <c r="GO512" s="119"/>
      <c r="GP512" s="119"/>
      <c r="GQ512" s="119"/>
      <c r="GR512" s="119"/>
      <c r="GS512" s="119"/>
      <c r="GT512" s="119"/>
      <c r="GU512" s="119"/>
      <c r="GV512" s="119"/>
      <c r="GW512" s="119"/>
      <c r="GX512" s="119"/>
      <c r="GY512" s="119"/>
      <c r="GZ512" s="119"/>
      <c r="HA512" s="119"/>
      <c r="HB512" s="119"/>
      <c r="HC512" s="119"/>
      <c r="HD512" s="119"/>
      <c r="HE512" s="119"/>
      <c r="HF512" s="119"/>
      <c r="HG512" s="119"/>
      <c r="HH512" s="119"/>
      <c r="HI512" s="119"/>
      <c r="HJ512" s="119"/>
      <c r="HK512" s="119"/>
      <c r="HL512" s="119"/>
      <c r="HM512" s="119"/>
      <c r="HN512" s="119"/>
      <c r="HO512" s="119"/>
      <c r="HP512" s="119"/>
      <c r="HQ512" s="119"/>
      <c r="HR512" s="119"/>
      <c r="HS512" s="119"/>
      <c r="HT512" s="119"/>
      <c r="HU512" s="119"/>
      <c r="HV512" s="119"/>
      <c r="HW512" s="119"/>
      <c r="HX512" s="119"/>
      <c r="HY512" s="119"/>
      <c r="HZ512" s="119"/>
      <c r="IA512" s="119"/>
      <c r="IB512" s="119"/>
      <c r="IC512" s="119"/>
      <c r="ID512" s="119"/>
      <c r="IE512" s="119"/>
      <c r="IF512" s="119"/>
      <c r="IG512" s="119"/>
      <c r="IH512" s="119"/>
      <c r="II512" s="119"/>
      <c r="IJ512" s="119"/>
      <c r="IK512" s="119"/>
      <c r="IL512" s="119"/>
      <c r="IM512" s="119"/>
      <c r="IN512" s="119"/>
      <c r="IO512" s="119"/>
      <c r="IP512" s="119"/>
      <c r="IQ512" s="119"/>
      <c r="IR512" s="119"/>
      <c r="IS512" s="119"/>
      <c r="IT512" s="119"/>
      <c r="IU512" s="119"/>
      <c r="IV512" s="119"/>
      <c r="IW512" s="119"/>
    </row>
    <row r="513" customFormat="false" ht="18.75" hidden="true" customHeight="false" outlineLevel="0" collapsed="false">
      <c r="A513" s="234" t="s">
        <v>482</v>
      </c>
      <c r="B513" s="113"/>
      <c r="C513" s="114"/>
      <c r="D513" s="69" t="n">
        <f aca="false">I513/0.03</f>
        <v>8303.16666666667</v>
      </c>
      <c r="E513" s="116" t="n">
        <f aca="false">345309/1000</f>
        <v>345.309</v>
      </c>
      <c r="F513" s="116" t="n">
        <f aca="false">-96214/1000</f>
        <v>-96.214</v>
      </c>
      <c r="G513" s="116"/>
      <c r="H513" s="116"/>
      <c r="I513" s="117" t="n">
        <f aca="false">SUM(E513:G513)</f>
        <v>249.095</v>
      </c>
      <c r="J513" s="118" t="s">
        <v>21</v>
      </c>
      <c r="K513" s="119"/>
      <c r="L513" s="119"/>
      <c r="M513" s="119"/>
      <c r="N513" s="119"/>
      <c r="O513" s="119"/>
      <c r="P513" s="119"/>
      <c r="Q513" s="119"/>
      <c r="R513" s="119"/>
      <c r="S513" s="119"/>
      <c r="T513" s="65" t="n">
        <f aca="false">IF(D513&gt;0,(I513/D513),"")</f>
        <v>0.03</v>
      </c>
      <c r="U513" s="119"/>
      <c r="V513" s="119"/>
      <c r="W513" s="119"/>
      <c r="X513" s="119"/>
      <c r="Y513" s="119"/>
      <c r="Z513" s="119"/>
      <c r="AA513" s="119"/>
      <c r="AB513" s="119"/>
      <c r="AC513" s="119"/>
      <c r="AD513" s="119"/>
      <c r="AE513" s="119"/>
      <c r="AF513" s="119"/>
      <c r="AG513" s="119"/>
      <c r="AH513" s="119"/>
      <c r="AI513" s="119"/>
      <c r="AJ513" s="119"/>
      <c r="AK513" s="119"/>
      <c r="AL513" s="119"/>
      <c r="AM513" s="119"/>
      <c r="AN513" s="119"/>
      <c r="AO513" s="119"/>
      <c r="AP513" s="119"/>
      <c r="AQ513" s="119"/>
      <c r="AR513" s="119"/>
      <c r="AS513" s="119"/>
      <c r="AT513" s="119"/>
      <c r="AU513" s="119"/>
      <c r="AV513" s="119"/>
      <c r="AW513" s="119"/>
      <c r="AX513" s="119"/>
      <c r="AY513" s="119"/>
      <c r="AZ513" s="119"/>
      <c r="BA513" s="119"/>
      <c r="BB513" s="119"/>
      <c r="BC513" s="119"/>
      <c r="BD513" s="119"/>
      <c r="BE513" s="119"/>
      <c r="BF513" s="119"/>
      <c r="BG513" s="119"/>
      <c r="BH513" s="119"/>
      <c r="BI513" s="119"/>
      <c r="BJ513" s="119"/>
      <c r="BK513" s="119"/>
      <c r="BL513" s="119"/>
      <c r="BM513" s="119"/>
      <c r="BN513" s="119"/>
      <c r="BO513" s="119"/>
      <c r="BP513" s="119"/>
      <c r="BQ513" s="119"/>
      <c r="BR513" s="119"/>
      <c r="BS513" s="119"/>
      <c r="BT513" s="119"/>
      <c r="BU513" s="119"/>
      <c r="BV513" s="119"/>
      <c r="BW513" s="119"/>
      <c r="BX513" s="119"/>
      <c r="BY513" s="119"/>
      <c r="BZ513" s="119"/>
      <c r="CA513" s="119"/>
      <c r="CB513" s="119"/>
      <c r="CC513" s="119"/>
      <c r="CD513" s="119"/>
      <c r="CE513" s="119"/>
      <c r="CF513" s="119"/>
      <c r="CG513" s="119"/>
      <c r="CH513" s="119"/>
      <c r="CI513" s="119"/>
      <c r="CJ513" s="119"/>
      <c r="CK513" s="119"/>
      <c r="CL513" s="119"/>
      <c r="CM513" s="119"/>
      <c r="CN513" s="119"/>
      <c r="CO513" s="119"/>
      <c r="CP513" s="119"/>
      <c r="CQ513" s="119"/>
      <c r="CR513" s="119"/>
      <c r="CS513" s="119"/>
      <c r="CT513" s="119"/>
      <c r="CU513" s="119"/>
      <c r="CV513" s="119"/>
      <c r="CW513" s="119"/>
      <c r="CX513" s="119"/>
      <c r="CY513" s="119"/>
      <c r="CZ513" s="119"/>
      <c r="DA513" s="119"/>
      <c r="DB513" s="119"/>
      <c r="DC513" s="119"/>
      <c r="DD513" s="119"/>
      <c r="DE513" s="119"/>
      <c r="DF513" s="119"/>
      <c r="DG513" s="119"/>
      <c r="DH513" s="119"/>
      <c r="DI513" s="119"/>
      <c r="DJ513" s="119"/>
      <c r="DK513" s="119"/>
      <c r="DL513" s="119"/>
      <c r="DM513" s="119"/>
      <c r="DN513" s="119"/>
      <c r="DO513" s="119"/>
      <c r="DP513" s="119"/>
      <c r="DQ513" s="119"/>
      <c r="DR513" s="119"/>
      <c r="DS513" s="119"/>
      <c r="DT513" s="119"/>
      <c r="DU513" s="119"/>
      <c r="DV513" s="119"/>
      <c r="DW513" s="119"/>
      <c r="DX513" s="119"/>
      <c r="DY513" s="119"/>
      <c r="DZ513" s="119"/>
      <c r="EA513" s="119"/>
      <c r="EB513" s="119"/>
      <c r="EC513" s="119"/>
      <c r="ED513" s="119"/>
      <c r="EE513" s="119"/>
      <c r="EF513" s="119"/>
      <c r="EG513" s="119"/>
      <c r="EH513" s="119"/>
      <c r="EI513" s="119"/>
      <c r="EJ513" s="119"/>
      <c r="EK513" s="119"/>
      <c r="EL513" s="119"/>
      <c r="EM513" s="119"/>
      <c r="EN513" s="119"/>
      <c r="EO513" s="119"/>
      <c r="EP513" s="119"/>
      <c r="EQ513" s="119"/>
      <c r="ER513" s="119"/>
      <c r="ES513" s="119"/>
      <c r="ET513" s="119"/>
      <c r="EU513" s="119"/>
      <c r="EV513" s="119"/>
      <c r="EW513" s="119"/>
      <c r="EX513" s="119"/>
      <c r="EY513" s="119"/>
      <c r="EZ513" s="119"/>
      <c r="FA513" s="119"/>
      <c r="FB513" s="119"/>
      <c r="FC513" s="119"/>
      <c r="FD513" s="119"/>
      <c r="FE513" s="119"/>
      <c r="FF513" s="119"/>
      <c r="FG513" s="119"/>
      <c r="FH513" s="119"/>
      <c r="FI513" s="119"/>
      <c r="FJ513" s="119"/>
      <c r="FK513" s="119"/>
      <c r="FL513" s="119"/>
      <c r="FM513" s="119"/>
      <c r="FN513" s="119"/>
      <c r="FO513" s="119"/>
      <c r="FP513" s="119"/>
      <c r="FQ513" s="119"/>
      <c r="FR513" s="119"/>
      <c r="FS513" s="119"/>
      <c r="FT513" s="119"/>
      <c r="FU513" s="119"/>
      <c r="FV513" s="119"/>
      <c r="FW513" s="119"/>
      <c r="FX513" s="119"/>
      <c r="FY513" s="119"/>
      <c r="FZ513" s="119"/>
      <c r="GA513" s="119"/>
      <c r="GB513" s="119"/>
      <c r="GC513" s="119"/>
      <c r="GD513" s="119"/>
      <c r="GE513" s="119"/>
      <c r="GF513" s="119"/>
      <c r="GG513" s="119"/>
      <c r="GH513" s="119"/>
      <c r="GI513" s="119"/>
      <c r="GJ513" s="119"/>
      <c r="GK513" s="119"/>
      <c r="GL513" s="119"/>
      <c r="GM513" s="119"/>
      <c r="GN513" s="119"/>
      <c r="GO513" s="119"/>
      <c r="GP513" s="119"/>
      <c r="GQ513" s="119"/>
      <c r="GR513" s="119"/>
      <c r="GS513" s="119"/>
      <c r="GT513" s="119"/>
      <c r="GU513" s="119"/>
      <c r="GV513" s="119"/>
      <c r="GW513" s="119"/>
      <c r="GX513" s="119"/>
      <c r="GY513" s="119"/>
      <c r="GZ513" s="119"/>
      <c r="HA513" s="119"/>
      <c r="HB513" s="119"/>
      <c r="HC513" s="119"/>
      <c r="HD513" s="119"/>
      <c r="HE513" s="119"/>
      <c r="HF513" s="119"/>
      <c r="HG513" s="119"/>
      <c r="HH513" s="119"/>
      <c r="HI513" s="119"/>
      <c r="HJ513" s="119"/>
      <c r="HK513" s="119"/>
      <c r="HL513" s="119"/>
      <c r="HM513" s="119"/>
      <c r="HN513" s="119"/>
      <c r="HO513" s="119"/>
      <c r="HP513" s="119"/>
      <c r="HQ513" s="119"/>
      <c r="HR513" s="119"/>
      <c r="HS513" s="119"/>
      <c r="HT513" s="119"/>
      <c r="HU513" s="119"/>
      <c r="HV513" s="119"/>
      <c r="HW513" s="119"/>
      <c r="HX513" s="119"/>
      <c r="HY513" s="119"/>
      <c r="HZ513" s="119"/>
      <c r="IA513" s="119"/>
      <c r="IB513" s="119"/>
      <c r="IC513" s="119"/>
      <c r="ID513" s="119"/>
      <c r="IE513" s="119"/>
      <c r="IF513" s="119"/>
      <c r="IG513" s="119"/>
      <c r="IH513" s="119"/>
      <c r="II513" s="119"/>
      <c r="IJ513" s="119"/>
      <c r="IK513" s="119"/>
      <c r="IL513" s="119"/>
      <c r="IM513" s="119"/>
      <c r="IN513" s="119"/>
      <c r="IO513" s="119"/>
      <c r="IP513" s="119"/>
      <c r="IQ513" s="119"/>
      <c r="IR513" s="119"/>
      <c r="IS513" s="119"/>
      <c r="IT513" s="119"/>
      <c r="IU513" s="119"/>
      <c r="IV513" s="119"/>
      <c r="IW513" s="119"/>
    </row>
    <row r="514" customFormat="false" ht="18.75" hidden="true" customHeight="false" outlineLevel="0" collapsed="false">
      <c r="A514" s="234" t="s">
        <v>483</v>
      </c>
      <c r="B514" s="113"/>
      <c r="C514" s="114"/>
      <c r="D514" s="69" t="n">
        <f aca="false">I514/0.03</f>
        <v>10719.5666666667</v>
      </c>
      <c r="E514" s="116" t="n">
        <f aca="false">445297/1000</f>
        <v>445.297</v>
      </c>
      <c r="F514" s="116" t="n">
        <f aca="false">-123710/1000</f>
        <v>-123.71</v>
      </c>
      <c r="G514" s="116"/>
      <c r="H514" s="116"/>
      <c r="I514" s="117" t="n">
        <f aca="false">SUM(E514:G514)</f>
        <v>321.587</v>
      </c>
      <c r="J514" s="118" t="s">
        <v>21</v>
      </c>
      <c r="K514" s="119"/>
      <c r="L514" s="119"/>
      <c r="M514" s="119"/>
      <c r="N514" s="119"/>
      <c r="O514" s="119"/>
      <c r="P514" s="119"/>
      <c r="Q514" s="119"/>
      <c r="R514" s="119"/>
      <c r="S514" s="119"/>
      <c r="T514" s="65" t="n">
        <f aca="false">IF(D514&gt;0,(I514/D514),"")</f>
        <v>0.03</v>
      </c>
      <c r="U514" s="119"/>
      <c r="V514" s="119"/>
      <c r="W514" s="119"/>
      <c r="X514" s="119"/>
      <c r="Y514" s="119"/>
      <c r="Z514" s="119"/>
      <c r="AA514" s="119"/>
      <c r="AB514" s="119"/>
      <c r="AC514" s="119"/>
      <c r="AD514" s="119"/>
      <c r="AE514" s="119"/>
      <c r="AF514" s="119"/>
      <c r="AG514" s="119"/>
      <c r="AH514" s="119"/>
      <c r="AI514" s="119"/>
      <c r="AJ514" s="119"/>
      <c r="AK514" s="119"/>
      <c r="AL514" s="119"/>
      <c r="AM514" s="119"/>
      <c r="AN514" s="119"/>
      <c r="AO514" s="119"/>
      <c r="AP514" s="119"/>
      <c r="AQ514" s="119"/>
      <c r="AR514" s="119"/>
      <c r="AS514" s="119"/>
      <c r="AT514" s="119"/>
      <c r="AU514" s="119"/>
      <c r="AV514" s="119"/>
      <c r="AW514" s="119"/>
      <c r="AX514" s="119"/>
      <c r="AY514" s="119"/>
      <c r="AZ514" s="119"/>
      <c r="BA514" s="119"/>
      <c r="BB514" s="119"/>
      <c r="BC514" s="119"/>
      <c r="BD514" s="119"/>
      <c r="BE514" s="119"/>
      <c r="BF514" s="119"/>
      <c r="BG514" s="119"/>
      <c r="BH514" s="119"/>
      <c r="BI514" s="119"/>
      <c r="BJ514" s="119"/>
      <c r="BK514" s="119"/>
      <c r="BL514" s="119"/>
      <c r="BM514" s="119"/>
      <c r="BN514" s="119"/>
      <c r="BO514" s="119"/>
      <c r="BP514" s="119"/>
      <c r="BQ514" s="119"/>
      <c r="BR514" s="119"/>
      <c r="BS514" s="119"/>
      <c r="BT514" s="119"/>
      <c r="BU514" s="119"/>
      <c r="BV514" s="119"/>
      <c r="BW514" s="119"/>
      <c r="BX514" s="119"/>
      <c r="BY514" s="119"/>
      <c r="BZ514" s="119"/>
      <c r="CA514" s="119"/>
      <c r="CB514" s="119"/>
      <c r="CC514" s="119"/>
      <c r="CD514" s="119"/>
      <c r="CE514" s="119"/>
      <c r="CF514" s="119"/>
      <c r="CG514" s="119"/>
      <c r="CH514" s="119"/>
      <c r="CI514" s="119"/>
      <c r="CJ514" s="119"/>
      <c r="CK514" s="119"/>
      <c r="CL514" s="119"/>
      <c r="CM514" s="119"/>
      <c r="CN514" s="119"/>
      <c r="CO514" s="119"/>
      <c r="CP514" s="119"/>
      <c r="CQ514" s="119"/>
      <c r="CR514" s="119"/>
      <c r="CS514" s="119"/>
      <c r="CT514" s="119"/>
      <c r="CU514" s="119"/>
      <c r="CV514" s="119"/>
      <c r="CW514" s="119"/>
      <c r="CX514" s="119"/>
      <c r="CY514" s="119"/>
      <c r="CZ514" s="119"/>
      <c r="DA514" s="119"/>
      <c r="DB514" s="119"/>
      <c r="DC514" s="119"/>
      <c r="DD514" s="119"/>
      <c r="DE514" s="119"/>
      <c r="DF514" s="119"/>
      <c r="DG514" s="119"/>
      <c r="DH514" s="119"/>
      <c r="DI514" s="119"/>
      <c r="DJ514" s="119"/>
      <c r="DK514" s="119"/>
      <c r="DL514" s="119"/>
      <c r="DM514" s="119"/>
      <c r="DN514" s="119"/>
      <c r="DO514" s="119"/>
      <c r="DP514" s="119"/>
      <c r="DQ514" s="119"/>
      <c r="DR514" s="119"/>
      <c r="DS514" s="119"/>
      <c r="DT514" s="119"/>
      <c r="DU514" s="119"/>
      <c r="DV514" s="119"/>
      <c r="DW514" s="119"/>
      <c r="DX514" s="119"/>
      <c r="DY514" s="119"/>
      <c r="DZ514" s="119"/>
      <c r="EA514" s="119"/>
      <c r="EB514" s="119"/>
      <c r="EC514" s="119"/>
      <c r="ED514" s="119"/>
      <c r="EE514" s="119"/>
      <c r="EF514" s="119"/>
      <c r="EG514" s="119"/>
      <c r="EH514" s="119"/>
      <c r="EI514" s="119"/>
      <c r="EJ514" s="119"/>
      <c r="EK514" s="119"/>
      <c r="EL514" s="119"/>
      <c r="EM514" s="119"/>
      <c r="EN514" s="119"/>
      <c r="EO514" s="119"/>
      <c r="EP514" s="119"/>
      <c r="EQ514" s="119"/>
      <c r="ER514" s="119"/>
      <c r="ES514" s="119"/>
      <c r="ET514" s="119"/>
      <c r="EU514" s="119"/>
      <c r="EV514" s="119"/>
      <c r="EW514" s="119"/>
      <c r="EX514" s="119"/>
      <c r="EY514" s="119"/>
      <c r="EZ514" s="119"/>
      <c r="FA514" s="119"/>
      <c r="FB514" s="119"/>
      <c r="FC514" s="119"/>
      <c r="FD514" s="119"/>
      <c r="FE514" s="119"/>
      <c r="FF514" s="119"/>
      <c r="FG514" s="119"/>
      <c r="FH514" s="119"/>
      <c r="FI514" s="119"/>
      <c r="FJ514" s="119"/>
      <c r="FK514" s="119"/>
      <c r="FL514" s="119"/>
      <c r="FM514" s="119"/>
      <c r="FN514" s="119"/>
      <c r="FO514" s="119"/>
      <c r="FP514" s="119"/>
      <c r="FQ514" s="119"/>
      <c r="FR514" s="119"/>
      <c r="FS514" s="119"/>
      <c r="FT514" s="119"/>
      <c r="FU514" s="119"/>
      <c r="FV514" s="119"/>
      <c r="FW514" s="119"/>
      <c r="FX514" s="119"/>
      <c r="FY514" s="119"/>
      <c r="FZ514" s="119"/>
      <c r="GA514" s="119"/>
      <c r="GB514" s="119"/>
      <c r="GC514" s="119"/>
      <c r="GD514" s="119"/>
      <c r="GE514" s="119"/>
      <c r="GF514" s="119"/>
      <c r="GG514" s="119"/>
      <c r="GH514" s="119"/>
      <c r="GI514" s="119"/>
      <c r="GJ514" s="119"/>
      <c r="GK514" s="119"/>
      <c r="GL514" s="119"/>
      <c r="GM514" s="119"/>
      <c r="GN514" s="119"/>
      <c r="GO514" s="119"/>
      <c r="GP514" s="119"/>
      <c r="GQ514" s="119"/>
      <c r="GR514" s="119"/>
      <c r="GS514" s="119"/>
      <c r="GT514" s="119"/>
      <c r="GU514" s="119"/>
      <c r="GV514" s="119"/>
      <c r="GW514" s="119"/>
      <c r="GX514" s="119"/>
      <c r="GY514" s="119"/>
      <c r="GZ514" s="119"/>
      <c r="HA514" s="119"/>
      <c r="HB514" s="119"/>
      <c r="HC514" s="119"/>
      <c r="HD514" s="119"/>
      <c r="HE514" s="119"/>
      <c r="HF514" s="119"/>
      <c r="HG514" s="119"/>
      <c r="HH514" s="119"/>
      <c r="HI514" s="119"/>
      <c r="HJ514" s="119"/>
      <c r="HK514" s="119"/>
      <c r="HL514" s="119"/>
      <c r="HM514" s="119"/>
      <c r="HN514" s="119"/>
      <c r="HO514" s="119"/>
      <c r="HP514" s="119"/>
      <c r="HQ514" s="119"/>
      <c r="HR514" s="119"/>
      <c r="HS514" s="119"/>
      <c r="HT514" s="119"/>
      <c r="HU514" s="119"/>
      <c r="HV514" s="119"/>
      <c r="HW514" s="119"/>
      <c r="HX514" s="119"/>
      <c r="HY514" s="119"/>
      <c r="HZ514" s="119"/>
      <c r="IA514" s="119"/>
      <c r="IB514" s="119"/>
      <c r="IC514" s="119"/>
      <c r="ID514" s="119"/>
      <c r="IE514" s="119"/>
      <c r="IF514" s="119"/>
      <c r="IG514" s="119"/>
      <c r="IH514" s="119"/>
      <c r="II514" s="119"/>
      <c r="IJ514" s="119"/>
      <c r="IK514" s="119"/>
      <c r="IL514" s="119"/>
      <c r="IM514" s="119"/>
      <c r="IN514" s="119"/>
      <c r="IO514" s="119"/>
      <c r="IP514" s="119"/>
      <c r="IQ514" s="119"/>
      <c r="IR514" s="119"/>
      <c r="IS514" s="119"/>
      <c r="IT514" s="119"/>
      <c r="IU514" s="119"/>
      <c r="IV514" s="119"/>
      <c r="IW514" s="119"/>
    </row>
    <row r="515" customFormat="false" ht="18.75" hidden="true" customHeight="false" outlineLevel="0" collapsed="false">
      <c r="A515" s="234" t="s">
        <v>484</v>
      </c>
      <c r="B515" s="113"/>
      <c r="C515" s="114"/>
      <c r="D515" s="69" t="n">
        <f aca="false">I515/0.03</f>
        <v>20716.3</v>
      </c>
      <c r="E515" s="116" t="n">
        <f aca="false">843576/1000</f>
        <v>843.576</v>
      </c>
      <c r="F515" s="116" t="n">
        <f aca="false">-222087/1000</f>
        <v>-222.087</v>
      </c>
      <c r="G515" s="116"/>
      <c r="H515" s="116"/>
      <c r="I515" s="117" t="n">
        <f aca="false">SUM(E515:G515)</f>
        <v>621.489</v>
      </c>
      <c r="J515" s="118" t="s">
        <v>21</v>
      </c>
      <c r="K515" s="119"/>
      <c r="L515" s="119"/>
      <c r="M515" s="119"/>
      <c r="N515" s="119"/>
      <c r="O515" s="119"/>
      <c r="P515" s="119"/>
      <c r="Q515" s="119"/>
      <c r="R515" s="119"/>
      <c r="S515" s="119"/>
      <c r="T515" s="65" t="n">
        <f aca="false">IF(D515&gt;0,(I515/D515),"")</f>
        <v>0.03</v>
      </c>
      <c r="U515" s="119"/>
      <c r="V515" s="119"/>
      <c r="W515" s="119"/>
      <c r="X515" s="119"/>
      <c r="Y515" s="119"/>
      <c r="Z515" s="119"/>
      <c r="AA515" s="119"/>
      <c r="AB515" s="119"/>
      <c r="AC515" s="119"/>
      <c r="AD515" s="119"/>
      <c r="AE515" s="119"/>
      <c r="AF515" s="119"/>
      <c r="AG515" s="119"/>
      <c r="AH515" s="119"/>
      <c r="AI515" s="119"/>
      <c r="AJ515" s="119"/>
      <c r="AK515" s="119"/>
      <c r="AL515" s="119"/>
      <c r="AM515" s="119"/>
      <c r="AN515" s="119"/>
      <c r="AO515" s="119"/>
      <c r="AP515" s="119"/>
      <c r="AQ515" s="119"/>
      <c r="AR515" s="119"/>
      <c r="AS515" s="119"/>
      <c r="AT515" s="119"/>
      <c r="AU515" s="119"/>
      <c r="AV515" s="119"/>
      <c r="AW515" s="119"/>
      <c r="AX515" s="119"/>
      <c r="AY515" s="119"/>
      <c r="AZ515" s="119"/>
      <c r="BA515" s="119"/>
      <c r="BB515" s="119"/>
      <c r="BC515" s="119"/>
      <c r="BD515" s="119"/>
      <c r="BE515" s="119"/>
      <c r="BF515" s="119"/>
      <c r="BG515" s="119"/>
      <c r="BH515" s="119"/>
      <c r="BI515" s="119"/>
      <c r="BJ515" s="119"/>
      <c r="BK515" s="119"/>
      <c r="BL515" s="119"/>
      <c r="BM515" s="119"/>
      <c r="BN515" s="119"/>
      <c r="BO515" s="119"/>
      <c r="BP515" s="119"/>
      <c r="BQ515" s="119"/>
      <c r="BR515" s="119"/>
      <c r="BS515" s="119"/>
      <c r="BT515" s="119"/>
      <c r="BU515" s="119"/>
      <c r="BV515" s="119"/>
      <c r="BW515" s="119"/>
      <c r="BX515" s="119"/>
      <c r="BY515" s="119"/>
      <c r="BZ515" s="119"/>
      <c r="CA515" s="119"/>
      <c r="CB515" s="119"/>
      <c r="CC515" s="119"/>
      <c r="CD515" s="119"/>
      <c r="CE515" s="119"/>
      <c r="CF515" s="119"/>
      <c r="CG515" s="119"/>
      <c r="CH515" s="119"/>
      <c r="CI515" s="119"/>
      <c r="CJ515" s="119"/>
      <c r="CK515" s="119"/>
      <c r="CL515" s="119"/>
      <c r="CM515" s="119"/>
      <c r="CN515" s="119"/>
      <c r="CO515" s="119"/>
      <c r="CP515" s="119"/>
      <c r="CQ515" s="119"/>
      <c r="CR515" s="119"/>
      <c r="CS515" s="119"/>
      <c r="CT515" s="119"/>
      <c r="CU515" s="119"/>
      <c r="CV515" s="119"/>
      <c r="CW515" s="119"/>
      <c r="CX515" s="119"/>
      <c r="CY515" s="119"/>
      <c r="CZ515" s="119"/>
      <c r="DA515" s="119"/>
      <c r="DB515" s="119"/>
      <c r="DC515" s="119"/>
      <c r="DD515" s="119"/>
      <c r="DE515" s="119"/>
      <c r="DF515" s="119"/>
      <c r="DG515" s="119"/>
      <c r="DH515" s="119"/>
      <c r="DI515" s="119"/>
      <c r="DJ515" s="119"/>
      <c r="DK515" s="119"/>
      <c r="DL515" s="119"/>
      <c r="DM515" s="119"/>
      <c r="DN515" s="119"/>
      <c r="DO515" s="119"/>
      <c r="DP515" s="119"/>
      <c r="DQ515" s="119"/>
      <c r="DR515" s="119"/>
      <c r="DS515" s="119"/>
      <c r="DT515" s="119"/>
      <c r="DU515" s="119"/>
      <c r="DV515" s="119"/>
      <c r="DW515" s="119"/>
      <c r="DX515" s="119"/>
      <c r="DY515" s="119"/>
      <c r="DZ515" s="119"/>
      <c r="EA515" s="119"/>
      <c r="EB515" s="119"/>
      <c r="EC515" s="119"/>
      <c r="ED515" s="119"/>
      <c r="EE515" s="119"/>
      <c r="EF515" s="119"/>
      <c r="EG515" s="119"/>
      <c r="EH515" s="119"/>
      <c r="EI515" s="119"/>
      <c r="EJ515" s="119"/>
      <c r="EK515" s="119"/>
      <c r="EL515" s="119"/>
      <c r="EM515" s="119"/>
      <c r="EN515" s="119"/>
      <c r="EO515" s="119"/>
      <c r="EP515" s="119"/>
      <c r="EQ515" s="119"/>
      <c r="ER515" s="119"/>
      <c r="ES515" s="119"/>
      <c r="ET515" s="119"/>
      <c r="EU515" s="119"/>
      <c r="EV515" s="119"/>
      <c r="EW515" s="119"/>
      <c r="EX515" s="119"/>
      <c r="EY515" s="119"/>
      <c r="EZ515" s="119"/>
      <c r="FA515" s="119"/>
      <c r="FB515" s="119"/>
      <c r="FC515" s="119"/>
      <c r="FD515" s="119"/>
      <c r="FE515" s="119"/>
      <c r="FF515" s="119"/>
      <c r="FG515" s="119"/>
      <c r="FH515" s="119"/>
      <c r="FI515" s="119"/>
      <c r="FJ515" s="119"/>
      <c r="FK515" s="119"/>
      <c r="FL515" s="119"/>
      <c r="FM515" s="119"/>
      <c r="FN515" s="119"/>
      <c r="FO515" s="119"/>
      <c r="FP515" s="119"/>
      <c r="FQ515" s="119"/>
      <c r="FR515" s="119"/>
      <c r="FS515" s="119"/>
      <c r="FT515" s="119"/>
      <c r="FU515" s="119"/>
      <c r="FV515" s="119"/>
      <c r="FW515" s="119"/>
      <c r="FX515" s="119"/>
      <c r="FY515" s="119"/>
      <c r="FZ515" s="119"/>
      <c r="GA515" s="119"/>
      <c r="GB515" s="119"/>
      <c r="GC515" s="119"/>
      <c r="GD515" s="119"/>
      <c r="GE515" s="119"/>
      <c r="GF515" s="119"/>
      <c r="GG515" s="119"/>
      <c r="GH515" s="119"/>
      <c r="GI515" s="119"/>
      <c r="GJ515" s="119"/>
      <c r="GK515" s="119"/>
      <c r="GL515" s="119"/>
      <c r="GM515" s="119"/>
      <c r="GN515" s="119"/>
      <c r="GO515" s="119"/>
      <c r="GP515" s="119"/>
      <c r="GQ515" s="119"/>
      <c r="GR515" s="119"/>
      <c r="GS515" s="119"/>
      <c r="GT515" s="119"/>
      <c r="GU515" s="119"/>
      <c r="GV515" s="119"/>
      <c r="GW515" s="119"/>
      <c r="GX515" s="119"/>
      <c r="GY515" s="119"/>
      <c r="GZ515" s="119"/>
      <c r="HA515" s="119"/>
      <c r="HB515" s="119"/>
      <c r="HC515" s="119"/>
      <c r="HD515" s="119"/>
      <c r="HE515" s="119"/>
      <c r="HF515" s="119"/>
      <c r="HG515" s="119"/>
      <c r="HH515" s="119"/>
      <c r="HI515" s="119"/>
      <c r="HJ515" s="119"/>
      <c r="HK515" s="119"/>
      <c r="HL515" s="119"/>
      <c r="HM515" s="119"/>
      <c r="HN515" s="119"/>
      <c r="HO515" s="119"/>
      <c r="HP515" s="119"/>
      <c r="HQ515" s="119"/>
      <c r="HR515" s="119"/>
      <c r="HS515" s="119"/>
      <c r="HT515" s="119"/>
      <c r="HU515" s="119"/>
      <c r="HV515" s="119"/>
      <c r="HW515" s="119"/>
      <c r="HX515" s="119"/>
      <c r="HY515" s="119"/>
      <c r="HZ515" s="119"/>
      <c r="IA515" s="119"/>
      <c r="IB515" s="119"/>
      <c r="IC515" s="119"/>
      <c r="ID515" s="119"/>
      <c r="IE515" s="119"/>
      <c r="IF515" s="119"/>
      <c r="IG515" s="119"/>
      <c r="IH515" s="119"/>
      <c r="II515" s="119"/>
      <c r="IJ515" s="119"/>
      <c r="IK515" s="119"/>
      <c r="IL515" s="119"/>
      <c r="IM515" s="119"/>
      <c r="IN515" s="119"/>
      <c r="IO515" s="119"/>
      <c r="IP515" s="119"/>
      <c r="IQ515" s="119"/>
      <c r="IR515" s="119"/>
      <c r="IS515" s="119"/>
      <c r="IT515" s="119"/>
      <c r="IU515" s="119"/>
      <c r="IV515" s="119"/>
      <c r="IW515" s="119"/>
    </row>
    <row r="516" customFormat="false" ht="18.75" hidden="true" customHeight="false" outlineLevel="0" collapsed="false">
      <c r="A516" s="234" t="s">
        <v>485</v>
      </c>
      <c r="B516" s="113"/>
      <c r="C516" s="114"/>
      <c r="D516" s="69" t="n">
        <f aca="false">I516/0.03</f>
        <v>4622.76666666667</v>
      </c>
      <c r="E516" s="116" t="n">
        <f aca="false">190462/1000</f>
        <v>190.462</v>
      </c>
      <c r="F516" s="116" t="n">
        <f aca="false">-51779/1000</f>
        <v>-51.779</v>
      </c>
      <c r="G516" s="116"/>
      <c r="H516" s="116"/>
      <c r="I516" s="117" t="n">
        <f aca="false">SUM(E516:G516)</f>
        <v>138.683</v>
      </c>
      <c r="J516" s="118" t="s">
        <v>21</v>
      </c>
      <c r="K516" s="119"/>
      <c r="L516" s="119"/>
      <c r="M516" s="119"/>
      <c r="N516" s="119"/>
      <c r="O516" s="119"/>
      <c r="P516" s="119"/>
      <c r="Q516" s="119"/>
      <c r="R516" s="119"/>
      <c r="S516" s="119"/>
      <c r="T516" s="65" t="n">
        <f aca="false">IF(D516&gt;0,(I516/D516),"")</f>
        <v>0.03</v>
      </c>
      <c r="U516" s="119"/>
      <c r="V516" s="119"/>
      <c r="W516" s="119"/>
      <c r="X516" s="119"/>
      <c r="Y516" s="119"/>
      <c r="Z516" s="119"/>
      <c r="AA516" s="119"/>
      <c r="AB516" s="119"/>
      <c r="AC516" s="119"/>
      <c r="AD516" s="119"/>
      <c r="AE516" s="119"/>
      <c r="AF516" s="119"/>
      <c r="AG516" s="119"/>
      <c r="AH516" s="119"/>
      <c r="AI516" s="119"/>
      <c r="AJ516" s="119"/>
      <c r="AK516" s="119"/>
      <c r="AL516" s="119"/>
      <c r="AM516" s="119"/>
      <c r="AN516" s="119"/>
      <c r="AO516" s="119"/>
      <c r="AP516" s="119"/>
      <c r="AQ516" s="119"/>
      <c r="AR516" s="119"/>
      <c r="AS516" s="119"/>
      <c r="AT516" s="119"/>
      <c r="AU516" s="119"/>
      <c r="AV516" s="119"/>
      <c r="AW516" s="119"/>
      <c r="AX516" s="119"/>
      <c r="AY516" s="119"/>
      <c r="AZ516" s="119"/>
      <c r="BA516" s="119"/>
      <c r="BB516" s="119"/>
      <c r="BC516" s="119"/>
      <c r="BD516" s="119"/>
      <c r="BE516" s="119"/>
      <c r="BF516" s="119"/>
      <c r="BG516" s="119"/>
      <c r="BH516" s="119"/>
      <c r="BI516" s="119"/>
      <c r="BJ516" s="119"/>
      <c r="BK516" s="119"/>
      <c r="BL516" s="119"/>
      <c r="BM516" s="119"/>
      <c r="BN516" s="119"/>
      <c r="BO516" s="119"/>
      <c r="BP516" s="119"/>
      <c r="BQ516" s="119"/>
      <c r="BR516" s="119"/>
      <c r="BS516" s="119"/>
      <c r="BT516" s="119"/>
      <c r="BU516" s="119"/>
      <c r="BV516" s="119"/>
      <c r="BW516" s="119"/>
      <c r="BX516" s="119"/>
      <c r="BY516" s="119"/>
      <c r="BZ516" s="119"/>
      <c r="CA516" s="119"/>
      <c r="CB516" s="119"/>
      <c r="CC516" s="119"/>
      <c r="CD516" s="119"/>
      <c r="CE516" s="119"/>
      <c r="CF516" s="119"/>
      <c r="CG516" s="119"/>
      <c r="CH516" s="119"/>
      <c r="CI516" s="119"/>
      <c r="CJ516" s="119"/>
      <c r="CK516" s="119"/>
      <c r="CL516" s="119"/>
      <c r="CM516" s="119"/>
      <c r="CN516" s="119"/>
      <c r="CO516" s="119"/>
      <c r="CP516" s="119"/>
      <c r="CQ516" s="119"/>
      <c r="CR516" s="119"/>
      <c r="CS516" s="119"/>
      <c r="CT516" s="119"/>
      <c r="CU516" s="119"/>
      <c r="CV516" s="119"/>
      <c r="CW516" s="119"/>
      <c r="CX516" s="119"/>
      <c r="CY516" s="119"/>
      <c r="CZ516" s="119"/>
      <c r="DA516" s="119"/>
      <c r="DB516" s="119"/>
      <c r="DC516" s="119"/>
      <c r="DD516" s="119"/>
      <c r="DE516" s="119"/>
      <c r="DF516" s="119"/>
      <c r="DG516" s="119"/>
      <c r="DH516" s="119"/>
      <c r="DI516" s="119"/>
      <c r="DJ516" s="119"/>
      <c r="DK516" s="119"/>
      <c r="DL516" s="119"/>
      <c r="DM516" s="119"/>
      <c r="DN516" s="119"/>
      <c r="DO516" s="119"/>
      <c r="DP516" s="119"/>
      <c r="DQ516" s="119"/>
      <c r="DR516" s="119"/>
      <c r="DS516" s="119"/>
      <c r="DT516" s="119"/>
      <c r="DU516" s="119"/>
      <c r="DV516" s="119"/>
      <c r="DW516" s="119"/>
      <c r="DX516" s="119"/>
      <c r="DY516" s="119"/>
      <c r="DZ516" s="119"/>
      <c r="EA516" s="119"/>
      <c r="EB516" s="119"/>
      <c r="EC516" s="119"/>
      <c r="ED516" s="119"/>
      <c r="EE516" s="119"/>
      <c r="EF516" s="119"/>
      <c r="EG516" s="119"/>
      <c r="EH516" s="119"/>
      <c r="EI516" s="119"/>
      <c r="EJ516" s="119"/>
      <c r="EK516" s="119"/>
      <c r="EL516" s="119"/>
      <c r="EM516" s="119"/>
      <c r="EN516" s="119"/>
      <c r="EO516" s="119"/>
      <c r="EP516" s="119"/>
      <c r="EQ516" s="119"/>
      <c r="ER516" s="119"/>
      <c r="ES516" s="119"/>
      <c r="ET516" s="119"/>
      <c r="EU516" s="119"/>
      <c r="EV516" s="119"/>
      <c r="EW516" s="119"/>
      <c r="EX516" s="119"/>
      <c r="EY516" s="119"/>
      <c r="EZ516" s="119"/>
      <c r="FA516" s="119"/>
      <c r="FB516" s="119"/>
      <c r="FC516" s="119"/>
      <c r="FD516" s="119"/>
      <c r="FE516" s="119"/>
      <c r="FF516" s="119"/>
      <c r="FG516" s="119"/>
      <c r="FH516" s="119"/>
      <c r="FI516" s="119"/>
      <c r="FJ516" s="119"/>
      <c r="FK516" s="119"/>
      <c r="FL516" s="119"/>
      <c r="FM516" s="119"/>
      <c r="FN516" s="119"/>
      <c r="FO516" s="119"/>
      <c r="FP516" s="119"/>
      <c r="FQ516" s="119"/>
      <c r="FR516" s="119"/>
      <c r="FS516" s="119"/>
      <c r="FT516" s="119"/>
      <c r="FU516" s="119"/>
      <c r="FV516" s="119"/>
      <c r="FW516" s="119"/>
      <c r="FX516" s="119"/>
      <c r="FY516" s="119"/>
      <c r="FZ516" s="119"/>
      <c r="GA516" s="119"/>
      <c r="GB516" s="119"/>
      <c r="GC516" s="119"/>
      <c r="GD516" s="119"/>
      <c r="GE516" s="119"/>
      <c r="GF516" s="119"/>
      <c r="GG516" s="119"/>
      <c r="GH516" s="119"/>
      <c r="GI516" s="119"/>
      <c r="GJ516" s="119"/>
      <c r="GK516" s="119"/>
      <c r="GL516" s="119"/>
      <c r="GM516" s="119"/>
      <c r="GN516" s="119"/>
      <c r="GO516" s="119"/>
      <c r="GP516" s="119"/>
      <c r="GQ516" s="119"/>
      <c r="GR516" s="119"/>
      <c r="GS516" s="119"/>
      <c r="GT516" s="119"/>
      <c r="GU516" s="119"/>
      <c r="GV516" s="119"/>
      <c r="GW516" s="119"/>
      <c r="GX516" s="119"/>
      <c r="GY516" s="119"/>
      <c r="GZ516" s="119"/>
      <c r="HA516" s="119"/>
      <c r="HB516" s="119"/>
      <c r="HC516" s="119"/>
      <c r="HD516" s="119"/>
      <c r="HE516" s="119"/>
      <c r="HF516" s="119"/>
      <c r="HG516" s="119"/>
      <c r="HH516" s="119"/>
      <c r="HI516" s="119"/>
      <c r="HJ516" s="119"/>
      <c r="HK516" s="119"/>
      <c r="HL516" s="119"/>
      <c r="HM516" s="119"/>
      <c r="HN516" s="119"/>
      <c r="HO516" s="119"/>
      <c r="HP516" s="119"/>
      <c r="HQ516" s="119"/>
      <c r="HR516" s="119"/>
      <c r="HS516" s="119"/>
      <c r="HT516" s="119"/>
      <c r="HU516" s="119"/>
      <c r="HV516" s="119"/>
      <c r="HW516" s="119"/>
      <c r="HX516" s="119"/>
      <c r="HY516" s="119"/>
      <c r="HZ516" s="119"/>
      <c r="IA516" s="119"/>
      <c r="IB516" s="119"/>
      <c r="IC516" s="119"/>
      <c r="ID516" s="119"/>
      <c r="IE516" s="119"/>
      <c r="IF516" s="119"/>
      <c r="IG516" s="119"/>
      <c r="IH516" s="119"/>
      <c r="II516" s="119"/>
      <c r="IJ516" s="119"/>
      <c r="IK516" s="119"/>
      <c r="IL516" s="119"/>
      <c r="IM516" s="119"/>
      <c r="IN516" s="119"/>
      <c r="IO516" s="119"/>
      <c r="IP516" s="119"/>
      <c r="IQ516" s="119"/>
      <c r="IR516" s="119"/>
      <c r="IS516" s="119"/>
      <c r="IT516" s="119"/>
      <c r="IU516" s="119"/>
      <c r="IV516" s="119"/>
      <c r="IW516" s="119"/>
    </row>
    <row r="517" customFormat="false" ht="18.75" hidden="true" customHeight="false" outlineLevel="0" collapsed="false">
      <c r="A517" s="234" t="s">
        <v>486</v>
      </c>
      <c r="B517" s="113"/>
      <c r="C517" s="114"/>
      <c r="D517" s="69" t="n">
        <f aca="false">I517/0.03</f>
        <v>2985.63333333333</v>
      </c>
      <c r="E517" s="116" t="n">
        <f aca="false">123137/1000</f>
        <v>123.137</v>
      </c>
      <c r="F517" s="116" t="n">
        <f aca="false">-33568/1000</f>
        <v>-33.568</v>
      </c>
      <c r="G517" s="116"/>
      <c r="H517" s="116"/>
      <c r="I517" s="117" t="n">
        <f aca="false">SUM(E517:G517)</f>
        <v>89.569</v>
      </c>
      <c r="J517" s="118" t="s">
        <v>21</v>
      </c>
      <c r="K517" s="119"/>
      <c r="L517" s="119"/>
      <c r="M517" s="119"/>
      <c r="N517" s="119"/>
      <c r="O517" s="119"/>
      <c r="P517" s="119"/>
      <c r="Q517" s="119"/>
      <c r="R517" s="119"/>
      <c r="S517" s="119"/>
      <c r="T517" s="65" t="n">
        <f aca="false">IF(D517&gt;0,(I517/D517),"")</f>
        <v>0.03</v>
      </c>
      <c r="U517" s="119"/>
      <c r="V517" s="119"/>
      <c r="W517" s="119"/>
      <c r="X517" s="119"/>
      <c r="Y517" s="119"/>
      <c r="Z517" s="119"/>
      <c r="AA517" s="119"/>
      <c r="AB517" s="119"/>
      <c r="AC517" s="119"/>
      <c r="AD517" s="119"/>
      <c r="AE517" s="119"/>
      <c r="AF517" s="119"/>
      <c r="AG517" s="119"/>
      <c r="AH517" s="119"/>
      <c r="AI517" s="119"/>
      <c r="AJ517" s="119"/>
      <c r="AK517" s="119"/>
      <c r="AL517" s="119"/>
      <c r="AM517" s="119"/>
      <c r="AN517" s="119"/>
      <c r="AO517" s="119"/>
      <c r="AP517" s="119"/>
      <c r="AQ517" s="119"/>
      <c r="AR517" s="119"/>
      <c r="AS517" s="119"/>
      <c r="AT517" s="119"/>
      <c r="AU517" s="119"/>
      <c r="AV517" s="119"/>
      <c r="AW517" s="119"/>
      <c r="AX517" s="119"/>
      <c r="AY517" s="119"/>
      <c r="AZ517" s="119"/>
      <c r="BA517" s="119"/>
      <c r="BB517" s="119"/>
      <c r="BC517" s="119"/>
      <c r="BD517" s="119"/>
      <c r="BE517" s="119"/>
      <c r="BF517" s="119"/>
      <c r="BG517" s="119"/>
      <c r="BH517" s="119"/>
      <c r="BI517" s="119"/>
      <c r="BJ517" s="119"/>
      <c r="BK517" s="119"/>
      <c r="BL517" s="119"/>
      <c r="BM517" s="119"/>
      <c r="BN517" s="119"/>
      <c r="BO517" s="119"/>
      <c r="BP517" s="119"/>
      <c r="BQ517" s="119"/>
      <c r="BR517" s="119"/>
      <c r="BS517" s="119"/>
      <c r="BT517" s="119"/>
      <c r="BU517" s="119"/>
      <c r="BV517" s="119"/>
      <c r="BW517" s="119"/>
      <c r="BX517" s="119"/>
      <c r="BY517" s="119"/>
      <c r="BZ517" s="119"/>
      <c r="CA517" s="119"/>
      <c r="CB517" s="119"/>
      <c r="CC517" s="119"/>
      <c r="CD517" s="119"/>
      <c r="CE517" s="119"/>
      <c r="CF517" s="119"/>
      <c r="CG517" s="119"/>
      <c r="CH517" s="119"/>
      <c r="CI517" s="119"/>
      <c r="CJ517" s="119"/>
      <c r="CK517" s="119"/>
      <c r="CL517" s="119"/>
      <c r="CM517" s="119"/>
      <c r="CN517" s="119"/>
      <c r="CO517" s="119"/>
      <c r="CP517" s="119"/>
      <c r="CQ517" s="119"/>
      <c r="CR517" s="119"/>
      <c r="CS517" s="119"/>
      <c r="CT517" s="119"/>
      <c r="CU517" s="119"/>
      <c r="CV517" s="119"/>
      <c r="CW517" s="119"/>
      <c r="CX517" s="119"/>
      <c r="CY517" s="119"/>
      <c r="CZ517" s="119"/>
      <c r="DA517" s="119"/>
      <c r="DB517" s="119"/>
      <c r="DC517" s="119"/>
      <c r="DD517" s="119"/>
      <c r="DE517" s="119"/>
      <c r="DF517" s="119"/>
      <c r="DG517" s="119"/>
      <c r="DH517" s="119"/>
      <c r="DI517" s="119"/>
      <c r="DJ517" s="119"/>
      <c r="DK517" s="119"/>
      <c r="DL517" s="119"/>
      <c r="DM517" s="119"/>
      <c r="DN517" s="119"/>
      <c r="DO517" s="119"/>
      <c r="DP517" s="119"/>
      <c r="DQ517" s="119"/>
      <c r="DR517" s="119"/>
      <c r="DS517" s="119"/>
      <c r="DT517" s="119"/>
      <c r="DU517" s="119"/>
      <c r="DV517" s="119"/>
      <c r="DW517" s="119"/>
      <c r="DX517" s="119"/>
      <c r="DY517" s="119"/>
      <c r="DZ517" s="119"/>
      <c r="EA517" s="119"/>
      <c r="EB517" s="119"/>
      <c r="EC517" s="119"/>
      <c r="ED517" s="119"/>
      <c r="EE517" s="119"/>
      <c r="EF517" s="119"/>
      <c r="EG517" s="119"/>
      <c r="EH517" s="119"/>
      <c r="EI517" s="119"/>
      <c r="EJ517" s="119"/>
      <c r="EK517" s="119"/>
      <c r="EL517" s="119"/>
      <c r="EM517" s="119"/>
      <c r="EN517" s="119"/>
      <c r="EO517" s="119"/>
      <c r="EP517" s="119"/>
      <c r="EQ517" s="119"/>
      <c r="ER517" s="119"/>
      <c r="ES517" s="119"/>
      <c r="ET517" s="119"/>
      <c r="EU517" s="119"/>
      <c r="EV517" s="119"/>
      <c r="EW517" s="119"/>
      <c r="EX517" s="119"/>
      <c r="EY517" s="119"/>
      <c r="EZ517" s="119"/>
      <c r="FA517" s="119"/>
      <c r="FB517" s="119"/>
      <c r="FC517" s="119"/>
      <c r="FD517" s="119"/>
      <c r="FE517" s="119"/>
      <c r="FF517" s="119"/>
      <c r="FG517" s="119"/>
      <c r="FH517" s="119"/>
      <c r="FI517" s="119"/>
      <c r="FJ517" s="119"/>
      <c r="FK517" s="119"/>
      <c r="FL517" s="119"/>
      <c r="FM517" s="119"/>
      <c r="FN517" s="119"/>
      <c r="FO517" s="119"/>
      <c r="FP517" s="119"/>
      <c r="FQ517" s="119"/>
      <c r="FR517" s="119"/>
      <c r="FS517" s="119"/>
      <c r="FT517" s="119"/>
      <c r="FU517" s="119"/>
      <c r="FV517" s="119"/>
      <c r="FW517" s="119"/>
      <c r="FX517" s="119"/>
      <c r="FY517" s="119"/>
      <c r="FZ517" s="119"/>
      <c r="GA517" s="119"/>
      <c r="GB517" s="119"/>
      <c r="GC517" s="119"/>
      <c r="GD517" s="119"/>
      <c r="GE517" s="119"/>
      <c r="GF517" s="119"/>
      <c r="GG517" s="119"/>
      <c r="GH517" s="119"/>
      <c r="GI517" s="119"/>
      <c r="GJ517" s="119"/>
      <c r="GK517" s="119"/>
      <c r="GL517" s="119"/>
      <c r="GM517" s="119"/>
      <c r="GN517" s="119"/>
      <c r="GO517" s="119"/>
      <c r="GP517" s="119"/>
      <c r="GQ517" s="119"/>
      <c r="GR517" s="119"/>
      <c r="GS517" s="119"/>
      <c r="GT517" s="119"/>
      <c r="GU517" s="119"/>
      <c r="GV517" s="119"/>
      <c r="GW517" s="119"/>
      <c r="GX517" s="119"/>
      <c r="GY517" s="119"/>
      <c r="GZ517" s="119"/>
      <c r="HA517" s="119"/>
      <c r="HB517" s="119"/>
      <c r="HC517" s="119"/>
      <c r="HD517" s="119"/>
      <c r="HE517" s="119"/>
      <c r="HF517" s="119"/>
      <c r="HG517" s="119"/>
      <c r="HH517" s="119"/>
      <c r="HI517" s="119"/>
      <c r="HJ517" s="119"/>
      <c r="HK517" s="119"/>
      <c r="HL517" s="119"/>
      <c r="HM517" s="119"/>
      <c r="HN517" s="119"/>
      <c r="HO517" s="119"/>
      <c r="HP517" s="119"/>
      <c r="HQ517" s="119"/>
      <c r="HR517" s="119"/>
      <c r="HS517" s="119"/>
      <c r="HT517" s="119"/>
      <c r="HU517" s="119"/>
      <c r="HV517" s="119"/>
      <c r="HW517" s="119"/>
      <c r="HX517" s="119"/>
      <c r="HY517" s="119"/>
      <c r="HZ517" s="119"/>
      <c r="IA517" s="119"/>
      <c r="IB517" s="119"/>
      <c r="IC517" s="119"/>
      <c r="ID517" s="119"/>
      <c r="IE517" s="119"/>
      <c r="IF517" s="119"/>
      <c r="IG517" s="119"/>
      <c r="IH517" s="119"/>
      <c r="II517" s="119"/>
      <c r="IJ517" s="119"/>
      <c r="IK517" s="119"/>
      <c r="IL517" s="119"/>
      <c r="IM517" s="119"/>
      <c r="IN517" s="119"/>
      <c r="IO517" s="119"/>
      <c r="IP517" s="119"/>
      <c r="IQ517" s="119"/>
      <c r="IR517" s="119"/>
      <c r="IS517" s="119"/>
      <c r="IT517" s="119"/>
      <c r="IU517" s="119"/>
      <c r="IV517" s="119"/>
      <c r="IW517" s="119"/>
    </row>
    <row r="518" customFormat="false" ht="18.75" hidden="true" customHeight="false" outlineLevel="0" collapsed="false">
      <c r="A518" s="227" t="s">
        <v>487</v>
      </c>
      <c r="B518" s="182"/>
      <c r="C518" s="183"/>
      <c r="D518" s="92" t="n">
        <f aca="false">I518/0.03</f>
        <v>-17.2</v>
      </c>
      <c r="E518" s="93" t="n">
        <v>-0.628</v>
      </c>
      <c r="F518" s="81" t="n">
        <f aca="false">112/1000</f>
        <v>0.112</v>
      </c>
      <c r="G518" s="81"/>
      <c r="H518" s="81"/>
      <c r="I518" s="94" t="n">
        <f aca="false">F518+E518</f>
        <v>-0.516</v>
      </c>
      <c r="J518" s="118" t="s">
        <v>226</v>
      </c>
      <c r="K518" s="74"/>
      <c r="L518" s="74"/>
      <c r="M518" s="119"/>
      <c r="N518" s="74"/>
      <c r="O518" s="74"/>
      <c r="P518" s="74"/>
      <c r="Q518" s="74"/>
      <c r="R518" s="74"/>
      <c r="S518" s="74"/>
      <c r="T518" s="65" t="str">
        <f aca="false">IF(D518&gt;0,(I518/D518),"")</f>
        <v/>
      </c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/>
      <c r="FL518" s="74"/>
      <c r="FM518" s="74"/>
      <c r="FN518" s="74"/>
      <c r="FO518" s="74"/>
      <c r="FP518" s="74"/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</row>
    <row r="519" customFormat="false" ht="18.75" hidden="true" customHeight="false" outlineLevel="0" collapsed="false">
      <c r="A519" s="227" t="s">
        <v>488</v>
      </c>
      <c r="B519" s="182"/>
      <c r="C519" s="183"/>
      <c r="D519" s="92" t="n">
        <f aca="false">I519/0.03</f>
        <v>-617.466666666667</v>
      </c>
      <c r="E519" s="93" t="n">
        <v>-21.969</v>
      </c>
      <c r="F519" s="81" t="n">
        <f aca="false">3445/1000</f>
        <v>3.445</v>
      </c>
      <c r="G519" s="81"/>
      <c r="H519" s="81"/>
      <c r="I519" s="94" t="n">
        <f aca="false">F519+E519</f>
        <v>-18.524</v>
      </c>
      <c r="J519" s="118" t="s">
        <v>226</v>
      </c>
      <c r="K519" s="186"/>
      <c r="L519" s="74"/>
      <c r="M519" s="119"/>
      <c r="N519" s="74"/>
      <c r="O519" s="74"/>
      <c r="P519" s="74"/>
      <c r="Q519" s="74"/>
      <c r="R519" s="74"/>
      <c r="S519" s="74"/>
      <c r="T519" s="65" t="str">
        <f aca="false">IF(D519&gt;0,(I519/D519),"")</f>
        <v/>
      </c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/>
      <c r="FL519" s="74"/>
      <c r="FM519" s="74"/>
      <c r="FN519" s="74"/>
      <c r="FO519" s="74"/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</row>
    <row r="520" customFormat="false" ht="18.75" hidden="true" customHeight="false" outlineLevel="0" collapsed="false">
      <c r="A520" s="227" t="s">
        <v>489</v>
      </c>
      <c r="B520" s="235"/>
      <c r="C520" s="236"/>
      <c r="D520" s="92" t="n">
        <f aca="false">I520/0.03</f>
        <v>9716.23333333333</v>
      </c>
      <c r="E520" s="237" t="n">
        <f aca="false">400724/1000</f>
        <v>400.724</v>
      </c>
      <c r="F520" s="238" t="n">
        <f aca="false">-109237/1000</f>
        <v>-109.237</v>
      </c>
      <c r="G520" s="238"/>
      <c r="H520" s="238"/>
      <c r="I520" s="239" t="n">
        <f aca="false">F520+E520</f>
        <v>291.487</v>
      </c>
      <c r="J520" s="118" t="s">
        <v>21</v>
      </c>
      <c r="K520" s="74"/>
      <c r="L520" s="74"/>
      <c r="M520" s="119"/>
      <c r="N520" s="74"/>
      <c r="O520" s="74"/>
      <c r="P520" s="74"/>
      <c r="Q520" s="74"/>
      <c r="R520" s="74"/>
      <c r="S520" s="74"/>
      <c r="T520" s="65" t="n">
        <f aca="false">IF(D520&gt;0,(I520/D520),"")</f>
        <v>0.03</v>
      </c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/>
      <c r="FM520" s="74"/>
      <c r="FN520" s="74"/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</row>
    <row r="521" customFormat="false" ht="18.75" hidden="true" customHeight="false" outlineLevel="0" collapsed="false">
      <c r="A521" s="227" t="s">
        <v>490</v>
      </c>
      <c r="B521" s="235"/>
      <c r="C521" s="236"/>
      <c r="D521" s="92" t="n">
        <f aca="false">I521/0.03</f>
        <v>1817</v>
      </c>
      <c r="E521" s="237" t="n">
        <f aca="false">75146/1000</f>
        <v>75.146</v>
      </c>
      <c r="F521" s="238" t="n">
        <v>-20.636</v>
      </c>
      <c r="G521" s="238"/>
      <c r="H521" s="238"/>
      <c r="I521" s="239" t="n">
        <f aca="false">F521+E521</f>
        <v>54.51</v>
      </c>
      <c r="J521" s="118" t="s">
        <v>21</v>
      </c>
      <c r="K521" s="74"/>
      <c r="L521" s="74"/>
      <c r="M521" s="119"/>
      <c r="N521" s="74"/>
      <c r="O521" s="74"/>
      <c r="P521" s="74"/>
      <c r="Q521" s="74"/>
      <c r="R521" s="74"/>
      <c r="S521" s="74"/>
      <c r="T521" s="65" t="n">
        <f aca="false">IF(D521&gt;0,(I521/D521),"")</f>
        <v>0.03</v>
      </c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/>
      <c r="FM521" s="74"/>
      <c r="FN521" s="74"/>
      <c r="FO521" s="74"/>
      <c r="FP521" s="74"/>
      <c r="FQ521" s="74"/>
      <c r="FR521" s="74"/>
      <c r="FS521" s="74"/>
      <c r="FT521" s="74"/>
      <c r="FU521" s="74"/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</row>
    <row r="522" customFormat="false" ht="18.75" hidden="true" customHeight="false" outlineLevel="0" collapsed="false">
      <c r="A522" s="227" t="s">
        <v>491</v>
      </c>
      <c r="B522" s="182"/>
      <c r="C522" s="183"/>
      <c r="D522" s="92" t="n">
        <f aca="false">I522/0.03</f>
        <v>1935.03333333333</v>
      </c>
      <c r="E522" s="93" t="n">
        <f aca="false">79781/1000</f>
        <v>79.781</v>
      </c>
      <c r="F522" s="81" t="n">
        <v>-21.73</v>
      </c>
      <c r="G522" s="81"/>
      <c r="H522" s="81"/>
      <c r="I522" s="94" t="n">
        <f aca="false">F522+E522</f>
        <v>58.051</v>
      </c>
      <c r="J522" s="118" t="s">
        <v>21</v>
      </c>
      <c r="K522" s="74"/>
      <c r="L522" s="74"/>
      <c r="M522" s="119"/>
      <c r="N522" s="74"/>
      <c r="O522" s="74"/>
      <c r="P522" s="74"/>
      <c r="Q522" s="74"/>
      <c r="R522" s="74"/>
      <c r="S522" s="74"/>
      <c r="T522" s="65" t="n">
        <f aca="false">IF(D522&gt;0,(I522/D522),"")</f>
        <v>0.03</v>
      </c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/>
      <c r="FM522" s="74"/>
      <c r="FN522" s="74"/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</row>
    <row r="523" customFormat="false" ht="18.75" hidden="true" customHeight="false" outlineLevel="0" collapsed="false">
      <c r="A523" s="227" t="s">
        <v>492</v>
      </c>
      <c r="B523" s="182"/>
      <c r="C523" s="183"/>
      <c r="D523" s="92" t="n">
        <f aca="false">I523/0.03</f>
        <v>801.5</v>
      </c>
      <c r="E523" s="93" t="n">
        <f aca="false">33218/1000</f>
        <v>33.218</v>
      </c>
      <c r="F523" s="81" t="n">
        <v>-9.173</v>
      </c>
      <c r="G523" s="81"/>
      <c r="H523" s="81"/>
      <c r="I523" s="94" t="n">
        <f aca="false">F523+E523</f>
        <v>24.045</v>
      </c>
      <c r="J523" s="118" t="s">
        <v>21</v>
      </c>
      <c r="K523" s="74"/>
      <c r="L523" s="74"/>
      <c r="M523" s="119"/>
      <c r="N523" s="74"/>
      <c r="O523" s="74"/>
      <c r="P523" s="74"/>
      <c r="Q523" s="74"/>
      <c r="R523" s="74"/>
      <c r="S523" s="74"/>
      <c r="T523" s="65" t="n">
        <f aca="false">IF(D523&gt;0,(I523/D523),"")</f>
        <v>0.03</v>
      </c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/>
      <c r="FM523" s="74"/>
      <c r="FN523" s="74"/>
      <c r="FO523" s="74"/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74"/>
      <c r="GA523" s="74"/>
      <c r="GB523" s="74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</row>
    <row r="524" customFormat="false" ht="18.75" hidden="true" customHeight="false" outlineLevel="0" collapsed="false">
      <c r="A524" s="227" t="s">
        <v>493</v>
      </c>
      <c r="B524" s="182"/>
      <c r="C524" s="183"/>
      <c r="D524" s="92" t="n">
        <f aca="false">I524/0.03</f>
        <v>5327.46666666667</v>
      </c>
      <c r="E524" s="93" t="n">
        <f aca="false">221164/1000</f>
        <v>221.164</v>
      </c>
      <c r="F524" s="81" t="n">
        <f aca="false">-61340/1000</f>
        <v>-61.34</v>
      </c>
      <c r="G524" s="81"/>
      <c r="H524" s="81"/>
      <c r="I524" s="94" t="n">
        <f aca="false">F524+E524</f>
        <v>159.824</v>
      </c>
      <c r="J524" s="118" t="s">
        <v>21</v>
      </c>
      <c r="K524" s="74"/>
      <c r="L524" s="74"/>
      <c r="M524" s="119"/>
      <c r="N524" s="74"/>
      <c r="O524" s="74"/>
      <c r="P524" s="74"/>
      <c r="Q524" s="74"/>
      <c r="R524" s="74"/>
      <c r="S524" s="74"/>
      <c r="T524" s="65" t="n">
        <f aca="false">IF(D524&gt;0,(I524/D524),"")</f>
        <v>0.03</v>
      </c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/>
      <c r="FL524" s="74"/>
      <c r="FM524" s="74"/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</row>
    <row r="525" customFormat="false" ht="18.75" hidden="true" customHeight="false" outlineLevel="0" collapsed="false">
      <c r="A525" s="227" t="s">
        <v>494</v>
      </c>
      <c r="B525" s="182"/>
      <c r="C525" s="183"/>
      <c r="D525" s="92" t="n">
        <f aca="false">I525/0.03</f>
        <v>21.1666666666667</v>
      </c>
      <c r="E525" s="93" t="n">
        <f aca="false">869/1000</f>
        <v>0.869</v>
      </c>
      <c r="F525" s="81" t="n">
        <v>-0.234</v>
      </c>
      <c r="G525" s="81"/>
      <c r="H525" s="81"/>
      <c r="I525" s="94" t="n">
        <f aca="false">F525+E525</f>
        <v>0.635</v>
      </c>
      <c r="J525" s="118" t="s">
        <v>226</v>
      </c>
      <c r="K525" s="74"/>
      <c r="L525" s="74"/>
      <c r="M525" s="119"/>
      <c r="N525" s="74"/>
      <c r="O525" s="74"/>
      <c r="P525" s="74"/>
      <c r="Q525" s="74"/>
      <c r="R525" s="74"/>
      <c r="S525" s="74"/>
      <c r="T525" s="65" t="n">
        <f aca="false">IF(D525&gt;0,(I525/D525),"")</f>
        <v>0.03</v>
      </c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/>
      <c r="FN525" s="74"/>
      <c r="FO525" s="74"/>
      <c r="FP525" s="74"/>
      <c r="FQ525" s="74"/>
      <c r="FR525" s="74"/>
      <c r="FS525" s="74"/>
      <c r="FT525" s="74"/>
      <c r="FU525" s="74"/>
      <c r="FV525" s="74"/>
      <c r="FW525" s="74"/>
      <c r="FX525" s="74"/>
      <c r="FY525" s="74"/>
      <c r="FZ525" s="74"/>
      <c r="GA525" s="74"/>
      <c r="GB525" s="74"/>
      <c r="GC525" s="74"/>
      <c r="GD525" s="74"/>
      <c r="GE525" s="74"/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</row>
    <row r="526" customFormat="false" ht="18.75" hidden="true" customHeight="false" outlineLevel="0" collapsed="false">
      <c r="A526" s="227" t="s">
        <v>495</v>
      </c>
      <c r="B526" s="182"/>
      <c r="C526" s="183"/>
      <c r="D526" s="92" t="n">
        <f aca="false">I526/0.03</f>
        <v>3.46666666666667</v>
      </c>
      <c r="E526" s="93" t="n">
        <f aca="false">146/1000</f>
        <v>0.146</v>
      </c>
      <c r="F526" s="81" t="n">
        <v>-0.042</v>
      </c>
      <c r="G526" s="81"/>
      <c r="H526" s="81"/>
      <c r="I526" s="94" t="n">
        <f aca="false">F526+E526</f>
        <v>0.104</v>
      </c>
      <c r="J526" s="118" t="s">
        <v>226</v>
      </c>
      <c r="K526" s="74"/>
      <c r="L526" s="74"/>
      <c r="M526" s="119"/>
      <c r="N526" s="74"/>
      <c r="O526" s="74"/>
      <c r="P526" s="74"/>
      <c r="Q526" s="74"/>
      <c r="R526" s="74"/>
      <c r="S526" s="74"/>
      <c r="T526" s="65" t="n">
        <f aca="false">IF(D526&gt;0,(I526/D526),"")</f>
        <v>0.03</v>
      </c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/>
      <c r="FL526" s="74"/>
      <c r="FM526" s="74"/>
      <c r="FN526" s="74"/>
      <c r="FO526" s="74"/>
      <c r="FP526" s="74"/>
      <c r="FQ526" s="74"/>
      <c r="FR526" s="74"/>
      <c r="FS526" s="74"/>
      <c r="FT526" s="74"/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</row>
    <row r="527" customFormat="false" ht="18.75" hidden="true" customHeight="false" outlineLevel="0" collapsed="false">
      <c r="A527" s="227" t="s">
        <v>496</v>
      </c>
      <c r="B527" s="182"/>
      <c r="C527" s="183"/>
      <c r="D527" s="92" t="n">
        <f aca="false">I527/0.03</f>
        <v>8.5</v>
      </c>
      <c r="E527" s="93" t="n">
        <f aca="false">351/1000</f>
        <v>0.351</v>
      </c>
      <c r="F527" s="81" t="n">
        <v>-0.096</v>
      </c>
      <c r="G527" s="81"/>
      <c r="H527" s="81"/>
      <c r="I527" s="94" t="n">
        <f aca="false">F527+E527</f>
        <v>0.255</v>
      </c>
      <c r="J527" s="118" t="s">
        <v>226</v>
      </c>
      <c r="K527" s="74"/>
      <c r="L527" s="74"/>
      <c r="M527" s="119"/>
      <c r="N527" s="74"/>
      <c r="O527" s="74"/>
      <c r="P527" s="74"/>
      <c r="Q527" s="74"/>
      <c r="R527" s="74"/>
      <c r="S527" s="74"/>
      <c r="T527" s="65" t="n">
        <f aca="false">IF(D527&gt;0,(I527/D527),"")</f>
        <v>0.03</v>
      </c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/>
      <c r="FM527" s="74"/>
      <c r="FN527" s="74"/>
      <c r="FO527" s="74"/>
      <c r="FP527" s="74"/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</row>
    <row r="528" customFormat="false" ht="18.75" hidden="true" customHeight="false" outlineLevel="0" collapsed="false">
      <c r="A528" s="227" t="s">
        <v>497</v>
      </c>
      <c r="B528" s="182"/>
      <c r="C528" s="183"/>
      <c r="D528" s="92" t="n">
        <f aca="false">I528/0.03</f>
        <v>5.9</v>
      </c>
      <c r="E528" s="93" t="n">
        <f aca="false">239/1000</f>
        <v>0.239</v>
      </c>
      <c r="F528" s="81" t="n">
        <v>-0.062</v>
      </c>
      <c r="G528" s="81"/>
      <c r="H528" s="81"/>
      <c r="I528" s="94" t="n">
        <f aca="false">F528+E528</f>
        <v>0.177</v>
      </c>
      <c r="J528" s="118" t="s">
        <v>226</v>
      </c>
      <c r="K528" s="74"/>
      <c r="L528" s="74"/>
      <c r="M528" s="119"/>
      <c r="N528" s="74"/>
      <c r="O528" s="74"/>
      <c r="P528" s="74"/>
      <c r="Q528" s="74"/>
      <c r="R528" s="74"/>
      <c r="S528" s="74"/>
      <c r="T528" s="65" t="n">
        <f aca="false">IF(D528&gt;0,(I528/D528),"")</f>
        <v>0.03</v>
      </c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/>
      <c r="FM528" s="74"/>
      <c r="FN528" s="74"/>
      <c r="FO528" s="74"/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</row>
    <row r="529" customFormat="false" ht="18.75" hidden="true" customHeight="false" outlineLevel="0" collapsed="false">
      <c r="A529" s="227" t="s">
        <v>498</v>
      </c>
      <c r="B529" s="182"/>
      <c r="C529" s="183"/>
      <c r="D529" s="92" t="n">
        <f aca="false">I529/0.03</f>
        <v>108.933333333333</v>
      </c>
      <c r="E529" s="93" t="n">
        <f aca="false">4085/1000</f>
        <v>4.085</v>
      </c>
      <c r="F529" s="81" t="n">
        <v>-0.817</v>
      </c>
      <c r="G529" s="81"/>
      <c r="H529" s="81"/>
      <c r="I529" s="94" t="n">
        <f aca="false">F529+E529</f>
        <v>3.268</v>
      </c>
      <c r="J529" s="118" t="s">
        <v>226</v>
      </c>
      <c r="K529" s="74"/>
      <c r="L529" s="74"/>
      <c r="M529" s="119"/>
      <c r="N529" s="74"/>
      <c r="O529" s="74"/>
      <c r="P529" s="74"/>
      <c r="Q529" s="74"/>
      <c r="R529" s="74"/>
      <c r="S529" s="74"/>
      <c r="T529" s="65" t="n">
        <f aca="false">IF(D529&gt;0,(I529/D529),"")</f>
        <v>0.03</v>
      </c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/>
      <c r="FM529" s="74"/>
      <c r="FN529" s="74"/>
      <c r="FO529" s="74"/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</row>
    <row r="530" customFormat="false" ht="18.75" hidden="true" customHeight="false" outlineLevel="0" collapsed="false">
      <c r="A530" s="227" t="s">
        <v>499</v>
      </c>
      <c r="B530" s="182"/>
      <c r="C530" s="183"/>
      <c r="D530" s="92" t="n">
        <f aca="false">I530/0.03</f>
        <v>27.5333333333333</v>
      </c>
      <c r="E530" s="93" t="n">
        <f aca="false">1023/1000</f>
        <v>1.023</v>
      </c>
      <c r="F530" s="81" t="n">
        <v>-0.197</v>
      </c>
      <c r="G530" s="81"/>
      <c r="H530" s="81"/>
      <c r="I530" s="94" t="n">
        <f aca="false">F530+E530</f>
        <v>0.826</v>
      </c>
      <c r="J530" s="118" t="s">
        <v>226</v>
      </c>
      <c r="K530" s="74"/>
      <c r="L530" s="74"/>
      <c r="M530" s="119"/>
      <c r="N530" s="74"/>
      <c r="O530" s="74"/>
      <c r="P530" s="74"/>
      <c r="Q530" s="74"/>
      <c r="R530" s="74"/>
      <c r="S530" s="74"/>
      <c r="T530" s="65" t="n">
        <f aca="false">IF(D530&gt;0,(I530/D530),"")</f>
        <v>0.03</v>
      </c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/>
      <c r="FL530" s="74"/>
      <c r="FM530" s="74"/>
      <c r="FN530" s="74"/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</row>
    <row r="531" customFormat="false" ht="18.75" hidden="true" customHeight="false" outlineLevel="0" collapsed="false">
      <c r="A531" s="227" t="s">
        <v>500</v>
      </c>
      <c r="B531" s="182"/>
      <c r="C531" s="183"/>
      <c r="D531" s="92" t="n">
        <f aca="false">I531/0.03</f>
        <v>10.0666666666667</v>
      </c>
      <c r="E531" s="93" t="n">
        <f aca="false">413/1000</f>
        <v>0.413</v>
      </c>
      <c r="F531" s="81" t="n">
        <v>-0.111</v>
      </c>
      <c r="G531" s="81"/>
      <c r="H531" s="81"/>
      <c r="I531" s="94" t="n">
        <f aca="false">F531+E531</f>
        <v>0.302</v>
      </c>
      <c r="J531" s="118" t="s">
        <v>226</v>
      </c>
      <c r="K531" s="74"/>
      <c r="L531" s="74"/>
      <c r="M531" s="119"/>
      <c r="N531" s="74"/>
      <c r="O531" s="74"/>
      <c r="P531" s="74"/>
      <c r="Q531" s="74"/>
      <c r="R531" s="74"/>
      <c r="S531" s="74"/>
      <c r="T531" s="65" t="n">
        <f aca="false">IF(D531&gt;0,(I531/D531),"")</f>
        <v>0.03</v>
      </c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/>
      <c r="FM531" s="74"/>
      <c r="FN531" s="74"/>
      <c r="FO531" s="74"/>
      <c r="FP531" s="74"/>
      <c r="FQ531" s="74"/>
      <c r="FR531" s="74"/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</row>
    <row r="532" customFormat="false" ht="18.75" hidden="true" customHeight="false" outlineLevel="0" collapsed="false">
      <c r="A532" s="227" t="s">
        <v>501</v>
      </c>
      <c r="B532" s="182"/>
      <c r="C532" s="183"/>
      <c r="D532" s="92" t="n">
        <f aca="false">I532/0.03</f>
        <v>20.6</v>
      </c>
      <c r="E532" s="93" t="n">
        <f aca="false">855/1000</f>
        <v>0.855</v>
      </c>
      <c r="F532" s="81" t="n">
        <v>-0.237</v>
      </c>
      <c r="G532" s="81"/>
      <c r="H532" s="81"/>
      <c r="I532" s="94" t="n">
        <f aca="false">F532+E532</f>
        <v>0.618</v>
      </c>
      <c r="J532" s="118" t="s">
        <v>226</v>
      </c>
      <c r="K532" s="74"/>
      <c r="L532" s="74"/>
      <c r="M532" s="119"/>
      <c r="N532" s="74"/>
      <c r="O532" s="74"/>
      <c r="P532" s="74"/>
      <c r="Q532" s="74"/>
      <c r="R532" s="74"/>
      <c r="S532" s="74"/>
      <c r="T532" s="65" t="n">
        <f aca="false">IF(D532&gt;0,(I532/D532),"")</f>
        <v>0.03</v>
      </c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/>
      <c r="FL532" s="74"/>
      <c r="FM532" s="74"/>
      <c r="FN532" s="74"/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</row>
    <row r="533" customFormat="false" ht="18.75" hidden="true" customHeight="false" outlineLevel="0" collapsed="false">
      <c r="A533" s="227" t="s">
        <v>502</v>
      </c>
      <c r="B533" s="182"/>
      <c r="C533" s="183"/>
      <c r="D533" s="92" t="n">
        <f aca="false">I533/0.03</f>
        <v>51.8333333333333</v>
      </c>
      <c r="E533" s="93" t="n">
        <f aca="false">2118/1000</f>
        <v>2.118</v>
      </c>
      <c r="F533" s="81" t="n">
        <v>-0.563</v>
      </c>
      <c r="G533" s="81"/>
      <c r="H533" s="81"/>
      <c r="I533" s="94" t="n">
        <f aca="false">F533+E533</f>
        <v>1.555</v>
      </c>
      <c r="J533" s="118" t="s">
        <v>226</v>
      </c>
      <c r="K533" s="74"/>
      <c r="L533" s="74"/>
      <c r="M533" s="119"/>
      <c r="N533" s="74"/>
      <c r="O533" s="74"/>
      <c r="P533" s="74"/>
      <c r="Q533" s="74"/>
      <c r="R533" s="74"/>
      <c r="S533" s="74"/>
      <c r="T533" s="65" t="n">
        <f aca="false">IF(D533&gt;0,(I533/D533),"")</f>
        <v>0.03</v>
      </c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/>
      <c r="FM533" s="74"/>
      <c r="FN533" s="74"/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</row>
    <row r="534" customFormat="false" ht="18.75" hidden="true" customHeight="false" outlineLevel="0" collapsed="false">
      <c r="A534" s="227" t="s">
        <v>503</v>
      </c>
      <c r="B534" s="182"/>
      <c r="C534" s="183"/>
      <c r="D534" s="92" t="n">
        <f aca="false">I534/0.03</f>
        <v>54.7</v>
      </c>
      <c r="E534" s="93" t="n">
        <f aca="false">2251/1000</f>
        <v>2.251</v>
      </c>
      <c r="F534" s="81" t="n">
        <v>-0.61</v>
      </c>
      <c r="G534" s="81"/>
      <c r="H534" s="81"/>
      <c r="I534" s="94" t="n">
        <f aca="false">F534+E534</f>
        <v>1.641</v>
      </c>
      <c r="J534" s="118" t="s">
        <v>226</v>
      </c>
      <c r="K534" s="74"/>
      <c r="L534" s="74"/>
      <c r="M534" s="119"/>
      <c r="N534" s="74"/>
      <c r="O534" s="74"/>
      <c r="P534" s="74"/>
      <c r="Q534" s="74"/>
      <c r="R534" s="74"/>
      <c r="S534" s="74"/>
      <c r="T534" s="65" t="n">
        <f aca="false">IF(D534&gt;0,(I534/D534),"")</f>
        <v>0.03</v>
      </c>
      <c r="U534" s="74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4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/>
      <c r="FL534" s="74"/>
      <c r="FM534" s="74"/>
      <c r="FN534" s="74"/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</row>
    <row r="535" customFormat="false" ht="18.75" hidden="true" customHeight="false" outlineLevel="0" collapsed="false">
      <c r="A535" s="227" t="s">
        <v>504</v>
      </c>
      <c r="B535" s="182"/>
      <c r="C535" s="183"/>
      <c r="D535" s="92" t="n">
        <f aca="false">I535/0.03</f>
        <v>125.4</v>
      </c>
      <c r="E535" s="93" t="n">
        <f aca="false">5167/1000</f>
        <v>5.167</v>
      </c>
      <c r="F535" s="81" t="n">
        <v>-1.405</v>
      </c>
      <c r="G535" s="81"/>
      <c r="H535" s="81"/>
      <c r="I535" s="94" t="n">
        <f aca="false">F535+E535</f>
        <v>3.762</v>
      </c>
      <c r="J535" s="118" t="s">
        <v>226</v>
      </c>
      <c r="K535" s="74"/>
      <c r="L535" s="74"/>
      <c r="M535" s="119"/>
      <c r="N535" s="74"/>
      <c r="O535" s="74"/>
      <c r="P535" s="74"/>
      <c r="Q535" s="74"/>
      <c r="R535" s="74"/>
      <c r="S535" s="74"/>
      <c r="T535" s="65" t="n">
        <f aca="false">IF(D535&gt;0,(I535/D535),"")</f>
        <v>0.03</v>
      </c>
      <c r="U535" s="74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4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/>
      <c r="FL535" s="74"/>
      <c r="FM535" s="74"/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</row>
    <row r="536" customFormat="false" ht="18.75" hidden="true" customHeight="false" outlineLevel="0" collapsed="false">
      <c r="A536" s="227" t="s">
        <v>505</v>
      </c>
      <c r="B536" s="182"/>
      <c r="C536" s="183"/>
      <c r="D536" s="92" t="n">
        <f aca="false">I536/0.03</f>
        <v>123.533333333333</v>
      </c>
      <c r="E536" s="93" t="n">
        <f aca="false">5064/1000</f>
        <v>5.064</v>
      </c>
      <c r="F536" s="81" t="n">
        <v>-1.358</v>
      </c>
      <c r="G536" s="81"/>
      <c r="H536" s="81"/>
      <c r="I536" s="94" t="n">
        <f aca="false">F536+E536</f>
        <v>3.706</v>
      </c>
      <c r="J536" s="118" t="s">
        <v>226</v>
      </c>
      <c r="K536" s="74"/>
      <c r="L536" s="74"/>
      <c r="M536" s="119"/>
      <c r="N536" s="74"/>
      <c r="O536" s="74"/>
      <c r="P536" s="74"/>
      <c r="Q536" s="74"/>
      <c r="R536" s="74"/>
      <c r="S536" s="74"/>
      <c r="T536" s="65" t="n">
        <f aca="false">IF(D536&gt;0,(I536/D536),"")</f>
        <v>0.03</v>
      </c>
      <c r="U536" s="74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4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/>
      <c r="FL536" s="74"/>
      <c r="FM536" s="74"/>
      <c r="FN536" s="74"/>
      <c r="FO536" s="74"/>
      <c r="FP536" s="74"/>
      <c r="FQ536" s="74"/>
      <c r="FR536" s="74"/>
      <c r="FS536" s="74"/>
      <c r="FT536" s="74"/>
      <c r="FU536" s="74"/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</row>
    <row r="537" customFormat="false" ht="18.75" hidden="true" customHeight="false" outlineLevel="0" collapsed="false">
      <c r="A537" s="227" t="s">
        <v>506</v>
      </c>
      <c r="B537" s="182"/>
      <c r="C537" s="183"/>
      <c r="D537" s="92" t="n">
        <f aca="false">I537/0.03</f>
        <v>2880.03333333333</v>
      </c>
      <c r="E537" s="93" t="n">
        <f aca="false">101549/1000</f>
        <v>101.549</v>
      </c>
      <c r="F537" s="81" t="n">
        <v>-15.148</v>
      </c>
      <c r="G537" s="81"/>
      <c r="H537" s="81"/>
      <c r="I537" s="94" t="n">
        <f aca="false">F537+E537</f>
        <v>86.401</v>
      </c>
      <c r="J537" s="118" t="s">
        <v>226</v>
      </c>
      <c r="K537" s="74"/>
      <c r="L537" s="74"/>
      <c r="M537" s="119"/>
      <c r="N537" s="74"/>
      <c r="O537" s="74"/>
      <c r="P537" s="74"/>
      <c r="Q537" s="74"/>
      <c r="R537" s="74"/>
      <c r="S537" s="74"/>
      <c r="T537" s="65" t="n">
        <f aca="false">IF(D537&gt;0,(I537/D537),"")</f>
        <v>0.03</v>
      </c>
      <c r="U537" s="74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4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/>
      <c r="FM537" s="74"/>
      <c r="FN537" s="74"/>
      <c r="FO537" s="74"/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</row>
    <row r="538" customFormat="false" ht="18.75" hidden="true" customHeight="false" outlineLevel="0" collapsed="false">
      <c r="A538" s="227" t="s">
        <v>507</v>
      </c>
      <c r="B538" s="182"/>
      <c r="C538" s="183"/>
      <c r="D538" s="92" t="n">
        <f aca="false">I538/0.03</f>
        <v>330.566666666667</v>
      </c>
      <c r="E538" s="93" t="n">
        <f aca="false">14220/1000</f>
        <v>14.22</v>
      </c>
      <c r="F538" s="81" t="n">
        <v>-4.303</v>
      </c>
      <c r="G538" s="81"/>
      <c r="H538" s="81"/>
      <c r="I538" s="94" t="n">
        <f aca="false">F538+E538</f>
        <v>9.917</v>
      </c>
      <c r="J538" s="118" t="s">
        <v>226</v>
      </c>
      <c r="K538" s="74"/>
      <c r="L538" s="74"/>
      <c r="M538" s="119"/>
      <c r="N538" s="74"/>
      <c r="O538" s="74"/>
      <c r="P538" s="74"/>
      <c r="Q538" s="74"/>
      <c r="R538" s="74"/>
      <c r="S538" s="74"/>
      <c r="T538" s="65" t="n">
        <f aca="false">IF(D538&gt;0,(I538/D538),"")</f>
        <v>0.03</v>
      </c>
      <c r="U538" s="74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4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/>
      <c r="FM538" s="74"/>
      <c r="FN538" s="74"/>
      <c r="FO538" s="74"/>
      <c r="FP538" s="74"/>
      <c r="FQ538" s="74"/>
      <c r="FR538" s="74"/>
      <c r="FS538" s="74"/>
      <c r="FT538" s="74"/>
      <c r="FU538" s="74"/>
      <c r="FV538" s="74"/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</row>
    <row r="539" customFormat="false" ht="18.75" hidden="true" customHeight="false" outlineLevel="0" collapsed="false">
      <c r="A539" s="227" t="s">
        <v>508</v>
      </c>
      <c r="B539" s="182"/>
      <c r="C539" s="183"/>
      <c r="D539" s="92" t="n">
        <f aca="false">I539/0.03</f>
        <v>260.166666666667</v>
      </c>
      <c r="E539" s="93" t="n">
        <f aca="false">11707/1000</f>
        <v>11.707</v>
      </c>
      <c r="F539" s="81" t="n">
        <v>-3.902</v>
      </c>
      <c r="G539" s="81"/>
      <c r="H539" s="81"/>
      <c r="I539" s="94" t="n">
        <f aca="false">F539+E539</f>
        <v>7.805</v>
      </c>
      <c r="J539" s="118" t="s">
        <v>226</v>
      </c>
      <c r="K539" s="74"/>
      <c r="L539" s="74"/>
      <c r="M539" s="119"/>
      <c r="N539" s="74"/>
      <c r="O539" s="74"/>
      <c r="P539" s="74"/>
      <c r="Q539" s="74"/>
      <c r="R539" s="74"/>
      <c r="S539" s="74"/>
      <c r="T539" s="65" t="n">
        <f aca="false">IF(D539&gt;0,(I539/D539),"")</f>
        <v>0.03</v>
      </c>
      <c r="U539" s="74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4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/>
      <c r="FL539" s="74"/>
      <c r="FM539" s="74"/>
      <c r="FN539" s="74"/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</row>
    <row r="540" customFormat="false" ht="18.75" hidden="true" customHeight="false" outlineLevel="0" collapsed="false">
      <c r="A540" s="227" t="s">
        <v>509</v>
      </c>
      <c r="B540" s="182"/>
      <c r="C540" s="183"/>
      <c r="D540" s="92" t="n">
        <f aca="false">I540/0.03</f>
        <v>1810.33333333333</v>
      </c>
      <c r="E540" s="93" t="n">
        <f aca="false">74609/1000</f>
        <v>74.609</v>
      </c>
      <c r="F540" s="81" t="n">
        <v>-20.299</v>
      </c>
      <c r="G540" s="81"/>
      <c r="H540" s="81"/>
      <c r="I540" s="94" t="n">
        <f aca="false">F540+E540</f>
        <v>54.31</v>
      </c>
      <c r="J540" s="118" t="s">
        <v>226</v>
      </c>
      <c r="K540" s="74"/>
      <c r="L540" s="74"/>
      <c r="M540" s="119"/>
      <c r="N540" s="74"/>
      <c r="O540" s="74"/>
      <c r="P540" s="74"/>
      <c r="Q540" s="74"/>
      <c r="R540" s="74"/>
      <c r="S540" s="74"/>
      <c r="T540" s="65" t="n">
        <f aca="false">IF(D540&gt;0,(I540/D540),"")</f>
        <v>0.03</v>
      </c>
      <c r="U540" s="74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4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/>
      <c r="FM540" s="74"/>
      <c r="FN540" s="74"/>
      <c r="FO540" s="74"/>
      <c r="FP540" s="74"/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</row>
    <row r="541" customFormat="false" ht="18.75" hidden="true" customHeight="false" outlineLevel="0" collapsed="false">
      <c r="A541" s="227" t="s">
        <v>510</v>
      </c>
      <c r="B541" s="182"/>
      <c r="C541" s="183"/>
      <c r="D541" s="92" t="n">
        <f aca="false">I541/0.03</f>
        <v>161</v>
      </c>
      <c r="E541" s="93" t="n">
        <f aca="false">7052/1000</f>
        <v>7.052</v>
      </c>
      <c r="F541" s="81" t="n">
        <v>-2.222</v>
      </c>
      <c r="G541" s="81"/>
      <c r="H541" s="81"/>
      <c r="I541" s="94" t="n">
        <f aca="false">F541+E541</f>
        <v>4.83</v>
      </c>
      <c r="J541" s="118" t="s">
        <v>226</v>
      </c>
      <c r="K541" s="74"/>
      <c r="L541" s="74"/>
      <c r="M541" s="119"/>
      <c r="N541" s="74"/>
      <c r="O541" s="74"/>
      <c r="P541" s="74"/>
      <c r="Q541" s="74"/>
      <c r="R541" s="74"/>
      <c r="S541" s="74"/>
      <c r="T541" s="65" t="n">
        <f aca="false">IF(D541&gt;0,(I541/D541),"")</f>
        <v>0.03</v>
      </c>
      <c r="U541" s="74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4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/>
      <c r="FM541" s="74"/>
      <c r="FN541" s="74"/>
      <c r="FO541" s="74"/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</row>
    <row r="542" customFormat="false" ht="16.5" hidden="true" customHeight="false" outlineLevel="0" collapsed="false">
      <c r="A542" s="220" t="s">
        <v>511</v>
      </c>
      <c r="B542" s="90"/>
      <c r="C542" s="183"/>
      <c r="D542" s="92" t="n">
        <f aca="false">I542/0.03</f>
        <v>2661.2</v>
      </c>
      <c r="E542" s="93" t="n">
        <v>112.191</v>
      </c>
      <c r="F542" s="81" t="n">
        <v>-32.355</v>
      </c>
      <c r="G542" s="81"/>
      <c r="H542" s="81"/>
      <c r="I542" s="94" t="n">
        <f aca="false">SUM(E542:H542)</f>
        <v>79.836</v>
      </c>
      <c r="J542" s="118" t="s">
        <v>226</v>
      </c>
      <c r="K542" s="74"/>
      <c r="L542" s="74"/>
      <c r="M542" s="119"/>
      <c r="N542" s="74"/>
      <c r="O542" s="74"/>
      <c r="P542" s="74"/>
      <c r="Q542" s="74"/>
      <c r="R542" s="74"/>
      <c r="S542" s="74"/>
      <c r="T542" s="65" t="n">
        <f aca="false">IF(D542&gt;0,(I542/D542),"")</f>
        <v>0.03</v>
      </c>
      <c r="U542" s="74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4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/>
      <c r="FN542" s="74"/>
      <c r="FO542" s="74"/>
      <c r="FP542" s="74"/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</row>
    <row r="543" customFormat="false" ht="16.5" hidden="true" customHeight="false" outlineLevel="0" collapsed="false">
      <c r="A543" s="220" t="s">
        <v>512</v>
      </c>
      <c r="B543" s="90"/>
      <c r="C543" s="183"/>
      <c r="D543" s="92" t="n">
        <f aca="false">I543/0.03</f>
        <v>412.633333333333</v>
      </c>
      <c r="E543" s="93" t="n">
        <v>16.982</v>
      </c>
      <c r="F543" s="81" t="n">
        <v>-4.603</v>
      </c>
      <c r="G543" s="81"/>
      <c r="H543" s="81"/>
      <c r="I543" s="94" t="n">
        <f aca="false">SUM(E543:H543)</f>
        <v>12.379</v>
      </c>
      <c r="J543" s="118" t="s">
        <v>226</v>
      </c>
      <c r="K543" s="74"/>
      <c r="L543" s="74"/>
      <c r="M543" s="119"/>
      <c r="N543" s="74"/>
      <c r="O543" s="74"/>
      <c r="P543" s="74"/>
      <c r="Q543" s="74"/>
      <c r="R543" s="74"/>
      <c r="S543" s="74"/>
      <c r="T543" s="65" t="n">
        <f aca="false">IF(D543&gt;0,(I543/D543),"")</f>
        <v>0.03</v>
      </c>
      <c r="U543" s="74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4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/>
      <c r="FM543" s="74"/>
      <c r="FN543" s="74"/>
      <c r="FO543" s="74"/>
      <c r="FP543" s="74"/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</row>
    <row r="544" customFormat="false" ht="16.5" hidden="true" customHeight="false" outlineLevel="0" collapsed="false">
      <c r="A544" s="220" t="s">
        <v>513</v>
      </c>
      <c r="B544" s="90"/>
      <c r="C544" s="183"/>
      <c r="D544" s="92" t="n">
        <f aca="false">I544/0.03</f>
        <v>3001</v>
      </c>
      <c r="E544" s="93" t="n">
        <v>112.026</v>
      </c>
      <c r="F544" s="81" t="n">
        <v>-21.996</v>
      </c>
      <c r="G544" s="81"/>
      <c r="H544" s="81"/>
      <c r="I544" s="94" t="n">
        <f aca="false">SUM(E544:H544)</f>
        <v>90.03</v>
      </c>
      <c r="J544" s="118" t="s">
        <v>226</v>
      </c>
      <c r="K544" s="74"/>
      <c r="L544" s="74"/>
      <c r="M544" s="119"/>
      <c r="N544" s="74"/>
      <c r="O544" s="74"/>
      <c r="P544" s="74"/>
      <c r="Q544" s="74"/>
      <c r="R544" s="74"/>
      <c r="S544" s="74"/>
      <c r="T544" s="65" t="n">
        <f aca="false">IF(D544&gt;0,(I544/D544),"")</f>
        <v>0.03</v>
      </c>
      <c r="U544" s="74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4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/>
      <c r="FN544" s="74"/>
      <c r="FO544" s="74"/>
      <c r="FP544" s="74"/>
      <c r="FQ544" s="74"/>
      <c r="FR544" s="74"/>
      <c r="FS544" s="74"/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</row>
    <row r="545" customFormat="false" ht="16.5" hidden="true" customHeight="false" outlineLevel="0" collapsed="false">
      <c r="A545" s="220" t="s">
        <v>514</v>
      </c>
      <c r="B545" s="90"/>
      <c r="C545" s="183"/>
      <c r="D545" s="92" t="n">
        <f aca="false">I545/0.03</f>
        <v>1277.03333333333</v>
      </c>
      <c r="E545" s="93" t="n">
        <v>48.677</v>
      </c>
      <c r="F545" s="81" t="n">
        <v>-10.366</v>
      </c>
      <c r="G545" s="81"/>
      <c r="H545" s="81"/>
      <c r="I545" s="94" t="n">
        <f aca="false">SUM(E545:H545)</f>
        <v>38.311</v>
      </c>
      <c r="J545" s="118" t="s">
        <v>226</v>
      </c>
      <c r="K545" s="74"/>
      <c r="L545" s="74"/>
      <c r="M545" s="119"/>
      <c r="N545" s="74"/>
      <c r="O545" s="74"/>
      <c r="P545" s="74"/>
      <c r="Q545" s="74"/>
      <c r="R545" s="74"/>
      <c r="S545" s="74"/>
      <c r="T545" s="65" t="n">
        <f aca="false">IF(D545&gt;0,(I545/D545),"")</f>
        <v>0.03</v>
      </c>
      <c r="U545" s="74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4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/>
      <c r="FN545" s="74"/>
      <c r="FO545" s="74"/>
      <c r="FP545" s="74"/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</row>
    <row r="546" customFormat="false" ht="16.5" hidden="true" customHeight="false" outlineLevel="0" collapsed="false">
      <c r="A546" s="220" t="s">
        <v>515</v>
      </c>
      <c r="B546" s="90"/>
      <c r="C546" s="183"/>
      <c r="D546" s="92" t="n">
        <f aca="false">I546/0.03</f>
        <v>1549.16666666667</v>
      </c>
      <c r="E546" s="93" t="n">
        <v>65.87</v>
      </c>
      <c r="F546" s="81" t="n">
        <v>-19.395</v>
      </c>
      <c r="G546" s="81"/>
      <c r="H546" s="81"/>
      <c r="I546" s="94" t="n">
        <f aca="false">SUM(E546:H546)</f>
        <v>46.475</v>
      </c>
      <c r="J546" s="118" t="s">
        <v>226</v>
      </c>
      <c r="K546" s="74"/>
      <c r="L546" s="74"/>
      <c r="M546" s="119"/>
      <c r="N546" s="74"/>
      <c r="O546" s="74"/>
      <c r="P546" s="74"/>
      <c r="Q546" s="74"/>
      <c r="R546" s="74"/>
      <c r="S546" s="74"/>
      <c r="T546" s="65" t="n">
        <f aca="false">IF(D546&gt;0,(I546/D546),"")</f>
        <v>0.03</v>
      </c>
      <c r="U546" s="74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4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/>
      <c r="FM546" s="74"/>
      <c r="FN546" s="74"/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</row>
    <row r="547" customFormat="false" ht="16.5" hidden="true" customHeight="false" outlineLevel="0" collapsed="false">
      <c r="A547" s="220" t="s">
        <v>516</v>
      </c>
      <c r="B547" s="90"/>
      <c r="C547" s="183"/>
      <c r="D547" s="92" t="n">
        <f aca="false">I547/0.03</f>
        <v>3500.66666666667</v>
      </c>
      <c r="E547" s="93" t="n">
        <v>149.891</v>
      </c>
      <c r="F547" s="81" t="n">
        <v>-44.871</v>
      </c>
      <c r="G547" s="81"/>
      <c r="H547" s="81"/>
      <c r="I547" s="94" t="n">
        <f aca="false">SUM(E547:H547)</f>
        <v>105.02</v>
      </c>
      <c r="J547" s="118" t="s">
        <v>226</v>
      </c>
      <c r="K547" s="74"/>
      <c r="L547" s="74"/>
      <c r="M547" s="119"/>
      <c r="N547" s="74"/>
      <c r="O547" s="74"/>
      <c r="P547" s="74"/>
      <c r="Q547" s="74"/>
      <c r="R547" s="74"/>
      <c r="S547" s="74"/>
      <c r="T547" s="65" t="n">
        <f aca="false">IF(D547&gt;0,(I547/D547),"")</f>
        <v>0.03</v>
      </c>
      <c r="U547" s="74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4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/>
      <c r="FN547" s="74"/>
      <c r="FO547" s="74"/>
      <c r="FP547" s="74"/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</row>
    <row r="548" customFormat="false" ht="16.5" hidden="true" customHeight="false" outlineLevel="0" collapsed="false">
      <c r="A548" s="220" t="s">
        <v>517</v>
      </c>
      <c r="B548" s="90"/>
      <c r="C548" s="183"/>
      <c r="D548" s="92" t="n">
        <f aca="false">I548/0.03</f>
        <v>2495.56666666667</v>
      </c>
      <c r="E548" s="93" t="n">
        <v>107.471</v>
      </c>
      <c r="F548" s="81" t="n">
        <v>-32.604</v>
      </c>
      <c r="G548" s="81"/>
      <c r="H548" s="81"/>
      <c r="I548" s="94" t="n">
        <f aca="false">SUM(E548:H548)</f>
        <v>74.867</v>
      </c>
      <c r="J548" s="118" t="s">
        <v>226</v>
      </c>
      <c r="K548" s="74"/>
      <c r="L548" s="74"/>
      <c r="M548" s="119"/>
      <c r="N548" s="74"/>
      <c r="O548" s="74"/>
      <c r="P548" s="74"/>
      <c r="Q548" s="74"/>
      <c r="R548" s="74"/>
      <c r="S548" s="74"/>
      <c r="T548" s="65" t="n">
        <f aca="false">IF(D548&gt;0,(I548/D548),"")</f>
        <v>0.03</v>
      </c>
      <c r="U548" s="74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4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/>
      <c r="FN548" s="74"/>
      <c r="FO548" s="74"/>
      <c r="FP548" s="74"/>
      <c r="FQ548" s="74"/>
      <c r="FR548" s="74"/>
      <c r="FS548" s="74"/>
      <c r="FT548" s="74"/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</row>
    <row r="549" customFormat="false" ht="16.5" hidden="true" customHeight="false" outlineLevel="0" collapsed="false">
      <c r="A549" s="220" t="s">
        <v>518</v>
      </c>
      <c r="B549" s="90"/>
      <c r="C549" s="183"/>
      <c r="D549" s="92" t="n">
        <f aca="false">I549/0.03</f>
        <v>5811.3</v>
      </c>
      <c r="E549" s="93" t="n">
        <v>235.723</v>
      </c>
      <c r="F549" s="81" t="n">
        <v>-61.384</v>
      </c>
      <c r="G549" s="81"/>
      <c r="H549" s="81"/>
      <c r="I549" s="94" t="n">
        <f aca="false">SUM(E549:H549)</f>
        <v>174.339</v>
      </c>
      <c r="J549" s="118" t="s">
        <v>21</v>
      </c>
      <c r="K549" s="74"/>
      <c r="L549" s="74"/>
      <c r="M549" s="119"/>
      <c r="N549" s="74"/>
      <c r="O549" s="74"/>
      <c r="P549" s="74"/>
      <c r="Q549" s="74"/>
      <c r="R549" s="74"/>
      <c r="S549" s="74"/>
      <c r="T549" s="65" t="n">
        <f aca="false">IF(D549&gt;0,(I549/D549),"")</f>
        <v>0.03</v>
      </c>
      <c r="U549" s="74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4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/>
      <c r="FN549" s="74"/>
      <c r="FO549" s="74"/>
      <c r="FP549" s="74"/>
      <c r="FQ549" s="74"/>
      <c r="FR549" s="74"/>
      <c r="FS549" s="74"/>
      <c r="FT549" s="74"/>
      <c r="FU549" s="74"/>
      <c r="FV549" s="74"/>
      <c r="FW549" s="74"/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</row>
    <row r="550" customFormat="false" ht="16.5" hidden="true" customHeight="false" outlineLevel="0" collapsed="false">
      <c r="A550" s="220" t="s">
        <v>519</v>
      </c>
      <c r="B550" s="90"/>
      <c r="C550" s="183"/>
      <c r="D550" s="92" t="n">
        <f aca="false">I550/0.03</f>
        <v>7137.53333333333</v>
      </c>
      <c r="E550" s="93" t="n">
        <v>295.717</v>
      </c>
      <c r="F550" s="81" t="n">
        <v>-81.591</v>
      </c>
      <c r="G550" s="81"/>
      <c r="H550" s="81"/>
      <c r="I550" s="94" t="n">
        <f aca="false">SUM(E550:H550)</f>
        <v>214.126</v>
      </c>
      <c r="J550" s="118" t="s">
        <v>21</v>
      </c>
      <c r="K550" s="74"/>
      <c r="L550" s="74"/>
      <c r="M550" s="119"/>
      <c r="N550" s="74"/>
      <c r="O550" s="74"/>
      <c r="P550" s="74"/>
      <c r="Q550" s="74"/>
      <c r="R550" s="74"/>
      <c r="S550" s="74"/>
      <c r="T550" s="65" t="n">
        <f aca="false">IF(D550&gt;0,(I550/D550),"")</f>
        <v>0.03</v>
      </c>
      <c r="U550" s="74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4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/>
      <c r="FM550" s="74"/>
      <c r="FN550" s="74"/>
      <c r="FO550" s="74"/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</row>
    <row r="551" customFormat="false" ht="16.5" hidden="true" customHeight="false" outlineLevel="0" collapsed="false">
      <c r="A551" s="220" t="s">
        <v>520</v>
      </c>
      <c r="B551" s="90"/>
      <c r="C551" s="183"/>
      <c r="D551" s="92" t="n">
        <f aca="false">I551/0.03</f>
        <v>15425.0333333333</v>
      </c>
      <c r="E551" s="93" t="n">
        <v>635.489</v>
      </c>
      <c r="F551" s="81" t="n">
        <v>-172.738</v>
      </c>
      <c r="G551" s="81"/>
      <c r="H551" s="81"/>
      <c r="I551" s="94" t="n">
        <f aca="false">SUM(E551:H551)</f>
        <v>462.751</v>
      </c>
      <c r="J551" s="118" t="s">
        <v>21</v>
      </c>
      <c r="K551" s="74"/>
      <c r="L551" s="74"/>
      <c r="M551" s="119"/>
      <c r="N551" s="74"/>
      <c r="O551" s="74"/>
      <c r="P551" s="74"/>
      <c r="Q551" s="74"/>
      <c r="R551" s="74"/>
      <c r="S551" s="74"/>
      <c r="T551" s="65" t="n">
        <f aca="false">IF(D551&gt;0,(I551/D551),"")</f>
        <v>0.03</v>
      </c>
      <c r="U551" s="74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4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/>
      <c r="FN551" s="74"/>
      <c r="FO551" s="74"/>
      <c r="FP551" s="74"/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</row>
    <row r="552" customFormat="false" ht="16.5" hidden="true" customHeight="false" outlineLevel="0" collapsed="false">
      <c r="A552" s="220" t="s">
        <v>521</v>
      </c>
      <c r="B552" s="90"/>
      <c r="C552" s="183"/>
      <c r="D552" s="92" t="n">
        <f aca="false">I552/0.03</f>
        <v>9137.26666666667</v>
      </c>
      <c r="E552" s="93" t="n">
        <v>378.235</v>
      </c>
      <c r="F552" s="81" t="n">
        <v>-104.117</v>
      </c>
      <c r="G552" s="81"/>
      <c r="H552" s="81"/>
      <c r="I552" s="94" t="n">
        <f aca="false">SUM(E552:H552)</f>
        <v>274.118</v>
      </c>
      <c r="J552" s="118" t="s">
        <v>21</v>
      </c>
      <c r="K552" s="74"/>
      <c r="L552" s="74"/>
      <c r="M552" s="119"/>
      <c r="N552" s="74"/>
      <c r="O552" s="74"/>
      <c r="P552" s="74"/>
      <c r="Q552" s="74"/>
      <c r="R552" s="74"/>
      <c r="S552" s="74"/>
      <c r="T552" s="65" t="n">
        <f aca="false">IF(D552&gt;0,(I552/D552),"")</f>
        <v>0.03</v>
      </c>
      <c r="U552" s="74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4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/>
      <c r="FN552" s="74"/>
      <c r="FO552" s="74"/>
      <c r="FP552" s="74"/>
      <c r="FQ552" s="74"/>
      <c r="FR552" s="74"/>
      <c r="FS552" s="74"/>
      <c r="FT552" s="74"/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</row>
    <row r="553" customFormat="false" ht="16.5" hidden="true" customHeight="false" outlineLevel="0" collapsed="false">
      <c r="A553" s="220" t="s">
        <v>522</v>
      </c>
      <c r="B553" s="90"/>
      <c r="C553" s="183"/>
      <c r="D553" s="92" t="n">
        <f aca="false">I553/0.03</f>
        <v>3624.1</v>
      </c>
      <c r="E553" s="93" t="n">
        <v>149.817</v>
      </c>
      <c r="F553" s="81" t="n">
        <v>-41.094</v>
      </c>
      <c r="G553" s="81"/>
      <c r="H553" s="81"/>
      <c r="I553" s="94" t="n">
        <f aca="false">SUM(E553:H553)</f>
        <v>108.723</v>
      </c>
      <c r="J553" s="118" t="s">
        <v>21</v>
      </c>
      <c r="K553" s="74"/>
      <c r="L553" s="74"/>
      <c r="M553" s="119"/>
      <c r="N553" s="74"/>
      <c r="O553" s="74"/>
      <c r="P553" s="74"/>
      <c r="Q553" s="74"/>
      <c r="R553" s="74"/>
      <c r="S553" s="74"/>
      <c r="T553" s="65" t="n">
        <f aca="false">IF(D553&gt;0,(I553/D553),"")</f>
        <v>0.03</v>
      </c>
      <c r="U553" s="74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4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/>
      <c r="FN553" s="74"/>
      <c r="FO553" s="74"/>
      <c r="FP553" s="74"/>
      <c r="FQ553" s="74"/>
      <c r="FR553" s="74"/>
      <c r="FS553" s="74"/>
      <c r="FT553" s="74"/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</row>
    <row r="554" customFormat="false" ht="16.5" hidden="true" customHeight="false" outlineLevel="0" collapsed="false">
      <c r="A554" s="220" t="s">
        <v>523</v>
      </c>
      <c r="B554" s="90"/>
      <c r="C554" s="183"/>
      <c r="D554" s="92" t="n">
        <f aca="false">I554/0.03</f>
        <v>657.633333333333</v>
      </c>
      <c r="E554" s="93" t="n">
        <v>20.266</v>
      </c>
      <c r="F554" s="81" t="n">
        <v>-0.537</v>
      </c>
      <c r="G554" s="81"/>
      <c r="H554" s="81"/>
      <c r="I554" s="94" t="n">
        <f aca="false">SUM(E554:H554)</f>
        <v>19.729</v>
      </c>
      <c r="J554" s="118" t="s">
        <v>21</v>
      </c>
      <c r="K554" s="74"/>
      <c r="L554" s="74"/>
      <c r="M554" s="119"/>
      <c r="N554" s="74"/>
      <c r="O554" s="74"/>
      <c r="P554" s="74"/>
      <c r="Q554" s="74"/>
      <c r="R554" s="74"/>
      <c r="S554" s="74"/>
      <c r="T554" s="65" t="n">
        <f aca="false">IF(D554&gt;0,(I554/D554),"")</f>
        <v>0.03</v>
      </c>
      <c r="U554" s="74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4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/>
      <c r="FN554" s="74"/>
      <c r="FO554" s="74"/>
      <c r="FP554" s="74"/>
      <c r="FQ554" s="74"/>
      <c r="FR554" s="74"/>
      <c r="FS554" s="74"/>
      <c r="FT554" s="74"/>
      <c r="FU554" s="74"/>
      <c r="FV554" s="74"/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</row>
    <row r="555" customFormat="false" ht="16.5" hidden="true" customHeight="false" outlineLevel="0" collapsed="false">
      <c r="A555" s="220" t="s">
        <v>524</v>
      </c>
      <c r="B555" s="90"/>
      <c r="C555" s="183"/>
      <c r="D555" s="92" t="n">
        <f aca="false">I555/0.03</f>
        <v>253.266666666667</v>
      </c>
      <c r="E555" s="93" t="n">
        <v>10.755</v>
      </c>
      <c r="F555" s="81" t="n">
        <v>-3.157</v>
      </c>
      <c r="G555" s="81"/>
      <c r="H555" s="81"/>
      <c r="I555" s="94" t="n">
        <f aca="false">SUM(E555:G555)</f>
        <v>7.598</v>
      </c>
      <c r="J555" s="118" t="s">
        <v>226</v>
      </c>
      <c r="K555" s="74"/>
      <c r="L555" s="74"/>
      <c r="M555" s="119"/>
      <c r="N555" s="74"/>
      <c r="O555" s="74"/>
      <c r="P555" s="74"/>
      <c r="Q555" s="74"/>
      <c r="R555" s="74"/>
      <c r="S555" s="74"/>
      <c r="T555" s="65" t="n">
        <f aca="false">IF(D555&gt;0,(I555/D555),"")</f>
        <v>0.03</v>
      </c>
      <c r="U555" s="74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4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/>
      <c r="FN555" s="74"/>
      <c r="FO555" s="74"/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</row>
    <row r="556" customFormat="false" ht="16.5" hidden="true" customHeight="false" outlineLevel="0" collapsed="false">
      <c r="A556" s="220" t="s">
        <v>525</v>
      </c>
      <c r="B556" s="90"/>
      <c r="C556" s="183"/>
      <c r="D556" s="92" t="n">
        <f aca="false">I556/0.03</f>
        <v>27.1666666666667</v>
      </c>
      <c r="E556" s="93" t="n">
        <v>1.163</v>
      </c>
      <c r="F556" s="81" t="n">
        <v>-0.348</v>
      </c>
      <c r="G556" s="81"/>
      <c r="H556" s="81"/>
      <c r="I556" s="94" t="n">
        <f aca="false">SUM(E556:G556)</f>
        <v>0.815</v>
      </c>
      <c r="J556" s="118" t="s">
        <v>226</v>
      </c>
      <c r="K556" s="74"/>
      <c r="L556" s="74"/>
      <c r="M556" s="119"/>
      <c r="N556" s="74"/>
      <c r="O556" s="74"/>
      <c r="P556" s="74"/>
      <c r="Q556" s="74"/>
      <c r="R556" s="74"/>
      <c r="S556" s="74"/>
      <c r="T556" s="65" t="n">
        <f aca="false">IF(D556&gt;0,(I556/D556),"")</f>
        <v>0.03</v>
      </c>
      <c r="U556" s="74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4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/>
      <c r="FO556" s="74"/>
      <c r="FP556" s="74"/>
      <c r="FQ556" s="74"/>
      <c r="FR556" s="74"/>
      <c r="FS556" s="74"/>
      <c r="FT556" s="74"/>
      <c r="FU556" s="74"/>
      <c r="FV556" s="74"/>
      <c r="FW556" s="74"/>
      <c r="FX556" s="74"/>
      <c r="FY556" s="74"/>
      <c r="FZ556" s="74"/>
      <c r="GA556" s="74"/>
      <c r="GB556" s="74"/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</row>
    <row r="557" customFormat="false" ht="16.5" hidden="true" customHeight="false" outlineLevel="0" collapsed="false">
      <c r="A557" s="220" t="s">
        <v>526</v>
      </c>
      <c r="B557" s="90"/>
      <c r="C557" s="183"/>
      <c r="D557" s="92" t="n">
        <f aca="false">I557/0.03</f>
        <v>435.566666666667</v>
      </c>
      <c r="E557" s="93" t="n">
        <v>16.04</v>
      </c>
      <c r="F557" s="81" t="n">
        <v>-2.973</v>
      </c>
      <c r="G557" s="81"/>
      <c r="H557" s="81"/>
      <c r="I557" s="94" t="n">
        <f aca="false">SUM(E557:G557)</f>
        <v>13.067</v>
      </c>
      <c r="J557" s="118" t="s">
        <v>226</v>
      </c>
      <c r="K557" s="74"/>
      <c r="L557" s="74"/>
      <c r="M557" s="119"/>
      <c r="N557" s="74"/>
      <c r="O557" s="74"/>
      <c r="P557" s="74"/>
      <c r="Q557" s="74"/>
      <c r="R557" s="74"/>
      <c r="S557" s="74"/>
      <c r="T557" s="65" t="n">
        <f aca="false">IF(D557&gt;0,(I557/D557),"")</f>
        <v>0.03</v>
      </c>
      <c r="U557" s="74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/>
      <c r="FN557" s="74"/>
      <c r="FO557" s="74"/>
      <c r="FP557" s="74"/>
      <c r="FQ557" s="74"/>
      <c r="FR557" s="74"/>
      <c r="FS557" s="74"/>
      <c r="FT557" s="74"/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</row>
    <row r="558" customFormat="false" ht="16.5" hidden="true" customHeight="false" outlineLevel="0" collapsed="false">
      <c r="A558" s="220" t="s">
        <v>527</v>
      </c>
      <c r="B558" s="90"/>
      <c r="C558" s="183"/>
      <c r="D558" s="92" t="n">
        <f aca="false">I558/0.03</f>
        <v>1387.23333333333</v>
      </c>
      <c r="E558" s="93" t="n">
        <v>56.352</v>
      </c>
      <c r="F558" s="81" t="n">
        <v>-14.735</v>
      </c>
      <c r="G558" s="81"/>
      <c r="H558" s="81"/>
      <c r="I558" s="94" t="n">
        <f aca="false">SUM(E558:G558)</f>
        <v>41.617</v>
      </c>
      <c r="J558" s="118" t="s">
        <v>226</v>
      </c>
      <c r="K558" s="74"/>
      <c r="L558" s="74"/>
      <c r="M558" s="119"/>
      <c r="N558" s="74"/>
      <c r="O558" s="74"/>
      <c r="P558" s="74"/>
      <c r="Q558" s="74"/>
      <c r="R558" s="74"/>
      <c r="S558" s="74"/>
      <c r="T558" s="65" t="n">
        <f aca="false">IF(D558&gt;0,(I558/D558),"")</f>
        <v>0.03</v>
      </c>
      <c r="U558" s="74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/>
      <c r="FO558" s="74"/>
      <c r="FP558" s="74"/>
      <c r="FQ558" s="74"/>
      <c r="FR558" s="74"/>
      <c r="FS558" s="74"/>
      <c r="FT558" s="74"/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</row>
    <row r="559" customFormat="false" ht="16.5" hidden="true" customHeight="false" outlineLevel="0" collapsed="false">
      <c r="A559" s="220" t="s">
        <v>528</v>
      </c>
      <c r="B559" s="90"/>
      <c r="C559" s="183"/>
      <c r="D559" s="92" t="n">
        <f aca="false">I559/0.03</f>
        <v>323.466666666667</v>
      </c>
      <c r="E559" s="93" t="n">
        <v>13.709</v>
      </c>
      <c r="F559" s="81" t="n">
        <v>-4.005</v>
      </c>
      <c r="G559" s="81"/>
      <c r="H559" s="81"/>
      <c r="I559" s="94" t="n">
        <f aca="false">SUM(E559:G559)</f>
        <v>9.704</v>
      </c>
      <c r="J559" s="118" t="s">
        <v>226</v>
      </c>
      <c r="K559" s="74"/>
      <c r="L559" s="74"/>
      <c r="M559" s="119"/>
      <c r="N559" s="74"/>
      <c r="O559" s="74"/>
      <c r="P559" s="74"/>
      <c r="Q559" s="74"/>
      <c r="R559" s="74"/>
      <c r="S559" s="74"/>
      <c r="T559" s="65" t="n">
        <f aca="false">IF(D559&gt;0,(I559/D559),"")</f>
        <v>0.03</v>
      </c>
      <c r="U559" s="74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/>
      <c r="FO559" s="74"/>
      <c r="FP559" s="74"/>
      <c r="FQ559" s="74"/>
      <c r="FR559" s="74"/>
      <c r="FS559" s="74"/>
      <c r="FT559" s="74"/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</row>
    <row r="560" customFormat="false" ht="16.5" hidden="true" customHeight="false" outlineLevel="0" collapsed="false">
      <c r="A560" s="220" t="s">
        <v>529</v>
      </c>
      <c r="B560" s="90"/>
      <c r="C560" s="183"/>
      <c r="D560" s="92" t="n">
        <f aca="false">I560/0.03</f>
        <v>389.5</v>
      </c>
      <c r="E560" s="93" t="n">
        <v>16.239</v>
      </c>
      <c r="F560" s="81" t="n">
        <v>-4.554</v>
      </c>
      <c r="G560" s="81"/>
      <c r="H560" s="81"/>
      <c r="I560" s="94" t="n">
        <f aca="false">SUM(E560:G560)</f>
        <v>11.685</v>
      </c>
      <c r="J560" s="118" t="s">
        <v>226</v>
      </c>
      <c r="K560" s="74"/>
      <c r="L560" s="74"/>
      <c r="M560" s="119"/>
      <c r="N560" s="74"/>
      <c r="O560" s="74"/>
      <c r="P560" s="74"/>
      <c r="Q560" s="74"/>
      <c r="R560" s="74"/>
      <c r="S560" s="74"/>
      <c r="T560" s="65" t="n">
        <f aca="false">IF(D560&gt;0,(I560/D560),"")</f>
        <v>0.03</v>
      </c>
      <c r="U560" s="74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/>
      <c r="FP560" s="74"/>
      <c r="FQ560" s="74"/>
      <c r="FR560" s="74"/>
      <c r="FS560" s="74"/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</row>
    <row r="561" customFormat="false" ht="16.5" hidden="true" customHeight="false" outlineLevel="0" collapsed="false">
      <c r="A561" s="220" t="s">
        <v>530</v>
      </c>
      <c r="B561" s="90"/>
      <c r="C561" s="183"/>
      <c r="D561" s="92" t="n">
        <f aca="false">I561/0.03</f>
        <v>111.633333333333</v>
      </c>
      <c r="E561" s="93" t="n">
        <v>4.606</v>
      </c>
      <c r="F561" s="81" t="n">
        <v>-1.257</v>
      </c>
      <c r="G561" s="81"/>
      <c r="H561" s="81"/>
      <c r="I561" s="94" t="n">
        <f aca="false">SUM(E561:G561)</f>
        <v>3.349</v>
      </c>
      <c r="J561" s="118" t="s">
        <v>226</v>
      </c>
      <c r="K561" s="74"/>
      <c r="L561" s="74"/>
      <c r="M561" s="119"/>
      <c r="N561" s="74"/>
      <c r="O561" s="74"/>
      <c r="P561" s="74"/>
      <c r="Q561" s="74"/>
      <c r="R561" s="74"/>
      <c r="S561" s="74"/>
      <c r="T561" s="65" t="n">
        <f aca="false">IF(D561&gt;0,(I561/D561),"")</f>
        <v>0.03</v>
      </c>
      <c r="U561" s="74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/>
      <c r="FO561" s="74"/>
      <c r="FP561" s="74"/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</row>
    <row r="562" customFormat="false" ht="16.5" hidden="true" customHeight="false" outlineLevel="0" collapsed="false">
      <c r="A562" s="220" t="s">
        <v>531</v>
      </c>
      <c r="B562" s="90"/>
      <c r="C562" s="183"/>
      <c r="D562" s="92" t="n">
        <f aca="false">I562/0.03</f>
        <v>452</v>
      </c>
      <c r="E562" s="93" t="n">
        <v>19.475</v>
      </c>
      <c r="F562" s="81" t="n">
        <v>-5.915</v>
      </c>
      <c r="G562" s="81"/>
      <c r="H562" s="81"/>
      <c r="I562" s="94" t="n">
        <f aca="false">SUM(E562:G562)</f>
        <v>13.56</v>
      </c>
      <c r="J562" s="118" t="s">
        <v>226</v>
      </c>
      <c r="K562" s="74"/>
      <c r="L562" s="74"/>
      <c r="M562" s="119"/>
      <c r="N562" s="74"/>
      <c r="O562" s="74"/>
      <c r="P562" s="74"/>
      <c r="Q562" s="74"/>
      <c r="R562" s="74"/>
      <c r="S562" s="74"/>
      <c r="T562" s="65" t="n">
        <f aca="false">IF(D562&gt;0,(I562/D562),"")</f>
        <v>0.03</v>
      </c>
      <c r="U562" s="74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/>
      <c r="FO562" s="74"/>
      <c r="FP562" s="74"/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</row>
    <row r="563" customFormat="false" ht="16.5" hidden="true" customHeight="false" outlineLevel="0" collapsed="false">
      <c r="A563" s="220" t="s">
        <v>532</v>
      </c>
      <c r="B563" s="90"/>
      <c r="C563" s="183"/>
      <c r="D563" s="92" t="n">
        <f aca="false">I563/0.03</f>
        <v>960.266666666667</v>
      </c>
      <c r="E563" s="93" t="n">
        <v>36.301</v>
      </c>
      <c r="F563" s="81" t="n">
        <v>-7.493</v>
      </c>
      <c r="G563" s="81"/>
      <c r="H563" s="81"/>
      <c r="I563" s="94" t="n">
        <f aca="false">SUM(E563:G563)</f>
        <v>28.808</v>
      </c>
      <c r="J563" s="118" t="s">
        <v>226</v>
      </c>
      <c r="K563" s="74"/>
      <c r="L563" s="74"/>
      <c r="M563" s="119"/>
      <c r="N563" s="74"/>
      <c r="O563" s="74"/>
      <c r="P563" s="74"/>
      <c r="Q563" s="74"/>
      <c r="R563" s="74"/>
      <c r="S563" s="74"/>
      <c r="T563" s="65" t="n">
        <f aca="false">IF(D563&gt;0,(I563/D563),"")</f>
        <v>0.03</v>
      </c>
      <c r="U563" s="74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/>
      <c r="FP563" s="74"/>
      <c r="FQ563" s="74"/>
      <c r="FR563" s="74"/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</row>
    <row r="564" customFormat="false" ht="16.5" hidden="true" customHeight="false" outlineLevel="0" collapsed="false">
      <c r="A564" s="220" t="s">
        <v>533</v>
      </c>
      <c r="B564" s="90"/>
      <c r="C564" s="183"/>
      <c r="D564" s="92" t="n">
        <f aca="false">I564/0.03</f>
        <v>309.433333333333</v>
      </c>
      <c r="E564" s="93" t="n">
        <v>11.296</v>
      </c>
      <c r="F564" s="81" t="n">
        <v>-2.013</v>
      </c>
      <c r="G564" s="81"/>
      <c r="H564" s="81"/>
      <c r="I564" s="94" t="n">
        <f aca="false">SUM(E564:G564)</f>
        <v>9.283</v>
      </c>
      <c r="J564" s="118" t="s">
        <v>226</v>
      </c>
      <c r="K564" s="74"/>
      <c r="L564" s="74"/>
      <c r="M564" s="119"/>
      <c r="N564" s="74"/>
      <c r="O564" s="74"/>
      <c r="P564" s="74"/>
      <c r="Q564" s="74"/>
      <c r="R564" s="74"/>
      <c r="S564" s="74"/>
      <c r="T564" s="65" t="n">
        <f aca="false">IF(D564&gt;0,(I564/D564),"")</f>
        <v>0.03</v>
      </c>
      <c r="U564" s="74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/>
      <c r="FO564" s="74"/>
      <c r="FP564" s="74"/>
      <c r="FQ564" s="74"/>
      <c r="FR564" s="74"/>
      <c r="FS564" s="74"/>
      <c r="FT564" s="74"/>
      <c r="FU564" s="74"/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</row>
    <row r="565" customFormat="false" ht="16.5" hidden="true" customHeight="false" outlineLevel="0" collapsed="false">
      <c r="A565" s="220" t="s">
        <v>534</v>
      </c>
      <c r="B565" s="90"/>
      <c r="C565" s="183"/>
      <c r="D565" s="92" t="n">
        <f aca="false">I565/0.03</f>
        <v>206.166666666667</v>
      </c>
      <c r="E565" s="93" t="n">
        <v>8.558</v>
      </c>
      <c r="F565" s="81" t="n">
        <v>-2.373</v>
      </c>
      <c r="G565" s="81"/>
      <c r="H565" s="81"/>
      <c r="I565" s="94" t="n">
        <f aca="false">SUM(E565:G565)</f>
        <v>6.185</v>
      </c>
      <c r="J565" s="118" t="s">
        <v>226</v>
      </c>
      <c r="K565" s="74"/>
      <c r="L565" s="74"/>
      <c r="M565" s="119"/>
      <c r="N565" s="74"/>
      <c r="O565" s="74"/>
      <c r="P565" s="74"/>
      <c r="Q565" s="74"/>
      <c r="R565" s="74"/>
      <c r="S565" s="74"/>
      <c r="T565" s="65" t="n">
        <f aca="false">IF(D565&gt;0,(I565/D565),"")</f>
        <v>0.03</v>
      </c>
      <c r="U565" s="74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/>
      <c r="FO565" s="74"/>
      <c r="FP565" s="74"/>
      <c r="FQ565" s="74"/>
      <c r="FR565" s="74"/>
      <c r="FS565" s="74"/>
      <c r="FT565" s="74"/>
      <c r="FU565" s="74"/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</row>
    <row r="566" customFormat="false" ht="16.5" hidden="true" customHeight="false" outlineLevel="0" collapsed="false">
      <c r="A566" s="220" t="s">
        <v>535</v>
      </c>
      <c r="B566" s="90"/>
      <c r="C566" s="183"/>
      <c r="D566" s="92" t="n">
        <f aca="false">I566/0.03</f>
        <v>192.366666666667</v>
      </c>
      <c r="E566" s="93" t="n">
        <v>7.91</v>
      </c>
      <c r="F566" s="81" t="n">
        <v>-2.139</v>
      </c>
      <c r="G566" s="81"/>
      <c r="H566" s="81"/>
      <c r="I566" s="94" t="n">
        <f aca="false">SUM(E566:G566)</f>
        <v>5.771</v>
      </c>
      <c r="J566" s="118" t="s">
        <v>226</v>
      </c>
      <c r="K566" s="74"/>
      <c r="L566" s="74"/>
      <c r="M566" s="119"/>
      <c r="N566" s="74"/>
      <c r="O566" s="74"/>
      <c r="P566" s="74"/>
      <c r="Q566" s="74"/>
      <c r="R566" s="74"/>
      <c r="S566" s="74"/>
      <c r="T566" s="65" t="n">
        <f aca="false">IF(D566&gt;0,(I566/D566),"")</f>
        <v>0.03</v>
      </c>
      <c r="U566" s="74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/>
      <c r="FO566" s="74"/>
      <c r="FP566" s="74"/>
      <c r="FQ566" s="74"/>
      <c r="FR566" s="74"/>
      <c r="FS566" s="74"/>
      <c r="FT566" s="74"/>
      <c r="FU566" s="74"/>
      <c r="FV566" s="74"/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74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</row>
    <row r="567" customFormat="false" ht="16.5" hidden="true" customHeight="false" outlineLevel="0" collapsed="false">
      <c r="A567" s="220" t="s">
        <v>536</v>
      </c>
      <c r="B567" s="90"/>
      <c r="C567" s="183"/>
      <c r="D567" s="92" t="n">
        <f aca="false">I567/0.03</f>
        <v>142.866666666667</v>
      </c>
      <c r="E567" s="93" t="n">
        <v>5.952</v>
      </c>
      <c r="F567" s="81" t="n">
        <v>-1.666</v>
      </c>
      <c r="G567" s="81"/>
      <c r="H567" s="81"/>
      <c r="I567" s="94" t="n">
        <f aca="false">SUM(E567:G567)</f>
        <v>4.286</v>
      </c>
      <c r="J567" s="118" t="s">
        <v>226</v>
      </c>
      <c r="K567" s="74"/>
      <c r="L567" s="74"/>
      <c r="M567" s="119"/>
      <c r="N567" s="74"/>
      <c r="O567" s="74"/>
      <c r="P567" s="74"/>
      <c r="Q567" s="74"/>
      <c r="R567" s="74"/>
      <c r="S567" s="74"/>
      <c r="T567" s="65" t="n">
        <f aca="false">IF(D567&gt;0,(I567/D567),"")</f>
        <v>0.03</v>
      </c>
      <c r="U567" s="74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/>
      <c r="FP567" s="74"/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</row>
    <row r="568" customFormat="false" ht="16.5" hidden="true" customHeight="false" outlineLevel="0" collapsed="false">
      <c r="A568" s="220" t="s">
        <v>537</v>
      </c>
      <c r="B568" s="90"/>
      <c r="C568" s="183"/>
      <c r="D568" s="92" t="n">
        <f aca="false">I568/0.03</f>
        <v>875.266666666667</v>
      </c>
      <c r="E568" s="93" t="n">
        <v>35.86</v>
      </c>
      <c r="F568" s="81" t="n">
        <v>-9.602</v>
      </c>
      <c r="G568" s="81"/>
      <c r="H568" s="81"/>
      <c r="I568" s="94" t="n">
        <f aca="false">SUM(E568:G568)</f>
        <v>26.258</v>
      </c>
      <c r="J568" s="118" t="s">
        <v>226</v>
      </c>
      <c r="K568" s="74"/>
      <c r="L568" s="74"/>
      <c r="M568" s="119"/>
      <c r="N568" s="74"/>
      <c r="O568" s="74"/>
      <c r="P568" s="74"/>
      <c r="Q568" s="74"/>
      <c r="R568" s="74"/>
      <c r="S568" s="74"/>
      <c r="T568" s="65" t="n">
        <f aca="false">IF(D568&gt;0,(I568/D568),"")</f>
        <v>0.03</v>
      </c>
      <c r="U568" s="74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/>
      <c r="FP568" s="74"/>
      <c r="FQ568" s="74"/>
      <c r="FR568" s="74"/>
      <c r="FS568" s="74"/>
      <c r="FT568" s="74"/>
      <c r="FU568" s="74"/>
      <c r="FV568" s="74"/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</row>
    <row r="569" customFormat="false" ht="16.5" hidden="true" customHeight="false" outlineLevel="0" collapsed="false">
      <c r="A569" s="220" t="s">
        <v>538</v>
      </c>
      <c r="B569" s="90"/>
      <c r="C569" s="183"/>
      <c r="D569" s="92" t="n">
        <f aca="false">I569/0.03</f>
        <v>184.966666666667</v>
      </c>
      <c r="E569" s="93" t="n">
        <v>7.15</v>
      </c>
      <c r="F569" s="81" t="n">
        <v>-1.601</v>
      </c>
      <c r="G569" s="81"/>
      <c r="H569" s="81"/>
      <c r="I569" s="94" t="n">
        <f aca="false">SUM(E569:G569)</f>
        <v>5.549</v>
      </c>
      <c r="J569" s="118" t="s">
        <v>226</v>
      </c>
      <c r="K569" s="74"/>
      <c r="L569" s="74"/>
      <c r="M569" s="119"/>
      <c r="N569" s="74"/>
      <c r="O569" s="74"/>
      <c r="P569" s="74"/>
      <c r="Q569" s="74"/>
      <c r="R569" s="74"/>
      <c r="S569" s="74"/>
      <c r="T569" s="65" t="n">
        <f aca="false">IF(D569&gt;0,(I569/D569),"")</f>
        <v>0.03</v>
      </c>
      <c r="U569" s="74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/>
      <c r="FP569" s="74"/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</row>
    <row r="570" customFormat="false" ht="16.5" hidden="true" customHeight="false" outlineLevel="0" collapsed="false">
      <c r="A570" s="220" t="s">
        <v>539</v>
      </c>
      <c r="B570" s="90"/>
      <c r="C570" s="183"/>
      <c r="D570" s="92" t="n">
        <f aca="false">I570/0.03</f>
        <v>386.1</v>
      </c>
      <c r="E570" s="93" t="n">
        <v>16.207</v>
      </c>
      <c r="F570" s="81" t="n">
        <v>-4.624</v>
      </c>
      <c r="G570" s="81"/>
      <c r="H570" s="81"/>
      <c r="I570" s="94" t="n">
        <f aca="false">SUM(E570:G570)</f>
        <v>11.583</v>
      </c>
      <c r="J570" s="118" t="s">
        <v>226</v>
      </c>
      <c r="K570" s="74"/>
      <c r="L570" s="74"/>
      <c r="M570" s="119"/>
      <c r="N570" s="74"/>
      <c r="O570" s="74"/>
      <c r="P570" s="74"/>
      <c r="Q570" s="74"/>
      <c r="R570" s="74"/>
      <c r="S570" s="74"/>
      <c r="T570" s="65" t="n">
        <f aca="false">IF(D570&gt;0,(I570/D570),"")</f>
        <v>0.03</v>
      </c>
      <c r="U570" s="74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4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/>
      <c r="FS570" s="74"/>
      <c r="FT570" s="74"/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</row>
    <row r="571" customFormat="false" ht="16.5" hidden="true" customHeight="false" outlineLevel="0" collapsed="false">
      <c r="A571" s="220" t="s">
        <v>540</v>
      </c>
      <c r="B571" s="90"/>
      <c r="C571" s="183"/>
      <c r="D571" s="92" t="n">
        <f aca="false">I571/0.03</f>
        <v>-720.666666666667</v>
      </c>
      <c r="E571" s="93" t="n">
        <v>-17.598</v>
      </c>
      <c r="F571" s="81" t="n">
        <v>-4.022</v>
      </c>
      <c r="G571" s="81"/>
      <c r="H571" s="81"/>
      <c r="I571" s="94" t="n">
        <f aca="false">SUM(E571:G571)</f>
        <v>-21.62</v>
      </c>
      <c r="J571" s="118" t="s">
        <v>226</v>
      </c>
      <c r="K571" s="74"/>
      <c r="L571" s="74"/>
      <c r="M571" s="119"/>
      <c r="N571" s="74"/>
      <c r="O571" s="74"/>
      <c r="P571" s="74"/>
      <c r="Q571" s="74"/>
      <c r="R571" s="74"/>
      <c r="S571" s="74"/>
      <c r="T571" s="65" t="str">
        <f aca="false">IF(D571&gt;0,(I571/D571),"")</f>
        <v/>
      </c>
      <c r="U571" s="74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4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/>
      <c r="FP571" s="74"/>
      <c r="FQ571" s="74"/>
      <c r="FR571" s="74"/>
      <c r="FS571" s="74"/>
      <c r="FT571" s="74"/>
      <c r="FU571" s="74"/>
      <c r="FV571" s="74"/>
      <c r="FW571" s="74"/>
      <c r="FX571" s="74"/>
      <c r="FY571" s="74"/>
      <c r="FZ571" s="74"/>
      <c r="GA571" s="74"/>
      <c r="GB571" s="74"/>
      <c r="GC571" s="74"/>
      <c r="GD571" s="74"/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</row>
    <row r="572" customFormat="false" ht="16.5" hidden="true" customHeight="false" outlineLevel="0" collapsed="false">
      <c r="A572" s="220" t="s">
        <v>541</v>
      </c>
      <c r="B572" s="90"/>
      <c r="C572" s="183"/>
      <c r="D572" s="92" t="n">
        <f aca="false">I572/0.03</f>
        <v>879.866666666667</v>
      </c>
      <c r="E572" s="93" t="n">
        <v>36.572</v>
      </c>
      <c r="F572" s="81" t="n">
        <v>-10.176</v>
      </c>
      <c r="G572" s="81"/>
      <c r="H572" s="81"/>
      <c r="I572" s="94" t="n">
        <f aca="false">SUM(E572:G572)</f>
        <v>26.396</v>
      </c>
      <c r="J572" s="118" t="s">
        <v>226</v>
      </c>
      <c r="K572" s="74"/>
      <c r="L572" s="74"/>
      <c r="M572" s="119"/>
      <c r="N572" s="74"/>
      <c r="O572" s="74"/>
      <c r="P572" s="74"/>
      <c r="Q572" s="74"/>
      <c r="R572" s="74"/>
      <c r="S572" s="74"/>
      <c r="T572" s="65" t="n">
        <f aca="false">IF(D572&gt;0,(I572/D572),"")</f>
        <v>0.03</v>
      </c>
      <c r="U572" s="74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4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/>
      <c r="FP572" s="74"/>
      <c r="FQ572" s="74"/>
      <c r="FR572" s="74"/>
      <c r="FS572" s="74"/>
      <c r="FT572" s="74"/>
      <c r="FU572" s="74"/>
      <c r="FV572" s="74"/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</row>
    <row r="573" customFormat="false" ht="16.5" hidden="true" customHeight="false" outlineLevel="0" collapsed="false">
      <c r="A573" s="220" t="s">
        <v>542</v>
      </c>
      <c r="B573" s="90"/>
      <c r="C573" s="183"/>
      <c r="D573" s="92" t="n">
        <f aca="false">I573/0.03</f>
        <v>335.4</v>
      </c>
      <c r="E573" s="93" t="n">
        <v>14.013</v>
      </c>
      <c r="F573" s="81" t="n">
        <v>-3.951</v>
      </c>
      <c r="G573" s="81"/>
      <c r="H573" s="81"/>
      <c r="I573" s="94" t="n">
        <f aca="false">SUM(E573:G573)</f>
        <v>10.062</v>
      </c>
      <c r="J573" s="118" t="s">
        <v>226</v>
      </c>
      <c r="K573" s="74"/>
      <c r="L573" s="74"/>
      <c r="M573" s="119"/>
      <c r="N573" s="74"/>
      <c r="O573" s="74"/>
      <c r="P573" s="74"/>
      <c r="Q573" s="74"/>
      <c r="R573" s="74"/>
      <c r="S573" s="74"/>
      <c r="T573" s="65" t="n">
        <f aca="false">IF(D573&gt;0,(I573/D573),"")</f>
        <v>0.03</v>
      </c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/>
      <c r="FT573" s="74"/>
      <c r="FU573" s="74"/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</row>
    <row r="574" customFormat="false" ht="16.5" hidden="true" customHeight="false" outlineLevel="0" collapsed="false">
      <c r="A574" s="220" t="s">
        <v>543</v>
      </c>
      <c r="B574" s="90"/>
      <c r="C574" s="183"/>
      <c r="D574" s="92" t="n">
        <f aca="false">I574/0.03</f>
        <v>503.1</v>
      </c>
      <c r="E574" s="93" t="n">
        <v>22.094</v>
      </c>
      <c r="F574" s="81" t="n">
        <v>-7.001</v>
      </c>
      <c r="G574" s="81"/>
      <c r="H574" s="81"/>
      <c r="I574" s="94" t="n">
        <f aca="false">SUM(E574:G574)</f>
        <v>15.093</v>
      </c>
      <c r="J574" s="118" t="s">
        <v>226</v>
      </c>
      <c r="K574" s="74"/>
      <c r="L574" s="74"/>
      <c r="M574" s="119"/>
      <c r="N574" s="74"/>
      <c r="O574" s="74"/>
      <c r="P574" s="74"/>
      <c r="Q574" s="74"/>
      <c r="R574" s="74"/>
      <c r="S574" s="74"/>
      <c r="T574" s="65" t="n">
        <f aca="false">IF(D574&gt;0,(I574/D574),"")</f>
        <v>0.03</v>
      </c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/>
      <c r="FS574" s="74"/>
      <c r="FT574" s="74"/>
      <c r="FU574" s="74"/>
      <c r="FV574" s="74"/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</row>
    <row r="575" customFormat="false" ht="16.5" hidden="true" customHeight="false" outlineLevel="0" collapsed="false">
      <c r="A575" s="220" t="s">
        <v>544</v>
      </c>
      <c r="B575" s="90"/>
      <c r="C575" s="183"/>
      <c r="D575" s="92" t="n">
        <f aca="false">I575/0.03</f>
        <v>1623.76666666667</v>
      </c>
      <c r="E575" s="93" t="n">
        <v>68.195</v>
      </c>
      <c r="F575" s="81" t="n">
        <v>-19.482</v>
      </c>
      <c r="G575" s="81"/>
      <c r="H575" s="81"/>
      <c r="I575" s="94" t="n">
        <f aca="false">SUM(E575:G575)</f>
        <v>48.713</v>
      </c>
      <c r="J575" s="118" t="s">
        <v>226</v>
      </c>
      <c r="K575" s="74"/>
      <c r="L575" s="74"/>
      <c r="M575" s="119"/>
      <c r="N575" s="74"/>
      <c r="O575" s="74"/>
      <c r="P575" s="74"/>
      <c r="Q575" s="74"/>
      <c r="R575" s="74"/>
      <c r="S575" s="74"/>
      <c r="T575" s="65" t="n">
        <f aca="false">IF(D575&gt;0,(I575/D575),"")</f>
        <v>0.03</v>
      </c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/>
      <c r="FP575" s="74"/>
      <c r="FQ575" s="74"/>
      <c r="FR575" s="74"/>
      <c r="FS575" s="74"/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</row>
    <row r="576" customFormat="false" ht="16.5" hidden="true" customHeight="false" outlineLevel="0" collapsed="false">
      <c r="A576" s="220" t="s">
        <v>545</v>
      </c>
      <c r="B576" s="90"/>
      <c r="C576" s="183"/>
      <c r="D576" s="92" t="n">
        <f aca="false">I576/0.03</f>
        <v>1042.3</v>
      </c>
      <c r="E576" s="93" t="n">
        <v>43.751</v>
      </c>
      <c r="F576" s="81" t="n">
        <v>-12.482</v>
      </c>
      <c r="G576" s="81"/>
      <c r="H576" s="81"/>
      <c r="I576" s="94" t="n">
        <f aca="false">SUM(E576:G576)</f>
        <v>31.269</v>
      </c>
      <c r="J576" s="118" t="s">
        <v>226</v>
      </c>
      <c r="K576" s="74"/>
      <c r="L576" s="74"/>
      <c r="M576" s="119"/>
      <c r="N576" s="74"/>
      <c r="O576" s="74"/>
      <c r="P576" s="74"/>
      <c r="Q576" s="74"/>
      <c r="R576" s="74"/>
      <c r="S576" s="74"/>
      <c r="T576" s="65" t="n">
        <f aca="false">IF(D576&gt;0,(I576/D576),"")</f>
        <v>0.03</v>
      </c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/>
      <c r="FS576" s="74"/>
      <c r="FT576" s="74"/>
      <c r="FU576" s="74"/>
      <c r="FV576" s="74"/>
      <c r="FW576" s="74"/>
      <c r="FX576" s="74"/>
      <c r="FY576" s="74"/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</row>
    <row r="577" customFormat="false" ht="16.5" hidden="true" customHeight="false" outlineLevel="0" collapsed="false">
      <c r="A577" s="220" t="s">
        <v>546</v>
      </c>
      <c r="B577" s="90"/>
      <c r="C577" s="183"/>
      <c r="D577" s="92" t="n">
        <f aca="false">I577/0.03</f>
        <v>3855.83333333333</v>
      </c>
      <c r="E577" s="93" t="n">
        <v>159.709</v>
      </c>
      <c r="F577" s="81" t="n">
        <v>-44.034</v>
      </c>
      <c r="G577" s="81"/>
      <c r="H577" s="81"/>
      <c r="I577" s="94" t="n">
        <f aca="false">SUM(E577:G577)</f>
        <v>115.675</v>
      </c>
      <c r="J577" s="118" t="s">
        <v>21</v>
      </c>
      <c r="K577" s="74"/>
      <c r="L577" s="74"/>
      <c r="M577" s="119"/>
      <c r="N577" s="74"/>
      <c r="O577" s="74"/>
      <c r="P577" s="74"/>
      <c r="Q577" s="74"/>
      <c r="R577" s="74"/>
      <c r="S577" s="74"/>
      <c r="T577" s="65" t="n">
        <f aca="false">IF(D577&gt;0,(I577/D577),"")</f>
        <v>0.03</v>
      </c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/>
      <c r="FP577" s="74"/>
      <c r="FQ577" s="74"/>
      <c r="FR577" s="74"/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</row>
    <row r="578" customFormat="false" ht="16.5" hidden="true" customHeight="false" outlineLevel="0" collapsed="false">
      <c r="A578" s="220" t="s">
        <v>547</v>
      </c>
      <c r="B578" s="90"/>
      <c r="C578" s="183"/>
      <c r="D578" s="92" t="n">
        <f aca="false">I578/0.03</f>
        <v>7044.13333333333</v>
      </c>
      <c r="E578" s="93" t="n">
        <v>283.14</v>
      </c>
      <c r="F578" s="81" t="n">
        <v>-71.816</v>
      </c>
      <c r="G578" s="81"/>
      <c r="H578" s="81"/>
      <c r="I578" s="94" t="n">
        <f aca="false">SUM(E578:G578)</f>
        <v>211.324</v>
      </c>
      <c r="J578" s="118" t="s">
        <v>21</v>
      </c>
      <c r="K578" s="74"/>
      <c r="L578" s="74"/>
      <c r="M578" s="119"/>
      <c r="N578" s="74"/>
      <c r="O578" s="74"/>
      <c r="P578" s="74"/>
      <c r="Q578" s="74"/>
      <c r="R578" s="74"/>
      <c r="S578" s="74"/>
      <c r="T578" s="65" t="n">
        <f aca="false">IF(D578&gt;0,(I578/D578),"")</f>
        <v>0.03</v>
      </c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/>
      <c r="FT578" s="74"/>
      <c r="FU578" s="74"/>
      <c r="FV578" s="74"/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</row>
    <row r="579" customFormat="false" ht="16.5" hidden="true" customHeight="false" outlineLevel="0" collapsed="false">
      <c r="A579" s="220" t="s">
        <v>548</v>
      </c>
      <c r="B579" s="90"/>
      <c r="C579" s="183"/>
      <c r="D579" s="92" t="n">
        <f aca="false">I579/0.03</f>
        <v>7690.03333333333</v>
      </c>
      <c r="E579" s="93" t="n">
        <v>308.601</v>
      </c>
      <c r="F579" s="81" t="n">
        <v>-77.9</v>
      </c>
      <c r="G579" s="81"/>
      <c r="H579" s="81"/>
      <c r="I579" s="94" t="n">
        <f aca="false">SUM(E579:G579)</f>
        <v>230.701</v>
      </c>
      <c r="J579" s="118" t="s">
        <v>21</v>
      </c>
      <c r="K579" s="74"/>
      <c r="L579" s="74"/>
      <c r="M579" s="119"/>
      <c r="N579" s="74"/>
      <c r="O579" s="74"/>
      <c r="P579" s="74"/>
      <c r="Q579" s="74"/>
      <c r="R579" s="74"/>
      <c r="S579" s="74"/>
      <c r="T579" s="65" t="n">
        <f aca="false">IF(D579&gt;0,(I579/D579),"")</f>
        <v>0.03</v>
      </c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/>
      <c r="FS579" s="74"/>
      <c r="FT579" s="74"/>
      <c r="FU579" s="74"/>
      <c r="FV579" s="74"/>
      <c r="FW579" s="74"/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</row>
    <row r="580" customFormat="false" ht="16.5" hidden="true" customHeight="false" outlineLevel="0" collapsed="false">
      <c r="A580" s="220" t="s">
        <v>549</v>
      </c>
      <c r="B580" s="90"/>
      <c r="C580" s="183"/>
      <c r="D580" s="92" t="n">
        <f aca="false">I580/0.03</f>
        <v>11701.1333333333</v>
      </c>
      <c r="E580" s="93" t="n">
        <v>474.148</v>
      </c>
      <c r="F580" s="81" t="n">
        <v>-123.114</v>
      </c>
      <c r="G580" s="81"/>
      <c r="H580" s="81"/>
      <c r="I580" s="94" t="n">
        <f aca="false">SUM(E580:G580)</f>
        <v>351.034</v>
      </c>
      <c r="J580" s="118" t="s">
        <v>21</v>
      </c>
      <c r="K580" s="74"/>
      <c r="L580" s="74"/>
      <c r="M580" s="119"/>
      <c r="N580" s="74"/>
      <c r="O580" s="74"/>
      <c r="P580" s="74"/>
      <c r="Q580" s="74"/>
      <c r="R580" s="74"/>
      <c r="S580" s="74"/>
      <c r="T580" s="65" t="n">
        <f aca="false">IF(D580&gt;0,(I580/D580),"")</f>
        <v>0.03</v>
      </c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/>
      <c r="FP580" s="74"/>
      <c r="FQ580" s="74"/>
      <c r="FR580" s="74"/>
      <c r="FS580" s="74"/>
      <c r="FT580" s="74"/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</row>
    <row r="581" customFormat="false" ht="16.5" hidden="true" customHeight="false" outlineLevel="0" collapsed="false">
      <c r="A581" s="220" t="s">
        <v>550</v>
      </c>
      <c r="B581" s="90"/>
      <c r="C581" s="183"/>
      <c r="D581" s="92" t="n">
        <f aca="false">I581/0.03</f>
        <v>10869.9</v>
      </c>
      <c r="E581" s="93" t="n">
        <v>443.862</v>
      </c>
      <c r="F581" s="81" t="n">
        <v>-117.765</v>
      </c>
      <c r="G581" s="81"/>
      <c r="H581" s="81"/>
      <c r="I581" s="94" t="n">
        <f aca="false">SUM(E581:G581)</f>
        <v>326.097</v>
      </c>
      <c r="J581" s="118" t="s">
        <v>21</v>
      </c>
      <c r="K581" s="74"/>
      <c r="L581" s="74"/>
      <c r="M581" s="119"/>
      <c r="N581" s="74"/>
      <c r="O581" s="74"/>
      <c r="P581" s="74"/>
      <c r="Q581" s="74"/>
      <c r="R581" s="74"/>
      <c r="S581" s="74"/>
      <c r="T581" s="65" t="n">
        <f aca="false">IF(D581&gt;0,(I581/D581),"")</f>
        <v>0.03</v>
      </c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/>
      <c r="FS581" s="74"/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</row>
    <row r="582" customFormat="false" ht="16.5" hidden="true" customHeight="false" outlineLevel="0" collapsed="false">
      <c r="A582" s="220" t="s">
        <v>551</v>
      </c>
      <c r="B582" s="90"/>
      <c r="C582" s="183"/>
      <c r="D582" s="92" t="n">
        <f aca="false">I582/0.03</f>
        <v>7099.3</v>
      </c>
      <c r="E582" s="93" t="n">
        <v>293.737</v>
      </c>
      <c r="F582" s="81" t="n">
        <v>-80.758</v>
      </c>
      <c r="G582" s="81"/>
      <c r="H582" s="81"/>
      <c r="I582" s="94" t="n">
        <f aca="false">SUM(E582:G582)</f>
        <v>212.979</v>
      </c>
      <c r="J582" s="118" t="s">
        <v>21</v>
      </c>
      <c r="K582" s="74"/>
      <c r="L582" s="74"/>
      <c r="M582" s="119"/>
      <c r="N582" s="74"/>
      <c r="O582" s="74"/>
      <c r="P582" s="74"/>
      <c r="Q582" s="74"/>
      <c r="R582" s="74"/>
      <c r="S582" s="74"/>
      <c r="T582" s="65" t="n">
        <f aca="false">IF(D582&gt;0,(I582/D582),"")</f>
        <v>0.03</v>
      </c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/>
      <c r="FS582" s="74"/>
      <c r="FT582" s="74"/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</row>
    <row r="583" customFormat="false" ht="16.5" hidden="true" customHeight="false" outlineLevel="0" collapsed="false">
      <c r="A583" s="220" t="s">
        <v>552</v>
      </c>
      <c r="B583" s="90"/>
      <c r="C583" s="183"/>
      <c r="D583" s="92" t="n">
        <f aca="false">I583/0.03</f>
        <v>-14606.2666666667</v>
      </c>
      <c r="E583" s="93" t="n">
        <v>-356.04</v>
      </c>
      <c r="F583" s="81" t="n">
        <v>-82.148</v>
      </c>
      <c r="G583" s="81"/>
      <c r="H583" s="81"/>
      <c r="I583" s="94" t="n">
        <f aca="false">SUM(E583:G583)</f>
        <v>-438.188</v>
      </c>
      <c r="J583" s="118" t="s">
        <v>21</v>
      </c>
      <c r="K583" s="74"/>
      <c r="L583" s="74"/>
      <c r="M583" s="119"/>
      <c r="N583" s="74"/>
      <c r="O583" s="74"/>
      <c r="P583" s="74"/>
      <c r="Q583" s="74"/>
      <c r="R583" s="74"/>
      <c r="S583" s="74"/>
      <c r="T583" s="65" t="str">
        <f aca="false">IF(D583&gt;0,(I583/D583),"")</f>
        <v/>
      </c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/>
      <c r="FP583" s="74"/>
      <c r="FQ583" s="74"/>
      <c r="FR583" s="74"/>
      <c r="FS583" s="74"/>
      <c r="FT583" s="74"/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</row>
    <row r="584" customFormat="false" ht="16.5" hidden="true" customHeight="false" outlineLevel="0" collapsed="false">
      <c r="A584" s="220" t="s">
        <v>553</v>
      </c>
      <c r="B584" s="90"/>
      <c r="C584" s="183"/>
      <c r="D584" s="92" t="n">
        <f aca="false">I584/0.03</f>
        <v>6719.1</v>
      </c>
      <c r="E584" s="93" t="n">
        <v>268.503</v>
      </c>
      <c r="F584" s="81" t="n">
        <v>-66.93</v>
      </c>
      <c r="G584" s="81"/>
      <c r="H584" s="81"/>
      <c r="I584" s="94" t="n">
        <f aca="false">SUM(E584:G584)</f>
        <v>201.573</v>
      </c>
      <c r="J584" s="118" t="s">
        <v>21</v>
      </c>
      <c r="K584" s="74"/>
      <c r="L584" s="74"/>
      <c r="M584" s="119"/>
      <c r="N584" s="74"/>
      <c r="O584" s="74"/>
      <c r="P584" s="74"/>
      <c r="Q584" s="74"/>
      <c r="R584" s="74"/>
      <c r="S584" s="74"/>
      <c r="T584" s="65" t="n">
        <f aca="false">IF(D584&gt;0,(I584/D584),"")</f>
        <v>0.03</v>
      </c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/>
      <c r="FS584" s="74"/>
      <c r="FT584" s="74"/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</row>
    <row r="585" customFormat="false" ht="16.5" hidden="true" customHeight="false" outlineLevel="0" collapsed="false">
      <c r="A585" s="220" t="s">
        <v>554</v>
      </c>
      <c r="B585" s="90"/>
      <c r="C585" s="183"/>
      <c r="D585" s="92" t="n">
        <f aca="false">I585/0.03</f>
        <v>2301.26666666667</v>
      </c>
      <c r="E585" s="93" t="n">
        <v>95.012</v>
      </c>
      <c r="F585" s="81" t="n">
        <v>-25.974</v>
      </c>
      <c r="G585" s="81"/>
      <c r="H585" s="81"/>
      <c r="I585" s="94" t="n">
        <f aca="false">SUM(E585:G585)</f>
        <v>69.038</v>
      </c>
      <c r="J585" s="118" t="s">
        <v>21</v>
      </c>
      <c r="K585" s="74"/>
      <c r="L585" s="74"/>
      <c r="M585" s="119"/>
      <c r="N585" s="74"/>
      <c r="O585" s="74"/>
      <c r="P585" s="74"/>
      <c r="Q585" s="74"/>
      <c r="R585" s="74"/>
      <c r="S585" s="74"/>
      <c r="T585" s="65" t="n">
        <f aca="false">IF(D585&gt;0,(I585/D585),"")</f>
        <v>0.03</v>
      </c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/>
      <c r="FS585" s="74"/>
      <c r="FT585" s="74"/>
      <c r="FU585" s="74"/>
      <c r="FV585" s="74"/>
      <c r="FW585" s="74"/>
      <c r="FX585" s="74"/>
      <c r="FY585" s="74"/>
      <c r="FZ585" s="74"/>
      <c r="GA585" s="74"/>
      <c r="GB585" s="74"/>
      <c r="GC585" s="74"/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</row>
    <row r="586" customFormat="false" ht="16.5" hidden="true" customHeight="false" outlineLevel="0" collapsed="false">
      <c r="A586" s="220" t="s">
        <v>555</v>
      </c>
      <c r="B586" s="90"/>
      <c r="C586" s="183"/>
      <c r="D586" s="92" t="n">
        <f aca="false">I586/0.03</f>
        <v>110.933333333333</v>
      </c>
      <c r="E586" s="93" t="n">
        <v>3.725</v>
      </c>
      <c r="F586" s="81" t="n">
        <v>-0.397</v>
      </c>
      <c r="G586" s="81"/>
      <c r="H586" s="81"/>
      <c r="I586" s="94" t="n">
        <v>3.328</v>
      </c>
      <c r="J586" s="118" t="s">
        <v>226</v>
      </c>
      <c r="K586" s="74"/>
      <c r="L586" s="74"/>
      <c r="M586" s="119"/>
      <c r="N586" s="74"/>
      <c r="O586" s="74"/>
      <c r="P586" s="74"/>
      <c r="Q586" s="74"/>
      <c r="R586" s="74"/>
      <c r="S586" s="74"/>
      <c r="T586" s="65" t="n">
        <f aca="false">IF(D586&gt;0,(I586/D586),"")</f>
        <v>0.03</v>
      </c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/>
      <c r="FT586" s="74"/>
      <c r="FU586" s="74"/>
      <c r="FV586" s="74"/>
      <c r="FW586" s="74"/>
      <c r="FX586" s="74"/>
      <c r="FY586" s="74"/>
      <c r="FZ586" s="74"/>
      <c r="GA586" s="74"/>
      <c r="GB586" s="74"/>
      <c r="GC586" s="74"/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</row>
    <row r="587" customFormat="false" ht="16.5" hidden="true" customHeight="false" outlineLevel="0" collapsed="false">
      <c r="A587" s="220" t="s">
        <v>556</v>
      </c>
      <c r="B587" s="90"/>
      <c r="C587" s="183"/>
      <c r="D587" s="92" t="n">
        <f aca="false">I587/0.03</f>
        <v>87.1333333333333</v>
      </c>
      <c r="E587" s="93" t="n">
        <v>3.62</v>
      </c>
      <c r="F587" s="81" t="n">
        <v>-1.006</v>
      </c>
      <c r="G587" s="81"/>
      <c r="H587" s="81"/>
      <c r="I587" s="94" t="n">
        <v>2.614</v>
      </c>
      <c r="J587" s="118" t="s">
        <v>226</v>
      </c>
      <c r="K587" s="74"/>
      <c r="L587" s="74"/>
      <c r="M587" s="119"/>
      <c r="N587" s="74"/>
      <c r="O587" s="74"/>
      <c r="P587" s="74"/>
      <c r="Q587" s="74"/>
      <c r="R587" s="74"/>
      <c r="S587" s="74"/>
      <c r="T587" s="65" t="n">
        <f aca="false">IF(D587&gt;0,(I587/D587),"")</f>
        <v>0.03</v>
      </c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/>
      <c r="FS587" s="74"/>
      <c r="FT587" s="74"/>
      <c r="FU587" s="74"/>
      <c r="FV587" s="74"/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</row>
    <row r="588" customFormat="false" ht="16.5" hidden="true" customHeight="false" outlineLevel="0" collapsed="false">
      <c r="A588" s="220" t="s">
        <v>557</v>
      </c>
      <c r="B588" s="90"/>
      <c r="C588" s="183"/>
      <c r="D588" s="92" t="n">
        <f aca="false">I588/0.03</f>
        <v>128.366666666667</v>
      </c>
      <c r="E588" s="93" t="n">
        <v>5.607</v>
      </c>
      <c r="F588" s="81" t="n">
        <v>-1.756</v>
      </c>
      <c r="G588" s="81"/>
      <c r="H588" s="81"/>
      <c r="I588" s="94" t="n">
        <v>3.851</v>
      </c>
      <c r="J588" s="118" t="s">
        <v>226</v>
      </c>
      <c r="K588" s="74"/>
      <c r="L588" s="74"/>
      <c r="M588" s="119"/>
      <c r="N588" s="74"/>
      <c r="O588" s="74"/>
      <c r="P588" s="74"/>
      <c r="Q588" s="74"/>
      <c r="R588" s="74"/>
      <c r="S588" s="74"/>
      <c r="T588" s="65" t="n">
        <f aca="false">IF(D588&gt;0,(I588/D588),"")</f>
        <v>0.03</v>
      </c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/>
      <c r="FS588" s="74"/>
      <c r="FT588" s="74"/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</row>
    <row r="589" customFormat="false" ht="16.5" hidden="true" customHeight="false" outlineLevel="0" collapsed="false">
      <c r="A589" s="220" t="s">
        <v>558</v>
      </c>
      <c r="B589" s="90"/>
      <c r="C589" s="183"/>
      <c r="D589" s="92" t="n">
        <f aca="false">I589/0.03</f>
        <v>765.133333333333</v>
      </c>
      <c r="E589" s="93" t="n">
        <v>32.205</v>
      </c>
      <c r="F589" s="81" t="n">
        <v>-9.251</v>
      </c>
      <c r="G589" s="81"/>
      <c r="H589" s="81"/>
      <c r="I589" s="94" t="n">
        <v>22.954</v>
      </c>
      <c r="J589" s="118" t="s">
        <v>226</v>
      </c>
      <c r="K589" s="74"/>
      <c r="L589" s="74"/>
      <c r="M589" s="119"/>
      <c r="N589" s="74"/>
      <c r="O589" s="74"/>
      <c r="P589" s="74"/>
      <c r="Q589" s="74"/>
      <c r="R589" s="74"/>
      <c r="S589" s="74"/>
      <c r="T589" s="65" t="n">
        <f aca="false">IF(D589&gt;0,(I589/D589),"")</f>
        <v>0.03</v>
      </c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/>
      <c r="FS589" s="74"/>
      <c r="FT589" s="74"/>
      <c r="FU589" s="74"/>
      <c r="FV589" s="74"/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</row>
    <row r="590" customFormat="false" ht="16.5" hidden="true" customHeight="false" outlineLevel="0" collapsed="false">
      <c r="A590" s="220" t="s">
        <v>559</v>
      </c>
      <c r="B590" s="90"/>
      <c r="C590" s="183"/>
      <c r="D590" s="92" t="n">
        <f aca="false">I590/0.03</f>
        <v>107.033333333333</v>
      </c>
      <c r="E590" s="93" t="n">
        <v>4.486</v>
      </c>
      <c r="F590" s="81" t="n">
        <v>-1.275</v>
      </c>
      <c r="G590" s="81"/>
      <c r="H590" s="81"/>
      <c r="I590" s="94" t="n">
        <v>3.211</v>
      </c>
      <c r="J590" s="118" t="s">
        <v>226</v>
      </c>
      <c r="K590" s="74"/>
      <c r="L590" s="74"/>
      <c r="M590" s="119"/>
      <c r="N590" s="74"/>
      <c r="O590" s="74"/>
      <c r="P590" s="74"/>
      <c r="Q590" s="74"/>
      <c r="R590" s="74"/>
      <c r="S590" s="74"/>
      <c r="T590" s="65" t="n">
        <f aca="false">IF(D590&gt;0,(I590/D590),"")</f>
        <v>0.03</v>
      </c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/>
      <c r="FT590" s="74"/>
      <c r="FU590" s="74"/>
      <c r="FV590" s="74"/>
      <c r="FW590" s="74"/>
      <c r="FX590" s="74"/>
      <c r="FY590" s="74"/>
      <c r="FZ590" s="74"/>
      <c r="GA590" s="74"/>
      <c r="GB590" s="74"/>
      <c r="GC590" s="74"/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</row>
    <row r="591" customFormat="false" ht="16.5" hidden="true" customHeight="false" outlineLevel="0" collapsed="false">
      <c r="A591" s="220" t="s">
        <v>560</v>
      </c>
      <c r="B591" s="90"/>
      <c r="C591" s="183"/>
      <c r="D591" s="92" t="n">
        <f aca="false">I591/0.03</f>
        <v>63.0333333333333</v>
      </c>
      <c r="E591" s="93" t="n">
        <v>2.712</v>
      </c>
      <c r="F591" s="81" t="n">
        <v>-0.821</v>
      </c>
      <c r="G591" s="81"/>
      <c r="H591" s="81"/>
      <c r="I591" s="94" t="n">
        <v>1.891</v>
      </c>
      <c r="J591" s="118" t="s">
        <v>226</v>
      </c>
      <c r="K591" s="74"/>
      <c r="L591" s="74"/>
      <c r="M591" s="119"/>
      <c r="N591" s="74"/>
      <c r="O591" s="74"/>
      <c r="P591" s="74"/>
      <c r="Q591" s="74"/>
      <c r="R591" s="74"/>
      <c r="S591" s="74"/>
      <c r="T591" s="65" t="n">
        <f aca="false">IF(D591&gt;0,(I591/D591),"")</f>
        <v>0.03</v>
      </c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/>
      <c r="FV591" s="74"/>
      <c r="FW591" s="74"/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</row>
    <row r="592" customFormat="false" ht="16.5" hidden="true" customHeight="false" outlineLevel="0" collapsed="false">
      <c r="A592" s="220" t="s">
        <v>561</v>
      </c>
      <c r="B592" s="90"/>
      <c r="C592" s="183"/>
      <c r="D592" s="92" t="n">
        <f aca="false">I592/0.03</f>
        <v>160.7</v>
      </c>
      <c r="E592" s="93" t="n">
        <v>6.68</v>
      </c>
      <c r="F592" s="81" t="n">
        <v>-1.859</v>
      </c>
      <c r="G592" s="81"/>
      <c r="H592" s="81"/>
      <c r="I592" s="94" t="n">
        <v>4.821</v>
      </c>
      <c r="J592" s="118" t="s">
        <v>226</v>
      </c>
      <c r="K592" s="74"/>
      <c r="L592" s="74"/>
      <c r="M592" s="119"/>
      <c r="N592" s="74"/>
      <c r="O592" s="74"/>
      <c r="P592" s="74"/>
      <c r="Q592" s="74"/>
      <c r="R592" s="74"/>
      <c r="S592" s="74"/>
      <c r="T592" s="65" t="n">
        <f aca="false">IF(D592&gt;0,(I592/D592),"")</f>
        <v>0.03</v>
      </c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/>
      <c r="FT592" s="74"/>
      <c r="FU592" s="74"/>
      <c r="FV592" s="74"/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</row>
    <row r="593" customFormat="false" ht="16.5" hidden="true" customHeight="false" outlineLevel="0" collapsed="false">
      <c r="A593" s="220" t="s">
        <v>562</v>
      </c>
      <c r="B593" s="90"/>
      <c r="C593" s="183"/>
      <c r="D593" s="92" t="n">
        <f aca="false">I593/0.03</f>
        <v>371.433333333333</v>
      </c>
      <c r="E593" s="93" t="n">
        <v>15.802</v>
      </c>
      <c r="F593" s="81" t="n">
        <v>-4.659</v>
      </c>
      <c r="G593" s="81"/>
      <c r="H593" s="81"/>
      <c r="I593" s="94" t="n">
        <v>11.143</v>
      </c>
      <c r="J593" s="118" t="s">
        <v>226</v>
      </c>
      <c r="K593" s="74"/>
      <c r="L593" s="74"/>
      <c r="M593" s="119"/>
      <c r="N593" s="74"/>
      <c r="O593" s="74"/>
      <c r="P593" s="74"/>
      <c r="Q593" s="74"/>
      <c r="R593" s="74"/>
      <c r="S593" s="74"/>
      <c r="T593" s="65" t="n">
        <f aca="false">IF(D593&gt;0,(I593/D593),"")</f>
        <v>0.03</v>
      </c>
      <c r="U593" s="74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4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/>
      <c r="FT593" s="74"/>
      <c r="FU593" s="74"/>
      <c r="FV593" s="74"/>
      <c r="FW593" s="74"/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</row>
    <row r="594" customFormat="false" ht="16.5" hidden="true" customHeight="false" outlineLevel="0" collapsed="false">
      <c r="A594" s="220" t="s">
        <v>563</v>
      </c>
      <c r="B594" s="90"/>
      <c r="C594" s="183"/>
      <c r="D594" s="92" t="n">
        <f aca="false">I594/0.03</f>
        <v>40.4333333333333</v>
      </c>
      <c r="E594" s="93" t="n">
        <v>1.688</v>
      </c>
      <c r="F594" s="81" t="n">
        <v>-0.475</v>
      </c>
      <c r="G594" s="81"/>
      <c r="H594" s="81"/>
      <c r="I594" s="94" t="n">
        <v>1.213</v>
      </c>
      <c r="J594" s="118" t="s">
        <v>226</v>
      </c>
      <c r="K594" s="74"/>
      <c r="L594" s="74"/>
      <c r="M594" s="119"/>
      <c r="N594" s="74"/>
      <c r="O594" s="74"/>
      <c r="P594" s="74"/>
      <c r="Q594" s="74"/>
      <c r="R594" s="74"/>
      <c r="S594" s="74"/>
      <c r="T594" s="65" t="n">
        <f aca="false">IF(D594&gt;0,(I594/D594),"")</f>
        <v>0.03</v>
      </c>
      <c r="U594" s="74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4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/>
      <c r="FT594" s="74"/>
      <c r="FU594" s="74"/>
      <c r="FV594" s="74"/>
      <c r="FW594" s="74"/>
      <c r="FX594" s="74"/>
      <c r="FY594" s="74"/>
      <c r="FZ594" s="74"/>
      <c r="GA594" s="74"/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</row>
    <row r="595" customFormat="false" ht="16.5" hidden="true" customHeight="false" outlineLevel="0" collapsed="false">
      <c r="A595" s="220" t="s">
        <v>564</v>
      </c>
      <c r="B595" s="90"/>
      <c r="C595" s="183"/>
      <c r="D595" s="92" t="n">
        <f aca="false">I595/0.03</f>
        <v>152.466666666667</v>
      </c>
      <c r="E595" s="93" t="n">
        <v>6.505</v>
      </c>
      <c r="F595" s="81" t="n">
        <v>-1.931</v>
      </c>
      <c r="G595" s="81"/>
      <c r="H595" s="81"/>
      <c r="I595" s="94" t="n">
        <v>4.574</v>
      </c>
      <c r="J595" s="118" t="s">
        <v>226</v>
      </c>
      <c r="K595" s="74"/>
      <c r="L595" s="74"/>
      <c r="M595" s="119"/>
      <c r="N595" s="74"/>
      <c r="O595" s="74"/>
      <c r="P595" s="74"/>
      <c r="Q595" s="74"/>
      <c r="R595" s="74"/>
      <c r="S595" s="74"/>
      <c r="T595" s="65" t="n">
        <f aca="false">IF(D595&gt;0,(I595/D595),"")</f>
        <v>0.03</v>
      </c>
      <c r="U595" s="74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4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/>
      <c r="FT595" s="74"/>
      <c r="FU595" s="74"/>
      <c r="FV595" s="74"/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</row>
    <row r="596" customFormat="false" ht="16.5" hidden="true" customHeight="false" outlineLevel="0" collapsed="false">
      <c r="A596" s="220" t="s">
        <v>565</v>
      </c>
      <c r="B596" s="90"/>
      <c r="C596" s="183"/>
      <c r="D596" s="92" t="n">
        <f aca="false">I596/0.03</f>
        <v>7509.06666666667</v>
      </c>
      <c r="E596" s="93" t="n">
        <v>300.816</v>
      </c>
      <c r="F596" s="81" t="n">
        <v>-75.544</v>
      </c>
      <c r="G596" s="81"/>
      <c r="H596" s="81"/>
      <c r="I596" s="94" t="n">
        <v>225.272</v>
      </c>
      <c r="J596" s="118" t="s">
        <v>21</v>
      </c>
      <c r="K596" s="74"/>
      <c r="L596" s="74"/>
      <c r="M596" s="119"/>
      <c r="N596" s="74"/>
      <c r="O596" s="74"/>
      <c r="P596" s="74"/>
      <c r="Q596" s="74"/>
      <c r="R596" s="74"/>
      <c r="S596" s="74"/>
      <c r="T596" s="65" t="n">
        <f aca="false">IF(D596&gt;0,(I596/D596),"")</f>
        <v>0.03</v>
      </c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/>
      <c r="FS596" s="74"/>
      <c r="FT596" s="74"/>
      <c r="FU596" s="74"/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</row>
    <row r="597" customFormat="false" ht="16.5" hidden="true" customHeight="false" outlineLevel="0" collapsed="false">
      <c r="A597" s="220" t="s">
        <v>566</v>
      </c>
      <c r="B597" s="90"/>
      <c r="C597" s="183"/>
      <c r="D597" s="92" t="n">
        <f aca="false">I597/0.03</f>
        <v>244.933333333333</v>
      </c>
      <c r="E597" s="93" t="n">
        <v>10.521</v>
      </c>
      <c r="F597" s="81" t="n">
        <v>-3.173</v>
      </c>
      <c r="G597" s="81"/>
      <c r="H597" s="81"/>
      <c r="I597" s="94" t="n">
        <v>7.348</v>
      </c>
      <c r="J597" s="118" t="s">
        <v>226</v>
      </c>
      <c r="K597" s="74"/>
      <c r="L597" s="74"/>
      <c r="M597" s="119"/>
      <c r="N597" s="74"/>
      <c r="O597" s="74"/>
      <c r="P597" s="74"/>
      <c r="Q597" s="74"/>
      <c r="R597" s="74"/>
      <c r="S597" s="74"/>
      <c r="T597" s="65" t="n">
        <f aca="false">IF(D597&gt;0,(I597/D597),"")</f>
        <v>0.03</v>
      </c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/>
      <c r="FS597" s="74"/>
      <c r="FT597" s="74"/>
      <c r="FU597" s="74"/>
      <c r="FV597" s="74"/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</row>
    <row r="598" customFormat="false" ht="16.5" hidden="true" customHeight="false" outlineLevel="0" collapsed="false">
      <c r="A598" s="220" t="s">
        <v>567</v>
      </c>
      <c r="B598" s="90"/>
      <c r="C598" s="183"/>
      <c r="D598" s="92" t="n">
        <f aca="false">I598/0.03</f>
        <v>5049.86666666667</v>
      </c>
      <c r="E598" s="93" t="n">
        <v>208.06</v>
      </c>
      <c r="F598" s="81" t="n">
        <v>-56.564</v>
      </c>
      <c r="G598" s="81"/>
      <c r="H598" s="81"/>
      <c r="I598" s="94" t="n">
        <v>151.496</v>
      </c>
      <c r="J598" s="118" t="s">
        <v>21</v>
      </c>
      <c r="K598" s="74"/>
      <c r="L598" s="74"/>
      <c r="M598" s="119"/>
      <c r="N598" s="74"/>
      <c r="O598" s="74"/>
      <c r="P598" s="74"/>
      <c r="Q598" s="74"/>
      <c r="R598" s="74"/>
      <c r="S598" s="74"/>
      <c r="T598" s="65" t="n">
        <f aca="false">IF(D598&gt;0,(I598/D598),"")</f>
        <v>0.03</v>
      </c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/>
      <c r="FS598" s="74"/>
      <c r="FT598" s="74"/>
      <c r="FU598" s="74"/>
      <c r="FV598" s="74"/>
      <c r="FW598" s="74"/>
      <c r="FX598" s="74"/>
      <c r="FY598" s="74"/>
      <c r="FZ598" s="74"/>
      <c r="GA598" s="74"/>
      <c r="GB598" s="74"/>
      <c r="GC598" s="74"/>
      <c r="GD598" s="74"/>
      <c r="GE598" s="74"/>
      <c r="GF598" s="74"/>
      <c r="GG598" s="74"/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</row>
    <row r="599" customFormat="false" ht="16.5" hidden="true" customHeight="false" outlineLevel="0" collapsed="false">
      <c r="A599" s="220" t="s">
        <v>568</v>
      </c>
      <c r="B599" s="90"/>
      <c r="C599" s="183"/>
      <c r="D599" s="92" t="n">
        <f aca="false">I599/0.03</f>
        <v>7125</v>
      </c>
      <c r="E599" s="93" t="n">
        <v>290.461</v>
      </c>
      <c r="F599" s="81" t="n">
        <v>-76.711</v>
      </c>
      <c r="G599" s="81"/>
      <c r="H599" s="81"/>
      <c r="I599" s="94" t="n">
        <v>213.75</v>
      </c>
      <c r="J599" s="118" t="s">
        <v>21</v>
      </c>
      <c r="K599" s="74"/>
      <c r="L599" s="74"/>
      <c r="M599" s="119"/>
      <c r="N599" s="74"/>
      <c r="O599" s="74"/>
      <c r="P599" s="74"/>
      <c r="Q599" s="74"/>
      <c r="R599" s="74"/>
      <c r="S599" s="74"/>
      <c r="T599" s="65" t="n">
        <f aca="false">IF(D599&gt;0,(I599/D599),"")</f>
        <v>0.03</v>
      </c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/>
      <c r="FS599" s="74"/>
      <c r="FT599" s="74"/>
      <c r="FU599" s="74"/>
      <c r="FV599" s="74"/>
      <c r="FW599" s="74"/>
      <c r="FX599" s="74"/>
      <c r="FY599" s="74"/>
      <c r="FZ599" s="74"/>
      <c r="GA599" s="74"/>
      <c r="GB599" s="74"/>
      <c r="GC599" s="74"/>
      <c r="GD599" s="74"/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</row>
    <row r="600" customFormat="false" ht="16.5" hidden="true" customHeight="false" outlineLevel="0" collapsed="false">
      <c r="A600" s="220" t="s">
        <v>569</v>
      </c>
      <c r="B600" s="90"/>
      <c r="C600" s="183"/>
      <c r="D600" s="92" t="n">
        <f aca="false">I600/0.03</f>
        <v>2785.9</v>
      </c>
      <c r="E600" s="93" t="n">
        <v>113.373</v>
      </c>
      <c r="F600" s="81" t="n">
        <v>-29.796</v>
      </c>
      <c r="G600" s="81"/>
      <c r="H600" s="81"/>
      <c r="I600" s="94" t="n">
        <v>83.577</v>
      </c>
      <c r="J600" s="118" t="s">
        <v>21</v>
      </c>
      <c r="K600" s="74"/>
      <c r="L600" s="74"/>
      <c r="M600" s="119"/>
      <c r="N600" s="74"/>
      <c r="O600" s="74"/>
      <c r="P600" s="74"/>
      <c r="Q600" s="74"/>
      <c r="R600" s="74"/>
      <c r="S600" s="74"/>
      <c r="T600" s="65" t="n">
        <f aca="false">IF(D600&gt;0,(I600/D600),"")</f>
        <v>0.03</v>
      </c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/>
      <c r="FT600" s="74"/>
      <c r="FU600" s="74"/>
      <c r="FV600" s="74"/>
      <c r="FW600" s="74"/>
      <c r="FX600" s="74"/>
      <c r="FY600" s="74"/>
      <c r="FZ600" s="74"/>
      <c r="GA600" s="74"/>
      <c r="GB600" s="74"/>
      <c r="GC600" s="74"/>
      <c r="GD600" s="74"/>
      <c r="GE600" s="74"/>
      <c r="GF600" s="74"/>
      <c r="GG600" s="74"/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</row>
    <row r="601" customFormat="false" ht="16.5" hidden="true" customHeight="false" outlineLevel="0" collapsed="false">
      <c r="A601" s="220" t="s">
        <v>570</v>
      </c>
      <c r="B601" s="90"/>
      <c r="C601" s="183"/>
      <c r="D601" s="92" t="n">
        <f aca="false">I601/0.03</f>
        <v>61.8</v>
      </c>
      <c r="E601" s="93" t="n">
        <v>2.612</v>
      </c>
      <c r="F601" s="81" t="n">
        <v>-0.758</v>
      </c>
      <c r="G601" s="81"/>
      <c r="H601" s="81"/>
      <c r="I601" s="94" t="n">
        <v>1.854</v>
      </c>
      <c r="J601" s="118" t="s">
        <v>226</v>
      </c>
      <c r="K601" s="74"/>
      <c r="L601" s="74"/>
      <c r="M601" s="119"/>
      <c r="N601" s="74"/>
      <c r="O601" s="74"/>
      <c r="P601" s="74"/>
      <c r="Q601" s="74"/>
      <c r="R601" s="74"/>
      <c r="S601" s="74"/>
      <c r="T601" s="65" t="n">
        <f aca="false">IF(D601&gt;0,(I601/D601),"")</f>
        <v>0.03</v>
      </c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/>
      <c r="FS601" s="74"/>
      <c r="FT601" s="74"/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</row>
    <row r="602" customFormat="false" ht="16.5" hidden="true" customHeight="false" outlineLevel="0" collapsed="false">
      <c r="A602" s="220" t="s">
        <v>571</v>
      </c>
      <c r="B602" s="90"/>
      <c r="C602" s="183"/>
      <c r="D602" s="92" t="n">
        <f aca="false">I602/0.03</f>
        <v>169.8</v>
      </c>
      <c r="E602" s="93" t="n">
        <v>7.421</v>
      </c>
      <c r="F602" s="81" t="n">
        <v>-2.327</v>
      </c>
      <c r="G602" s="81"/>
      <c r="H602" s="81"/>
      <c r="I602" s="94" t="n">
        <v>5.094</v>
      </c>
      <c r="J602" s="118" t="s">
        <v>226</v>
      </c>
      <c r="K602" s="74"/>
      <c r="L602" s="74"/>
      <c r="M602" s="119"/>
      <c r="N602" s="74"/>
      <c r="O602" s="74"/>
      <c r="P602" s="74"/>
      <c r="Q602" s="74"/>
      <c r="R602" s="74"/>
      <c r="S602" s="74"/>
      <c r="T602" s="65" t="n">
        <f aca="false">IF(D602&gt;0,(I602/D602),"")</f>
        <v>0.03</v>
      </c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/>
      <c r="FS602" s="74"/>
      <c r="FT602" s="74"/>
      <c r="FU602" s="74"/>
      <c r="FV602" s="74"/>
      <c r="FW602" s="74"/>
      <c r="FX602" s="74"/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</row>
    <row r="603" customFormat="false" ht="18.75" hidden="true" customHeight="false" outlineLevel="0" collapsed="false">
      <c r="A603" s="220" t="s">
        <v>572</v>
      </c>
      <c r="B603" s="228"/>
      <c r="C603" s="129" t="s">
        <v>573</v>
      </c>
      <c r="D603" s="92" t="n">
        <f aca="false">I603/0.03</f>
        <v>2287.3</v>
      </c>
      <c r="E603" s="93" t="n">
        <v>77.447</v>
      </c>
      <c r="F603" s="81" t="n">
        <v>-8.828</v>
      </c>
      <c r="G603" s="81"/>
      <c r="H603" s="81"/>
      <c r="I603" s="94" t="n">
        <f aca="false">SUM(E603:G603)</f>
        <v>68.619</v>
      </c>
      <c r="J603" s="118"/>
      <c r="K603" s="74"/>
      <c r="L603" s="74"/>
      <c r="M603" s="119"/>
      <c r="N603" s="74"/>
      <c r="O603" s="74"/>
      <c r="P603" s="74"/>
      <c r="Q603" s="74"/>
      <c r="R603" s="74"/>
      <c r="S603" s="74"/>
      <c r="T603" s="65" t="n">
        <f aca="false">IF(D603&gt;0,(I603/D603),"")</f>
        <v>0.03</v>
      </c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/>
      <c r="FS603" s="74"/>
      <c r="FT603" s="74"/>
      <c r="FU603" s="74"/>
      <c r="FV603" s="74"/>
      <c r="FW603" s="74"/>
      <c r="FX603" s="74"/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</row>
    <row r="604" customFormat="false" ht="16.5" hidden="true" customHeight="false" outlineLevel="0" collapsed="false">
      <c r="A604" s="220" t="s">
        <v>574</v>
      </c>
      <c r="B604" s="90"/>
      <c r="C604" s="183"/>
      <c r="D604" s="92" t="n">
        <f aca="false">I604/0.03</f>
        <v>4152.2</v>
      </c>
      <c r="E604" s="93" t="n">
        <v>166.086</v>
      </c>
      <c r="F604" s="81" t="n">
        <v>-41.52</v>
      </c>
      <c r="G604" s="81"/>
      <c r="H604" s="81"/>
      <c r="I604" s="94" t="n">
        <f aca="false">SUM(E604:H604)</f>
        <v>124.566</v>
      </c>
      <c r="J604" s="118" t="s">
        <v>21</v>
      </c>
      <c r="K604" s="74"/>
      <c r="L604" s="74"/>
      <c r="M604" s="119"/>
      <c r="N604" s="74"/>
      <c r="O604" s="74"/>
      <c r="P604" s="74"/>
      <c r="Q604" s="74"/>
      <c r="R604" s="74"/>
      <c r="S604" s="74"/>
      <c r="T604" s="65" t="n">
        <f aca="false">IF(D604&gt;0,(I604/D604),"")</f>
        <v>0.03</v>
      </c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/>
      <c r="FT604" s="74"/>
      <c r="FU604" s="74"/>
      <c r="FV604" s="74"/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</row>
    <row r="605" customFormat="false" ht="16.5" hidden="true" customHeight="false" outlineLevel="0" collapsed="false">
      <c r="A605" s="220" t="s">
        <v>575</v>
      </c>
      <c r="B605" s="90"/>
      <c r="C605" s="183"/>
      <c r="D605" s="92" t="n">
        <f aca="false">I605/0.03</f>
        <v>3557.66666666667</v>
      </c>
      <c r="E605" s="93" t="n">
        <v>142.049</v>
      </c>
      <c r="F605" s="81" t="n">
        <v>-35.319</v>
      </c>
      <c r="G605" s="81"/>
      <c r="H605" s="81"/>
      <c r="I605" s="94" t="n">
        <f aca="false">SUM(E605:H605)</f>
        <v>106.73</v>
      </c>
      <c r="J605" s="118" t="s">
        <v>21</v>
      </c>
      <c r="K605" s="74"/>
      <c r="L605" s="74"/>
      <c r="M605" s="119"/>
      <c r="N605" s="74"/>
      <c r="O605" s="74"/>
      <c r="P605" s="74"/>
      <c r="Q605" s="74"/>
      <c r="R605" s="74"/>
      <c r="S605" s="74"/>
      <c r="T605" s="65" t="n">
        <f aca="false">IF(D605&gt;0,(I605/D605),"")</f>
        <v>0.03</v>
      </c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/>
      <c r="FT605" s="74"/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</row>
    <row r="606" customFormat="false" ht="16.5" hidden="true" customHeight="false" outlineLevel="0" collapsed="false">
      <c r="A606" s="220" t="s">
        <v>576</v>
      </c>
      <c r="B606" s="90"/>
      <c r="C606" s="183"/>
      <c r="D606" s="92" t="n">
        <f aca="false">I606/0.03</f>
        <v>4763.93333333333</v>
      </c>
      <c r="E606" s="93" t="n">
        <v>193.207</v>
      </c>
      <c r="F606" s="81" t="n">
        <v>-50.289</v>
      </c>
      <c r="G606" s="81"/>
      <c r="H606" s="81"/>
      <c r="I606" s="94" t="n">
        <f aca="false">SUM(E606:H606)</f>
        <v>142.918</v>
      </c>
      <c r="J606" s="118" t="s">
        <v>21</v>
      </c>
      <c r="K606" s="74"/>
      <c r="L606" s="74"/>
      <c r="M606" s="119"/>
      <c r="N606" s="74"/>
      <c r="O606" s="74"/>
      <c r="P606" s="74"/>
      <c r="Q606" s="74"/>
      <c r="R606" s="74"/>
      <c r="S606" s="74"/>
      <c r="T606" s="65" t="n">
        <f aca="false">IF(D606&gt;0,(I606/D606),"")</f>
        <v>0.03</v>
      </c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/>
      <c r="FS606" s="74"/>
      <c r="FT606" s="74"/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</row>
    <row r="607" customFormat="false" ht="16.5" hidden="true" customHeight="false" outlineLevel="0" collapsed="false">
      <c r="A607" s="220" t="s">
        <v>577</v>
      </c>
      <c r="B607" s="90"/>
      <c r="C607" s="183"/>
      <c r="D607" s="92" t="n">
        <f aca="false">I607/0.03</f>
        <v>3244.26666666667</v>
      </c>
      <c r="E607" s="93" t="n">
        <v>132.662</v>
      </c>
      <c r="F607" s="81" t="n">
        <v>-35.334</v>
      </c>
      <c r="G607" s="81"/>
      <c r="H607" s="81"/>
      <c r="I607" s="94" t="n">
        <f aca="false">SUM(E607:H607)</f>
        <v>97.328</v>
      </c>
      <c r="J607" s="118" t="s">
        <v>21</v>
      </c>
      <c r="K607" s="74"/>
      <c r="L607" s="74"/>
      <c r="M607" s="119"/>
      <c r="N607" s="74"/>
      <c r="O607" s="74"/>
      <c r="P607" s="74"/>
      <c r="Q607" s="74"/>
      <c r="R607" s="74"/>
      <c r="S607" s="74"/>
      <c r="T607" s="65" t="n">
        <f aca="false">IF(D607&gt;0,(I607/D607),"")</f>
        <v>0.03</v>
      </c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/>
      <c r="FT607" s="74"/>
      <c r="FU607" s="74"/>
      <c r="FV607" s="74"/>
      <c r="FW607" s="74"/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</row>
    <row r="608" customFormat="false" ht="16.5" hidden="true" customHeight="false" outlineLevel="0" collapsed="false">
      <c r="A608" s="220" t="s">
        <v>578</v>
      </c>
      <c r="B608" s="90"/>
      <c r="C608" s="183"/>
      <c r="D608" s="92" t="n">
        <f aca="false">I608/0.03</f>
        <v>3517.5</v>
      </c>
      <c r="E608" s="93" t="n">
        <v>136.581</v>
      </c>
      <c r="F608" s="81" t="n">
        <v>-31.056</v>
      </c>
      <c r="G608" s="81"/>
      <c r="H608" s="81"/>
      <c r="I608" s="94" t="n">
        <f aca="false">SUM(E608:H608)</f>
        <v>105.525</v>
      </c>
      <c r="J608" s="118" t="s">
        <v>21</v>
      </c>
      <c r="K608" s="74"/>
      <c r="L608" s="74"/>
      <c r="M608" s="119"/>
      <c r="N608" s="74"/>
      <c r="O608" s="74"/>
      <c r="P608" s="74"/>
      <c r="Q608" s="74"/>
      <c r="R608" s="74"/>
      <c r="S608" s="74"/>
      <c r="T608" s="65" t="n">
        <f aca="false">IF(D608&gt;0,(I608/D608),"")</f>
        <v>0.03</v>
      </c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/>
      <c r="FV608" s="74"/>
      <c r="FW608" s="74"/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</row>
    <row r="609" customFormat="false" ht="16.5" hidden="true" customHeight="false" outlineLevel="0" collapsed="false">
      <c r="A609" s="220" t="s">
        <v>579</v>
      </c>
      <c r="B609" s="90"/>
      <c r="C609" s="183"/>
      <c r="D609" s="92" t="n">
        <f aca="false">I609/0.03</f>
        <v>3027.03333333333</v>
      </c>
      <c r="E609" s="93" t="n">
        <v>120.036</v>
      </c>
      <c r="F609" s="81" t="n">
        <v>-29.225</v>
      </c>
      <c r="G609" s="81"/>
      <c r="H609" s="81"/>
      <c r="I609" s="94" t="n">
        <f aca="false">SUM(E609:H609)</f>
        <v>90.811</v>
      </c>
      <c r="J609" s="118" t="s">
        <v>21</v>
      </c>
      <c r="K609" s="74"/>
      <c r="L609" s="74"/>
      <c r="M609" s="119"/>
      <c r="N609" s="74"/>
      <c r="O609" s="74"/>
      <c r="P609" s="74"/>
      <c r="Q609" s="74"/>
      <c r="R609" s="74"/>
      <c r="S609" s="74"/>
      <c r="T609" s="65" t="n">
        <f aca="false">IF(D609&gt;0,(I609/D609),"")</f>
        <v>0.03</v>
      </c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/>
      <c r="FT609" s="74"/>
      <c r="FU609" s="74"/>
      <c r="FV609" s="74"/>
      <c r="FW609" s="74"/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</row>
    <row r="610" customFormat="false" ht="16.5" hidden="true" customHeight="false" outlineLevel="0" collapsed="false">
      <c r="A610" s="220" t="s">
        <v>580</v>
      </c>
      <c r="B610" s="90"/>
      <c r="C610" s="183"/>
      <c r="D610" s="92" t="n">
        <f aca="false">I610/0.03</f>
        <v>-31.5666666666667</v>
      </c>
      <c r="E610" s="93" t="n">
        <v>-1.211</v>
      </c>
      <c r="F610" s="81" t="n">
        <v>0.264</v>
      </c>
      <c r="G610" s="81"/>
      <c r="H610" s="81"/>
      <c r="I610" s="94" t="n">
        <f aca="false">SUM(E610:H610)</f>
        <v>-0.947</v>
      </c>
      <c r="J610" s="118"/>
      <c r="K610" s="74"/>
      <c r="L610" s="74"/>
      <c r="M610" s="119"/>
      <c r="N610" s="74"/>
      <c r="O610" s="74"/>
      <c r="P610" s="74"/>
      <c r="Q610" s="74"/>
      <c r="R610" s="74"/>
      <c r="S610" s="74"/>
      <c r="T610" s="65" t="str">
        <f aca="false">IF(D610&gt;0,(I610/D610),"")</f>
        <v/>
      </c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/>
      <c r="FT610" s="74"/>
      <c r="FU610" s="74"/>
      <c r="FV610" s="74"/>
      <c r="FW610" s="74"/>
      <c r="FX610" s="74"/>
      <c r="FY610" s="74"/>
      <c r="FZ610" s="74"/>
      <c r="GA610" s="74"/>
      <c r="GB610" s="74"/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</row>
    <row r="611" customFormat="false" ht="16.5" hidden="true" customHeight="false" outlineLevel="0" collapsed="false">
      <c r="A611" s="220" t="s">
        <v>581</v>
      </c>
      <c r="B611" s="90"/>
      <c r="C611" s="183"/>
      <c r="D611" s="92" t="n">
        <f aca="false">I611/0.03</f>
        <v>303.2</v>
      </c>
      <c r="E611" s="93" t="n">
        <v>9.787</v>
      </c>
      <c r="F611" s="81" t="n">
        <v>-0.691</v>
      </c>
      <c r="G611" s="81"/>
      <c r="H611" s="81"/>
      <c r="I611" s="94" t="n">
        <f aca="false">SUM(E611:H611)</f>
        <v>9.096</v>
      </c>
      <c r="J611" s="118" t="s">
        <v>226</v>
      </c>
      <c r="K611" s="74"/>
      <c r="L611" s="74"/>
      <c r="M611" s="119"/>
      <c r="N611" s="74"/>
      <c r="O611" s="74"/>
      <c r="P611" s="74"/>
      <c r="Q611" s="74"/>
      <c r="R611" s="74"/>
      <c r="S611" s="74"/>
      <c r="T611" s="65" t="n">
        <f aca="false">IF(D611&gt;0,(I611/D611),"")</f>
        <v>0.03</v>
      </c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/>
      <c r="FV611" s="74"/>
      <c r="FW611" s="74"/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</row>
    <row r="612" customFormat="false" ht="16.5" hidden="true" customHeight="false" outlineLevel="0" collapsed="false">
      <c r="A612" s="220" t="s">
        <v>582</v>
      </c>
      <c r="B612" s="90"/>
      <c r="C612" s="183"/>
      <c r="D612" s="92" t="n">
        <f aca="false">I612/0.03</f>
        <v>87.5</v>
      </c>
      <c r="E612" s="93" t="n">
        <v>3.157</v>
      </c>
      <c r="F612" s="81" t="n">
        <v>-0.532</v>
      </c>
      <c r="G612" s="81"/>
      <c r="H612" s="81"/>
      <c r="I612" s="94" t="n">
        <f aca="false">SUM(E612:H612)</f>
        <v>2.625</v>
      </c>
      <c r="J612" s="118" t="s">
        <v>226</v>
      </c>
      <c r="K612" s="74"/>
      <c r="L612" s="74"/>
      <c r="M612" s="119"/>
      <c r="N612" s="74"/>
      <c r="O612" s="74"/>
      <c r="P612" s="74"/>
      <c r="Q612" s="74"/>
      <c r="R612" s="74"/>
      <c r="S612" s="74"/>
      <c r="T612" s="65" t="n">
        <f aca="false">IF(D612&gt;0,(I612/D612),"")</f>
        <v>0.03</v>
      </c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/>
      <c r="FT612" s="74"/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</row>
    <row r="613" customFormat="false" ht="16.5" hidden="true" customHeight="false" outlineLevel="0" collapsed="false">
      <c r="A613" s="220" t="s">
        <v>583</v>
      </c>
      <c r="B613" s="90"/>
      <c r="C613" s="183"/>
      <c r="D613" s="92" t="n">
        <f aca="false">I613/0.03</f>
        <v>181.233333333333</v>
      </c>
      <c r="E613" s="93" t="n">
        <v>5.938</v>
      </c>
      <c r="F613" s="81" t="n">
        <v>-0.501</v>
      </c>
      <c r="G613" s="81"/>
      <c r="H613" s="81"/>
      <c r="I613" s="94" t="n">
        <f aca="false">SUM(E613:H613)</f>
        <v>5.437</v>
      </c>
      <c r="J613" s="118" t="s">
        <v>226</v>
      </c>
      <c r="K613" s="74"/>
      <c r="L613" s="74"/>
      <c r="M613" s="119"/>
      <c r="N613" s="74"/>
      <c r="O613" s="74"/>
      <c r="P613" s="74"/>
      <c r="Q613" s="74"/>
      <c r="R613" s="74"/>
      <c r="S613" s="74"/>
      <c r="T613" s="65" t="n">
        <f aca="false">IF(D613&gt;0,(I613/D613),"")</f>
        <v>0.03</v>
      </c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/>
      <c r="FT613" s="74"/>
      <c r="FU613" s="74"/>
      <c r="FV613" s="74"/>
      <c r="FW613" s="74"/>
      <c r="FX613" s="74"/>
      <c r="FY613" s="74"/>
      <c r="FZ613" s="74"/>
      <c r="GA613" s="74"/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</row>
    <row r="614" customFormat="false" ht="13.5" hidden="true" customHeight="true" outlineLevel="0" collapsed="false">
      <c r="A614" s="220" t="s">
        <v>584</v>
      </c>
      <c r="B614" s="90"/>
      <c r="C614" s="183"/>
      <c r="D614" s="92" t="n">
        <f aca="false">I614/0.03</f>
        <v>80.9333333333333</v>
      </c>
      <c r="E614" s="93" t="n">
        <v>2.789</v>
      </c>
      <c r="F614" s="81" t="n">
        <v>-0.361</v>
      </c>
      <c r="G614" s="81"/>
      <c r="H614" s="81"/>
      <c r="I614" s="94" t="n">
        <f aca="false">SUM(E614:H614)</f>
        <v>2.428</v>
      </c>
      <c r="J614" s="118" t="s">
        <v>226</v>
      </c>
      <c r="K614" s="74"/>
      <c r="L614" s="74"/>
      <c r="M614" s="119"/>
      <c r="N614" s="74"/>
      <c r="O614" s="74"/>
      <c r="P614" s="74"/>
      <c r="Q614" s="74"/>
      <c r="R614" s="74"/>
      <c r="S614" s="74"/>
      <c r="T614" s="65" t="n">
        <f aca="false">IF(D614&gt;0,(I614/D614),"")</f>
        <v>0.03</v>
      </c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/>
      <c r="FV614" s="74"/>
      <c r="FW614" s="74"/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</row>
    <row r="615" customFormat="false" ht="16.5" hidden="true" customHeight="false" outlineLevel="0" collapsed="false">
      <c r="A615" s="220" t="s">
        <v>585</v>
      </c>
      <c r="B615" s="90"/>
      <c r="C615" s="183"/>
      <c r="D615" s="92" t="n">
        <f aca="false">I615/0.03</f>
        <v>264.133333333333</v>
      </c>
      <c r="E615" s="93" t="n">
        <v>8.76</v>
      </c>
      <c r="F615" s="81" t="n">
        <v>-0.836</v>
      </c>
      <c r="G615" s="81"/>
      <c r="H615" s="81"/>
      <c r="I615" s="94" t="n">
        <f aca="false">SUM(E615:H615)</f>
        <v>7.924</v>
      </c>
      <c r="J615" s="118" t="s">
        <v>226</v>
      </c>
      <c r="K615" s="74"/>
      <c r="L615" s="74"/>
      <c r="M615" s="119"/>
      <c r="N615" s="74"/>
      <c r="O615" s="74"/>
      <c r="P615" s="74"/>
      <c r="Q615" s="74"/>
      <c r="R615" s="74"/>
      <c r="S615" s="74"/>
      <c r="T615" s="65" t="n">
        <f aca="false">IF(D615&gt;0,(I615/D615),"")</f>
        <v>0.03</v>
      </c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/>
      <c r="FT615" s="74"/>
      <c r="FU615" s="74"/>
      <c r="FV615" s="74"/>
      <c r="FW615" s="74"/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</row>
    <row r="616" customFormat="false" ht="16.5" hidden="true" customHeight="false" outlineLevel="0" collapsed="false">
      <c r="A616" s="220" t="s">
        <v>586</v>
      </c>
      <c r="B616" s="90"/>
      <c r="C616" s="183"/>
      <c r="D616" s="92" t="n">
        <f aca="false">I616/0.03</f>
        <v>729.266666666667</v>
      </c>
      <c r="E616" s="93" t="n">
        <v>23.235</v>
      </c>
      <c r="F616" s="81" t="n">
        <v>-1.357</v>
      </c>
      <c r="G616" s="81"/>
      <c r="H616" s="81"/>
      <c r="I616" s="94" t="n">
        <f aca="false">SUM(E616:H616)</f>
        <v>21.878</v>
      </c>
      <c r="J616" s="118" t="s">
        <v>226</v>
      </c>
      <c r="K616" s="74"/>
      <c r="L616" s="74"/>
      <c r="M616" s="119"/>
      <c r="N616" s="74"/>
      <c r="O616" s="74"/>
      <c r="P616" s="74"/>
      <c r="Q616" s="74"/>
      <c r="R616" s="74"/>
      <c r="S616" s="74"/>
      <c r="T616" s="65" t="n">
        <f aca="false">IF(D616&gt;0,(I616/D616),"")</f>
        <v>0.03</v>
      </c>
      <c r="U616" s="74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4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74"/>
      <c r="FZ616" s="74"/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</row>
    <row r="617" customFormat="false" ht="16.5" hidden="true" customHeight="false" outlineLevel="0" collapsed="false">
      <c r="A617" s="220" t="s">
        <v>587</v>
      </c>
      <c r="B617" s="90"/>
      <c r="C617" s="183"/>
      <c r="D617" s="92" t="n">
        <f aca="false">I617/0.03</f>
        <v>177.4</v>
      </c>
      <c r="E617" s="93" t="n">
        <v>5.919</v>
      </c>
      <c r="F617" s="81" t="n">
        <v>-0.597</v>
      </c>
      <c r="G617" s="81"/>
      <c r="H617" s="81"/>
      <c r="I617" s="94" t="n">
        <f aca="false">SUM(E617:H617)</f>
        <v>5.322</v>
      </c>
      <c r="J617" s="118" t="s">
        <v>226</v>
      </c>
      <c r="K617" s="74"/>
      <c r="L617" s="74"/>
      <c r="M617" s="119"/>
      <c r="N617" s="74"/>
      <c r="O617" s="74"/>
      <c r="P617" s="74"/>
      <c r="Q617" s="74"/>
      <c r="R617" s="74"/>
      <c r="S617" s="74"/>
      <c r="T617" s="65" t="n">
        <f aca="false">IF(D617&gt;0,(I617/D617),"")</f>
        <v>0.03</v>
      </c>
      <c r="U617" s="74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4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/>
      <c r="FW617" s="74"/>
      <c r="FX617" s="74"/>
      <c r="FY617" s="74"/>
      <c r="FZ617" s="74"/>
      <c r="GA617" s="74"/>
      <c r="GB617" s="74"/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</row>
    <row r="618" customFormat="false" ht="16.5" hidden="true" customHeight="false" outlineLevel="0" collapsed="false">
      <c r="A618" s="220" t="s">
        <v>588</v>
      </c>
      <c r="B618" s="90"/>
      <c r="C618" s="183"/>
      <c r="D618" s="92" t="n">
        <f aca="false">I618/0.03</f>
        <v>-233.033333333333</v>
      </c>
      <c r="E618" s="93" t="n">
        <v>-7.337</v>
      </c>
      <c r="F618" s="81" t="n">
        <v>0.346</v>
      </c>
      <c r="G618" s="81"/>
      <c r="H618" s="81"/>
      <c r="I618" s="94" t="n">
        <f aca="false">SUM(E618:H618)</f>
        <v>-6.991</v>
      </c>
      <c r="J618" s="118" t="s">
        <v>226</v>
      </c>
      <c r="K618" s="74"/>
      <c r="L618" s="74"/>
      <c r="M618" s="119"/>
      <c r="N618" s="74"/>
      <c r="O618" s="74"/>
      <c r="P618" s="74"/>
      <c r="Q618" s="74"/>
      <c r="R618" s="74"/>
      <c r="S618" s="74"/>
      <c r="T618" s="65" t="str">
        <f aca="false">IF(D618&gt;0,(I618/D618),"")</f>
        <v/>
      </c>
      <c r="U618" s="74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4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/>
      <c r="FW618" s="74"/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</row>
    <row r="619" customFormat="false" ht="18.75" hidden="true" customHeight="false" outlineLevel="0" collapsed="false">
      <c r="A619" s="220" t="s">
        <v>589</v>
      </c>
      <c r="B619" s="228"/>
      <c r="C619" s="129" t="s">
        <v>573</v>
      </c>
      <c r="D619" s="92" t="n">
        <f aca="false">I619/0.03</f>
        <v>3312.16666666667</v>
      </c>
      <c r="E619" s="93" t="n">
        <v>124.945</v>
      </c>
      <c r="F619" s="81" t="n">
        <v>-25.58</v>
      </c>
      <c r="G619" s="81"/>
      <c r="H619" s="81"/>
      <c r="I619" s="94" t="n">
        <f aca="false">SUM(E619:G619)</f>
        <v>99.365</v>
      </c>
      <c r="J619" s="118" t="s">
        <v>21</v>
      </c>
      <c r="K619" s="74"/>
      <c r="L619" s="74"/>
      <c r="M619" s="119"/>
      <c r="N619" s="74"/>
      <c r="O619" s="74"/>
      <c r="P619" s="74"/>
      <c r="Q619" s="74"/>
      <c r="R619" s="74"/>
      <c r="S619" s="74"/>
      <c r="T619" s="65" t="n">
        <f aca="false">IF(D619&gt;0,(I619/D619),"")</f>
        <v>0.03</v>
      </c>
      <c r="U619" s="74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4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/>
      <c r="FW619" s="74"/>
      <c r="FX619" s="74"/>
      <c r="FY619" s="74"/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</row>
    <row r="620" customFormat="false" ht="18.75" hidden="true" customHeight="false" outlineLevel="0" collapsed="false">
      <c r="A620" s="220" t="s">
        <v>590</v>
      </c>
      <c r="B620" s="228"/>
      <c r="C620" s="129" t="s">
        <v>573</v>
      </c>
      <c r="D620" s="92" t="n">
        <f aca="false">I620/0.03</f>
        <v>211.466666666667</v>
      </c>
      <c r="E620" s="93" t="n">
        <v>6.753</v>
      </c>
      <c r="F620" s="81" t="n">
        <v>-0.409</v>
      </c>
      <c r="G620" s="81"/>
      <c r="H620" s="81"/>
      <c r="I620" s="94" t="n">
        <f aca="false">SUM(E620:G620)</f>
        <v>6.344</v>
      </c>
      <c r="J620" s="118" t="s">
        <v>226</v>
      </c>
      <c r="K620" s="74"/>
      <c r="L620" s="74"/>
      <c r="M620" s="119"/>
      <c r="N620" s="74"/>
      <c r="O620" s="74"/>
      <c r="P620" s="74"/>
      <c r="Q620" s="74"/>
      <c r="R620" s="74"/>
      <c r="S620" s="74"/>
      <c r="T620" s="65" t="n">
        <f aca="false">IF(D620&gt;0,(I620/D620),"")</f>
        <v>0.03</v>
      </c>
      <c r="U620" s="74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4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/>
      <c r="FV620" s="74"/>
      <c r="FW620" s="74"/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</row>
    <row r="621" customFormat="false" ht="18.75" hidden="true" customHeight="false" outlineLevel="0" collapsed="false">
      <c r="A621" s="220" t="s">
        <v>591</v>
      </c>
      <c r="B621" s="228"/>
      <c r="C621" s="129" t="s">
        <v>573</v>
      </c>
      <c r="D621" s="92" t="n">
        <f aca="false">I621/0.03</f>
        <v>-149.933333333333</v>
      </c>
      <c r="E621" s="93" t="n">
        <v>0</v>
      </c>
      <c r="F621" s="81" t="n">
        <v>-4.498</v>
      </c>
      <c r="G621" s="81"/>
      <c r="H621" s="81"/>
      <c r="I621" s="94" t="n">
        <f aca="false">SUM(E621:G621)</f>
        <v>-4.498</v>
      </c>
      <c r="J621" s="118"/>
      <c r="K621" s="74"/>
      <c r="L621" s="74"/>
      <c r="M621" s="119"/>
      <c r="N621" s="74"/>
      <c r="O621" s="74"/>
      <c r="P621" s="74"/>
      <c r="Q621" s="74"/>
      <c r="R621" s="74"/>
      <c r="S621" s="74"/>
      <c r="T621" s="65" t="str">
        <f aca="false">IF(D621&gt;0,(I621/D621),"")</f>
        <v/>
      </c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/>
      <c r="FW621" s="74"/>
      <c r="FX621" s="74"/>
      <c r="FY621" s="74"/>
      <c r="FZ621" s="74"/>
      <c r="GA621" s="74"/>
      <c r="GB621" s="74"/>
      <c r="GC621" s="74"/>
      <c r="GD621" s="74"/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</row>
    <row r="622" customFormat="false" ht="18.75" hidden="true" customHeight="false" outlineLevel="0" collapsed="false">
      <c r="A622" s="220" t="s">
        <v>592</v>
      </c>
      <c r="B622" s="228"/>
      <c r="C622" s="129" t="s">
        <v>573</v>
      </c>
      <c r="D622" s="92" t="n">
        <f aca="false">I622/0.03</f>
        <v>-34.4666666666667</v>
      </c>
      <c r="E622" s="93" t="n">
        <v>0</v>
      </c>
      <c r="F622" s="81" t="n">
        <v>-1.034</v>
      </c>
      <c r="G622" s="81"/>
      <c r="H622" s="81"/>
      <c r="I622" s="94" t="n">
        <f aca="false">SUM(E622:G622)</f>
        <v>-1.034</v>
      </c>
      <c r="J622" s="118"/>
      <c r="K622" s="74"/>
      <c r="L622" s="74"/>
      <c r="M622" s="119"/>
      <c r="N622" s="74"/>
      <c r="O622" s="74"/>
      <c r="P622" s="74"/>
      <c r="Q622" s="74"/>
      <c r="R622" s="74"/>
      <c r="S622" s="74"/>
      <c r="T622" s="65" t="str">
        <f aca="false">IF(D622&gt;0,(I622/D622),"")</f>
        <v/>
      </c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/>
      <c r="FW622" s="74"/>
      <c r="FX622" s="74"/>
      <c r="FY622" s="74"/>
      <c r="FZ622" s="74"/>
      <c r="GA622" s="74"/>
      <c r="GB622" s="74"/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</row>
    <row r="623" customFormat="false" ht="18.75" hidden="true" customHeight="false" outlineLevel="0" collapsed="false">
      <c r="A623" s="220" t="s">
        <v>593</v>
      </c>
      <c r="B623" s="228"/>
      <c r="C623" s="129" t="s">
        <v>573</v>
      </c>
      <c r="D623" s="92" t="n">
        <f aca="false">I623/0.03</f>
        <v>-312.5</v>
      </c>
      <c r="E623" s="93" t="n">
        <v>0</v>
      </c>
      <c r="F623" s="81" t="n">
        <v>-9.375</v>
      </c>
      <c r="G623" s="81"/>
      <c r="H623" s="81"/>
      <c r="I623" s="94" t="n">
        <f aca="false">SUM(E623:G623)</f>
        <v>-9.375</v>
      </c>
      <c r="J623" s="118"/>
      <c r="K623" s="74"/>
      <c r="L623" s="74"/>
      <c r="M623" s="119"/>
      <c r="N623" s="74"/>
      <c r="O623" s="74"/>
      <c r="P623" s="74"/>
      <c r="Q623" s="74"/>
      <c r="R623" s="74"/>
      <c r="S623" s="74"/>
      <c r="T623" s="65" t="str">
        <f aca="false">IF(D623&gt;0,(I623/D623),"")</f>
        <v/>
      </c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/>
      <c r="FV623" s="74"/>
      <c r="FW623" s="74"/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</row>
    <row r="624" customFormat="false" ht="18.75" hidden="true" customHeight="false" outlineLevel="0" collapsed="false">
      <c r="A624" s="220" t="s">
        <v>594</v>
      </c>
      <c r="B624" s="228"/>
      <c r="C624" s="129" t="s">
        <v>573</v>
      </c>
      <c r="D624" s="92" t="n">
        <f aca="false">I624/0.03</f>
        <v>-214.5</v>
      </c>
      <c r="E624" s="93" t="n">
        <v>0</v>
      </c>
      <c r="F624" s="81" t="n">
        <v>-6.435</v>
      </c>
      <c r="G624" s="81"/>
      <c r="H624" s="81"/>
      <c r="I624" s="94" t="n">
        <f aca="false">SUM(E624:G624)</f>
        <v>-6.435</v>
      </c>
      <c r="J624" s="118"/>
      <c r="K624" s="74"/>
      <c r="L624" s="74"/>
      <c r="M624" s="119"/>
      <c r="N624" s="74"/>
      <c r="O624" s="74"/>
      <c r="P624" s="74"/>
      <c r="Q624" s="74"/>
      <c r="R624" s="74"/>
      <c r="S624" s="74"/>
      <c r="T624" s="65" t="str">
        <f aca="false">IF(D624&gt;0,(I624/D624),"")</f>
        <v/>
      </c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/>
      <c r="FW624" s="74"/>
      <c r="FX624" s="74"/>
      <c r="FY624" s="74"/>
      <c r="FZ624" s="74"/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</row>
    <row r="625" customFormat="false" ht="18.75" hidden="true" customHeight="false" outlineLevel="0" collapsed="false">
      <c r="A625" s="220" t="s">
        <v>595</v>
      </c>
      <c r="B625" s="228"/>
      <c r="C625" s="129" t="s">
        <v>573</v>
      </c>
      <c r="D625" s="92" t="n">
        <f aca="false">I625/0.03</f>
        <v>-65.2</v>
      </c>
      <c r="E625" s="93" t="n">
        <v>-2.008</v>
      </c>
      <c r="F625" s="81" t="n">
        <v>0.052</v>
      </c>
      <c r="G625" s="81"/>
      <c r="H625" s="81"/>
      <c r="I625" s="94" t="n">
        <f aca="false">SUM(E625:G625)</f>
        <v>-1.956</v>
      </c>
      <c r="J625" s="118"/>
      <c r="K625" s="74"/>
      <c r="L625" s="74"/>
      <c r="M625" s="119"/>
      <c r="N625" s="74"/>
      <c r="O625" s="74"/>
      <c r="P625" s="74"/>
      <c r="Q625" s="74"/>
      <c r="R625" s="74"/>
      <c r="S625" s="74"/>
      <c r="T625" s="65" t="str">
        <f aca="false">IF(D625&gt;0,(I625/D625),"")</f>
        <v/>
      </c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/>
      <c r="FZ625" s="74"/>
      <c r="GA625" s="74"/>
      <c r="GB625" s="74"/>
      <c r="GC625" s="74"/>
      <c r="GD625" s="74"/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</row>
    <row r="626" customFormat="false" ht="18.75" hidden="true" customHeight="false" outlineLevel="0" collapsed="false">
      <c r="A626" s="220" t="s">
        <v>596</v>
      </c>
      <c r="B626" s="228"/>
      <c r="C626" s="129" t="s">
        <v>573</v>
      </c>
      <c r="D626" s="92" t="n">
        <f aca="false">I626/0.03</f>
        <v>-1139</v>
      </c>
      <c r="E626" s="93" t="n">
        <v>-34.785</v>
      </c>
      <c r="F626" s="81" t="n">
        <v>0.615</v>
      </c>
      <c r="G626" s="81"/>
      <c r="H626" s="81"/>
      <c r="I626" s="94" t="n">
        <f aca="false">SUM(E626:G626)</f>
        <v>-34.17</v>
      </c>
      <c r="J626" s="118"/>
      <c r="K626" s="74"/>
      <c r="L626" s="74"/>
      <c r="M626" s="119"/>
      <c r="N626" s="74"/>
      <c r="O626" s="74"/>
      <c r="P626" s="74"/>
      <c r="Q626" s="74"/>
      <c r="R626" s="74"/>
      <c r="S626" s="74"/>
      <c r="T626" s="65" t="str">
        <f aca="false">IF(D626&gt;0,(I626/D626),"")</f>
        <v/>
      </c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/>
      <c r="FZ626" s="74"/>
      <c r="GA626" s="74"/>
      <c r="GB626" s="74"/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</row>
    <row r="627" customFormat="false" ht="18.75" hidden="true" customHeight="false" outlineLevel="0" collapsed="false">
      <c r="A627" s="220" t="s">
        <v>597</v>
      </c>
      <c r="B627" s="228"/>
      <c r="C627" s="129" t="s">
        <v>573</v>
      </c>
      <c r="D627" s="92" t="n">
        <f aca="false">I627/0.03</f>
        <v>1974.56666666667</v>
      </c>
      <c r="E627" s="93" t="n">
        <v>69.65</v>
      </c>
      <c r="F627" s="81" t="n">
        <v>-10.413</v>
      </c>
      <c r="G627" s="81"/>
      <c r="H627" s="81"/>
      <c r="I627" s="94" t="n">
        <f aca="false">SUM(E627:G627)</f>
        <v>59.237</v>
      </c>
      <c r="J627" s="118"/>
      <c r="K627" s="74"/>
      <c r="L627" s="74"/>
      <c r="M627" s="119"/>
      <c r="N627" s="74"/>
      <c r="O627" s="74"/>
      <c r="P627" s="74"/>
      <c r="Q627" s="74"/>
      <c r="R627" s="74"/>
      <c r="S627" s="74"/>
      <c r="T627" s="65" t="n">
        <f aca="false">IF(D627&gt;0,(I627/D627),"")</f>
        <v>0.03</v>
      </c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/>
      <c r="FZ627" s="74"/>
      <c r="GA627" s="74"/>
      <c r="GB627" s="74"/>
      <c r="GC627" s="74"/>
      <c r="GD627" s="74"/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</row>
    <row r="628" customFormat="false" ht="18.75" hidden="true" customHeight="false" outlineLevel="0" collapsed="false">
      <c r="A628" s="220" t="s">
        <v>598</v>
      </c>
      <c r="B628" s="228"/>
      <c r="C628" s="129" t="s">
        <v>573</v>
      </c>
      <c r="D628" s="92" t="n">
        <f aca="false">I628/0.03</f>
        <v>7237.16666666667</v>
      </c>
      <c r="E628" s="93" t="n">
        <v>266.118</v>
      </c>
      <c r="F628" s="81" t="n">
        <v>-49.003</v>
      </c>
      <c r="G628" s="81"/>
      <c r="H628" s="81"/>
      <c r="I628" s="94" t="n">
        <f aca="false">SUM(E628:G628)</f>
        <v>217.115</v>
      </c>
      <c r="J628" s="118"/>
      <c r="K628" s="74"/>
      <c r="L628" s="74"/>
      <c r="M628" s="119"/>
      <c r="N628" s="74"/>
      <c r="O628" s="74"/>
      <c r="P628" s="74"/>
      <c r="Q628" s="74"/>
      <c r="R628" s="74"/>
      <c r="S628" s="74"/>
      <c r="T628" s="65" t="n">
        <f aca="false">IF(D628&gt;0,(I628/D628),"")</f>
        <v>0.03</v>
      </c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/>
      <c r="FZ628" s="74"/>
      <c r="GA628" s="74"/>
      <c r="GB628" s="74"/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</row>
    <row r="629" customFormat="false" ht="18.75" hidden="true" customHeight="false" outlineLevel="0" collapsed="false">
      <c r="A629" s="220" t="s">
        <v>599</v>
      </c>
      <c r="B629" s="228"/>
      <c r="C629" s="129" t="s">
        <v>573</v>
      </c>
      <c r="D629" s="92" t="n">
        <f aca="false">I629/0.03</f>
        <v>3036.7</v>
      </c>
      <c r="E629" s="93" t="n">
        <v>120.847</v>
      </c>
      <c r="F629" s="81" t="n">
        <v>-29.746</v>
      </c>
      <c r="G629" s="81"/>
      <c r="H629" s="81"/>
      <c r="I629" s="94" t="n">
        <f aca="false">SUM(E629:G629)</f>
        <v>91.101</v>
      </c>
      <c r="J629" s="118" t="s">
        <v>21</v>
      </c>
      <c r="K629" s="74"/>
      <c r="L629" s="74"/>
      <c r="M629" s="119"/>
      <c r="N629" s="74"/>
      <c r="O629" s="74"/>
      <c r="P629" s="74"/>
      <c r="Q629" s="74"/>
      <c r="R629" s="74"/>
      <c r="S629" s="74"/>
      <c r="T629" s="65" t="n">
        <f aca="false">IF(D629&gt;0,(I629/D629),"")</f>
        <v>0.03</v>
      </c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/>
      <c r="FZ629" s="74"/>
      <c r="GA629" s="74"/>
      <c r="GB629" s="74"/>
      <c r="GC629" s="74"/>
      <c r="GD629" s="74"/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</row>
    <row r="630" customFormat="false" ht="18.75" hidden="true" customHeight="false" outlineLevel="0" collapsed="false">
      <c r="A630" s="220" t="s">
        <v>600</v>
      </c>
      <c r="B630" s="228"/>
      <c r="C630" s="129" t="s">
        <v>573</v>
      </c>
      <c r="D630" s="92" t="n">
        <f aca="false">I630/0.03</f>
        <v>183.7</v>
      </c>
      <c r="E630" s="93" t="n">
        <v>6.003</v>
      </c>
      <c r="F630" s="81" t="n">
        <v>-0.492</v>
      </c>
      <c r="G630" s="81"/>
      <c r="H630" s="81"/>
      <c r="I630" s="94" t="n">
        <f aca="false">SUM(E630:G630)</f>
        <v>5.511</v>
      </c>
      <c r="J630" s="118" t="s">
        <v>226</v>
      </c>
      <c r="K630" s="74"/>
      <c r="L630" s="74"/>
      <c r="M630" s="119"/>
      <c r="N630" s="74"/>
      <c r="O630" s="74"/>
      <c r="P630" s="74"/>
      <c r="Q630" s="74"/>
      <c r="R630" s="74"/>
      <c r="S630" s="74"/>
      <c r="T630" s="65" t="n">
        <f aca="false">IF(D630&gt;0,(I630/D630),"")</f>
        <v>0.03</v>
      </c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/>
      <c r="FZ630" s="74"/>
      <c r="GA630" s="74"/>
      <c r="GB630" s="74"/>
      <c r="GC630" s="74"/>
      <c r="GD630" s="74"/>
      <c r="GE630" s="74"/>
      <c r="GF630" s="74"/>
      <c r="GG630" s="74"/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</row>
    <row r="631" customFormat="false" ht="18.75" hidden="true" customHeight="false" outlineLevel="0" collapsed="false">
      <c r="A631" s="220" t="s">
        <v>601</v>
      </c>
      <c r="B631" s="228"/>
      <c r="C631" s="129" t="s">
        <v>573</v>
      </c>
      <c r="D631" s="92" t="n">
        <f aca="false">I631/0.03</f>
        <v>744.1</v>
      </c>
      <c r="E631" s="93" t="n">
        <v>25.616</v>
      </c>
      <c r="F631" s="81" t="n">
        <v>-3.293</v>
      </c>
      <c r="G631" s="81"/>
      <c r="H631" s="81"/>
      <c r="I631" s="94" t="n">
        <f aca="false">SUM(E631:G631)</f>
        <v>22.323</v>
      </c>
      <c r="J631" s="118" t="s">
        <v>226</v>
      </c>
      <c r="K631" s="74"/>
      <c r="L631" s="74"/>
      <c r="M631" s="119"/>
      <c r="N631" s="74"/>
      <c r="O631" s="74"/>
      <c r="P631" s="74"/>
      <c r="Q631" s="74"/>
      <c r="R631" s="74"/>
      <c r="S631" s="74"/>
      <c r="T631" s="65" t="n">
        <f aca="false">IF(D631&gt;0,(I631/D631),"")</f>
        <v>0.03</v>
      </c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/>
      <c r="FZ631" s="74"/>
      <c r="GA631" s="74"/>
      <c r="GB631" s="74"/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</row>
    <row r="632" customFormat="false" ht="18.75" hidden="true" customHeight="false" outlineLevel="0" collapsed="false">
      <c r="A632" s="220" t="s">
        <v>602</v>
      </c>
      <c r="B632" s="228"/>
      <c r="C632" s="129" t="s">
        <v>573</v>
      </c>
      <c r="D632" s="92" t="n">
        <f aca="false">I632/0.03</f>
        <v>313.066666666667</v>
      </c>
      <c r="E632" s="93" t="n">
        <v>10.08</v>
      </c>
      <c r="F632" s="81" t="n">
        <v>-0.688</v>
      </c>
      <c r="G632" s="81"/>
      <c r="H632" s="81"/>
      <c r="I632" s="94" t="n">
        <f aca="false">SUM(E632:G632)</f>
        <v>9.392</v>
      </c>
      <c r="J632" s="118" t="s">
        <v>226</v>
      </c>
      <c r="K632" s="74"/>
      <c r="L632" s="74"/>
      <c r="M632" s="119"/>
      <c r="N632" s="74"/>
      <c r="O632" s="74"/>
      <c r="P632" s="74"/>
      <c r="Q632" s="74"/>
      <c r="R632" s="74"/>
      <c r="S632" s="74"/>
      <c r="T632" s="65" t="n">
        <f aca="false">IF(D632&gt;0,(I632/D632),"")</f>
        <v>0.03</v>
      </c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/>
      <c r="FX632" s="74"/>
      <c r="FY632" s="74"/>
      <c r="FZ632" s="74"/>
      <c r="GA632" s="74"/>
      <c r="GB632" s="74"/>
      <c r="GC632" s="74"/>
      <c r="GD632" s="74"/>
      <c r="GE632" s="74"/>
      <c r="GF632" s="74"/>
      <c r="GG632" s="74"/>
      <c r="GH632" s="74"/>
      <c r="GI632" s="74"/>
      <c r="GJ632" s="74"/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</row>
    <row r="633" customFormat="false" ht="15.75" hidden="true" customHeight="true" outlineLevel="0" collapsed="false">
      <c r="A633" s="220" t="s">
        <v>603</v>
      </c>
      <c r="B633" s="228"/>
      <c r="C633" s="129" t="s">
        <v>573</v>
      </c>
      <c r="D633" s="92" t="n">
        <f aca="false">I633/0.03</f>
        <v>377.733333333333</v>
      </c>
      <c r="E633" s="93" t="n">
        <v>12.474</v>
      </c>
      <c r="F633" s="81" t="n">
        <v>-1.142</v>
      </c>
      <c r="G633" s="81"/>
      <c r="H633" s="81"/>
      <c r="I633" s="94" t="n">
        <f aca="false">SUM(E633:G633)</f>
        <v>11.332</v>
      </c>
      <c r="J633" s="118" t="s">
        <v>226</v>
      </c>
      <c r="K633" s="74"/>
      <c r="L633" s="74"/>
      <c r="M633" s="119"/>
      <c r="N633" s="74"/>
      <c r="O633" s="74"/>
      <c r="P633" s="74"/>
      <c r="Q633" s="74"/>
      <c r="R633" s="74"/>
      <c r="S633" s="74"/>
      <c r="T633" s="65" t="n">
        <f aca="false">IF(D633&gt;0,(I633/D633),"")</f>
        <v>0.03</v>
      </c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/>
      <c r="FZ633" s="74"/>
      <c r="GA633" s="74"/>
      <c r="GB633" s="74"/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</row>
    <row r="634" customFormat="false" ht="15.75" hidden="true" customHeight="true" outlineLevel="0" collapsed="false">
      <c r="A634" s="220" t="s">
        <v>604</v>
      </c>
      <c r="B634" s="95" t="n">
        <v>37083</v>
      </c>
      <c r="C634" s="188" t="s">
        <v>605</v>
      </c>
      <c r="D634" s="92" t="n">
        <f aca="false">I634/0.03</f>
        <v>-24.3333333333333</v>
      </c>
      <c r="E634" s="93" t="n">
        <v>-0.769</v>
      </c>
      <c r="F634" s="81" t="n">
        <v>0.039</v>
      </c>
      <c r="G634" s="81" t="n">
        <v>0</v>
      </c>
      <c r="H634" s="81" t="n">
        <v>0</v>
      </c>
      <c r="I634" s="94" t="n">
        <f aca="false">SUM(E634:H634)</f>
        <v>-0.73</v>
      </c>
      <c r="J634" s="118"/>
      <c r="K634" s="74"/>
      <c r="L634" s="74"/>
      <c r="M634" s="119"/>
      <c r="N634" s="74"/>
      <c r="O634" s="74"/>
      <c r="P634" s="74"/>
      <c r="Q634" s="74"/>
      <c r="R634" s="74"/>
      <c r="S634" s="74"/>
      <c r="T634" s="65" t="str">
        <f aca="false">IF(D634&gt;0,(I634/D634),"")</f>
        <v/>
      </c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/>
      <c r="FW634" s="74"/>
      <c r="FX634" s="74"/>
      <c r="FY634" s="74"/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</row>
    <row r="635" customFormat="false" ht="15.75" hidden="true" customHeight="true" outlineLevel="0" collapsed="false">
      <c r="A635" s="220" t="s">
        <v>606</v>
      </c>
      <c r="B635" s="95" t="n">
        <v>37083</v>
      </c>
      <c r="C635" s="188" t="s">
        <v>605</v>
      </c>
      <c r="D635" s="92" t="n">
        <f aca="false">I635/0.03</f>
        <v>-161.833333333333</v>
      </c>
      <c r="E635" s="93" t="n">
        <v>-4.94</v>
      </c>
      <c r="F635" s="81" t="n">
        <v>0.085</v>
      </c>
      <c r="G635" s="81" t="n">
        <v>0</v>
      </c>
      <c r="H635" s="81" t="n">
        <v>0</v>
      </c>
      <c r="I635" s="94" t="n">
        <f aca="false">SUM(E635:H635)</f>
        <v>-4.855</v>
      </c>
      <c r="J635" s="118"/>
      <c r="K635" s="74"/>
      <c r="L635" s="74"/>
      <c r="M635" s="119"/>
      <c r="N635" s="74"/>
      <c r="O635" s="74"/>
      <c r="P635" s="74"/>
      <c r="Q635" s="74"/>
      <c r="R635" s="74"/>
      <c r="S635" s="74"/>
      <c r="T635" s="65" t="str">
        <f aca="false">IF(D635&gt;0,(I635/D635),"")</f>
        <v/>
      </c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/>
      <c r="FW635" s="74"/>
      <c r="FX635" s="74"/>
      <c r="FY635" s="74"/>
      <c r="FZ635" s="74"/>
      <c r="GA635" s="74"/>
      <c r="GB635" s="74"/>
      <c r="GC635" s="74"/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</row>
    <row r="636" customFormat="false" ht="15.75" hidden="true" customHeight="true" outlineLevel="0" collapsed="false">
      <c r="A636" s="220" t="s">
        <v>607</v>
      </c>
      <c r="B636" s="95" t="n">
        <v>37083</v>
      </c>
      <c r="C636" s="188" t="s">
        <v>605</v>
      </c>
      <c r="D636" s="92" t="n">
        <f aca="false">I636/0.03</f>
        <v>-253.566666666667</v>
      </c>
      <c r="E636" s="93" t="n">
        <v>-7.695</v>
      </c>
      <c r="F636" s="81" t="n">
        <v>0.088</v>
      </c>
      <c r="G636" s="81" t="n">
        <v>0</v>
      </c>
      <c r="H636" s="81" t="n">
        <v>0</v>
      </c>
      <c r="I636" s="94" t="n">
        <f aca="false">SUM(E636:H636)</f>
        <v>-7.607</v>
      </c>
      <c r="J636" s="118"/>
      <c r="K636" s="74"/>
      <c r="L636" s="74"/>
      <c r="M636" s="119"/>
      <c r="N636" s="74"/>
      <c r="O636" s="74"/>
      <c r="P636" s="74"/>
      <c r="Q636" s="74"/>
      <c r="R636" s="74"/>
      <c r="S636" s="74"/>
      <c r="T636" s="65" t="str">
        <f aca="false">IF(D636&gt;0,(I636/D636),"")</f>
        <v/>
      </c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/>
      <c r="FW636" s="74"/>
      <c r="FX636" s="74"/>
      <c r="FY636" s="74"/>
      <c r="FZ636" s="74"/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</row>
    <row r="637" customFormat="false" ht="15.75" hidden="true" customHeight="true" outlineLevel="0" collapsed="false">
      <c r="A637" s="220" t="s">
        <v>608</v>
      </c>
      <c r="B637" s="95" t="n">
        <v>37083</v>
      </c>
      <c r="C637" s="188" t="s">
        <v>605</v>
      </c>
      <c r="D637" s="92" t="n">
        <f aca="false">I637/0.03</f>
        <v>-147.633333333333</v>
      </c>
      <c r="E637" s="93" t="n">
        <v>-4.566</v>
      </c>
      <c r="F637" s="81" t="n">
        <v>0.137</v>
      </c>
      <c r="G637" s="81" t="n">
        <v>0</v>
      </c>
      <c r="H637" s="81" t="n">
        <v>0</v>
      </c>
      <c r="I637" s="94" t="n">
        <f aca="false">SUM(E637:H637)</f>
        <v>-4.429</v>
      </c>
      <c r="J637" s="118"/>
      <c r="K637" s="74"/>
      <c r="L637" s="74"/>
      <c r="M637" s="119"/>
      <c r="N637" s="74"/>
      <c r="O637" s="74"/>
      <c r="P637" s="74"/>
      <c r="Q637" s="74"/>
      <c r="R637" s="74"/>
      <c r="S637" s="74"/>
      <c r="T637" s="65" t="str">
        <f aca="false">IF(D637&gt;0,(I637/D637),"")</f>
        <v/>
      </c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/>
      <c r="FZ637" s="74"/>
      <c r="GA637" s="74"/>
      <c r="GB637" s="74"/>
      <c r="GC637" s="74"/>
      <c r="GD637" s="74"/>
      <c r="GE637" s="74"/>
      <c r="GF637" s="74"/>
      <c r="GG637" s="74"/>
      <c r="GH637" s="74"/>
      <c r="GI637" s="74"/>
      <c r="GJ637" s="74"/>
      <c r="GK637" s="74"/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</row>
    <row r="638" customFormat="false" ht="15.75" hidden="true" customHeight="true" outlineLevel="0" collapsed="false">
      <c r="A638" s="220" t="s">
        <v>609</v>
      </c>
      <c r="B638" s="95" t="n">
        <v>37083</v>
      </c>
      <c r="C638" s="188" t="s">
        <v>605</v>
      </c>
      <c r="D638" s="92" t="n">
        <f aca="false">I638/0.03</f>
        <v>-433.1</v>
      </c>
      <c r="E638" s="93" t="n">
        <v>-13.226</v>
      </c>
      <c r="F638" s="81" t="n">
        <v>0.233</v>
      </c>
      <c r="G638" s="81" t="n">
        <v>0</v>
      </c>
      <c r="H638" s="81" t="n">
        <v>0</v>
      </c>
      <c r="I638" s="94" t="n">
        <f aca="false">SUM(E638:H638)</f>
        <v>-12.993</v>
      </c>
      <c r="J638" s="118"/>
      <c r="K638" s="74"/>
      <c r="L638" s="74"/>
      <c r="M638" s="119"/>
      <c r="N638" s="74"/>
      <c r="O638" s="74"/>
      <c r="P638" s="74"/>
      <c r="Q638" s="74"/>
      <c r="R638" s="74"/>
      <c r="S638" s="74"/>
      <c r="T638" s="65" t="str">
        <f aca="false">IF(D638&gt;0,(I638/D638),"")</f>
        <v/>
      </c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/>
      <c r="FZ638" s="74"/>
      <c r="GA638" s="74"/>
      <c r="GB638" s="74"/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</row>
    <row r="639" customFormat="false" ht="15.75" hidden="true" customHeight="true" outlineLevel="0" collapsed="false">
      <c r="A639" s="220" t="s">
        <v>610</v>
      </c>
      <c r="B639" s="95" t="n">
        <v>37083</v>
      </c>
      <c r="C639" s="188" t="s">
        <v>605</v>
      </c>
      <c r="D639" s="92" t="n">
        <f aca="false">I639/0.03</f>
        <v>-37</v>
      </c>
      <c r="E639" s="93" t="n">
        <v>-1.131</v>
      </c>
      <c r="F639" s="81" t="n">
        <v>0.021</v>
      </c>
      <c r="G639" s="81" t="n">
        <v>0</v>
      </c>
      <c r="H639" s="81" t="n">
        <v>0</v>
      </c>
      <c r="I639" s="94" t="n">
        <f aca="false">SUM(E639:H639)</f>
        <v>-1.11</v>
      </c>
      <c r="J639" s="118"/>
      <c r="K639" s="74"/>
      <c r="L639" s="74"/>
      <c r="M639" s="119"/>
      <c r="N639" s="74"/>
      <c r="O639" s="74"/>
      <c r="P639" s="74"/>
      <c r="Q639" s="74"/>
      <c r="R639" s="74"/>
      <c r="S639" s="74"/>
      <c r="T639" s="65" t="str">
        <f aca="false">IF(D639&gt;0,(I639/D639),"")</f>
        <v/>
      </c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/>
      <c r="GA639" s="74"/>
      <c r="GB639" s="74"/>
      <c r="GC639" s="74"/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</row>
    <row r="640" customFormat="false" ht="15.75" hidden="true" customHeight="true" outlineLevel="0" collapsed="false">
      <c r="A640" s="220" t="s">
        <v>611</v>
      </c>
      <c r="B640" s="95" t="n">
        <v>37083</v>
      </c>
      <c r="C640" s="188" t="s">
        <v>605</v>
      </c>
      <c r="D640" s="92" t="n">
        <f aca="false">I640/0.03</f>
        <v>-28.6</v>
      </c>
      <c r="E640" s="93" t="n">
        <v>-0.876</v>
      </c>
      <c r="F640" s="81" t="n">
        <v>0.018</v>
      </c>
      <c r="G640" s="81" t="n">
        <v>0</v>
      </c>
      <c r="H640" s="81" t="n">
        <v>0</v>
      </c>
      <c r="I640" s="94" t="n">
        <f aca="false">SUM(E640:H640)</f>
        <v>-0.858</v>
      </c>
      <c r="J640" s="118"/>
      <c r="K640" s="74"/>
      <c r="L640" s="74"/>
      <c r="M640" s="119"/>
      <c r="N640" s="74"/>
      <c r="O640" s="74"/>
      <c r="P640" s="74"/>
      <c r="Q640" s="74"/>
      <c r="R640" s="74"/>
      <c r="S640" s="74"/>
      <c r="T640" s="65" t="str">
        <f aca="false">IF(D640&gt;0,(I640/D640),"")</f>
        <v/>
      </c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/>
      <c r="FZ640" s="74"/>
      <c r="GA640" s="74"/>
      <c r="GB640" s="74"/>
      <c r="GC640" s="74"/>
      <c r="GD640" s="74"/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</row>
    <row r="641" customFormat="false" ht="15.75" hidden="true" customHeight="true" outlineLevel="0" collapsed="false">
      <c r="A641" s="220" t="s">
        <v>612</v>
      </c>
      <c r="B641" s="95" t="n">
        <v>37083</v>
      </c>
      <c r="C641" s="188" t="s">
        <v>605</v>
      </c>
      <c r="D641" s="92" t="n">
        <f aca="false">I641/0.03</f>
        <v>-53.6333333333333</v>
      </c>
      <c r="E641" s="93" t="n">
        <v>-1.668</v>
      </c>
      <c r="F641" s="81" t="n">
        <v>0.059</v>
      </c>
      <c r="G641" s="81" t="n">
        <v>0</v>
      </c>
      <c r="H641" s="81" t="n">
        <v>0</v>
      </c>
      <c r="I641" s="94" t="n">
        <f aca="false">SUM(E641:H641)</f>
        <v>-1.609</v>
      </c>
      <c r="J641" s="118"/>
      <c r="K641" s="74"/>
      <c r="L641" s="74"/>
      <c r="M641" s="119"/>
      <c r="N641" s="74"/>
      <c r="O641" s="74"/>
      <c r="P641" s="74"/>
      <c r="Q641" s="74"/>
      <c r="R641" s="74"/>
      <c r="S641" s="74"/>
      <c r="T641" s="65" t="str">
        <f aca="false">IF(D641&gt;0,(I641/D641),"")</f>
        <v/>
      </c>
      <c r="U641" s="74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74"/>
      <c r="AJ641" s="74"/>
      <c r="AK641" s="74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4"/>
      <c r="BM641" s="74"/>
      <c r="BN641" s="74"/>
      <c r="BO641" s="74"/>
      <c r="BP641" s="74"/>
      <c r="BQ641" s="74"/>
      <c r="BR641" s="74"/>
      <c r="BS641" s="74"/>
      <c r="BT641" s="74"/>
      <c r="BU641" s="74"/>
      <c r="BV641" s="74"/>
      <c r="BW641" s="74"/>
      <c r="BX641" s="74"/>
      <c r="BY641" s="74"/>
      <c r="BZ641" s="74"/>
      <c r="CA641" s="74"/>
      <c r="CB641" s="74"/>
      <c r="CC641" s="74"/>
      <c r="CD641" s="74"/>
      <c r="CE641" s="74"/>
      <c r="CF641" s="74"/>
      <c r="CG641" s="74"/>
      <c r="CH641" s="74"/>
      <c r="CI641" s="74"/>
      <c r="CJ641" s="74"/>
      <c r="CK641" s="74"/>
      <c r="CL641" s="74"/>
      <c r="CM641" s="74"/>
      <c r="CN641" s="74"/>
      <c r="CO641" s="74"/>
      <c r="CP641" s="74"/>
      <c r="CQ641" s="74"/>
      <c r="CR641" s="74"/>
      <c r="CS641" s="74"/>
      <c r="CT641" s="74"/>
      <c r="CU641" s="74"/>
      <c r="CV641" s="74"/>
      <c r="CW641" s="74"/>
      <c r="CX641" s="74"/>
      <c r="CY641" s="74"/>
      <c r="CZ641" s="74"/>
      <c r="DA641" s="74"/>
      <c r="DB641" s="74"/>
      <c r="DC641" s="74"/>
      <c r="DD641" s="74"/>
      <c r="DE641" s="74"/>
      <c r="DF641" s="74"/>
      <c r="DG641" s="74"/>
      <c r="DH641" s="74"/>
      <c r="DI641" s="74"/>
      <c r="DJ641" s="74"/>
      <c r="DK641" s="74"/>
      <c r="DL641" s="74"/>
      <c r="DM641" s="74"/>
      <c r="DN641" s="74"/>
      <c r="DO641" s="74"/>
      <c r="DP641" s="74"/>
      <c r="DQ641" s="74"/>
      <c r="DR641" s="74"/>
      <c r="DS641" s="74"/>
      <c r="DT641" s="74"/>
      <c r="DU641" s="74"/>
      <c r="DV641" s="74"/>
      <c r="DW641" s="74"/>
      <c r="DX641" s="74"/>
      <c r="DY641" s="74"/>
      <c r="DZ641" s="74"/>
      <c r="EA641" s="74"/>
      <c r="EB641" s="74"/>
      <c r="EC641" s="74"/>
      <c r="ED641" s="74"/>
      <c r="EE641" s="74"/>
      <c r="EF641" s="74"/>
      <c r="EG641" s="74"/>
      <c r="EH641" s="74"/>
      <c r="EI641" s="74"/>
      <c r="EJ641" s="74"/>
      <c r="EK641" s="74"/>
      <c r="EL641" s="74"/>
      <c r="EM641" s="74"/>
      <c r="EN641" s="74"/>
      <c r="EO641" s="74"/>
      <c r="EP641" s="74"/>
      <c r="EQ641" s="74"/>
      <c r="ER641" s="74"/>
      <c r="ES641" s="74"/>
      <c r="ET641" s="74"/>
      <c r="EU641" s="74"/>
      <c r="EV641" s="74"/>
      <c r="EW641" s="74"/>
      <c r="EX641" s="74"/>
      <c r="EY641" s="74"/>
      <c r="EZ641" s="74"/>
      <c r="FA641" s="74"/>
      <c r="FB641" s="74"/>
      <c r="FC641" s="74"/>
      <c r="FD641" s="74"/>
      <c r="FE641" s="74"/>
      <c r="FF641" s="74"/>
      <c r="FG641" s="74"/>
      <c r="FH641" s="74"/>
      <c r="FI641" s="74"/>
      <c r="FJ641" s="74"/>
      <c r="FK641" s="74"/>
      <c r="FL641" s="74"/>
      <c r="FM641" s="74"/>
      <c r="FN641" s="74"/>
      <c r="FO641" s="74"/>
      <c r="FP641" s="74"/>
      <c r="FQ641" s="74"/>
      <c r="FR641" s="74"/>
      <c r="FS641" s="74"/>
      <c r="FT641" s="74"/>
      <c r="FU641" s="74"/>
      <c r="FV641" s="74"/>
      <c r="FW641" s="74"/>
      <c r="FX641" s="74"/>
      <c r="FY641" s="74"/>
      <c r="FZ641" s="74"/>
      <c r="GA641" s="74"/>
      <c r="GB641" s="74"/>
      <c r="GC641" s="74"/>
      <c r="GD641" s="74"/>
      <c r="GE641" s="74"/>
      <c r="GF641" s="74"/>
      <c r="GG641" s="74"/>
      <c r="GH641" s="74"/>
      <c r="GI641" s="74"/>
      <c r="GJ641" s="74"/>
      <c r="GK641" s="74"/>
      <c r="GL641" s="74"/>
      <c r="GM641" s="74"/>
      <c r="GN641" s="74"/>
      <c r="GO641" s="74"/>
      <c r="GP641" s="74"/>
      <c r="GQ641" s="74"/>
      <c r="GR641" s="74"/>
      <c r="GS641" s="74"/>
      <c r="GT641" s="74"/>
      <c r="GU641" s="74"/>
      <c r="GV641" s="74"/>
      <c r="GW641" s="74"/>
      <c r="GX641" s="74"/>
      <c r="GY641" s="74"/>
      <c r="GZ641" s="74"/>
      <c r="HA641" s="74"/>
      <c r="HB641" s="74"/>
      <c r="HC641" s="74"/>
      <c r="HD641" s="74"/>
      <c r="HE641" s="74"/>
      <c r="HF641" s="74"/>
      <c r="HG641" s="74"/>
      <c r="HH641" s="74"/>
      <c r="HI641" s="74"/>
      <c r="HJ641" s="74"/>
      <c r="HK641" s="74"/>
      <c r="HL641" s="74"/>
      <c r="HM641" s="74"/>
      <c r="HN641" s="74"/>
      <c r="HO641" s="74"/>
      <c r="HP641" s="74"/>
      <c r="HQ641" s="74"/>
      <c r="HR641" s="74"/>
      <c r="HS641" s="74"/>
      <c r="HT641" s="74"/>
      <c r="HU641" s="74"/>
      <c r="HV641" s="74"/>
      <c r="HW641" s="74"/>
      <c r="HX641" s="74"/>
      <c r="HY641" s="74"/>
      <c r="HZ641" s="74"/>
      <c r="IA641" s="74"/>
      <c r="IB641" s="74"/>
      <c r="IC641" s="74"/>
      <c r="ID641" s="74"/>
      <c r="IE641" s="74"/>
      <c r="IF641" s="74"/>
      <c r="IG641" s="74"/>
      <c r="IH641" s="74"/>
      <c r="II641" s="74"/>
      <c r="IJ641" s="74"/>
      <c r="IK641" s="74"/>
      <c r="IL641" s="74"/>
      <c r="IM641" s="74"/>
      <c r="IN641" s="74"/>
      <c r="IO641" s="74"/>
      <c r="IP641" s="74"/>
      <c r="IQ641" s="74"/>
      <c r="IR641" s="74"/>
      <c r="IS641" s="74"/>
      <c r="IT641" s="74"/>
      <c r="IU641" s="74"/>
      <c r="IV641" s="74"/>
      <c r="IW641" s="74"/>
    </row>
    <row r="642" customFormat="false" ht="15.75" hidden="true" customHeight="true" outlineLevel="0" collapsed="false">
      <c r="A642" s="220" t="s">
        <v>613</v>
      </c>
      <c r="B642" s="95" t="n">
        <v>37083</v>
      </c>
      <c r="C642" s="188" t="s">
        <v>605</v>
      </c>
      <c r="D642" s="92" t="n">
        <f aca="false">I642/0.03</f>
        <v>-42.9</v>
      </c>
      <c r="E642" s="93" t="n">
        <v>-1.314</v>
      </c>
      <c r="F642" s="81" t="n">
        <v>0.027</v>
      </c>
      <c r="G642" s="81" t="n">
        <v>0</v>
      </c>
      <c r="H642" s="81" t="n">
        <v>0</v>
      </c>
      <c r="I642" s="94" t="n">
        <f aca="false">SUM(E642:H642)</f>
        <v>-1.287</v>
      </c>
      <c r="J642" s="118"/>
      <c r="K642" s="74"/>
      <c r="L642" s="74"/>
      <c r="M642" s="119"/>
      <c r="N642" s="74"/>
      <c r="O642" s="74"/>
      <c r="P642" s="74"/>
      <c r="Q642" s="74"/>
      <c r="R642" s="74"/>
      <c r="S642" s="74"/>
      <c r="T642" s="65" t="str">
        <f aca="false">IF(D642&gt;0,(I642/D642),"")</f>
        <v/>
      </c>
      <c r="U642" s="74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74"/>
      <c r="AJ642" s="74"/>
      <c r="AK642" s="74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4"/>
      <c r="BM642" s="74"/>
      <c r="BN642" s="74"/>
      <c r="BO642" s="74"/>
      <c r="BP642" s="74"/>
      <c r="BQ642" s="74"/>
      <c r="BR642" s="74"/>
      <c r="BS642" s="74"/>
      <c r="BT642" s="74"/>
      <c r="BU642" s="74"/>
      <c r="BV642" s="74"/>
      <c r="BW642" s="74"/>
      <c r="BX642" s="74"/>
      <c r="BY642" s="74"/>
      <c r="BZ642" s="74"/>
      <c r="CA642" s="74"/>
      <c r="CB642" s="74"/>
      <c r="CC642" s="74"/>
      <c r="CD642" s="74"/>
      <c r="CE642" s="74"/>
      <c r="CF642" s="74"/>
      <c r="CG642" s="74"/>
      <c r="CH642" s="74"/>
      <c r="CI642" s="74"/>
      <c r="CJ642" s="74"/>
      <c r="CK642" s="74"/>
      <c r="CL642" s="74"/>
      <c r="CM642" s="74"/>
      <c r="CN642" s="74"/>
      <c r="CO642" s="74"/>
      <c r="CP642" s="74"/>
      <c r="CQ642" s="74"/>
      <c r="CR642" s="74"/>
      <c r="CS642" s="74"/>
      <c r="CT642" s="74"/>
      <c r="CU642" s="74"/>
      <c r="CV642" s="74"/>
      <c r="CW642" s="74"/>
      <c r="CX642" s="74"/>
      <c r="CY642" s="74"/>
      <c r="CZ642" s="74"/>
      <c r="DA642" s="74"/>
      <c r="DB642" s="74"/>
      <c r="DC642" s="74"/>
      <c r="DD642" s="74"/>
      <c r="DE642" s="74"/>
      <c r="DF642" s="74"/>
      <c r="DG642" s="74"/>
      <c r="DH642" s="74"/>
      <c r="DI642" s="74"/>
      <c r="DJ642" s="74"/>
      <c r="DK642" s="74"/>
      <c r="DL642" s="74"/>
      <c r="DM642" s="74"/>
      <c r="DN642" s="74"/>
      <c r="DO642" s="74"/>
      <c r="DP642" s="74"/>
      <c r="DQ642" s="74"/>
      <c r="DR642" s="74"/>
      <c r="DS642" s="74"/>
      <c r="DT642" s="74"/>
      <c r="DU642" s="74"/>
      <c r="DV642" s="74"/>
      <c r="DW642" s="74"/>
      <c r="DX642" s="74"/>
      <c r="DY642" s="74"/>
      <c r="DZ642" s="74"/>
      <c r="EA642" s="74"/>
      <c r="EB642" s="74"/>
      <c r="EC642" s="74"/>
      <c r="ED642" s="74"/>
      <c r="EE642" s="74"/>
      <c r="EF642" s="74"/>
      <c r="EG642" s="74"/>
      <c r="EH642" s="74"/>
      <c r="EI642" s="74"/>
      <c r="EJ642" s="74"/>
      <c r="EK642" s="74"/>
      <c r="EL642" s="74"/>
      <c r="EM642" s="74"/>
      <c r="EN642" s="74"/>
      <c r="EO642" s="74"/>
      <c r="EP642" s="74"/>
      <c r="EQ642" s="74"/>
      <c r="ER642" s="74"/>
      <c r="ES642" s="74"/>
      <c r="ET642" s="74"/>
      <c r="EU642" s="74"/>
      <c r="EV642" s="74"/>
      <c r="EW642" s="74"/>
      <c r="EX642" s="74"/>
      <c r="EY642" s="74"/>
      <c r="EZ642" s="74"/>
      <c r="FA642" s="74"/>
      <c r="FB642" s="74"/>
      <c r="FC642" s="74"/>
      <c r="FD642" s="74"/>
      <c r="FE642" s="74"/>
      <c r="FF642" s="74"/>
      <c r="FG642" s="74"/>
      <c r="FH642" s="74"/>
      <c r="FI642" s="74"/>
      <c r="FJ642" s="74"/>
      <c r="FK642" s="74"/>
      <c r="FL642" s="74"/>
      <c r="FM642" s="74"/>
      <c r="FN642" s="74"/>
      <c r="FO642" s="74"/>
      <c r="FP642" s="74"/>
      <c r="FQ642" s="74"/>
      <c r="FR642" s="74"/>
      <c r="FS642" s="74"/>
      <c r="FT642" s="74"/>
      <c r="FU642" s="74"/>
      <c r="FV642" s="74"/>
      <c r="FW642" s="74"/>
      <c r="FX642" s="74"/>
      <c r="FY642" s="74"/>
      <c r="FZ642" s="74"/>
      <c r="GA642" s="74"/>
      <c r="GB642" s="74"/>
      <c r="GC642" s="74"/>
      <c r="GD642" s="74"/>
      <c r="GE642" s="74"/>
      <c r="GF642" s="74"/>
      <c r="GG642" s="74"/>
      <c r="GH642" s="74"/>
      <c r="GI642" s="74"/>
      <c r="GJ642" s="74"/>
      <c r="GK642" s="74"/>
      <c r="GL642" s="74"/>
      <c r="GM642" s="74"/>
      <c r="GN642" s="74"/>
      <c r="GO642" s="74"/>
      <c r="GP642" s="74"/>
      <c r="GQ642" s="74"/>
      <c r="GR642" s="74"/>
      <c r="GS642" s="74"/>
      <c r="GT642" s="74"/>
      <c r="GU642" s="74"/>
      <c r="GV642" s="74"/>
      <c r="GW642" s="74"/>
      <c r="GX642" s="74"/>
      <c r="GY642" s="74"/>
      <c r="GZ642" s="74"/>
      <c r="HA642" s="74"/>
      <c r="HB642" s="74"/>
      <c r="HC642" s="74"/>
      <c r="HD642" s="74"/>
      <c r="HE642" s="74"/>
      <c r="HF642" s="74"/>
      <c r="HG642" s="74"/>
      <c r="HH642" s="74"/>
      <c r="HI642" s="74"/>
      <c r="HJ642" s="74"/>
      <c r="HK642" s="74"/>
      <c r="HL642" s="74"/>
      <c r="HM642" s="74"/>
      <c r="HN642" s="74"/>
      <c r="HO642" s="74"/>
      <c r="HP642" s="74"/>
      <c r="HQ642" s="74"/>
      <c r="HR642" s="74"/>
      <c r="HS642" s="74"/>
      <c r="HT642" s="74"/>
      <c r="HU642" s="74"/>
      <c r="HV642" s="74"/>
      <c r="HW642" s="74"/>
      <c r="HX642" s="74"/>
      <c r="HY642" s="74"/>
      <c r="HZ642" s="74"/>
      <c r="IA642" s="74"/>
      <c r="IB642" s="74"/>
      <c r="IC642" s="74"/>
      <c r="ID642" s="74"/>
      <c r="IE642" s="74"/>
      <c r="IF642" s="74"/>
      <c r="IG642" s="74"/>
      <c r="IH642" s="74"/>
      <c r="II642" s="74"/>
      <c r="IJ642" s="74"/>
      <c r="IK642" s="74"/>
      <c r="IL642" s="74"/>
      <c r="IM642" s="74"/>
      <c r="IN642" s="74"/>
      <c r="IO642" s="74"/>
      <c r="IP642" s="74"/>
      <c r="IQ642" s="74"/>
      <c r="IR642" s="74"/>
      <c r="IS642" s="74"/>
      <c r="IT642" s="74"/>
      <c r="IU642" s="74"/>
      <c r="IV642" s="74"/>
      <c r="IW642" s="74"/>
    </row>
    <row r="643" customFormat="false" ht="15.75" hidden="true" customHeight="true" outlineLevel="0" collapsed="false">
      <c r="A643" s="220" t="s">
        <v>614</v>
      </c>
      <c r="B643" s="95" t="n">
        <v>37083</v>
      </c>
      <c r="C643" s="188" t="s">
        <v>605</v>
      </c>
      <c r="D643" s="92" t="n">
        <f aca="false">I643/0.03</f>
        <v>-173.433333333333</v>
      </c>
      <c r="E643" s="93" t="n">
        <v>-5.285</v>
      </c>
      <c r="F643" s="81" t="n">
        <v>0.082</v>
      </c>
      <c r="G643" s="81" t="n">
        <v>0</v>
      </c>
      <c r="H643" s="81" t="n">
        <v>0</v>
      </c>
      <c r="I643" s="94" t="n">
        <f aca="false">SUM(E643:H643)</f>
        <v>-5.203</v>
      </c>
      <c r="J643" s="118"/>
      <c r="K643" s="74"/>
      <c r="L643" s="74"/>
      <c r="M643" s="119"/>
      <c r="N643" s="74"/>
      <c r="O643" s="74"/>
      <c r="P643" s="74"/>
      <c r="Q643" s="74"/>
      <c r="R643" s="74"/>
      <c r="S643" s="74"/>
      <c r="T643" s="65" t="str">
        <f aca="false">IF(D643&gt;0,(I643/D643),"")</f>
        <v/>
      </c>
      <c r="U643" s="74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74"/>
      <c r="AJ643" s="74"/>
      <c r="AK643" s="74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4"/>
      <c r="BM643" s="74"/>
      <c r="BN643" s="74"/>
      <c r="BO643" s="74"/>
      <c r="BP643" s="74"/>
      <c r="BQ643" s="74"/>
      <c r="BR643" s="74"/>
      <c r="BS643" s="74"/>
      <c r="BT643" s="74"/>
      <c r="BU643" s="74"/>
      <c r="BV643" s="74"/>
      <c r="BW643" s="74"/>
      <c r="BX643" s="74"/>
      <c r="BY643" s="74"/>
      <c r="BZ643" s="74"/>
      <c r="CA643" s="74"/>
      <c r="CB643" s="74"/>
      <c r="CC643" s="74"/>
      <c r="CD643" s="74"/>
      <c r="CE643" s="74"/>
      <c r="CF643" s="74"/>
      <c r="CG643" s="74"/>
      <c r="CH643" s="74"/>
      <c r="CI643" s="74"/>
      <c r="CJ643" s="74"/>
      <c r="CK643" s="74"/>
      <c r="CL643" s="74"/>
      <c r="CM643" s="74"/>
      <c r="CN643" s="74"/>
      <c r="CO643" s="74"/>
      <c r="CP643" s="74"/>
      <c r="CQ643" s="74"/>
      <c r="CR643" s="74"/>
      <c r="CS643" s="74"/>
      <c r="CT643" s="74"/>
      <c r="CU643" s="74"/>
      <c r="CV643" s="74"/>
      <c r="CW643" s="74"/>
      <c r="CX643" s="74"/>
      <c r="CY643" s="74"/>
      <c r="CZ643" s="74"/>
      <c r="DA643" s="74"/>
      <c r="DB643" s="74"/>
      <c r="DC643" s="74"/>
      <c r="DD643" s="74"/>
      <c r="DE643" s="74"/>
      <c r="DF643" s="74"/>
      <c r="DG643" s="74"/>
      <c r="DH643" s="74"/>
      <c r="DI643" s="74"/>
      <c r="DJ643" s="74"/>
      <c r="DK643" s="74"/>
      <c r="DL643" s="74"/>
      <c r="DM643" s="74"/>
      <c r="DN643" s="74"/>
      <c r="DO643" s="74"/>
      <c r="DP643" s="74"/>
      <c r="DQ643" s="74"/>
      <c r="DR643" s="74"/>
      <c r="DS643" s="74"/>
      <c r="DT643" s="74"/>
      <c r="DU643" s="74"/>
      <c r="DV643" s="74"/>
      <c r="DW643" s="74"/>
      <c r="DX643" s="74"/>
      <c r="DY643" s="74"/>
      <c r="DZ643" s="74"/>
      <c r="EA643" s="74"/>
      <c r="EB643" s="74"/>
      <c r="EC643" s="74"/>
      <c r="ED643" s="74"/>
      <c r="EE643" s="74"/>
      <c r="EF643" s="74"/>
      <c r="EG643" s="74"/>
      <c r="EH643" s="74"/>
      <c r="EI643" s="74"/>
      <c r="EJ643" s="74"/>
      <c r="EK643" s="74"/>
      <c r="EL643" s="74"/>
      <c r="EM643" s="74"/>
      <c r="EN643" s="74"/>
      <c r="EO643" s="74"/>
      <c r="EP643" s="74"/>
      <c r="EQ643" s="74"/>
      <c r="ER643" s="74"/>
      <c r="ES643" s="74"/>
      <c r="ET643" s="74"/>
      <c r="EU643" s="74"/>
      <c r="EV643" s="74"/>
      <c r="EW643" s="74"/>
      <c r="EX643" s="74"/>
      <c r="EY643" s="74"/>
      <c r="EZ643" s="74"/>
      <c r="FA643" s="74"/>
      <c r="FB643" s="74"/>
      <c r="FC643" s="74"/>
      <c r="FD643" s="74"/>
      <c r="FE643" s="74"/>
      <c r="FF643" s="74"/>
      <c r="FG643" s="74"/>
      <c r="FH643" s="74"/>
      <c r="FI643" s="74"/>
      <c r="FJ643" s="74"/>
      <c r="FK643" s="74"/>
      <c r="FL643" s="74"/>
      <c r="FM643" s="74"/>
      <c r="FN643" s="74"/>
      <c r="FO643" s="74"/>
      <c r="FP643" s="74"/>
      <c r="FQ643" s="74"/>
      <c r="FR643" s="74"/>
      <c r="FS643" s="74"/>
      <c r="FT643" s="74"/>
      <c r="FU643" s="74"/>
      <c r="FV643" s="74"/>
      <c r="FW643" s="74"/>
      <c r="FX643" s="74"/>
      <c r="FY643" s="74"/>
      <c r="FZ643" s="74"/>
      <c r="GA643" s="74"/>
      <c r="GB643" s="74"/>
      <c r="GC643" s="74"/>
      <c r="GD643" s="74"/>
      <c r="GE643" s="74"/>
      <c r="GF643" s="74"/>
      <c r="GG643" s="74"/>
      <c r="GH643" s="74"/>
      <c r="GI643" s="74"/>
      <c r="GJ643" s="74"/>
      <c r="GK643" s="74"/>
      <c r="GL643" s="74"/>
      <c r="GM643" s="74"/>
      <c r="GN643" s="74"/>
      <c r="GO643" s="74"/>
      <c r="GP643" s="74"/>
      <c r="GQ643" s="74"/>
      <c r="GR643" s="74"/>
      <c r="GS643" s="74"/>
      <c r="GT643" s="74"/>
      <c r="GU643" s="74"/>
      <c r="GV643" s="74"/>
      <c r="GW643" s="74"/>
      <c r="GX643" s="74"/>
      <c r="GY643" s="74"/>
      <c r="GZ643" s="74"/>
      <c r="HA643" s="74"/>
      <c r="HB643" s="74"/>
      <c r="HC643" s="74"/>
      <c r="HD643" s="74"/>
      <c r="HE643" s="74"/>
      <c r="HF643" s="74"/>
      <c r="HG643" s="74"/>
      <c r="HH643" s="74"/>
      <c r="HI643" s="74"/>
      <c r="HJ643" s="74"/>
      <c r="HK643" s="74"/>
      <c r="HL643" s="74"/>
      <c r="HM643" s="74"/>
      <c r="HN643" s="74"/>
      <c r="HO643" s="74"/>
      <c r="HP643" s="74"/>
      <c r="HQ643" s="74"/>
      <c r="HR643" s="74"/>
      <c r="HS643" s="74"/>
      <c r="HT643" s="74"/>
      <c r="HU643" s="74"/>
      <c r="HV643" s="74"/>
      <c r="HW643" s="74"/>
      <c r="HX643" s="74"/>
      <c r="HY643" s="74"/>
      <c r="HZ643" s="74"/>
      <c r="IA643" s="74"/>
      <c r="IB643" s="74"/>
      <c r="IC643" s="74"/>
      <c r="ID643" s="74"/>
      <c r="IE643" s="74"/>
      <c r="IF643" s="74"/>
      <c r="IG643" s="74"/>
      <c r="IH643" s="74"/>
      <c r="II643" s="74"/>
      <c r="IJ643" s="74"/>
      <c r="IK643" s="74"/>
      <c r="IL643" s="74"/>
      <c r="IM643" s="74"/>
      <c r="IN643" s="74"/>
      <c r="IO643" s="74"/>
      <c r="IP643" s="74"/>
      <c r="IQ643" s="74"/>
      <c r="IR643" s="74"/>
      <c r="IS643" s="74"/>
      <c r="IT643" s="74"/>
      <c r="IU643" s="74"/>
      <c r="IV643" s="74"/>
      <c r="IW643" s="74"/>
    </row>
    <row r="644" customFormat="false" ht="15.75" hidden="true" customHeight="true" outlineLevel="0" collapsed="false">
      <c r="A644" s="220" t="s">
        <v>615</v>
      </c>
      <c r="B644" s="95" t="n">
        <v>37083</v>
      </c>
      <c r="C644" s="188" t="s">
        <v>605</v>
      </c>
      <c r="D644" s="92" t="n">
        <f aca="false">I644/0.03</f>
        <v>-40.3</v>
      </c>
      <c r="E644" s="93" t="n">
        <v>-1.232</v>
      </c>
      <c r="F644" s="81" t="n">
        <v>0.023</v>
      </c>
      <c r="G644" s="81" t="n">
        <v>0</v>
      </c>
      <c r="H644" s="81" t="n">
        <v>0</v>
      </c>
      <c r="I644" s="94" t="n">
        <f aca="false">SUM(E644:H644)</f>
        <v>-1.209</v>
      </c>
      <c r="J644" s="118"/>
      <c r="K644" s="74"/>
      <c r="L644" s="74"/>
      <c r="M644" s="119"/>
      <c r="N644" s="74"/>
      <c r="O644" s="74"/>
      <c r="P644" s="74"/>
      <c r="Q644" s="74"/>
      <c r="R644" s="74"/>
      <c r="S644" s="74"/>
      <c r="T644" s="65" t="str">
        <f aca="false">IF(D644&gt;0,(I644/D644),"")</f>
        <v/>
      </c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4"/>
      <c r="AK644" s="74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4"/>
      <c r="BM644" s="74"/>
      <c r="BN644" s="74"/>
      <c r="BO644" s="74"/>
      <c r="BP644" s="74"/>
      <c r="BQ644" s="74"/>
      <c r="BR644" s="74"/>
      <c r="BS644" s="74"/>
      <c r="BT644" s="74"/>
      <c r="BU644" s="74"/>
      <c r="BV644" s="74"/>
      <c r="BW644" s="74"/>
      <c r="BX644" s="74"/>
      <c r="BY644" s="74"/>
      <c r="BZ644" s="74"/>
      <c r="CA644" s="74"/>
      <c r="CB644" s="74"/>
      <c r="CC644" s="74"/>
      <c r="CD644" s="74"/>
      <c r="CE644" s="74"/>
      <c r="CF644" s="74"/>
      <c r="CG644" s="74"/>
      <c r="CH644" s="74"/>
      <c r="CI644" s="74"/>
      <c r="CJ644" s="74"/>
      <c r="CK644" s="74"/>
      <c r="CL644" s="74"/>
      <c r="CM644" s="74"/>
      <c r="CN644" s="74"/>
      <c r="CO644" s="74"/>
      <c r="CP644" s="74"/>
      <c r="CQ644" s="74"/>
      <c r="CR644" s="74"/>
      <c r="CS644" s="74"/>
      <c r="CT644" s="74"/>
      <c r="CU644" s="74"/>
      <c r="CV644" s="74"/>
      <c r="CW644" s="74"/>
      <c r="CX644" s="74"/>
      <c r="CY644" s="74"/>
      <c r="CZ644" s="74"/>
      <c r="DA644" s="74"/>
      <c r="DB644" s="74"/>
      <c r="DC644" s="74"/>
      <c r="DD644" s="74"/>
      <c r="DE644" s="74"/>
      <c r="DF644" s="74"/>
      <c r="DG644" s="74"/>
      <c r="DH644" s="74"/>
      <c r="DI644" s="74"/>
      <c r="DJ644" s="74"/>
      <c r="DK644" s="74"/>
      <c r="DL644" s="74"/>
      <c r="DM644" s="74"/>
      <c r="DN644" s="74"/>
      <c r="DO644" s="74"/>
      <c r="DP644" s="74"/>
      <c r="DQ644" s="74"/>
      <c r="DR644" s="74"/>
      <c r="DS644" s="74"/>
      <c r="DT644" s="74"/>
      <c r="DU644" s="74"/>
      <c r="DV644" s="74"/>
      <c r="DW644" s="74"/>
      <c r="DX644" s="74"/>
      <c r="DY644" s="74"/>
      <c r="DZ644" s="74"/>
      <c r="EA644" s="74"/>
      <c r="EB644" s="74"/>
      <c r="EC644" s="74"/>
      <c r="ED644" s="74"/>
      <c r="EE644" s="74"/>
      <c r="EF644" s="74"/>
      <c r="EG644" s="74"/>
      <c r="EH644" s="74"/>
      <c r="EI644" s="74"/>
      <c r="EJ644" s="74"/>
      <c r="EK644" s="74"/>
      <c r="EL644" s="74"/>
      <c r="EM644" s="74"/>
      <c r="EN644" s="74"/>
      <c r="EO644" s="74"/>
      <c r="EP644" s="74"/>
      <c r="EQ644" s="74"/>
      <c r="ER644" s="74"/>
      <c r="ES644" s="74"/>
      <c r="ET644" s="74"/>
      <c r="EU644" s="74"/>
      <c r="EV644" s="74"/>
      <c r="EW644" s="74"/>
      <c r="EX644" s="74"/>
      <c r="EY644" s="74"/>
      <c r="EZ644" s="74"/>
      <c r="FA644" s="74"/>
      <c r="FB644" s="74"/>
      <c r="FC644" s="74"/>
      <c r="FD644" s="74"/>
      <c r="FE644" s="74"/>
      <c r="FF644" s="74"/>
      <c r="FG644" s="74"/>
      <c r="FH644" s="74"/>
      <c r="FI644" s="74"/>
      <c r="FJ644" s="74"/>
      <c r="FK644" s="74"/>
      <c r="FL644" s="74"/>
      <c r="FM644" s="74"/>
      <c r="FN644" s="74"/>
      <c r="FO644" s="74"/>
      <c r="FP644" s="74"/>
      <c r="FQ644" s="74"/>
      <c r="FR644" s="74"/>
      <c r="FS644" s="74"/>
      <c r="FT644" s="74"/>
      <c r="FU644" s="74"/>
      <c r="FV644" s="74"/>
      <c r="FW644" s="74"/>
      <c r="FX644" s="74"/>
      <c r="FY644" s="74"/>
      <c r="FZ644" s="74"/>
      <c r="GA644" s="74"/>
      <c r="GB644" s="74"/>
      <c r="GC644" s="74"/>
      <c r="GD644" s="74"/>
      <c r="GE644" s="74"/>
      <c r="GF644" s="74"/>
      <c r="GG644" s="74"/>
      <c r="GH644" s="74"/>
      <c r="GI644" s="74"/>
      <c r="GJ644" s="74"/>
      <c r="GK644" s="74"/>
      <c r="GL644" s="74"/>
      <c r="GM644" s="74"/>
      <c r="GN644" s="74"/>
      <c r="GO644" s="74"/>
      <c r="GP644" s="74"/>
      <c r="GQ644" s="74"/>
      <c r="GR644" s="74"/>
      <c r="GS644" s="74"/>
      <c r="GT644" s="74"/>
      <c r="GU644" s="74"/>
      <c r="GV644" s="74"/>
      <c r="GW644" s="74"/>
      <c r="GX644" s="74"/>
      <c r="GY644" s="74"/>
      <c r="GZ644" s="74"/>
      <c r="HA644" s="74"/>
      <c r="HB644" s="74"/>
      <c r="HC644" s="74"/>
      <c r="HD644" s="74"/>
      <c r="HE644" s="74"/>
      <c r="HF644" s="74"/>
      <c r="HG644" s="74"/>
      <c r="HH644" s="74"/>
      <c r="HI644" s="74"/>
      <c r="HJ644" s="74"/>
      <c r="HK644" s="74"/>
      <c r="HL644" s="74"/>
      <c r="HM644" s="74"/>
      <c r="HN644" s="74"/>
      <c r="HO644" s="74"/>
      <c r="HP644" s="74"/>
      <c r="HQ644" s="74"/>
      <c r="HR644" s="74"/>
      <c r="HS644" s="74"/>
      <c r="HT644" s="74"/>
      <c r="HU644" s="74"/>
      <c r="HV644" s="74"/>
      <c r="HW644" s="74"/>
      <c r="HX644" s="74"/>
      <c r="HY644" s="74"/>
      <c r="HZ644" s="74"/>
      <c r="IA644" s="74"/>
      <c r="IB644" s="74"/>
      <c r="IC644" s="74"/>
      <c r="ID644" s="74"/>
      <c r="IE644" s="74"/>
      <c r="IF644" s="74"/>
      <c r="IG644" s="74"/>
      <c r="IH644" s="74"/>
      <c r="II644" s="74"/>
      <c r="IJ644" s="74"/>
      <c r="IK644" s="74"/>
      <c r="IL644" s="74"/>
      <c r="IM644" s="74"/>
      <c r="IN644" s="74"/>
      <c r="IO644" s="74"/>
      <c r="IP644" s="74"/>
      <c r="IQ644" s="74"/>
      <c r="IR644" s="74"/>
      <c r="IS644" s="74"/>
      <c r="IT644" s="74"/>
      <c r="IU644" s="74"/>
      <c r="IV644" s="74"/>
      <c r="IW644" s="74"/>
    </row>
    <row r="645" customFormat="false" ht="15.75" hidden="true" customHeight="true" outlineLevel="0" collapsed="false">
      <c r="A645" s="220" t="s">
        <v>616</v>
      </c>
      <c r="B645" s="95" t="n">
        <v>37083</v>
      </c>
      <c r="C645" s="188" t="s">
        <v>605</v>
      </c>
      <c r="D645" s="92" t="n">
        <f aca="false">I645/0.03</f>
        <v>-316.766666666667</v>
      </c>
      <c r="E645" s="93" t="n">
        <v>-9.673</v>
      </c>
      <c r="F645" s="81" t="n">
        <v>0.17</v>
      </c>
      <c r="G645" s="81" t="n">
        <v>0</v>
      </c>
      <c r="H645" s="81" t="n">
        <v>0</v>
      </c>
      <c r="I645" s="94" t="n">
        <f aca="false">SUM(E645:H645)</f>
        <v>-9.503</v>
      </c>
      <c r="J645" s="118"/>
      <c r="K645" s="74"/>
      <c r="L645" s="74"/>
      <c r="M645" s="119"/>
      <c r="N645" s="74"/>
      <c r="O645" s="74"/>
      <c r="P645" s="74"/>
      <c r="Q645" s="74"/>
      <c r="R645" s="74"/>
      <c r="S645" s="74"/>
      <c r="T645" s="65" t="str">
        <f aca="false">IF(D645&gt;0,(I645/D645),"")</f>
        <v/>
      </c>
      <c r="U645" s="74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4"/>
      <c r="AK645" s="74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4"/>
      <c r="BM645" s="74"/>
      <c r="BN645" s="74"/>
      <c r="BO645" s="74"/>
      <c r="BP645" s="74"/>
      <c r="BQ645" s="74"/>
      <c r="BR645" s="74"/>
      <c r="BS645" s="74"/>
      <c r="BT645" s="74"/>
      <c r="BU645" s="74"/>
      <c r="BV645" s="74"/>
      <c r="BW645" s="74"/>
      <c r="BX645" s="74"/>
      <c r="BY645" s="74"/>
      <c r="BZ645" s="74"/>
      <c r="CA645" s="74"/>
      <c r="CB645" s="74"/>
      <c r="CC645" s="74"/>
      <c r="CD645" s="74"/>
      <c r="CE645" s="74"/>
      <c r="CF645" s="74"/>
      <c r="CG645" s="74"/>
      <c r="CH645" s="74"/>
      <c r="CI645" s="74"/>
      <c r="CJ645" s="74"/>
      <c r="CK645" s="74"/>
      <c r="CL645" s="74"/>
      <c r="CM645" s="74"/>
      <c r="CN645" s="74"/>
      <c r="CO645" s="74"/>
      <c r="CP645" s="74"/>
      <c r="CQ645" s="74"/>
      <c r="CR645" s="74"/>
      <c r="CS645" s="74"/>
      <c r="CT645" s="74"/>
      <c r="CU645" s="74"/>
      <c r="CV645" s="74"/>
      <c r="CW645" s="74"/>
      <c r="CX645" s="74"/>
      <c r="CY645" s="74"/>
      <c r="CZ645" s="74"/>
      <c r="DA645" s="74"/>
      <c r="DB645" s="74"/>
      <c r="DC645" s="74"/>
      <c r="DD645" s="74"/>
      <c r="DE645" s="74"/>
      <c r="DF645" s="74"/>
      <c r="DG645" s="74"/>
      <c r="DH645" s="74"/>
      <c r="DI645" s="74"/>
      <c r="DJ645" s="74"/>
      <c r="DK645" s="74"/>
      <c r="DL645" s="74"/>
      <c r="DM645" s="74"/>
      <c r="DN645" s="74"/>
      <c r="DO645" s="74"/>
      <c r="DP645" s="74"/>
      <c r="DQ645" s="74"/>
      <c r="DR645" s="74"/>
      <c r="DS645" s="74"/>
      <c r="DT645" s="74"/>
      <c r="DU645" s="74"/>
      <c r="DV645" s="74"/>
      <c r="DW645" s="74"/>
      <c r="DX645" s="74"/>
      <c r="DY645" s="74"/>
      <c r="DZ645" s="74"/>
      <c r="EA645" s="74"/>
      <c r="EB645" s="74"/>
      <c r="EC645" s="74"/>
      <c r="ED645" s="74"/>
      <c r="EE645" s="74"/>
      <c r="EF645" s="74"/>
      <c r="EG645" s="74"/>
      <c r="EH645" s="74"/>
      <c r="EI645" s="74"/>
      <c r="EJ645" s="74"/>
      <c r="EK645" s="74"/>
      <c r="EL645" s="74"/>
      <c r="EM645" s="74"/>
      <c r="EN645" s="74"/>
      <c r="EO645" s="74"/>
      <c r="EP645" s="74"/>
      <c r="EQ645" s="74"/>
      <c r="ER645" s="74"/>
      <c r="ES645" s="74"/>
      <c r="ET645" s="74"/>
      <c r="EU645" s="74"/>
      <c r="EV645" s="74"/>
      <c r="EW645" s="74"/>
      <c r="EX645" s="74"/>
      <c r="EY645" s="74"/>
      <c r="EZ645" s="74"/>
      <c r="FA645" s="74"/>
      <c r="FB645" s="74"/>
      <c r="FC645" s="74"/>
      <c r="FD645" s="74"/>
      <c r="FE645" s="74"/>
      <c r="FF645" s="74"/>
      <c r="FG645" s="74"/>
      <c r="FH645" s="74"/>
      <c r="FI645" s="74"/>
      <c r="FJ645" s="74"/>
      <c r="FK645" s="74"/>
      <c r="FL645" s="74"/>
      <c r="FM645" s="74"/>
      <c r="FN645" s="74"/>
      <c r="FO645" s="74"/>
      <c r="FP645" s="74"/>
      <c r="FQ645" s="74"/>
      <c r="FR645" s="74"/>
      <c r="FS645" s="74"/>
      <c r="FT645" s="74"/>
      <c r="FU645" s="74"/>
      <c r="FV645" s="74"/>
      <c r="FW645" s="74"/>
      <c r="FX645" s="74"/>
      <c r="FY645" s="74"/>
      <c r="FZ645" s="74"/>
      <c r="GA645" s="74"/>
      <c r="GB645" s="74"/>
      <c r="GC645" s="74"/>
      <c r="GD645" s="74"/>
      <c r="GE645" s="74"/>
      <c r="GF645" s="74"/>
      <c r="GG645" s="74"/>
      <c r="GH645" s="74"/>
      <c r="GI645" s="74"/>
      <c r="GJ645" s="74"/>
      <c r="GK645" s="74"/>
      <c r="GL645" s="74"/>
      <c r="GM645" s="74"/>
      <c r="GN645" s="74"/>
      <c r="GO645" s="74"/>
      <c r="GP645" s="74"/>
      <c r="GQ645" s="74"/>
      <c r="GR645" s="74"/>
      <c r="GS645" s="74"/>
      <c r="GT645" s="74"/>
      <c r="GU645" s="74"/>
      <c r="GV645" s="74"/>
      <c r="GW645" s="74"/>
      <c r="GX645" s="74"/>
      <c r="GY645" s="74"/>
      <c r="GZ645" s="74"/>
      <c r="HA645" s="74"/>
      <c r="HB645" s="74"/>
      <c r="HC645" s="74"/>
      <c r="HD645" s="74"/>
      <c r="HE645" s="74"/>
      <c r="HF645" s="74"/>
      <c r="HG645" s="74"/>
      <c r="HH645" s="74"/>
      <c r="HI645" s="74"/>
      <c r="HJ645" s="74"/>
      <c r="HK645" s="74"/>
      <c r="HL645" s="74"/>
      <c r="HM645" s="74"/>
      <c r="HN645" s="74"/>
      <c r="HO645" s="74"/>
      <c r="HP645" s="74"/>
      <c r="HQ645" s="74"/>
      <c r="HR645" s="74"/>
      <c r="HS645" s="74"/>
      <c r="HT645" s="74"/>
      <c r="HU645" s="74"/>
      <c r="HV645" s="74"/>
      <c r="HW645" s="74"/>
      <c r="HX645" s="74"/>
      <c r="HY645" s="74"/>
      <c r="HZ645" s="74"/>
      <c r="IA645" s="74"/>
      <c r="IB645" s="74"/>
      <c r="IC645" s="74"/>
      <c r="ID645" s="74"/>
      <c r="IE645" s="74"/>
      <c r="IF645" s="74"/>
      <c r="IG645" s="74"/>
      <c r="IH645" s="74"/>
      <c r="II645" s="74"/>
      <c r="IJ645" s="74"/>
      <c r="IK645" s="74"/>
      <c r="IL645" s="74"/>
      <c r="IM645" s="74"/>
      <c r="IN645" s="74"/>
      <c r="IO645" s="74"/>
      <c r="IP645" s="74"/>
      <c r="IQ645" s="74"/>
      <c r="IR645" s="74"/>
      <c r="IS645" s="74"/>
      <c r="IT645" s="74"/>
      <c r="IU645" s="74"/>
      <c r="IV645" s="74"/>
      <c r="IW645" s="74"/>
    </row>
    <row r="646" customFormat="false" ht="15.75" hidden="true" customHeight="true" outlineLevel="0" collapsed="false">
      <c r="A646" s="220" t="s">
        <v>617</v>
      </c>
      <c r="B646" s="95" t="n">
        <v>37083</v>
      </c>
      <c r="C646" s="188" t="s">
        <v>605</v>
      </c>
      <c r="D646" s="92" t="n">
        <f aca="false">I646/0.03</f>
        <v>-345.6</v>
      </c>
      <c r="E646" s="93" t="n">
        <v>-10.568</v>
      </c>
      <c r="F646" s="81" t="n">
        <v>0.2</v>
      </c>
      <c r="G646" s="81" t="n">
        <v>0</v>
      </c>
      <c r="H646" s="81" t="n">
        <v>0</v>
      </c>
      <c r="I646" s="94" t="n">
        <f aca="false">SUM(E646:H646)</f>
        <v>-10.368</v>
      </c>
      <c r="J646" s="118"/>
      <c r="K646" s="74"/>
      <c r="L646" s="74"/>
      <c r="M646" s="119"/>
      <c r="N646" s="74"/>
      <c r="O646" s="74"/>
      <c r="P646" s="74"/>
      <c r="Q646" s="74"/>
      <c r="R646" s="74"/>
      <c r="S646" s="74"/>
      <c r="T646" s="65" t="str">
        <f aca="false">IF(D646&gt;0,(I646/D646),"")</f>
        <v/>
      </c>
      <c r="U646" s="74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74"/>
      <c r="AK646" s="74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4"/>
      <c r="BM646" s="74"/>
      <c r="BN646" s="74"/>
      <c r="BO646" s="74"/>
      <c r="BP646" s="74"/>
      <c r="BQ646" s="74"/>
      <c r="BR646" s="74"/>
      <c r="BS646" s="74"/>
      <c r="BT646" s="74"/>
      <c r="BU646" s="74"/>
      <c r="BV646" s="74"/>
      <c r="BW646" s="74"/>
      <c r="BX646" s="74"/>
      <c r="BY646" s="74"/>
      <c r="BZ646" s="74"/>
      <c r="CA646" s="74"/>
      <c r="CB646" s="74"/>
      <c r="CC646" s="74"/>
      <c r="CD646" s="74"/>
      <c r="CE646" s="74"/>
      <c r="CF646" s="74"/>
      <c r="CG646" s="74"/>
      <c r="CH646" s="74"/>
      <c r="CI646" s="74"/>
      <c r="CJ646" s="74"/>
      <c r="CK646" s="74"/>
      <c r="CL646" s="74"/>
      <c r="CM646" s="74"/>
      <c r="CN646" s="74"/>
      <c r="CO646" s="74"/>
      <c r="CP646" s="74"/>
      <c r="CQ646" s="74"/>
      <c r="CR646" s="74"/>
      <c r="CS646" s="74"/>
      <c r="CT646" s="74"/>
      <c r="CU646" s="74"/>
      <c r="CV646" s="74"/>
      <c r="CW646" s="74"/>
      <c r="CX646" s="74"/>
      <c r="CY646" s="74"/>
      <c r="CZ646" s="74"/>
      <c r="DA646" s="74"/>
      <c r="DB646" s="74"/>
      <c r="DC646" s="74"/>
      <c r="DD646" s="74"/>
      <c r="DE646" s="74"/>
      <c r="DF646" s="74"/>
      <c r="DG646" s="74"/>
      <c r="DH646" s="74"/>
      <c r="DI646" s="74"/>
      <c r="DJ646" s="74"/>
      <c r="DK646" s="74"/>
      <c r="DL646" s="74"/>
      <c r="DM646" s="74"/>
      <c r="DN646" s="74"/>
      <c r="DO646" s="74"/>
      <c r="DP646" s="74"/>
      <c r="DQ646" s="74"/>
      <c r="DR646" s="74"/>
      <c r="DS646" s="74"/>
      <c r="DT646" s="74"/>
      <c r="DU646" s="74"/>
      <c r="DV646" s="74"/>
      <c r="DW646" s="74"/>
      <c r="DX646" s="74"/>
      <c r="DY646" s="74"/>
      <c r="DZ646" s="74"/>
      <c r="EA646" s="74"/>
      <c r="EB646" s="74"/>
      <c r="EC646" s="74"/>
      <c r="ED646" s="74"/>
      <c r="EE646" s="74"/>
      <c r="EF646" s="74"/>
      <c r="EG646" s="74"/>
      <c r="EH646" s="74"/>
      <c r="EI646" s="74"/>
      <c r="EJ646" s="74"/>
      <c r="EK646" s="74"/>
      <c r="EL646" s="74"/>
      <c r="EM646" s="74"/>
      <c r="EN646" s="74"/>
      <c r="EO646" s="74"/>
      <c r="EP646" s="74"/>
      <c r="EQ646" s="74"/>
      <c r="ER646" s="74"/>
      <c r="ES646" s="74"/>
      <c r="ET646" s="74"/>
      <c r="EU646" s="74"/>
      <c r="EV646" s="74"/>
      <c r="EW646" s="74"/>
      <c r="EX646" s="74"/>
      <c r="EY646" s="74"/>
      <c r="EZ646" s="74"/>
      <c r="FA646" s="74"/>
      <c r="FB646" s="74"/>
      <c r="FC646" s="74"/>
      <c r="FD646" s="74"/>
      <c r="FE646" s="74"/>
      <c r="FF646" s="74"/>
      <c r="FG646" s="74"/>
      <c r="FH646" s="74"/>
      <c r="FI646" s="74"/>
      <c r="FJ646" s="74"/>
      <c r="FK646" s="74"/>
      <c r="FL646" s="74"/>
      <c r="FM646" s="74"/>
      <c r="FN646" s="74"/>
      <c r="FO646" s="74"/>
      <c r="FP646" s="74"/>
      <c r="FQ646" s="74"/>
      <c r="FR646" s="74"/>
      <c r="FS646" s="74"/>
      <c r="FT646" s="74"/>
      <c r="FU646" s="74"/>
      <c r="FV646" s="74"/>
      <c r="FW646" s="74"/>
      <c r="FX646" s="74"/>
      <c r="FY646" s="74"/>
      <c r="FZ646" s="74"/>
      <c r="GA646" s="74"/>
      <c r="GB646" s="74"/>
      <c r="GC646" s="74"/>
      <c r="GD646" s="74"/>
      <c r="GE646" s="74"/>
      <c r="GF646" s="74"/>
      <c r="GG646" s="74"/>
      <c r="GH646" s="74"/>
      <c r="GI646" s="74"/>
      <c r="GJ646" s="74"/>
      <c r="GK646" s="74"/>
      <c r="GL646" s="74"/>
      <c r="GM646" s="74"/>
      <c r="GN646" s="74"/>
      <c r="GO646" s="74"/>
      <c r="GP646" s="74"/>
      <c r="GQ646" s="74"/>
      <c r="GR646" s="74"/>
      <c r="GS646" s="74"/>
      <c r="GT646" s="74"/>
      <c r="GU646" s="74"/>
      <c r="GV646" s="74"/>
      <c r="GW646" s="74"/>
      <c r="GX646" s="74"/>
      <c r="GY646" s="74"/>
      <c r="GZ646" s="74"/>
      <c r="HA646" s="74"/>
      <c r="HB646" s="74"/>
      <c r="HC646" s="74"/>
      <c r="HD646" s="74"/>
      <c r="HE646" s="74"/>
      <c r="HF646" s="74"/>
      <c r="HG646" s="74"/>
      <c r="HH646" s="74"/>
      <c r="HI646" s="74"/>
      <c r="HJ646" s="74"/>
      <c r="HK646" s="74"/>
      <c r="HL646" s="74"/>
      <c r="HM646" s="74"/>
      <c r="HN646" s="74"/>
      <c r="HO646" s="74"/>
      <c r="HP646" s="74"/>
      <c r="HQ646" s="74"/>
      <c r="HR646" s="74"/>
      <c r="HS646" s="74"/>
      <c r="HT646" s="74"/>
      <c r="HU646" s="74"/>
      <c r="HV646" s="74"/>
      <c r="HW646" s="74"/>
      <c r="HX646" s="74"/>
      <c r="HY646" s="74"/>
      <c r="HZ646" s="74"/>
      <c r="IA646" s="74"/>
      <c r="IB646" s="74"/>
      <c r="IC646" s="74"/>
      <c r="ID646" s="74"/>
      <c r="IE646" s="74"/>
      <c r="IF646" s="74"/>
      <c r="IG646" s="74"/>
      <c r="IH646" s="74"/>
      <c r="II646" s="74"/>
      <c r="IJ646" s="74"/>
      <c r="IK646" s="74"/>
      <c r="IL646" s="74"/>
      <c r="IM646" s="74"/>
      <c r="IN646" s="74"/>
      <c r="IO646" s="74"/>
      <c r="IP646" s="74"/>
      <c r="IQ646" s="74"/>
      <c r="IR646" s="74"/>
      <c r="IS646" s="74"/>
      <c r="IT646" s="74"/>
      <c r="IU646" s="74"/>
      <c r="IV646" s="74"/>
      <c r="IW646" s="74"/>
    </row>
    <row r="647" customFormat="false" ht="15.75" hidden="true" customHeight="true" outlineLevel="0" collapsed="false">
      <c r="A647" s="220" t="s">
        <v>618</v>
      </c>
      <c r="B647" s="95" t="n">
        <v>37083</v>
      </c>
      <c r="C647" s="188" t="s">
        <v>605</v>
      </c>
      <c r="D647" s="92" t="n">
        <f aca="false">I647/0.03</f>
        <v>-21.7666666666667</v>
      </c>
      <c r="E647" s="93" t="n">
        <v>-0.666</v>
      </c>
      <c r="F647" s="81" t="n">
        <v>0.013</v>
      </c>
      <c r="G647" s="81" t="n">
        <v>0</v>
      </c>
      <c r="H647" s="81" t="n">
        <v>0</v>
      </c>
      <c r="I647" s="94" t="n">
        <f aca="false">SUM(E647:H647)</f>
        <v>-0.653</v>
      </c>
      <c r="J647" s="118"/>
      <c r="K647" s="74"/>
      <c r="L647" s="74"/>
      <c r="M647" s="119"/>
      <c r="N647" s="74"/>
      <c r="O647" s="74"/>
      <c r="P647" s="74"/>
      <c r="Q647" s="74"/>
      <c r="R647" s="74"/>
      <c r="S647" s="74"/>
      <c r="T647" s="65" t="str">
        <f aca="false">IF(D647&gt;0,(I647/D647),"")</f>
        <v/>
      </c>
      <c r="U647" s="74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74"/>
      <c r="AJ647" s="74"/>
      <c r="AK647" s="74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4"/>
      <c r="BM647" s="74"/>
      <c r="BN647" s="74"/>
      <c r="BO647" s="74"/>
      <c r="BP647" s="74"/>
      <c r="BQ647" s="74"/>
      <c r="BR647" s="74"/>
      <c r="BS647" s="74"/>
      <c r="BT647" s="74"/>
      <c r="BU647" s="74"/>
      <c r="BV647" s="74"/>
      <c r="BW647" s="74"/>
      <c r="BX647" s="74"/>
      <c r="BY647" s="74"/>
      <c r="BZ647" s="74"/>
      <c r="CA647" s="74"/>
      <c r="CB647" s="74"/>
      <c r="CC647" s="74"/>
      <c r="CD647" s="74"/>
      <c r="CE647" s="74"/>
      <c r="CF647" s="74"/>
      <c r="CG647" s="74"/>
      <c r="CH647" s="74"/>
      <c r="CI647" s="74"/>
      <c r="CJ647" s="74"/>
      <c r="CK647" s="74"/>
      <c r="CL647" s="74"/>
      <c r="CM647" s="74"/>
      <c r="CN647" s="74"/>
      <c r="CO647" s="74"/>
      <c r="CP647" s="74"/>
      <c r="CQ647" s="74"/>
      <c r="CR647" s="74"/>
      <c r="CS647" s="74"/>
      <c r="CT647" s="74"/>
      <c r="CU647" s="74"/>
      <c r="CV647" s="74"/>
      <c r="CW647" s="74"/>
      <c r="CX647" s="74"/>
      <c r="CY647" s="74"/>
      <c r="CZ647" s="74"/>
      <c r="DA647" s="74"/>
      <c r="DB647" s="74"/>
      <c r="DC647" s="74"/>
      <c r="DD647" s="74"/>
      <c r="DE647" s="74"/>
      <c r="DF647" s="74"/>
      <c r="DG647" s="74"/>
      <c r="DH647" s="74"/>
      <c r="DI647" s="74"/>
      <c r="DJ647" s="74"/>
      <c r="DK647" s="74"/>
      <c r="DL647" s="74"/>
      <c r="DM647" s="74"/>
      <c r="DN647" s="74"/>
      <c r="DO647" s="74"/>
      <c r="DP647" s="74"/>
      <c r="DQ647" s="74"/>
      <c r="DR647" s="74"/>
      <c r="DS647" s="74"/>
      <c r="DT647" s="74"/>
      <c r="DU647" s="74"/>
      <c r="DV647" s="74"/>
      <c r="DW647" s="74"/>
      <c r="DX647" s="74"/>
      <c r="DY647" s="74"/>
      <c r="DZ647" s="74"/>
      <c r="EA647" s="74"/>
      <c r="EB647" s="74"/>
      <c r="EC647" s="74"/>
      <c r="ED647" s="74"/>
      <c r="EE647" s="74"/>
      <c r="EF647" s="74"/>
      <c r="EG647" s="74"/>
      <c r="EH647" s="74"/>
      <c r="EI647" s="74"/>
      <c r="EJ647" s="74"/>
      <c r="EK647" s="74"/>
      <c r="EL647" s="74"/>
      <c r="EM647" s="74"/>
      <c r="EN647" s="74"/>
      <c r="EO647" s="74"/>
      <c r="EP647" s="74"/>
      <c r="EQ647" s="74"/>
      <c r="ER647" s="74"/>
      <c r="ES647" s="74"/>
      <c r="ET647" s="74"/>
      <c r="EU647" s="74"/>
      <c r="EV647" s="74"/>
      <c r="EW647" s="74"/>
      <c r="EX647" s="74"/>
      <c r="EY647" s="74"/>
      <c r="EZ647" s="74"/>
      <c r="FA647" s="74"/>
      <c r="FB647" s="74"/>
      <c r="FC647" s="74"/>
      <c r="FD647" s="74"/>
      <c r="FE647" s="74"/>
      <c r="FF647" s="74"/>
      <c r="FG647" s="74"/>
      <c r="FH647" s="74"/>
      <c r="FI647" s="74"/>
      <c r="FJ647" s="74"/>
      <c r="FK647" s="74"/>
      <c r="FL647" s="74"/>
      <c r="FM647" s="74"/>
      <c r="FN647" s="74"/>
      <c r="FO647" s="74"/>
      <c r="FP647" s="74"/>
      <c r="FQ647" s="74"/>
      <c r="FR647" s="74"/>
      <c r="FS647" s="74"/>
      <c r="FT647" s="74"/>
      <c r="FU647" s="74"/>
      <c r="FV647" s="74"/>
      <c r="FW647" s="74"/>
      <c r="FX647" s="74"/>
      <c r="FY647" s="74"/>
      <c r="FZ647" s="74"/>
      <c r="GA647" s="74"/>
      <c r="GB647" s="74"/>
      <c r="GC647" s="74"/>
      <c r="GD647" s="74"/>
      <c r="GE647" s="74"/>
      <c r="GF647" s="74"/>
      <c r="GG647" s="74"/>
      <c r="GH647" s="74"/>
      <c r="GI647" s="74"/>
      <c r="GJ647" s="74"/>
      <c r="GK647" s="74"/>
      <c r="GL647" s="74"/>
      <c r="GM647" s="74"/>
      <c r="GN647" s="74"/>
      <c r="GO647" s="74"/>
      <c r="GP647" s="74"/>
      <c r="GQ647" s="74"/>
      <c r="GR647" s="74"/>
      <c r="GS647" s="74"/>
      <c r="GT647" s="74"/>
      <c r="GU647" s="74"/>
      <c r="GV647" s="74"/>
      <c r="GW647" s="74"/>
      <c r="GX647" s="74"/>
      <c r="GY647" s="74"/>
      <c r="GZ647" s="74"/>
      <c r="HA647" s="74"/>
      <c r="HB647" s="74"/>
      <c r="HC647" s="74"/>
      <c r="HD647" s="74"/>
      <c r="HE647" s="74"/>
      <c r="HF647" s="74"/>
      <c r="HG647" s="74"/>
      <c r="HH647" s="74"/>
      <c r="HI647" s="74"/>
      <c r="HJ647" s="74"/>
      <c r="HK647" s="74"/>
      <c r="HL647" s="74"/>
      <c r="HM647" s="74"/>
      <c r="HN647" s="74"/>
      <c r="HO647" s="74"/>
      <c r="HP647" s="74"/>
      <c r="HQ647" s="74"/>
      <c r="HR647" s="74"/>
      <c r="HS647" s="74"/>
      <c r="HT647" s="74"/>
      <c r="HU647" s="74"/>
      <c r="HV647" s="74"/>
      <c r="HW647" s="74"/>
      <c r="HX647" s="74"/>
      <c r="HY647" s="74"/>
      <c r="HZ647" s="74"/>
      <c r="IA647" s="74"/>
      <c r="IB647" s="74"/>
      <c r="IC647" s="74"/>
      <c r="ID647" s="74"/>
      <c r="IE647" s="74"/>
      <c r="IF647" s="74"/>
      <c r="IG647" s="74"/>
      <c r="IH647" s="74"/>
      <c r="II647" s="74"/>
      <c r="IJ647" s="74"/>
      <c r="IK647" s="74"/>
      <c r="IL647" s="74"/>
      <c r="IM647" s="74"/>
      <c r="IN647" s="74"/>
      <c r="IO647" s="74"/>
      <c r="IP647" s="74"/>
      <c r="IQ647" s="74"/>
      <c r="IR647" s="74"/>
      <c r="IS647" s="74"/>
      <c r="IT647" s="74"/>
      <c r="IU647" s="74"/>
      <c r="IV647" s="74"/>
      <c r="IW647" s="74"/>
    </row>
    <row r="648" customFormat="false" ht="15.75" hidden="true" customHeight="true" outlineLevel="0" collapsed="false">
      <c r="A648" s="220" t="s">
        <v>619</v>
      </c>
      <c r="B648" s="95" t="n">
        <v>37083</v>
      </c>
      <c r="C648" s="188" t="s">
        <v>605</v>
      </c>
      <c r="D648" s="92" t="n">
        <f aca="false">I648/0.03</f>
        <v>-40.6333333333333</v>
      </c>
      <c r="E648" s="93" t="n">
        <v>-1.239</v>
      </c>
      <c r="F648" s="81" t="n">
        <v>0.02</v>
      </c>
      <c r="G648" s="81" t="n">
        <v>0</v>
      </c>
      <c r="H648" s="81" t="n">
        <v>0</v>
      </c>
      <c r="I648" s="94" t="n">
        <f aca="false">SUM(E648:H648)</f>
        <v>-1.219</v>
      </c>
      <c r="J648" s="118"/>
      <c r="K648" s="74"/>
      <c r="L648" s="74"/>
      <c r="M648" s="119"/>
      <c r="N648" s="74"/>
      <c r="O648" s="74"/>
      <c r="P648" s="74"/>
      <c r="Q648" s="74"/>
      <c r="R648" s="74"/>
      <c r="S648" s="74"/>
      <c r="T648" s="65" t="str">
        <f aca="false">IF(D648&gt;0,(I648/D648),"")</f>
        <v/>
      </c>
      <c r="U648" s="74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4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4"/>
      <c r="BM648" s="74"/>
      <c r="BN648" s="74"/>
      <c r="BO648" s="74"/>
      <c r="BP648" s="74"/>
      <c r="BQ648" s="74"/>
      <c r="BR648" s="74"/>
      <c r="BS648" s="74"/>
      <c r="BT648" s="74"/>
      <c r="BU648" s="74"/>
      <c r="BV648" s="74"/>
      <c r="BW648" s="74"/>
      <c r="BX648" s="74"/>
      <c r="BY648" s="74"/>
      <c r="BZ648" s="74"/>
      <c r="CA648" s="74"/>
      <c r="CB648" s="74"/>
      <c r="CC648" s="74"/>
      <c r="CD648" s="74"/>
      <c r="CE648" s="74"/>
      <c r="CF648" s="74"/>
      <c r="CG648" s="74"/>
      <c r="CH648" s="74"/>
      <c r="CI648" s="74"/>
      <c r="CJ648" s="74"/>
      <c r="CK648" s="74"/>
      <c r="CL648" s="74"/>
      <c r="CM648" s="74"/>
      <c r="CN648" s="74"/>
      <c r="CO648" s="74"/>
      <c r="CP648" s="74"/>
      <c r="CQ648" s="74"/>
      <c r="CR648" s="74"/>
      <c r="CS648" s="74"/>
      <c r="CT648" s="74"/>
      <c r="CU648" s="74"/>
      <c r="CV648" s="74"/>
      <c r="CW648" s="74"/>
      <c r="CX648" s="74"/>
      <c r="CY648" s="74"/>
      <c r="CZ648" s="74"/>
      <c r="DA648" s="74"/>
      <c r="DB648" s="74"/>
      <c r="DC648" s="74"/>
      <c r="DD648" s="74"/>
      <c r="DE648" s="74"/>
      <c r="DF648" s="74"/>
      <c r="DG648" s="74"/>
      <c r="DH648" s="74"/>
      <c r="DI648" s="74"/>
      <c r="DJ648" s="74"/>
      <c r="DK648" s="74"/>
      <c r="DL648" s="74"/>
      <c r="DM648" s="74"/>
      <c r="DN648" s="74"/>
      <c r="DO648" s="74"/>
      <c r="DP648" s="74"/>
      <c r="DQ648" s="74"/>
      <c r="DR648" s="74"/>
      <c r="DS648" s="74"/>
      <c r="DT648" s="74"/>
      <c r="DU648" s="74"/>
      <c r="DV648" s="74"/>
      <c r="DW648" s="74"/>
      <c r="DX648" s="74"/>
      <c r="DY648" s="74"/>
      <c r="DZ648" s="74"/>
      <c r="EA648" s="74"/>
      <c r="EB648" s="74"/>
      <c r="EC648" s="74"/>
      <c r="ED648" s="74"/>
      <c r="EE648" s="74"/>
      <c r="EF648" s="74"/>
      <c r="EG648" s="74"/>
      <c r="EH648" s="74"/>
      <c r="EI648" s="74"/>
      <c r="EJ648" s="74"/>
      <c r="EK648" s="74"/>
      <c r="EL648" s="74"/>
      <c r="EM648" s="74"/>
      <c r="EN648" s="74"/>
      <c r="EO648" s="74"/>
      <c r="EP648" s="74"/>
      <c r="EQ648" s="74"/>
      <c r="ER648" s="74"/>
      <c r="ES648" s="74"/>
      <c r="ET648" s="74"/>
      <c r="EU648" s="74"/>
      <c r="EV648" s="74"/>
      <c r="EW648" s="74"/>
      <c r="EX648" s="74"/>
      <c r="EY648" s="74"/>
      <c r="EZ648" s="74"/>
      <c r="FA648" s="74"/>
      <c r="FB648" s="74"/>
      <c r="FC648" s="74"/>
      <c r="FD648" s="74"/>
      <c r="FE648" s="74"/>
      <c r="FF648" s="74"/>
      <c r="FG648" s="74"/>
      <c r="FH648" s="74"/>
      <c r="FI648" s="74"/>
      <c r="FJ648" s="74"/>
      <c r="FK648" s="74"/>
      <c r="FL648" s="74"/>
      <c r="FM648" s="74"/>
      <c r="FN648" s="74"/>
      <c r="FO648" s="74"/>
      <c r="FP648" s="74"/>
      <c r="FQ648" s="74"/>
      <c r="FR648" s="74"/>
      <c r="FS648" s="74"/>
      <c r="FT648" s="74"/>
      <c r="FU648" s="74"/>
      <c r="FV648" s="74"/>
      <c r="FW648" s="74"/>
      <c r="FX648" s="74"/>
      <c r="FY648" s="74"/>
      <c r="FZ648" s="74"/>
      <c r="GA648" s="74"/>
      <c r="GB648" s="74"/>
      <c r="GC648" s="74"/>
      <c r="GD648" s="74"/>
      <c r="GE648" s="74"/>
      <c r="GF648" s="74"/>
      <c r="GG648" s="74"/>
      <c r="GH648" s="74"/>
      <c r="GI648" s="74"/>
      <c r="GJ648" s="74"/>
      <c r="GK648" s="74"/>
      <c r="GL648" s="74"/>
      <c r="GM648" s="74"/>
      <c r="GN648" s="74"/>
      <c r="GO648" s="74"/>
      <c r="GP648" s="74"/>
      <c r="GQ648" s="74"/>
      <c r="GR648" s="74"/>
      <c r="GS648" s="74"/>
      <c r="GT648" s="74"/>
      <c r="GU648" s="74"/>
      <c r="GV648" s="74"/>
      <c r="GW648" s="74"/>
      <c r="GX648" s="74"/>
      <c r="GY648" s="74"/>
      <c r="GZ648" s="74"/>
      <c r="HA648" s="74"/>
      <c r="HB648" s="74"/>
      <c r="HC648" s="74"/>
      <c r="HD648" s="74"/>
      <c r="HE648" s="74"/>
      <c r="HF648" s="74"/>
      <c r="HG648" s="74"/>
      <c r="HH648" s="74"/>
      <c r="HI648" s="74"/>
      <c r="HJ648" s="74"/>
      <c r="HK648" s="74"/>
      <c r="HL648" s="74"/>
      <c r="HM648" s="74"/>
      <c r="HN648" s="74"/>
      <c r="HO648" s="74"/>
      <c r="HP648" s="74"/>
      <c r="HQ648" s="74"/>
      <c r="HR648" s="74"/>
      <c r="HS648" s="74"/>
      <c r="HT648" s="74"/>
      <c r="HU648" s="74"/>
      <c r="HV648" s="74"/>
      <c r="HW648" s="74"/>
      <c r="HX648" s="74"/>
      <c r="HY648" s="74"/>
      <c r="HZ648" s="74"/>
      <c r="IA648" s="74"/>
      <c r="IB648" s="74"/>
      <c r="IC648" s="74"/>
      <c r="ID648" s="74"/>
      <c r="IE648" s="74"/>
      <c r="IF648" s="74"/>
      <c r="IG648" s="74"/>
      <c r="IH648" s="74"/>
      <c r="II648" s="74"/>
      <c r="IJ648" s="74"/>
      <c r="IK648" s="74"/>
      <c r="IL648" s="74"/>
      <c r="IM648" s="74"/>
      <c r="IN648" s="74"/>
      <c r="IO648" s="74"/>
      <c r="IP648" s="74"/>
      <c r="IQ648" s="74"/>
      <c r="IR648" s="74"/>
      <c r="IS648" s="74"/>
      <c r="IT648" s="74"/>
      <c r="IU648" s="74"/>
      <c r="IV648" s="74"/>
      <c r="IW648" s="74"/>
    </row>
    <row r="649" customFormat="false" ht="15.75" hidden="true" customHeight="true" outlineLevel="0" collapsed="false">
      <c r="A649" s="220" t="s">
        <v>620</v>
      </c>
      <c r="B649" s="95" t="n">
        <v>37083</v>
      </c>
      <c r="C649" s="188" t="s">
        <v>605</v>
      </c>
      <c r="D649" s="92" t="n">
        <f aca="false">I649/0.03</f>
        <v>-35.4666666666667</v>
      </c>
      <c r="E649" s="93" t="n">
        <v>-1.085</v>
      </c>
      <c r="F649" s="81" t="n">
        <v>0.021</v>
      </c>
      <c r="G649" s="81" t="n">
        <v>0</v>
      </c>
      <c r="H649" s="81" t="n">
        <v>0</v>
      </c>
      <c r="I649" s="94" t="n">
        <f aca="false">SUM(E649:H649)</f>
        <v>-1.064</v>
      </c>
      <c r="J649" s="118"/>
      <c r="K649" s="74"/>
      <c r="L649" s="74"/>
      <c r="M649" s="119"/>
      <c r="N649" s="74"/>
      <c r="O649" s="74"/>
      <c r="P649" s="74"/>
      <c r="Q649" s="74"/>
      <c r="R649" s="74"/>
      <c r="S649" s="74"/>
      <c r="T649" s="65" t="str">
        <f aca="false">IF(D649&gt;0,(I649/D649),"")</f>
        <v/>
      </c>
      <c r="U649" s="74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4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4"/>
      <c r="BM649" s="74"/>
      <c r="BN649" s="74"/>
      <c r="BO649" s="74"/>
      <c r="BP649" s="74"/>
      <c r="BQ649" s="74"/>
      <c r="BR649" s="74"/>
      <c r="BS649" s="74"/>
      <c r="BT649" s="74"/>
      <c r="BU649" s="74"/>
      <c r="BV649" s="74"/>
      <c r="BW649" s="74"/>
      <c r="BX649" s="74"/>
      <c r="BY649" s="74"/>
      <c r="BZ649" s="74"/>
      <c r="CA649" s="74"/>
      <c r="CB649" s="74"/>
      <c r="CC649" s="74"/>
      <c r="CD649" s="74"/>
      <c r="CE649" s="74"/>
      <c r="CF649" s="74"/>
      <c r="CG649" s="74"/>
      <c r="CH649" s="74"/>
      <c r="CI649" s="74"/>
      <c r="CJ649" s="74"/>
      <c r="CK649" s="74"/>
      <c r="CL649" s="74"/>
      <c r="CM649" s="74"/>
      <c r="CN649" s="74"/>
      <c r="CO649" s="74"/>
      <c r="CP649" s="74"/>
      <c r="CQ649" s="74"/>
      <c r="CR649" s="74"/>
      <c r="CS649" s="74"/>
      <c r="CT649" s="74"/>
      <c r="CU649" s="74"/>
      <c r="CV649" s="74"/>
      <c r="CW649" s="74"/>
      <c r="CX649" s="74"/>
      <c r="CY649" s="74"/>
      <c r="CZ649" s="74"/>
      <c r="DA649" s="74"/>
      <c r="DB649" s="74"/>
      <c r="DC649" s="74"/>
      <c r="DD649" s="74"/>
      <c r="DE649" s="74"/>
      <c r="DF649" s="74"/>
      <c r="DG649" s="74"/>
      <c r="DH649" s="74"/>
      <c r="DI649" s="74"/>
      <c r="DJ649" s="74"/>
      <c r="DK649" s="74"/>
      <c r="DL649" s="74"/>
      <c r="DM649" s="74"/>
      <c r="DN649" s="74"/>
      <c r="DO649" s="74"/>
      <c r="DP649" s="74"/>
      <c r="DQ649" s="74"/>
      <c r="DR649" s="74"/>
      <c r="DS649" s="74"/>
      <c r="DT649" s="74"/>
      <c r="DU649" s="74"/>
      <c r="DV649" s="74"/>
      <c r="DW649" s="74"/>
      <c r="DX649" s="74"/>
      <c r="DY649" s="74"/>
      <c r="DZ649" s="74"/>
      <c r="EA649" s="74"/>
      <c r="EB649" s="74"/>
      <c r="EC649" s="74"/>
      <c r="ED649" s="74"/>
      <c r="EE649" s="74"/>
      <c r="EF649" s="74"/>
      <c r="EG649" s="74"/>
      <c r="EH649" s="74"/>
      <c r="EI649" s="74"/>
      <c r="EJ649" s="74"/>
      <c r="EK649" s="74"/>
      <c r="EL649" s="74"/>
      <c r="EM649" s="74"/>
      <c r="EN649" s="74"/>
      <c r="EO649" s="74"/>
      <c r="EP649" s="74"/>
      <c r="EQ649" s="74"/>
      <c r="ER649" s="74"/>
      <c r="ES649" s="74"/>
      <c r="ET649" s="74"/>
      <c r="EU649" s="74"/>
      <c r="EV649" s="74"/>
      <c r="EW649" s="74"/>
      <c r="EX649" s="74"/>
      <c r="EY649" s="74"/>
      <c r="EZ649" s="74"/>
      <c r="FA649" s="74"/>
      <c r="FB649" s="74"/>
      <c r="FC649" s="74"/>
      <c r="FD649" s="74"/>
      <c r="FE649" s="74"/>
      <c r="FF649" s="74"/>
      <c r="FG649" s="74"/>
      <c r="FH649" s="74"/>
      <c r="FI649" s="74"/>
      <c r="FJ649" s="74"/>
      <c r="FK649" s="74"/>
      <c r="FL649" s="74"/>
      <c r="FM649" s="74"/>
      <c r="FN649" s="74"/>
      <c r="FO649" s="74"/>
      <c r="FP649" s="74"/>
      <c r="FQ649" s="74"/>
      <c r="FR649" s="74"/>
      <c r="FS649" s="74"/>
      <c r="FT649" s="74"/>
      <c r="FU649" s="74"/>
      <c r="FV649" s="74"/>
      <c r="FW649" s="74"/>
      <c r="FX649" s="74"/>
      <c r="FY649" s="74"/>
      <c r="FZ649" s="74"/>
      <c r="GA649" s="74"/>
      <c r="GB649" s="74"/>
      <c r="GC649" s="74"/>
      <c r="GD649" s="74"/>
      <c r="GE649" s="74"/>
      <c r="GF649" s="74"/>
      <c r="GG649" s="74"/>
      <c r="GH649" s="74"/>
      <c r="GI649" s="74"/>
      <c r="GJ649" s="74"/>
      <c r="GK649" s="74"/>
      <c r="GL649" s="74"/>
      <c r="GM649" s="74"/>
      <c r="GN649" s="74"/>
      <c r="GO649" s="74"/>
      <c r="GP649" s="74"/>
      <c r="GQ649" s="74"/>
      <c r="GR649" s="74"/>
      <c r="GS649" s="74"/>
      <c r="GT649" s="74"/>
      <c r="GU649" s="74"/>
      <c r="GV649" s="74"/>
      <c r="GW649" s="74"/>
      <c r="GX649" s="74"/>
      <c r="GY649" s="74"/>
      <c r="GZ649" s="74"/>
      <c r="HA649" s="74"/>
      <c r="HB649" s="74"/>
      <c r="HC649" s="74"/>
      <c r="HD649" s="74"/>
      <c r="HE649" s="74"/>
      <c r="HF649" s="74"/>
      <c r="HG649" s="74"/>
      <c r="HH649" s="74"/>
      <c r="HI649" s="74"/>
      <c r="HJ649" s="74"/>
      <c r="HK649" s="74"/>
      <c r="HL649" s="74"/>
      <c r="HM649" s="74"/>
      <c r="HN649" s="74"/>
      <c r="HO649" s="74"/>
      <c r="HP649" s="74"/>
      <c r="HQ649" s="74"/>
      <c r="HR649" s="74"/>
      <c r="HS649" s="74"/>
      <c r="HT649" s="74"/>
      <c r="HU649" s="74"/>
      <c r="HV649" s="74"/>
      <c r="HW649" s="74"/>
      <c r="HX649" s="74"/>
      <c r="HY649" s="74"/>
      <c r="HZ649" s="74"/>
      <c r="IA649" s="74"/>
      <c r="IB649" s="74"/>
      <c r="IC649" s="74"/>
      <c r="ID649" s="74"/>
      <c r="IE649" s="74"/>
      <c r="IF649" s="74"/>
      <c r="IG649" s="74"/>
      <c r="IH649" s="74"/>
      <c r="II649" s="74"/>
      <c r="IJ649" s="74"/>
      <c r="IK649" s="74"/>
      <c r="IL649" s="74"/>
      <c r="IM649" s="74"/>
      <c r="IN649" s="74"/>
      <c r="IO649" s="74"/>
      <c r="IP649" s="74"/>
      <c r="IQ649" s="74"/>
      <c r="IR649" s="74"/>
      <c r="IS649" s="74"/>
      <c r="IT649" s="74"/>
      <c r="IU649" s="74"/>
      <c r="IV649" s="74"/>
      <c r="IW649" s="74"/>
    </row>
    <row r="650" customFormat="false" ht="15.75" hidden="true" customHeight="true" outlineLevel="0" collapsed="false">
      <c r="A650" s="220" t="s">
        <v>621</v>
      </c>
      <c r="B650" s="95" t="n">
        <v>37083</v>
      </c>
      <c r="C650" s="188" t="s">
        <v>605</v>
      </c>
      <c r="D650" s="92" t="n">
        <f aca="false">I650/0.03</f>
        <v>486.9</v>
      </c>
      <c r="E650" s="93" t="n">
        <v>14.829</v>
      </c>
      <c r="F650" s="81" t="n">
        <v>-0.222</v>
      </c>
      <c r="G650" s="81" t="n">
        <v>0</v>
      </c>
      <c r="H650" s="81" t="n">
        <v>0</v>
      </c>
      <c r="I650" s="94" t="n">
        <f aca="false">SUM(E650:H650)</f>
        <v>14.607</v>
      </c>
      <c r="J650" s="118"/>
      <c r="K650" s="74"/>
      <c r="L650" s="74"/>
      <c r="M650" s="119"/>
      <c r="N650" s="74"/>
      <c r="O650" s="74"/>
      <c r="P650" s="74"/>
      <c r="Q650" s="74"/>
      <c r="R650" s="74"/>
      <c r="S650" s="74"/>
      <c r="T650" s="65" t="n">
        <f aca="false">IF(D650&gt;0,(I650/D650),"")</f>
        <v>0.03</v>
      </c>
      <c r="U650" s="74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4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4"/>
      <c r="BM650" s="74"/>
      <c r="BN650" s="74"/>
      <c r="BO650" s="74"/>
      <c r="BP650" s="74"/>
      <c r="BQ650" s="74"/>
      <c r="BR650" s="74"/>
      <c r="BS650" s="74"/>
      <c r="BT650" s="74"/>
      <c r="BU650" s="74"/>
      <c r="BV650" s="74"/>
      <c r="BW650" s="74"/>
      <c r="BX650" s="74"/>
      <c r="BY650" s="74"/>
      <c r="BZ650" s="74"/>
      <c r="CA650" s="74"/>
      <c r="CB650" s="74"/>
      <c r="CC650" s="74"/>
      <c r="CD650" s="74"/>
      <c r="CE650" s="74"/>
      <c r="CF650" s="74"/>
      <c r="CG650" s="74"/>
      <c r="CH650" s="74"/>
      <c r="CI650" s="74"/>
      <c r="CJ650" s="74"/>
      <c r="CK650" s="74"/>
      <c r="CL650" s="74"/>
      <c r="CM650" s="74"/>
      <c r="CN650" s="74"/>
      <c r="CO650" s="74"/>
      <c r="CP650" s="74"/>
      <c r="CQ650" s="74"/>
      <c r="CR650" s="74"/>
      <c r="CS650" s="74"/>
      <c r="CT650" s="74"/>
      <c r="CU650" s="74"/>
      <c r="CV650" s="74"/>
      <c r="CW650" s="74"/>
      <c r="CX650" s="74"/>
      <c r="CY650" s="74"/>
      <c r="CZ650" s="74"/>
      <c r="DA650" s="74"/>
      <c r="DB650" s="74"/>
      <c r="DC650" s="74"/>
      <c r="DD650" s="74"/>
      <c r="DE650" s="74"/>
      <c r="DF650" s="74"/>
      <c r="DG650" s="74"/>
      <c r="DH650" s="74"/>
      <c r="DI650" s="74"/>
      <c r="DJ650" s="74"/>
      <c r="DK650" s="74"/>
      <c r="DL650" s="74"/>
      <c r="DM650" s="74"/>
      <c r="DN650" s="74"/>
      <c r="DO650" s="74"/>
      <c r="DP650" s="74"/>
      <c r="DQ650" s="74"/>
      <c r="DR650" s="74"/>
      <c r="DS650" s="74"/>
      <c r="DT650" s="74"/>
      <c r="DU650" s="74"/>
      <c r="DV650" s="74"/>
      <c r="DW650" s="74"/>
      <c r="DX650" s="74"/>
      <c r="DY650" s="74"/>
      <c r="DZ650" s="74"/>
      <c r="EA650" s="74"/>
      <c r="EB650" s="74"/>
      <c r="EC650" s="74"/>
      <c r="ED650" s="74"/>
      <c r="EE650" s="74"/>
      <c r="EF650" s="74"/>
      <c r="EG650" s="74"/>
      <c r="EH650" s="74"/>
      <c r="EI650" s="74"/>
      <c r="EJ650" s="74"/>
      <c r="EK650" s="74"/>
      <c r="EL650" s="74"/>
      <c r="EM650" s="74"/>
      <c r="EN650" s="74"/>
      <c r="EO650" s="74"/>
      <c r="EP650" s="74"/>
      <c r="EQ650" s="74"/>
      <c r="ER650" s="74"/>
      <c r="ES650" s="74"/>
      <c r="ET650" s="74"/>
      <c r="EU650" s="74"/>
      <c r="EV650" s="74"/>
      <c r="EW650" s="74"/>
      <c r="EX650" s="74"/>
      <c r="EY650" s="74"/>
      <c r="EZ650" s="74"/>
      <c r="FA650" s="74"/>
      <c r="FB650" s="74"/>
      <c r="FC650" s="74"/>
      <c r="FD650" s="74"/>
      <c r="FE650" s="74"/>
      <c r="FF650" s="74"/>
      <c r="FG650" s="74"/>
      <c r="FH650" s="74"/>
      <c r="FI650" s="74"/>
      <c r="FJ650" s="74"/>
      <c r="FK650" s="74"/>
      <c r="FL650" s="74"/>
      <c r="FM650" s="74"/>
      <c r="FN650" s="74"/>
      <c r="FO650" s="74"/>
      <c r="FP650" s="74"/>
      <c r="FQ650" s="74"/>
      <c r="FR650" s="74"/>
      <c r="FS650" s="74"/>
      <c r="FT650" s="74"/>
      <c r="FU650" s="74"/>
      <c r="FV650" s="74"/>
      <c r="FW650" s="74"/>
      <c r="FX650" s="74"/>
      <c r="FY650" s="74"/>
      <c r="FZ650" s="74"/>
      <c r="GA650" s="74"/>
      <c r="GB650" s="74"/>
      <c r="GC650" s="74"/>
      <c r="GD650" s="74"/>
      <c r="GE650" s="74"/>
      <c r="GF650" s="74"/>
      <c r="GG650" s="74"/>
      <c r="GH650" s="74"/>
      <c r="GI650" s="74"/>
      <c r="GJ650" s="74"/>
      <c r="GK650" s="74"/>
      <c r="GL650" s="74"/>
      <c r="GM650" s="74"/>
      <c r="GN650" s="74"/>
      <c r="GO650" s="74"/>
      <c r="GP650" s="74"/>
      <c r="GQ650" s="74"/>
      <c r="GR650" s="74"/>
      <c r="GS650" s="74"/>
      <c r="GT650" s="74"/>
      <c r="GU650" s="74"/>
      <c r="GV650" s="74"/>
      <c r="GW650" s="74"/>
      <c r="GX650" s="74"/>
      <c r="GY650" s="74"/>
      <c r="GZ650" s="74"/>
      <c r="HA650" s="74"/>
      <c r="HB650" s="74"/>
      <c r="HC650" s="74"/>
      <c r="HD650" s="74"/>
      <c r="HE650" s="74"/>
      <c r="HF650" s="74"/>
      <c r="HG650" s="74"/>
      <c r="HH650" s="74"/>
      <c r="HI650" s="74"/>
      <c r="HJ650" s="74"/>
      <c r="HK650" s="74"/>
      <c r="HL650" s="74"/>
      <c r="HM650" s="74"/>
      <c r="HN650" s="74"/>
      <c r="HO650" s="74"/>
      <c r="HP650" s="74"/>
      <c r="HQ650" s="74"/>
      <c r="HR650" s="74"/>
      <c r="HS650" s="74"/>
      <c r="HT650" s="74"/>
      <c r="HU650" s="74"/>
      <c r="HV650" s="74"/>
      <c r="HW650" s="74"/>
      <c r="HX650" s="74"/>
      <c r="HY650" s="74"/>
      <c r="HZ650" s="74"/>
      <c r="IA650" s="74"/>
      <c r="IB650" s="74"/>
      <c r="IC650" s="74"/>
      <c r="ID650" s="74"/>
      <c r="IE650" s="74"/>
      <c r="IF650" s="74"/>
      <c r="IG650" s="74"/>
      <c r="IH650" s="74"/>
      <c r="II650" s="74"/>
      <c r="IJ650" s="74"/>
      <c r="IK650" s="74"/>
      <c r="IL650" s="74"/>
      <c r="IM650" s="74"/>
      <c r="IN650" s="74"/>
      <c r="IO650" s="74"/>
      <c r="IP650" s="74"/>
      <c r="IQ650" s="74"/>
      <c r="IR650" s="74"/>
      <c r="IS650" s="74"/>
      <c r="IT650" s="74"/>
      <c r="IU650" s="74"/>
      <c r="IV650" s="74"/>
      <c r="IW650" s="74"/>
    </row>
    <row r="651" customFormat="false" ht="16.5" hidden="true" customHeight="false" outlineLevel="0" collapsed="false">
      <c r="A651" s="220" t="s">
        <v>622</v>
      </c>
      <c r="B651" s="95" t="n">
        <v>37083</v>
      </c>
      <c r="C651" s="188" t="s">
        <v>605</v>
      </c>
      <c r="D651" s="92" t="n">
        <f aca="false">I651/0.03</f>
        <v>2275.23333333333</v>
      </c>
      <c r="E651" s="93" t="n">
        <v>69.777</v>
      </c>
      <c r="F651" s="81" t="n">
        <v>-1.52</v>
      </c>
      <c r="G651" s="81" t="n">
        <v>0</v>
      </c>
      <c r="H651" s="81" t="n">
        <v>0</v>
      </c>
      <c r="I651" s="94" t="n">
        <f aca="false">SUM(E651:H651)</f>
        <v>68.257</v>
      </c>
      <c r="J651" s="118"/>
      <c r="K651" s="74"/>
      <c r="L651" s="74"/>
      <c r="M651" s="119"/>
      <c r="N651" s="74"/>
      <c r="O651" s="74"/>
      <c r="P651" s="74"/>
      <c r="Q651" s="74"/>
      <c r="R651" s="74"/>
      <c r="S651" s="74"/>
      <c r="T651" s="65" t="n">
        <f aca="false">IF(D651&gt;0,(I651/D651),"")</f>
        <v>0.03</v>
      </c>
      <c r="U651" s="74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74"/>
      <c r="AJ651" s="74"/>
      <c r="AK651" s="74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4"/>
      <c r="BM651" s="74"/>
      <c r="BN651" s="74"/>
      <c r="BO651" s="74"/>
      <c r="BP651" s="74"/>
      <c r="BQ651" s="74"/>
      <c r="BR651" s="74"/>
      <c r="BS651" s="74"/>
      <c r="BT651" s="74"/>
      <c r="BU651" s="74"/>
      <c r="BV651" s="74"/>
      <c r="BW651" s="74"/>
      <c r="BX651" s="74"/>
      <c r="BY651" s="74"/>
      <c r="BZ651" s="74"/>
      <c r="CA651" s="74"/>
      <c r="CB651" s="74"/>
      <c r="CC651" s="74"/>
      <c r="CD651" s="74"/>
      <c r="CE651" s="74"/>
      <c r="CF651" s="74"/>
      <c r="CG651" s="74"/>
      <c r="CH651" s="74"/>
      <c r="CI651" s="74"/>
      <c r="CJ651" s="74"/>
      <c r="CK651" s="74"/>
      <c r="CL651" s="74"/>
      <c r="CM651" s="74"/>
      <c r="CN651" s="74"/>
      <c r="CO651" s="74"/>
      <c r="CP651" s="74"/>
      <c r="CQ651" s="74"/>
      <c r="CR651" s="74"/>
      <c r="CS651" s="74"/>
      <c r="CT651" s="74"/>
      <c r="CU651" s="74"/>
      <c r="CV651" s="74"/>
      <c r="CW651" s="74"/>
      <c r="CX651" s="74"/>
      <c r="CY651" s="74"/>
      <c r="CZ651" s="74"/>
      <c r="DA651" s="74"/>
      <c r="DB651" s="74"/>
      <c r="DC651" s="74"/>
      <c r="DD651" s="74"/>
      <c r="DE651" s="74"/>
      <c r="DF651" s="74"/>
      <c r="DG651" s="74"/>
      <c r="DH651" s="74"/>
      <c r="DI651" s="74"/>
      <c r="DJ651" s="74"/>
      <c r="DK651" s="74"/>
      <c r="DL651" s="74"/>
      <c r="DM651" s="74"/>
      <c r="DN651" s="74"/>
      <c r="DO651" s="74"/>
      <c r="DP651" s="74"/>
      <c r="DQ651" s="74"/>
      <c r="DR651" s="74"/>
      <c r="DS651" s="74"/>
      <c r="DT651" s="74"/>
      <c r="DU651" s="74"/>
      <c r="DV651" s="74"/>
      <c r="DW651" s="74"/>
      <c r="DX651" s="74"/>
      <c r="DY651" s="74"/>
      <c r="DZ651" s="74"/>
      <c r="EA651" s="74"/>
      <c r="EB651" s="74"/>
      <c r="EC651" s="74"/>
      <c r="ED651" s="74"/>
      <c r="EE651" s="74"/>
      <c r="EF651" s="74"/>
      <c r="EG651" s="74"/>
      <c r="EH651" s="74"/>
      <c r="EI651" s="74"/>
      <c r="EJ651" s="74"/>
      <c r="EK651" s="74"/>
      <c r="EL651" s="74"/>
      <c r="EM651" s="74"/>
      <c r="EN651" s="74"/>
      <c r="EO651" s="74"/>
      <c r="EP651" s="74"/>
      <c r="EQ651" s="74"/>
      <c r="ER651" s="74"/>
      <c r="ES651" s="74"/>
      <c r="ET651" s="74"/>
      <c r="EU651" s="74"/>
      <c r="EV651" s="74"/>
      <c r="EW651" s="74"/>
      <c r="EX651" s="74"/>
      <c r="EY651" s="74"/>
      <c r="EZ651" s="74"/>
      <c r="FA651" s="74"/>
      <c r="FB651" s="74"/>
      <c r="FC651" s="74"/>
      <c r="FD651" s="74"/>
      <c r="FE651" s="74"/>
      <c r="FF651" s="74"/>
      <c r="FG651" s="74"/>
      <c r="FH651" s="74"/>
      <c r="FI651" s="74"/>
      <c r="FJ651" s="74"/>
      <c r="FK651" s="74"/>
      <c r="FL651" s="74"/>
      <c r="FM651" s="74"/>
      <c r="FN651" s="74"/>
      <c r="FO651" s="74"/>
      <c r="FP651" s="74"/>
      <c r="FQ651" s="74"/>
      <c r="FR651" s="74"/>
      <c r="FS651" s="74"/>
      <c r="FT651" s="74"/>
      <c r="FU651" s="74"/>
      <c r="FV651" s="74"/>
      <c r="FW651" s="74"/>
      <c r="FX651" s="74"/>
      <c r="FY651" s="74"/>
      <c r="FZ651" s="74"/>
      <c r="GA651" s="74"/>
      <c r="GB651" s="74"/>
      <c r="GC651" s="74"/>
      <c r="GD651" s="74"/>
      <c r="GE651" s="74"/>
      <c r="GF651" s="74"/>
      <c r="GG651" s="74"/>
      <c r="GH651" s="74"/>
      <c r="GI651" s="74"/>
      <c r="GJ651" s="74"/>
      <c r="GK651" s="74"/>
      <c r="GL651" s="74"/>
      <c r="GM651" s="74"/>
      <c r="GN651" s="74"/>
      <c r="GO651" s="74"/>
      <c r="GP651" s="74"/>
      <c r="GQ651" s="74"/>
      <c r="GR651" s="74"/>
      <c r="GS651" s="74"/>
      <c r="GT651" s="74"/>
      <c r="GU651" s="74"/>
      <c r="GV651" s="74"/>
      <c r="GW651" s="74"/>
      <c r="GX651" s="74"/>
      <c r="GY651" s="74"/>
      <c r="GZ651" s="74"/>
      <c r="HA651" s="74"/>
      <c r="HB651" s="74"/>
      <c r="HC651" s="74"/>
      <c r="HD651" s="74"/>
      <c r="HE651" s="74"/>
      <c r="HF651" s="74"/>
      <c r="HG651" s="74"/>
      <c r="HH651" s="74"/>
      <c r="HI651" s="74"/>
      <c r="HJ651" s="74"/>
      <c r="HK651" s="74"/>
      <c r="HL651" s="74"/>
      <c r="HM651" s="74"/>
      <c r="HN651" s="74"/>
      <c r="HO651" s="74"/>
      <c r="HP651" s="74"/>
      <c r="HQ651" s="74"/>
      <c r="HR651" s="74"/>
      <c r="HS651" s="74"/>
      <c r="HT651" s="74"/>
      <c r="HU651" s="74"/>
      <c r="HV651" s="74"/>
      <c r="HW651" s="74"/>
      <c r="HX651" s="74"/>
      <c r="HY651" s="74"/>
      <c r="HZ651" s="74"/>
      <c r="IA651" s="74"/>
      <c r="IB651" s="74"/>
      <c r="IC651" s="74"/>
      <c r="ID651" s="74"/>
      <c r="IE651" s="74"/>
      <c r="IF651" s="74"/>
      <c r="IG651" s="74"/>
      <c r="IH651" s="74"/>
      <c r="II651" s="74"/>
      <c r="IJ651" s="74"/>
      <c r="IK651" s="74"/>
      <c r="IL651" s="74"/>
      <c r="IM651" s="74"/>
      <c r="IN651" s="74"/>
      <c r="IO651" s="74"/>
      <c r="IP651" s="74"/>
      <c r="IQ651" s="74"/>
      <c r="IR651" s="74"/>
      <c r="IS651" s="74"/>
      <c r="IT651" s="74"/>
      <c r="IU651" s="74"/>
      <c r="IV651" s="74"/>
      <c r="IW651" s="74"/>
    </row>
    <row r="652" customFormat="false" ht="16.5" hidden="true" customHeight="false" outlineLevel="0" collapsed="false">
      <c r="A652" s="220" t="s">
        <v>623</v>
      </c>
      <c r="B652" s="95" t="n">
        <v>37083</v>
      </c>
      <c r="C652" s="188" t="s">
        <v>605</v>
      </c>
      <c r="D652" s="92" t="n">
        <f aca="false">I652/0.03</f>
        <v>2190.9</v>
      </c>
      <c r="E652" s="93" t="n">
        <v>67.241</v>
      </c>
      <c r="F652" s="81" t="n">
        <v>-1.514</v>
      </c>
      <c r="G652" s="81" t="n">
        <v>0</v>
      </c>
      <c r="H652" s="81" t="n">
        <v>0</v>
      </c>
      <c r="I652" s="94" t="n">
        <f aca="false">SUM(E652:H652)</f>
        <v>65.727</v>
      </c>
      <c r="J652" s="118"/>
      <c r="K652" s="74"/>
      <c r="L652" s="74"/>
      <c r="M652" s="119"/>
      <c r="N652" s="74"/>
      <c r="O652" s="74"/>
      <c r="P652" s="74"/>
      <c r="Q652" s="74"/>
      <c r="R652" s="74"/>
      <c r="S652" s="74"/>
      <c r="T652" s="65" t="n">
        <f aca="false">IF(D652&gt;0,(I652/D652),"")</f>
        <v>0.03</v>
      </c>
      <c r="U652" s="74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74"/>
      <c r="AJ652" s="74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4"/>
      <c r="CA652" s="74"/>
      <c r="CB652" s="74"/>
      <c r="CC652" s="74"/>
      <c r="CD652" s="74"/>
      <c r="CE652" s="74"/>
      <c r="CF652" s="74"/>
      <c r="CG652" s="74"/>
      <c r="CH652" s="74"/>
      <c r="CI652" s="74"/>
      <c r="CJ652" s="74"/>
      <c r="CK652" s="74"/>
      <c r="CL652" s="74"/>
      <c r="CM652" s="74"/>
      <c r="CN652" s="74"/>
      <c r="CO652" s="74"/>
      <c r="CP652" s="74"/>
      <c r="CQ652" s="74"/>
      <c r="CR652" s="74"/>
      <c r="CS652" s="74"/>
      <c r="CT652" s="74"/>
      <c r="CU652" s="74"/>
      <c r="CV652" s="74"/>
      <c r="CW652" s="74"/>
      <c r="CX652" s="74"/>
      <c r="CY652" s="74"/>
      <c r="CZ652" s="74"/>
      <c r="DA652" s="74"/>
      <c r="DB652" s="74"/>
      <c r="DC652" s="74"/>
      <c r="DD652" s="74"/>
      <c r="DE652" s="74"/>
      <c r="DF652" s="74"/>
      <c r="DG652" s="74"/>
      <c r="DH652" s="74"/>
      <c r="DI652" s="74"/>
      <c r="DJ652" s="74"/>
      <c r="DK652" s="74"/>
      <c r="DL652" s="74"/>
      <c r="DM652" s="74"/>
      <c r="DN652" s="74"/>
      <c r="DO652" s="74"/>
      <c r="DP652" s="74"/>
      <c r="DQ652" s="74"/>
      <c r="DR652" s="74"/>
      <c r="DS652" s="74"/>
      <c r="DT652" s="74"/>
      <c r="DU652" s="74"/>
      <c r="DV652" s="74"/>
      <c r="DW652" s="74"/>
      <c r="DX652" s="74"/>
      <c r="DY652" s="74"/>
      <c r="DZ652" s="74"/>
      <c r="EA652" s="74"/>
      <c r="EB652" s="74"/>
      <c r="EC652" s="74"/>
      <c r="ED652" s="74"/>
      <c r="EE652" s="74"/>
      <c r="EF652" s="74"/>
      <c r="EG652" s="74"/>
      <c r="EH652" s="74"/>
      <c r="EI652" s="74"/>
      <c r="EJ652" s="74"/>
      <c r="EK652" s="74"/>
      <c r="EL652" s="74"/>
      <c r="EM652" s="74"/>
      <c r="EN652" s="74"/>
      <c r="EO652" s="74"/>
      <c r="EP652" s="74"/>
      <c r="EQ652" s="74"/>
      <c r="ER652" s="74"/>
      <c r="ES652" s="74"/>
      <c r="ET652" s="74"/>
      <c r="EU652" s="74"/>
      <c r="EV652" s="74"/>
      <c r="EW652" s="74"/>
      <c r="EX652" s="74"/>
      <c r="EY652" s="74"/>
      <c r="EZ652" s="74"/>
      <c r="FA652" s="74"/>
      <c r="FB652" s="74"/>
      <c r="FC652" s="74"/>
      <c r="FD652" s="74"/>
      <c r="FE652" s="74"/>
      <c r="FF652" s="74"/>
      <c r="FG652" s="74"/>
      <c r="FH652" s="74"/>
      <c r="FI652" s="74"/>
      <c r="FJ652" s="74"/>
      <c r="FK652" s="74"/>
      <c r="FL652" s="74"/>
      <c r="FM652" s="74"/>
      <c r="FN652" s="74"/>
      <c r="FO652" s="74"/>
      <c r="FP652" s="74"/>
      <c r="FQ652" s="74"/>
      <c r="FR652" s="74"/>
      <c r="FS652" s="74"/>
      <c r="FT652" s="74"/>
      <c r="FU652" s="74"/>
      <c r="FV652" s="74"/>
      <c r="FW652" s="74"/>
      <c r="FX652" s="74"/>
      <c r="FY652" s="74"/>
      <c r="FZ652" s="74"/>
      <c r="GA652" s="74"/>
      <c r="GB652" s="74"/>
      <c r="GC652" s="74"/>
      <c r="GD652" s="74"/>
      <c r="GE652" s="74"/>
      <c r="GF652" s="74"/>
      <c r="GG652" s="74"/>
      <c r="GH652" s="74"/>
      <c r="GI652" s="74"/>
      <c r="GJ652" s="74"/>
      <c r="GK652" s="74"/>
      <c r="GL652" s="74"/>
      <c r="GM652" s="74"/>
      <c r="GN652" s="74"/>
      <c r="GO652" s="74"/>
      <c r="GP652" s="74"/>
      <c r="GQ652" s="74"/>
      <c r="GR652" s="74"/>
      <c r="GS652" s="74"/>
      <c r="GT652" s="74"/>
      <c r="GU652" s="74"/>
      <c r="GV652" s="74"/>
      <c r="GW652" s="74"/>
      <c r="GX652" s="74"/>
      <c r="GY652" s="74"/>
      <c r="GZ652" s="74"/>
      <c r="HA652" s="74"/>
      <c r="HB652" s="74"/>
      <c r="HC652" s="74"/>
      <c r="HD652" s="74"/>
      <c r="HE652" s="74"/>
      <c r="HF652" s="74"/>
      <c r="HG652" s="74"/>
      <c r="HH652" s="74"/>
      <c r="HI652" s="74"/>
      <c r="HJ652" s="74"/>
      <c r="HK652" s="74"/>
      <c r="HL652" s="74"/>
      <c r="HM652" s="74"/>
      <c r="HN652" s="74"/>
      <c r="HO652" s="74"/>
      <c r="HP652" s="74"/>
      <c r="HQ652" s="74"/>
      <c r="HR652" s="74"/>
      <c r="HS652" s="74"/>
      <c r="HT652" s="74"/>
      <c r="HU652" s="74"/>
      <c r="HV652" s="74"/>
      <c r="HW652" s="74"/>
      <c r="HX652" s="74"/>
      <c r="HY652" s="74"/>
      <c r="HZ652" s="74"/>
      <c r="IA652" s="74"/>
      <c r="IB652" s="74"/>
      <c r="IC652" s="74"/>
      <c r="ID652" s="74"/>
      <c r="IE652" s="74"/>
      <c r="IF652" s="74"/>
      <c r="IG652" s="74"/>
      <c r="IH652" s="74"/>
      <c r="II652" s="74"/>
      <c r="IJ652" s="74"/>
      <c r="IK652" s="74"/>
      <c r="IL652" s="74"/>
      <c r="IM652" s="74"/>
      <c r="IN652" s="74"/>
      <c r="IO652" s="74"/>
      <c r="IP652" s="74"/>
      <c r="IQ652" s="74"/>
      <c r="IR652" s="74"/>
      <c r="IS652" s="74"/>
      <c r="IT652" s="74"/>
      <c r="IU652" s="74"/>
      <c r="IV652" s="74"/>
      <c r="IW652" s="74"/>
    </row>
    <row r="653" customFormat="false" ht="16.5" hidden="true" customHeight="false" outlineLevel="0" collapsed="false">
      <c r="A653" s="240" t="s">
        <v>624</v>
      </c>
      <c r="B653" s="241"/>
      <c r="C653" s="242"/>
      <c r="D653" s="69" t="n">
        <f aca="false">I653/0.03</f>
        <v>1477.16666666667</v>
      </c>
      <c r="E653" s="70" t="n">
        <v>45.274</v>
      </c>
      <c r="F653" s="71" t="n">
        <v>-0.959</v>
      </c>
      <c r="G653" s="71" t="n">
        <v>0</v>
      </c>
      <c r="H653" s="71" t="n">
        <v>0</v>
      </c>
      <c r="I653" s="72" t="n">
        <f aca="false">SUM(E653:H653)</f>
        <v>44.315</v>
      </c>
      <c r="J653" s="118"/>
      <c r="K653" s="74"/>
      <c r="L653" s="74"/>
      <c r="M653" s="119"/>
      <c r="N653" s="74"/>
      <c r="O653" s="74"/>
      <c r="P653" s="74"/>
      <c r="Q653" s="74"/>
      <c r="R653" s="74"/>
      <c r="S653" s="74"/>
      <c r="T653" s="65" t="n">
        <f aca="false">IF(D653&gt;0,(I653/D653),"")</f>
        <v>0.03</v>
      </c>
      <c r="U653" s="74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74"/>
      <c r="AJ653" s="74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4"/>
      <c r="CA653" s="74"/>
      <c r="CB653" s="74"/>
      <c r="CC653" s="74"/>
      <c r="CD653" s="74"/>
      <c r="CE653" s="74"/>
      <c r="CF653" s="74"/>
      <c r="CG653" s="74"/>
      <c r="CH653" s="74"/>
      <c r="CI653" s="74"/>
      <c r="CJ653" s="74"/>
      <c r="CK653" s="74"/>
      <c r="CL653" s="74"/>
      <c r="CM653" s="74"/>
      <c r="CN653" s="74"/>
      <c r="CO653" s="74"/>
      <c r="CP653" s="74"/>
      <c r="CQ653" s="74"/>
      <c r="CR653" s="74"/>
      <c r="CS653" s="74"/>
      <c r="CT653" s="74"/>
      <c r="CU653" s="74"/>
      <c r="CV653" s="74"/>
      <c r="CW653" s="74"/>
      <c r="CX653" s="74"/>
      <c r="CY653" s="74"/>
      <c r="CZ653" s="74"/>
      <c r="DA653" s="74"/>
      <c r="DB653" s="74"/>
      <c r="DC653" s="74"/>
      <c r="DD653" s="74"/>
      <c r="DE653" s="74"/>
      <c r="DF653" s="74"/>
      <c r="DG653" s="74"/>
      <c r="DH653" s="74"/>
      <c r="DI653" s="74"/>
      <c r="DJ653" s="74"/>
      <c r="DK653" s="74"/>
      <c r="DL653" s="74"/>
      <c r="DM653" s="74"/>
      <c r="DN653" s="74"/>
      <c r="DO653" s="74"/>
      <c r="DP653" s="74"/>
      <c r="DQ653" s="74"/>
      <c r="DR653" s="74"/>
      <c r="DS653" s="74"/>
      <c r="DT653" s="74"/>
      <c r="DU653" s="74"/>
      <c r="DV653" s="74"/>
      <c r="DW653" s="74"/>
      <c r="DX653" s="74"/>
      <c r="DY653" s="74"/>
      <c r="DZ653" s="74"/>
      <c r="EA653" s="74"/>
      <c r="EB653" s="74"/>
      <c r="EC653" s="74"/>
      <c r="ED653" s="74"/>
      <c r="EE653" s="74"/>
      <c r="EF653" s="74"/>
      <c r="EG653" s="74"/>
      <c r="EH653" s="74"/>
      <c r="EI653" s="74"/>
      <c r="EJ653" s="74"/>
      <c r="EK653" s="74"/>
      <c r="EL653" s="74"/>
      <c r="EM653" s="74"/>
      <c r="EN653" s="74"/>
      <c r="EO653" s="74"/>
      <c r="EP653" s="74"/>
      <c r="EQ653" s="74"/>
      <c r="ER653" s="74"/>
      <c r="ES653" s="74"/>
      <c r="ET653" s="74"/>
      <c r="EU653" s="74"/>
      <c r="EV653" s="74"/>
      <c r="EW653" s="74"/>
      <c r="EX653" s="74"/>
      <c r="EY653" s="74"/>
      <c r="EZ653" s="74"/>
      <c r="FA653" s="74"/>
      <c r="FB653" s="74"/>
      <c r="FC653" s="74"/>
      <c r="FD653" s="74"/>
      <c r="FE653" s="74"/>
      <c r="FF653" s="74"/>
      <c r="FG653" s="74"/>
      <c r="FH653" s="74"/>
      <c r="FI653" s="74"/>
      <c r="FJ653" s="74"/>
      <c r="FK653" s="74"/>
      <c r="FL653" s="74"/>
      <c r="FM653" s="74"/>
      <c r="FN653" s="74"/>
      <c r="FO653" s="74"/>
      <c r="FP653" s="74"/>
      <c r="FQ653" s="74"/>
      <c r="FR653" s="74"/>
      <c r="FS653" s="74"/>
      <c r="FT653" s="74"/>
      <c r="FU653" s="74"/>
      <c r="FV653" s="74"/>
      <c r="FW653" s="74"/>
      <c r="FX653" s="74"/>
      <c r="FY653" s="74"/>
      <c r="FZ653" s="74"/>
      <c r="GA653" s="74"/>
      <c r="GB653" s="74"/>
      <c r="GC653" s="74"/>
      <c r="GD653" s="74"/>
      <c r="GE653" s="74"/>
      <c r="GF653" s="74"/>
      <c r="GG653" s="74"/>
      <c r="GH653" s="74"/>
      <c r="GI653" s="74"/>
      <c r="GJ653" s="74"/>
      <c r="GK653" s="74"/>
      <c r="GL653" s="74"/>
      <c r="GM653" s="74"/>
      <c r="GN653" s="74"/>
      <c r="GO653" s="74"/>
      <c r="GP653" s="74"/>
      <c r="GQ653" s="74"/>
      <c r="GR653" s="74"/>
      <c r="GS653" s="74"/>
      <c r="GT653" s="74"/>
      <c r="GU653" s="74"/>
      <c r="GV653" s="74"/>
      <c r="GW653" s="74"/>
      <c r="GX653" s="74"/>
      <c r="GY653" s="74"/>
      <c r="GZ653" s="74"/>
      <c r="HA653" s="74"/>
      <c r="HB653" s="74"/>
      <c r="HC653" s="74"/>
      <c r="HD653" s="74"/>
      <c r="HE653" s="74"/>
      <c r="HF653" s="74"/>
      <c r="HG653" s="74"/>
      <c r="HH653" s="74"/>
      <c r="HI653" s="74"/>
      <c r="HJ653" s="74"/>
      <c r="HK653" s="74"/>
      <c r="HL653" s="74"/>
      <c r="HM653" s="74"/>
      <c r="HN653" s="74"/>
      <c r="HO653" s="74"/>
      <c r="HP653" s="74"/>
      <c r="HQ653" s="74"/>
      <c r="HR653" s="74"/>
      <c r="HS653" s="74"/>
      <c r="HT653" s="74"/>
      <c r="HU653" s="74"/>
      <c r="HV653" s="74"/>
      <c r="HW653" s="74"/>
      <c r="HX653" s="74"/>
      <c r="HY653" s="74"/>
      <c r="HZ653" s="74"/>
      <c r="IA653" s="74"/>
      <c r="IB653" s="74"/>
      <c r="IC653" s="74"/>
      <c r="ID653" s="74"/>
      <c r="IE653" s="74"/>
      <c r="IF653" s="74"/>
      <c r="IG653" s="74"/>
      <c r="IH653" s="74"/>
      <c r="II653" s="74"/>
      <c r="IJ653" s="74"/>
      <c r="IK653" s="74"/>
      <c r="IL653" s="74"/>
      <c r="IM653" s="74"/>
      <c r="IN653" s="74"/>
      <c r="IO653" s="74"/>
      <c r="IP653" s="74"/>
      <c r="IQ653" s="74"/>
      <c r="IR653" s="74"/>
      <c r="IS653" s="74"/>
      <c r="IT653" s="74"/>
      <c r="IU653" s="74"/>
      <c r="IV653" s="74"/>
      <c r="IW653" s="74"/>
    </row>
    <row r="654" customFormat="false" ht="16.5" hidden="true" customHeight="false" outlineLevel="0" collapsed="false">
      <c r="A654" s="220" t="s">
        <v>625</v>
      </c>
      <c r="B654" s="95" t="n">
        <v>37091</v>
      </c>
      <c r="C654" s="188" t="s">
        <v>605</v>
      </c>
      <c r="D654" s="92" t="n">
        <f aca="false">I654/0.03</f>
        <v>3379.7</v>
      </c>
      <c r="E654" s="93" t="n">
        <v>103.553</v>
      </c>
      <c r="F654" s="81" t="n">
        <v>-2.162</v>
      </c>
      <c r="G654" s="81" t="n">
        <v>0</v>
      </c>
      <c r="H654" s="81" t="n">
        <v>0</v>
      </c>
      <c r="I654" s="94" t="n">
        <f aca="false">SUM(E654:H654)</f>
        <v>101.391</v>
      </c>
      <c r="J654" s="118"/>
      <c r="K654" s="74"/>
      <c r="L654" s="74"/>
      <c r="M654" s="119"/>
      <c r="N654" s="74"/>
      <c r="O654" s="74"/>
      <c r="P654" s="74"/>
      <c r="Q654" s="74"/>
      <c r="R654" s="74"/>
      <c r="S654" s="74"/>
      <c r="T654" s="65" t="n">
        <f aca="false">IF(D654&gt;0,(I654/D654),"")</f>
        <v>0.03</v>
      </c>
      <c r="U654" s="74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74"/>
      <c r="AJ654" s="74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4"/>
      <c r="CA654" s="74"/>
      <c r="CB654" s="74"/>
      <c r="CC654" s="74"/>
      <c r="CD654" s="74"/>
      <c r="CE654" s="74"/>
      <c r="CF654" s="74"/>
      <c r="CG654" s="74"/>
      <c r="CH654" s="74"/>
      <c r="CI654" s="74"/>
      <c r="CJ654" s="74"/>
      <c r="CK654" s="74"/>
      <c r="CL654" s="74"/>
      <c r="CM654" s="74"/>
      <c r="CN654" s="74"/>
      <c r="CO654" s="74"/>
      <c r="CP654" s="74"/>
      <c r="CQ654" s="74"/>
      <c r="CR654" s="74"/>
      <c r="CS654" s="74"/>
      <c r="CT654" s="74"/>
      <c r="CU654" s="74"/>
      <c r="CV654" s="74"/>
      <c r="CW654" s="74"/>
      <c r="CX654" s="74"/>
      <c r="CY654" s="74"/>
      <c r="CZ654" s="74"/>
      <c r="DA654" s="74"/>
      <c r="DB654" s="74"/>
      <c r="DC654" s="74"/>
      <c r="DD654" s="74"/>
      <c r="DE654" s="74"/>
      <c r="DF654" s="74"/>
      <c r="DG654" s="74"/>
      <c r="DH654" s="74"/>
      <c r="DI654" s="74"/>
      <c r="DJ654" s="74"/>
      <c r="DK654" s="74"/>
      <c r="DL654" s="74"/>
      <c r="DM654" s="74"/>
      <c r="DN654" s="74"/>
      <c r="DO654" s="74"/>
      <c r="DP654" s="74"/>
      <c r="DQ654" s="74"/>
      <c r="DR654" s="74"/>
      <c r="DS654" s="74"/>
      <c r="DT654" s="74"/>
      <c r="DU654" s="74"/>
      <c r="DV654" s="74"/>
      <c r="DW654" s="74"/>
      <c r="DX654" s="74"/>
      <c r="DY654" s="74"/>
      <c r="DZ654" s="74"/>
      <c r="EA654" s="74"/>
      <c r="EB654" s="74"/>
      <c r="EC654" s="74"/>
      <c r="ED654" s="74"/>
      <c r="EE654" s="74"/>
      <c r="EF654" s="74"/>
      <c r="EG654" s="74"/>
      <c r="EH654" s="74"/>
      <c r="EI654" s="74"/>
      <c r="EJ654" s="74"/>
      <c r="EK654" s="74"/>
      <c r="EL654" s="74"/>
      <c r="EM654" s="74"/>
      <c r="EN654" s="74"/>
      <c r="EO654" s="74"/>
      <c r="EP654" s="74"/>
      <c r="EQ654" s="74"/>
      <c r="ER654" s="74"/>
      <c r="ES654" s="74"/>
      <c r="ET654" s="74"/>
      <c r="EU654" s="74"/>
      <c r="EV654" s="74"/>
      <c r="EW654" s="74"/>
      <c r="EX654" s="74"/>
      <c r="EY654" s="74"/>
      <c r="EZ654" s="74"/>
      <c r="FA654" s="74"/>
      <c r="FB654" s="74"/>
      <c r="FC654" s="74"/>
      <c r="FD654" s="74"/>
      <c r="FE654" s="74"/>
      <c r="FF654" s="74"/>
      <c r="FG654" s="74"/>
      <c r="FH654" s="74"/>
      <c r="FI654" s="74"/>
      <c r="FJ654" s="74"/>
      <c r="FK654" s="74"/>
      <c r="FL654" s="74"/>
      <c r="FM654" s="74"/>
      <c r="FN654" s="74"/>
      <c r="FO654" s="74"/>
      <c r="FP654" s="74"/>
      <c r="FQ654" s="74"/>
      <c r="FR654" s="74"/>
      <c r="FS654" s="74"/>
      <c r="FT654" s="74"/>
      <c r="FU654" s="74"/>
      <c r="FV654" s="74"/>
      <c r="FW654" s="74"/>
      <c r="FX654" s="74"/>
      <c r="FY654" s="74"/>
      <c r="FZ654" s="74"/>
      <c r="GA654" s="74"/>
      <c r="GB654" s="74"/>
      <c r="GC654" s="74"/>
      <c r="GD654" s="74"/>
      <c r="GE654" s="74"/>
      <c r="GF654" s="74"/>
      <c r="GG654" s="74"/>
      <c r="GH654" s="74"/>
      <c r="GI654" s="74"/>
      <c r="GJ654" s="74"/>
      <c r="GK654" s="74"/>
      <c r="GL654" s="74"/>
      <c r="GM654" s="74"/>
      <c r="GN654" s="74"/>
      <c r="GO654" s="74"/>
      <c r="GP654" s="74"/>
      <c r="GQ654" s="74"/>
      <c r="GR654" s="74"/>
      <c r="GS654" s="74"/>
      <c r="GT654" s="74"/>
      <c r="GU654" s="74"/>
      <c r="GV654" s="74"/>
      <c r="GW654" s="74"/>
      <c r="GX654" s="74"/>
      <c r="GY654" s="74"/>
      <c r="GZ654" s="74"/>
      <c r="HA654" s="74"/>
      <c r="HB654" s="74"/>
      <c r="HC654" s="74"/>
      <c r="HD654" s="74"/>
      <c r="HE654" s="74"/>
      <c r="HF654" s="74"/>
      <c r="HG654" s="74"/>
      <c r="HH654" s="74"/>
      <c r="HI654" s="74"/>
      <c r="HJ654" s="74"/>
      <c r="HK654" s="74"/>
      <c r="HL654" s="74"/>
      <c r="HM654" s="74"/>
      <c r="HN654" s="74"/>
      <c r="HO654" s="74"/>
      <c r="HP654" s="74"/>
      <c r="HQ654" s="74"/>
      <c r="HR654" s="74"/>
      <c r="HS654" s="74"/>
      <c r="HT654" s="74"/>
      <c r="HU654" s="74"/>
      <c r="HV654" s="74"/>
      <c r="HW654" s="74"/>
      <c r="HX654" s="74"/>
      <c r="HY654" s="74"/>
      <c r="HZ654" s="74"/>
      <c r="IA654" s="74"/>
      <c r="IB654" s="74"/>
      <c r="IC654" s="74"/>
      <c r="ID654" s="74"/>
      <c r="IE654" s="74"/>
      <c r="IF654" s="74"/>
      <c r="IG654" s="74"/>
      <c r="IH654" s="74"/>
      <c r="II654" s="74"/>
      <c r="IJ654" s="74"/>
      <c r="IK654" s="74"/>
      <c r="IL654" s="74"/>
      <c r="IM654" s="74"/>
      <c r="IN654" s="74"/>
      <c r="IO654" s="74"/>
      <c r="IP654" s="74"/>
      <c r="IQ654" s="74"/>
      <c r="IR654" s="74"/>
      <c r="IS654" s="74"/>
      <c r="IT654" s="74"/>
      <c r="IU654" s="74"/>
      <c r="IV654" s="74"/>
      <c r="IW654" s="74"/>
    </row>
    <row r="655" customFormat="false" ht="16.5" hidden="true" customHeight="false" outlineLevel="0" collapsed="false">
      <c r="A655" s="220" t="s">
        <v>626</v>
      </c>
      <c r="B655" s="95" t="n">
        <v>37091</v>
      </c>
      <c r="C655" s="188" t="s">
        <v>605</v>
      </c>
      <c r="D655" s="92" t="n">
        <f aca="false">I655/0.03</f>
        <v>416.333333333333</v>
      </c>
      <c r="E655" s="93" t="n">
        <v>12.768</v>
      </c>
      <c r="F655" s="81" t="n">
        <v>-0.278</v>
      </c>
      <c r="G655" s="81" t="n">
        <v>0</v>
      </c>
      <c r="H655" s="81" t="n">
        <v>0</v>
      </c>
      <c r="I655" s="94" t="n">
        <f aca="false">SUM(E655:H655)</f>
        <v>12.49</v>
      </c>
      <c r="J655" s="118"/>
      <c r="K655" s="74"/>
      <c r="L655" s="74"/>
      <c r="M655" s="119"/>
      <c r="N655" s="74"/>
      <c r="O655" s="74"/>
      <c r="P655" s="74"/>
      <c r="Q655" s="74"/>
      <c r="R655" s="74"/>
      <c r="S655" s="74"/>
      <c r="T655" s="65" t="n">
        <f aca="false">IF(D655&gt;0,(I655/D655),"")</f>
        <v>0.03</v>
      </c>
      <c r="U655" s="74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74"/>
      <c r="AJ655" s="74"/>
      <c r="AK655" s="74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4"/>
      <c r="BM655" s="74"/>
      <c r="BN655" s="74"/>
      <c r="BO655" s="74"/>
      <c r="BP655" s="74"/>
      <c r="BQ655" s="74"/>
      <c r="BR655" s="74"/>
      <c r="BS655" s="74"/>
      <c r="BT655" s="74"/>
      <c r="BU655" s="74"/>
      <c r="BV655" s="74"/>
      <c r="BW655" s="74"/>
      <c r="BX655" s="74"/>
      <c r="BY655" s="74"/>
      <c r="BZ655" s="74"/>
      <c r="CA655" s="74"/>
      <c r="CB655" s="74"/>
      <c r="CC655" s="74"/>
      <c r="CD655" s="74"/>
      <c r="CE655" s="74"/>
      <c r="CF655" s="74"/>
      <c r="CG655" s="74"/>
      <c r="CH655" s="74"/>
      <c r="CI655" s="74"/>
      <c r="CJ655" s="74"/>
      <c r="CK655" s="74"/>
      <c r="CL655" s="74"/>
      <c r="CM655" s="74"/>
      <c r="CN655" s="74"/>
      <c r="CO655" s="74"/>
      <c r="CP655" s="74"/>
      <c r="CQ655" s="74"/>
      <c r="CR655" s="74"/>
      <c r="CS655" s="74"/>
      <c r="CT655" s="74"/>
      <c r="CU655" s="74"/>
      <c r="CV655" s="74"/>
      <c r="CW655" s="74"/>
      <c r="CX655" s="74"/>
      <c r="CY655" s="74"/>
      <c r="CZ655" s="74"/>
      <c r="DA655" s="74"/>
      <c r="DB655" s="74"/>
      <c r="DC655" s="74"/>
      <c r="DD655" s="74"/>
      <c r="DE655" s="74"/>
      <c r="DF655" s="74"/>
      <c r="DG655" s="74"/>
      <c r="DH655" s="74"/>
      <c r="DI655" s="74"/>
      <c r="DJ655" s="74"/>
      <c r="DK655" s="74"/>
      <c r="DL655" s="74"/>
      <c r="DM655" s="74"/>
      <c r="DN655" s="74"/>
      <c r="DO655" s="74"/>
      <c r="DP655" s="74"/>
      <c r="DQ655" s="74"/>
      <c r="DR655" s="74"/>
      <c r="DS655" s="74"/>
      <c r="DT655" s="74"/>
      <c r="DU655" s="74"/>
      <c r="DV655" s="74"/>
      <c r="DW655" s="74"/>
      <c r="DX655" s="74"/>
      <c r="DY655" s="74"/>
      <c r="DZ655" s="74"/>
      <c r="EA655" s="74"/>
      <c r="EB655" s="74"/>
      <c r="EC655" s="74"/>
      <c r="ED655" s="74"/>
      <c r="EE655" s="74"/>
      <c r="EF655" s="74"/>
      <c r="EG655" s="74"/>
      <c r="EH655" s="74"/>
      <c r="EI655" s="74"/>
      <c r="EJ655" s="74"/>
      <c r="EK655" s="74"/>
      <c r="EL655" s="74"/>
      <c r="EM655" s="74"/>
      <c r="EN655" s="74"/>
      <c r="EO655" s="74"/>
      <c r="EP655" s="74"/>
      <c r="EQ655" s="74"/>
      <c r="ER655" s="74"/>
      <c r="ES655" s="74"/>
      <c r="ET655" s="74"/>
      <c r="EU655" s="74"/>
      <c r="EV655" s="74"/>
      <c r="EW655" s="74"/>
      <c r="EX655" s="74"/>
      <c r="EY655" s="74"/>
      <c r="EZ655" s="74"/>
      <c r="FA655" s="74"/>
      <c r="FB655" s="74"/>
      <c r="FC655" s="74"/>
      <c r="FD655" s="74"/>
      <c r="FE655" s="74"/>
      <c r="FF655" s="74"/>
      <c r="FG655" s="74"/>
      <c r="FH655" s="74"/>
      <c r="FI655" s="74"/>
      <c r="FJ655" s="74"/>
      <c r="FK655" s="74"/>
      <c r="FL655" s="74"/>
      <c r="FM655" s="74"/>
      <c r="FN655" s="74"/>
      <c r="FO655" s="74"/>
      <c r="FP655" s="74"/>
      <c r="FQ655" s="74"/>
      <c r="FR655" s="74"/>
      <c r="FS655" s="74"/>
      <c r="FT655" s="74"/>
      <c r="FU655" s="74"/>
      <c r="FV655" s="74"/>
      <c r="FW655" s="74"/>
      <c r="FX655" s="74"/>
      <c r="FY655" s="74"/>
      <c r="FZ655" s="74"/>
      <c r="GA655" s="74"/>
      <c r="GB655" s="74"/>
      <c r="GC655" s="74"/>
      <c r="GD655" s="74"/>
      <c r="GE655" s="74"/>
      <c r="GF655" s="74"/>
      <c r="GG655" s="74"/>
      <c r="GH655" s="74"/>
      <c r="GI655" s="74"/>
      <c r="GJ655" s="74"/>
      <c r="GK655" s="74"/>
      <c r="GL655" s="74"/>
      <c r="GM655" s="74"/>
      <c r="GN655" s="74"/>
      <c r="GO655" s="74"/>
      <c r="GP655" s="74"/>
      <c r="GQ655" s="74"/>
      <c r="GR655" s="74"/>
      <c r="GS655" s="74"/>
      <c r="GT655" s="74"/>
      <c r="GU655" s="74"/>
      <c r="GV655" s="74"/>
      <c r="GW655" s="74"/>
      <c r="GX655" s="74"/>
      <c r="GY655" s="74"/>
      <c r="GZ655" s="74"/>
      <c r="HA655" s="74"/>
      <c r="HB655" s="74"/>
      <c r="HC655" s="74"/>
      <c r="HD655" s="74"/>
      <c r="HE655" s="74"/>
      <c r="HF655" s="74"/>
      <c r="HG655" s="74"/>
      <c r="HH655" s="74"/>
      <c r="HI655" s="74"/>
      <c r="HJ655" s="74"/>
      <c r="HK655" s="74"/>
      <c r="HL655" s="74"/>
      <c r="HM655" s="74"/>
      <c r="HN655" s="74"/>
      <c r="HO655" s="74"/>
      <c r="HP655" s="74"/>
      <c r="HQ655" s="74"/>
      <c r="HR655" s="74"/>
      <c r="HS655" s="74"/>
      <c r="HT655" s="74"/>
      <c r="HU655" s="74"/>
      <c r="HV655" s="74"/>
      <c r="HW655" s="74"/>
      <c r="HX655" s="74"/>
      <c r="HY655" s="74"/>
      <c r="HZ655" s="74"/>
      <c r="IA655" s="74"/>
      <c r="IB655" s="74"/>
      <c r="IC655" s="74"/>
      <c r="ID655" s="74"/>
      <c r="IE655" s="74"/>
      <c r="IF655" s="74"/>
      <c r="IG655" s="74"/>
      <c r="IH655" s="74"/>
      <c r="II655" s="74"/>
      <c r="IJ655" s="74"/>
      <c r="IK655" s="74"/>
      <c r="IL655" s="74"/>
      <c r="IM655" s="74"/>
      <c r="IN655" s="74"/>
      <c r="IO655" s="74"/>
      <c r="IP655" s="74"/>
      <c r="IQ655" s="74"/>
      <c r="IR655" s="74"/>
      <c r="IS655" s="74"/>
      <c r="IT655" s="74"/>
      <c r="IU655" s="74"/>
      <c r="IV655" s="74"/>
      <c r="IW655" s="74"/>
    </row>
    <row r="656" customFormat="false" ht="16.5" hidden="true" customHeight="false" outlineLevel="0" collapsed="false">
      <c r="A656" s="220" t="s">
        <v>627</v>
      </c>
      <c r="B656" s="95" t="n">
        <v>37091</v>
      </c>
      <c r="C656" s="188" t="s">
        <v>605</v>
      </c>
      <c r="D656" s="92" t="n">
        <f aca="false">I656/0.015</f>
        <v>5787.86666666667</v>
      </c>
      <c r="E656" s="93" t="n">
        <v>88.867</v>
      </c>
      <c r="F656" s="81" t="n">
        <v>-2.049</v>
      </c>
      <c r="G656" s="81" t="n">
        <v>0</v>
      </c>
      <c r="H656" s="81" t="n">
        <v>0</v>
      </c>
      <c r="I656" s="94" t="n">
        <f aca="false">SUM(E656:H656)</f>
        <v>86.818</v>
      </c>
      <c r="J656" s="118"/>
      <c r="K656" s="74"/>
      <c r="L656" s="74"/>
      <c r="M656" s="119"/>
      <c r="N656" s="74"/>
      <c r="O656" s="74"/>
      <c r="P656" s="74"/>
      <c r="Q656" s="74"/>
      <c r="R656" s="74"/>
      <c r="S656" s="74"/>
      <c r="T656" s="65" t="n">
        <f aca="false">IF(D656&gt;0,(I656/D656),"")</f>
        <v>0.015</v>
      </c>
      <c r="U656" s="74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74"/>
      <c r="AJ656" s="74"/>
      <c r="AK656" s="74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4"/>
      <c r="BM656" s="74"/>
      <c r="BN656" s="74"/>
      <c r="BO656" s="74"/>
      <c r="BP656" s="74"/>
      <c r="BQ656" s="74"/>
      <c r="BR656" s="74"/>
      <c r="BS656" s="74"/>
      <c r="BT656" s="74"/>
      <c r="BU656" s="74"/>
      <c r="BV656" s="74"/>
      <c r="BW656" s="74"/>
      <c r="BX656" s="74"/>
      <c r="BY656" s="74"/>
      <c r="BZ656" s="74"/>
      <c r="CA656" s="74"/>
      <c r="CB656" s="74"/>
      <c r="CC656" s="74"/>
      <c r="CD656" s="74"/>
      <c r="CE656" s="74"/>
      <c r="CF656" s="74"/>
      <c r="CG656" s="74"/>
      <c r="CH656" s="74"/>
      <c r="CI656" s="74"/>
      <c r="CJ656" s="74"/>
      <c r="CK656" s="74"/>
      <c r="CL656" s="74"/>
      <c r="CM656" s="74"/>
      <c r="CN656" s="74"/>
      <c r="CO656" s="74"/>
      <c r="CP656" s="74"/>
      <c r="CQ656" s="74"/>
      <c r="CR656" s="74"/>
      <c r="CS656" s="74"/>
      <c r="CT656" s="74"/>
      <c r="CU656" s="74"/>
      <c r="CV656" s="74"/>
      <c r="CW656" s="74"/>
      <c r="CX656" s="74"/>
      <c r="CY656" s="74"/>
      <c r="CZ656" s="74"/>
      <c r="DA656" s="74"/>
      <c r="DB656" s="74"/>
      <c r="DC656" s="74"/>
      <c r="DD656" s="74"/>
      <c r="DE656" s="74"/>
      <c r="DF656" s="74"/>
      <c r="DG656" s="74"/>
      <c r="DH656" s="74"/>
      <c r="DI656" s="74"/>
      <c r="DJ656" s="74"/>
      <c r="DK656" s="74"/>
      <c r="DL656" s="74"/>
      <c r="DM656" s="74"/>
      <c r="DN656" s="74"/>
      <c r="DO656" s="74"/>
      <c r="DP656" s="74"/>
      <c r="DQ656" s="74"/>
      <c r="DR656" s="74"/>
      <c r="DS656" s="74"/>
      <c r="DT656" s="74"/>
      <c r="DU656" s="74"/>
      <c r="DV656" s="74"/>
      <c r="DW656" s="74"/>
      <c r="DX656" s="74"/>
      <c r="DY656" s="74"/>
      <c r="DZ656" s="74"/>
      <c r="EA656" s="74"/>
      <c r="EB656" s="74"/>
      <c r="EC656" s="74"/>
      <c r="ED656" s="74"/>
      <c r="EE656" s="74"/>
      <c r="EF656" s="74"/>
      <c r="EG656" s="74"/>
      <c r="EH656" s="74"/>
      <c r="EI656" s="74"/>
      <c r="EJ656" s="74"/>
      <c r="EK656" s="74"/>
      <c r="EL656" s="74"/>
      <c r="EM656" s="74"/>
      <c r="EN656" s="74"/>
      <c r="EO656" s="74"/>
      <c r="EP656" s="74"/>
      <c r="EQ656" s="74"/>
      <c r="ER656" s="74"/>
      <c r="ES656" s="74"/>
      <c r="ET656" s="74"/>
      <c r="EU656" s="74"/>
      <c r="EV656" s="74"/>
      <c r="EW656" s="74"/>
      <c r="EX656" s="74"/>
      <c r="EY656" s="74"/>
      <c r="EZ656" s="74"/>
      <c r="FA656" s="74"/>
      <c r="FB656" s="74"/>
      <c r="FC656" s="74"/>
      <c r="FD656" s="74"/>
      <c r="FE656" s="74"/>
      <c r="FF656" s="74"/>
      <c r="FG656" s="74"/>
      <c r="FH656" s="74"/>
      <c r="FI656" s="74"/>
      <c r="FJ656" s="74"/>
      <c r="FK656" s="74"/>
      <c r="FL656" s="74"/>
      <c r="FM656" s="74"/>
      <c r="FN656" s="74"/>
      <c r="FO656" s="74"/>
      <c r="FP656" s="74"/>
      <c r="FQ656" s="74"/>
      <c r="FR656" s="74"/>
      <c r="FS656" s="74"/>
      <c r="FT656" s="74"/>
      <c r="FU656" s="74"/>
      <c r="FV656" s="74"/>
      <c r="FW656" s="74"/>
      <c r="FX656" s="74"/>
      <c r="FY656" s="74"/>
      <c r="FZ656" s="74"/>
      <c r="GA656" s="74"/>
      <c r="GB656" s="74"/>
      <c r="GC656" s="74"/>
      <c r="GD656" s="74"/>
      <c r="GE656" s="74"/>
      <c r="GF656" s="74"/>
      <c r="GG656" s="74"/>
      <c r="GH656" s="74"/>
      <c r="GI656" s="74"/>
      <c r="GJ656" s="74"/>
      <c r="GK656" s="74"/>
      <c r="GL656" s="74"/>
      <c r="GM656" s="74"/>
      <c r="GN656" s="74"/>
      <c r="GO656" s="74"/>
      <c r="GP656" s="74"/>
      <c r="GQ656" s="74"/>
      <c r="GR656" s="74"/>
      <c r="GS656" s="74"/>
      <c r="GT656" s="74"/>
      <c r="GU656" s="74"/>
      <c r="GV656" s="74"/>
      <c r="GW656" s="74"/>
      <c r="GX656" s="74"/>
      <c r="GY656" s="74"/>
      <c r="GZ656" s="74"/>
      <c r="HA656" s="74"/>
      <c r="HB656" s="74"/>
      <c r="HC656" s="74"/>
      <c r="HD656" s="74"/>
      <c r="HE656" s="74"/>
      <c r="HF656" s="74"/>
      <c r="HG656" s="74"/>
      <c r="HH656" s="74"/>
      <c r="HI656" s="74"/>
      <c r="HJ656" s="74"/>
      <c r="HK656" s="74"/>
      <c r="HL656" s="74"/>
      <c r="HM656" s="74"/>
      <c r="HN656" s="74"/>
      <c r="HO656" s="74"/>
      <c r="HP656" s="74"/>
      <c r="HQ656" s="74"/>
      <c r="HR656" s="74"/>
      <c r="HS656" s="74"/>
      <c r="HT656" s="74"/>
      <c r="HU656" s="74"/>
      <c r="HV656" s="74"/>
      <c r="HW656" s="74"/>
      <c r="HX656" s="74"/>
      <c r="HY656" s="74"/>
      <c r="HZ656" s="74"/>
      <c r="IA656" s="74"/>
      <c r="IB656" s="74"/>
      <c r="IC656" s="74"/>
      <c r="ID656" s="74"/>
      <c r="IE656" s="74"/>
      <c r="IF656" s="74"/>
      <c r="IG656" s="74"/>
      <c r="IH656" s="74"/>
      <c r="II656" s="74"/>
      <c r="IJ656" s="74"/>
      <c r="IK656" s="74"/>
      <c r="IL656" s="74"/>
      <c r="IM656" s="74"/>
      <c r="IN656" s="74"/>
      <c r="IO656" s="74"/>
      <c r="IP656" s="74"/>
      <c r="IQ656" s="74"/>
      <c r="IR656" s="74"/>
      <c r="IS656" s="74"/>
      <c r="IT656" s="74"/>
      <c r="IU656" s="74"/>
      <c r="IV656" s="74"/>
      <c r="IW656" s="74"/>
    </row>
    <row r="657" customFormat="false" ht="16.5" hidden="true" customHeight="false" outlineLevel="0" collapsed="false">
      <c r="A657" s="220" t="s">
        <v>628</v>
      </c>
      <c r="B657" s="95" t="n">
        <v>37091</v>
      </c>
      <c r="C657" s="188" t="s">
        <v>605</v>
      </c>
      <c r="D657" s="92" t="n">
        <f aca="false">I657/0.015</f>
        <v>5021.13333333333</v>
      </c>
      <c r="E657" s="93" t="n">
        <v>77.257</v>
      </c>
      <c r="F657" s="81" t="n">
        <v>-1.94</v>
      </c>
      <c r="G657" s="81" t="n">
        <v>0</v>
      </c>
      <c r="H657" s="81" t="n">
        <v>0</v>
      </c>
      <c r="I657" s="94" t="n">
        <f aca="false">SUM(E657:H657)</f>
        <v>75.317</v>
      </c>
      <c r="J657" s="118"/>
      <c r="K657" s="74"/>
      <c r="L657" s="74"/>
      <c r="M657" s="119"/>
      <c r="N657" s="74"/>
      <c r="O657" s="74"/>
      <c r="P657" s="74"/>
      <c r="Q657" s="74"/>
      <c r="R657" s="74"/>
      <c r="S657" s="74"/>
      <c r="T657" s="65" t="n">
        <f aca="false">IF(D657&gt;0,(I657/D657),"")</f>
        <v>0.015</v>
      </c>
      <c r="U657" s="74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74"/>
      <c r="AJ657" s="74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4"/>
      <c r="CA657" s="74"/>
      <c r="CB657" s="74"/>
      <c r="CC657" s="74"/>
      <c r="CD657" s="74"/>
      <c r="CE657" s="74"/>
      <c r="CF657" s="74"/>
      <c r="CG657" s="74"/>
      <c r="CH657" s="74"/>
      <c r="CI657" s="74"/>
      <c r="CJ657" s="74"/>
      <c r="CK657" s="74"/>
      <c r="CL657" s="74"/>
      <c r="CM657" s="74"/>
      <c r="CN657" s="74"/>
      <c r="CO657" s="74"/>
      <c r="CP657" s="74"/>
      <c r="CQ657" s="74"/>
      <c r="CR657" s="74"/>
      <c r="CS657" s="74"/>
      <c r="CT657" s="74"/>
      <c r="CU657" s="74"/>
      <c r="CV657" s="74"/>
      <c r="CW657" s="74"/>
      <c r="CX657" s="74"/>
      <c r="CY657" s="74"/>
      <c r="CZ657" s="74"/>
      <c r="DA657" s="74"/>
      <c r="DB657" s="74"/>
      <c r="DC657" s="74"/>
      <c r="DD657" s="74"/>
      <c r="DE657" s="74"/>
      <c r="DF657" s="74"/>
      <c r="DG657" s="74"/>
      <c r="DH657" s="74"/>
      <c r="DI657" s="74"/>
      <c r="DJ657" s="74"/>
      <c r="DK657" s="74"/>
      <c r="DL657" s="74"/>
      <c r="DM657" s="74"/>
      <c r="DN657" s="74"/>
      <c r="DO657" s="74"/>
      <c r="DP657" s="74"/>
      <c r="DQ657" s="74"/>
      <c r="DR657" s="74"/>
      <c r="DS657" s="74"/>
      <c r="DT657" s="74"/>
      <c r="DU657" s="74"/>
      <c r="DV657" s="74"/>
      <c r="DW657" s="74"/>
      <c r="DX657" s="74"/>
      <c r="DY657" s="74"/>
      <c r="DZ657" s="74"/>
      <c r="EA657" s="74"/>
      <c r="EB657" s="74"/>
      <c r="EC657" s="74"/>
      <c r="ED657" s="74"/>
      <c r="EE657" s="74"/>
      <c r="EF657" s="74"/>
      <c r="EG657" s="74"/>
      <c r="EH657" s="74"/>
      <c r="EI657" s="74"/>
      <c r="EJ657" s="74"/>
      <c r="EK657" s="74"/>
      <c r="EL657" s="74"/>
      <c r="EM657" s="74"/>
      <c r="EN657" s="74"/>
      <c r="EO657" s="74"/>
      <c r="EP657" s="74"/>
      <c r="EQ657" s="74"/>
      <c r="ER657" s="74"/>
      <c r="ES657" s="74"/>
      <c r="ET657" s="74"/>
      <c r="EU657" s="74"/>
      <c r="EV657" s="74"/>
      <c r="EW657" s="74"/>
      <c r="EX657" s="74"/>
      <c r="EY657" s="74"/>
      <c r="EZ657" s="74"/>
      <c r="FA657" s="74"/>
      <c r="FB657" s="74"/>
      <c r="FC657" s="74"/>
      <c r="FD657" s="74"/>
      <c r="FE657" s="74"/>
      <c r="FF657" s="74"/>
      <c r="FG657" s="74"/>
      <c r="FH657" s="74"/>
      <c r="FI657" s="74"/>
      <c r="FJ657" s="74"/>
      <c r="FK657" s="74"/>
      <c r="FL657" s="74"/>
      <c r="FM657" s="74"/>
      <c r="FN657" s="74"/>
      <c r="FO657" s="74"/>
      <c r="FP657" s="74"/>
      <c r="FQ657" s="74"/>
      <c r="FR657" s="74"/>
      <c r="FS657" s="74"/>
      <c r="FT657" s="74"/>
      <c r="FU657" s="74"/>
      <c r="FV657" s="74"/>
      <c r="FW657" s="74"/>
      <c r="FX657" s="74"/>
      <c r="FY657" s="74"/>
      <c r="FZ657" s="74"/>
      <c r="GA657" s="74"/>
      <c r="GB657" s="74"/>
      <c r="GC657" s="74"/>
      <c r="GD657" s="74"/>
      <c r="GE657" s="74"/>
      <c r="GF657" s="74"/>
      <c r="GG657" s="74"/>
      <c r="GH657" s="74"/>
      <c r="GI657" s="74"/>
      <c r="GJ657" s="74"/>
      <c r="GK657" s="74"/>
      <c r="GL657" s="74"/>
      <c r="GM657" s="74"/>
      <c r="GN657" s="74"/>
      <c r="GO657" s="74"/>
      <c r="GP657" s="74"/>
      <c r="GQ657" s="74"/>
      <c r="GR657" s="74"/>
      <c r="GS657" s="74"/>
      <c r="GT657" s="74"/>
      <c r="GU657" s="74"/>
      <c r="GV657" s="74"/>
      <c r="GW657" s="74"/>
      <c r="GX657" s="74"/>
      <c r="GY657" s="74"/>
      <c r="GZ657" s="74"/>
      <c r="HA657" s="74"/>
      <c r="HB657" s="74"/>
      <c r="HC657" s="74"/>
      <c r="HD657" s="74"/>
      <c r="HE657" s="74"/>
      <c r="HF657" s="74"/>
      <c r="HG657" s="74"/>
      <c r="HH657" s="74"/>
      <c r="HI657" s="74"/>
      <c r="HJ657" s="74"/>
      <c r="HK657" s="74"/>
      <c r="HL657" s="74"/>
      <c r="HM657" s="74"/>
      <c r="HN657" s="74"/>
      <c r="HO657" s="74"/>
      <c r="HP657" s="74"/>
      <c r="HQ657" s="74"/>
      <c r="HR657" s="74"/>
      <c r="HS657" s="74"/>
      <c r="HT657" s="74"/>
      <c r="HU657" s="74"/>
      <c r="HV657" s="74"/>
      <c r="HW657" s="74"/>
      <c r="HX657" s="74"/>
      <c r="HY657" s="74"/>
      <c r="HZ657" s="74"/>
      <c r="IA657" s="74"/>
      <c r="IB657" s="74"/>
      <c r="IC657" s="74"/>
      <c r="ID657" s="74"/>
      <c r="IE657" s="74"/>
      <c r="IF657" s="74"/>
      <c r="IG657" s="74"/>
      <c r="IH657" s="74"/>
      <c r="II657" s="74"/>
      <c r="IJ657" s="74"/>
      <c r="IK657" s="74"/>
      <c r="IL657" s="74"/>
      <c r="IM657" s="74"/>
      <c r="IN657" s="74"/>
      <c r="IO657" s="74"/>
      <c r="IP657" s="74"/>
      <c r="IQ657" s="74"/>
      <c r="IR657" s="74"/>
      <c r="IS657" s="74"/>
      <c r="IT657" s="74"/>
      <c r="IU657" s="74"/>
      <c r="IV657" s="74"/>
      <c r="IW657" s="74"/>
    </row>
    <row r="658" customFormat="false" ht="16.5" hidden="true" customHeight="false" outlineLevel="0" collapsed="false">
      <c r="A658" s="220" t="s">
        <v>629</v>
      </c>
      <c r="B658" s="95" t="n">
        <v>37091</v>
      </c>
      <c r="C658" s="188" t="s">
        <v>605</v>
      </c>
      <c r="D658" s="92" t="n">
        <f aca="false">I658/0.015</f>
        <v>2352.06666666667</v>
      </c>
      <c r="E658" s="93" t="n">
        <v>48.259</v>
      </c>
      <c r="F658" s="81" t="n">
        <v>-12.978</v>
      </c>
      <c r="G658" s="81" t="n">
        <v>0</v>
      </c>
      <c r="H658" s="81" t="n">
        <v>0</v>
      </c>
      <c r="I658" s="94" t="n">
        <f aca="false">SUM(E658:H658)</f>
        <v>35.281</v>
      </c>
      <c r="J658" s="118"/>
      <c r="K658" s="74"/>
      <c r="L658" s="74"/>
      <c r="M658" s="119"/>
      <c r="N658" s="74"/>
      <c r="O658" s="74"/>
      <c r="P658" s="74"/>
      <c r="Q658" s="74"/>
      <c r="R658" s="74"/>
      <c r="S658" s="74"/>
      <c r="T658" s="65" t="n">
        <f aca="false">IF(D658&gt;0,(I658/D658),"")</f>
        <v>0.015</v>
      </c>
      <c r="U658" s="74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74"/>
      <c r="AJ658" s="74"/>
      <c r="AK658" s="74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4"/>
      <c r="BM658" s="74"/>
      <c r="BN658" s="74"/>
      <c r="BO658" s="74"/>
      <c r="BP658" s="74"/>
      <c r="BQ658" s="74"/>
      <c r="BR658" s="74"/>
      <c r="BS658" s="74"/>
      <c r="BT658" s="74"/>
      <c r="BU658" s="74"/>
      <c r="BV658" s="74"/>
      <c r="BW658" s="74"/>
      <c r="BX658" s="74"/>
      <c r="BY658" s="74"/>
      <c r="BZ658" s="74"/>
      <c r="CA658" s="74"/>
      <c r="CB658" s="74"/>
      <c r="CC658" s="74"/>
      <c r="CD658" s="74"/>
      <c r="CE658" s="74"/>
      <c r="CF658" s="74"/>
      <c r="CG658" s="74"/>
      <c r="CH658" s="74"/>
      <c r="CI658" s="74"/>
      <c r="CJ658" s="74"/>
      <c r="CK658" s="74"/>
      <c r="CL658" s="74"/>
      <c r="CM658" s="74"/>
      <c r="CN658" s="74"/>
      <c r="CO658" s="74"/>
      <c r="CP658" s="74"/>
      <c r="CQ658" s="74"/>
      <c r="CR658" s="74"/>
      <c r="CS658" s="74"/>
      <c r="CT658" s="74"/>
      <c r="CU658" s="74"/>
      <c r="CV658" s="74"/>
      <c r="CW658" s="74"/>
      <c r="CX658" s="74"/>
      <c r="CY658" s="74"/>
      <c r="CZ658" s="74"/>
      <c r="DA658" s="74"/>
      <c r="DB658" s="74"/>
      <c r="DC658" s="74"/>
      <c r="DD658" s="74"/>
      <c r="DE658" s="74"/>
      <c r="DF658" s="74"/>
      <c r="DG658" s="74"/>
      <c r="DH658" s="74"/>
      <c r="DI658" s="74"/>
      <c r="DJ658" s="74"/>
      <c r="DK658" s="74"/>
      <c r="DL658" s="74"/>
      <c r="DM658" s="74"/>
      <c r="DN658" s="74"/>
      <c r="DO658" s="74"/>
      <c r="DP658" s="74"/>
      <c r="DQ658" s="74"/>
      <c r="DR658" s="74"/>
      <c r="DS658" s="74"/>
      <c r="DT658" s="74"/>
      <c r="DU658" s="74"/>
      <c r="DV658" s="74"/>
      <c r="DW658" s="74"/>
      <c r="DX658" s="74"/>
      <c r="DY658" s="74"/>
      <c r="DZ658" s="74"/>
      <c r="EA658" s="74"/>
      <c r="EB658" s="74"/>
      <c r="EC658" s="74"/>
      <c r="ED658" s="74"/>
      <c r="EE658" s="74"/>
      <c r="EF658" s="74"/>
      <c r="EG658" s="74"/>
      <c r="EH658" s="74"/>
      <c r="EI658" s="74"/>
      <c r="EJ658" s="74"/>
      <c r="EK658" s="74"/>
      <c r="EL658" s="74"/>
      <c r="EM658" s="74"/>
      <c r="EN658" s="74"/>
      <c r="EO658" s="74"/>
      <c r="EP658" s="74"/>
      <c r="EQ658" s="74"/>
      <c r="ER658" s="74"/>
      <c r="ES658" s="74"/>
      <c r="ET658" s="74"/>
      <c r="EU658" s="74"/>
      <c r="EV658" s="74"/>
      <c r="EW658" s="74"/>
      <c r="EX658" s="74"/>
      <c r="EY658" s="74"/>
      <c r="EZ658" s="74"/>
      <c r="FA658" s="74"/>
      <c r="FB658" s="74"/>
      <c r="FC658" s="74"/>
      <c r="FD658" s="74"/>
      <c r="FE658" s="74"/>
      <c r="FF658" s="74"/>
      <c r="FG658" s="74"/>
      <c r="FH658" s="74"/>
      <c r="FI658" s="74"/>
      <c r="FJ658" s="74"/>
      <c r="FK658" s="74"/>
      <c r="FL658" s="74"/>
      <c r="FM658" s="74"/>
      <c r="FN658" s="74"/>
      <c r="FO658" s="74"/>
      <c r="FP658" s="74"/>
      <c r="FQ658" s="74"/>
      <c r="FR658" s="74"/>
      <c r="FS658" s="74"/>
      <c r="FT658" s="74"/>
      <c r="FU658" s="74"/>
      <c r="FV658" s="74"/>
      <c r="FW658" s="74"/>
      <c r="FX658" s="74"/>
      <c r="FY658" s="74"/>
      <c r="FZ658" s="74"/>
      <c r="GA658" s="74"/>
      <c r="GB658" s="74"/>
      <c r="GC658" s="74"/>
      <c r="GD658" s="74"/>
      <c r="GE658" s="74"/>
      <c r="GF658" s="74"/>
      <c r="GG658" s="74"/>
      <c r="GH658" s="74"/>
      <c r="GI658" s="74"/>
      <c r="GJ658" s="74"/>
      <c r="GK658" s="74"/>
      <c r="GL658" s="74"/>
      <c r="GM658" s="74"/>
      <c r="GN658" s="74"/>
      <c r="GO658" s="74"/>
      <c r="GP658" s="74"/>
      <c r="GQ658" s="74"/>
      <c r="GR658" s="74"/>
      <c r="GS658" s="74"/>
      <c r="GT658" s="74"/>
      <c r="GU658" s="74"/>
      <c r="GV658" s="74"/>
      <c r="GW658" s="74"/>
      <c r="GX658" s="74"/>
      <c r="GY658" s="74"/>
      <c r="GZ658" s="74"/>
      <c r="HA658" s="74"/>
      <c r="HB658" s="74"/>
      <c r="HC658" s="74"/>
      <c r="HD658" s="74"/>
      <c r="HE658" s="74"/>
      <c r="HF658" s="74"/>
      <c r="HG658" s="74"/>
      <c r="HH658" s="74"/>
      <c r="HI658" s="74"/>
      <c r="HJ658" s="74"/>
      <c r="HK658" s="74"/>
      <c r="HL658" s="74"/>
      <c r="HM658" s="74"/>
      <c r="HN658" s="74"/>
      <c r="HO658" s="74"/>
      <c r="HP658" s="74"/>
      <c r="HQ658" s="74"/>
      <c r="HR658" s="74"/>
      <c r="HS658" s="74"/>
      <c r="HT658" s="74"/>
      <c r="HU658" s="74"/>
      <c r="HV658" s="74"/>
      <c r="HW658" s="74"/>
      <c r="HX658" s="74"/>
      <c r="HY658" s="74"/>
      <c r="HZ658" s="74"/>
      <c r="IA658" s="74"/>
      <c r="IB658" s="74"/>
      <c r="IC658" s="74"/>
      <c r="ID658" s="74"/>
      <c r="IE658" s="74"/>
      <c r="IF658" s="74"/>
      <c r="IG658" s="74"/>
      <c r="IH658" s="74"/>
      <c r="II658" s="74"/>
      <c r="IJ658" s="74"/>
      <c r="IK658" s="74"/>
      <c r="IL658" s="74"/>
      <c r="IM658" s="74"/>
      <c r="IN658" s="74"/>
      <c r="IO658" s="74"/>
      <c r="IP658" s="74"/>
      <c r="IQ658" s="74"/>
      <c r="IR658" s="74"/>
      <c r="IS658" s="74"/>
      <c r="IT658" s="74"/>
      <c r="IU658" s="74"/>
      <c r="IV658" s="74"/>
      <c r="IW658" s="74"/>
    </row>
    <row r="659" customFormat="false" ht="16.5" hidden="true" customHeight="false" outlineLevel="0" collapsed="false">
      <c r="A659" s="220" t="s">
        <v>630</v>
      </c>
      <c r="B659" s="95" t="n">
        <v>37091</v>
      </c>
      <c r="C659" s="188" t="s">
        <v>605</v>
      </c>
      <c r="D659" s="92" t="n">
        <f aca="false">I659/0.015</f>
        <v>3434.53333333333</v>
      </c>
      <c r="E659" s="93" t="n">
        <v>61.369</v>
      </c>
      <c r="F659" s="81" t="n">
        <v>-9.851</v>
      </c>
      <c r="G659" s="81" t="n">
        <v>0</v>
      </c>
      <c r="H659" s="81" t="n">
        <v>0</v>
      </c>
      <c r="I659" s="94" t="n">
        <f aca="false">SUM(E659:H659)</f>
        <v>51.518</v>
      </c>
      <c r="J659" s="118"/>
      <c r="K659" s="74"/>
      <c r="L659" s="74"/>
      <c r="M659" s="119"/>
      <c r="N659" s="74"/>
      <c r="O659" s="74"/>
      <c r="P659" s="74"/>
      <c r="Q659" s="74"/>
      <c r="R659" s="74"/>
      <c r="S659" s="74"/>
      <c r="T659" s="65" t="n">
        <f aca="false">IF(D659&gt;0,(I659/D659),"")</f>
        <v>0.015</v>
      </c>
      <c r="U659" s="74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74"/>
      <c r="AJ659" s="74"/>
      <c r="AK659" s="74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4"/>
      <c r="BM659" s="74"/>
      <c r="BN659" s="74"/>
      <c r="BO659" s="74"/>
      <c r="BP659" s="74"/>
      <c r="BQ659" s="74"/>
      <c r="BR659" s="74"/>
      <c r="BS659" s="74"/>
      <c r="BT659" s="74"/>
      <c r="BU659" s="74"/>
      <c r="BV659" s="74"/>
      <c r="BW659" s="74"/>
      <c r="BX659" s="74"/>
      <c r="BY659" s="74"/>
      <c r="BZ659" s="74"/>
      <c r="CA659" s="74"/>
      <c r="CB659" s="74"/>
      <c r="CC659" s="74"/>
      <c r="CD659" s="74"/>
      <c r="CE659" s="74"/>
      <c r="CF659" s="74"/>
      <c r="CG659" s="74"/>
      <c r="CH659" s="74"/>
      <c r="CI659" s="74"/>
      <c r="CJ659" s="74"/>
      <c r="CK659" s="74"/>
      <c r="CL659" s="74"/>
      <c r="CM659" s="74"/>
      <c r="CN659" s="74"/>
      <c r="CO659" s="74"/>
      <c r="CP659" s="74"/>
      <c r="CQ659" s="74"/>
      <c r="CR659" s="74"/>
      <c r="CS659" s="74"/>
      <c r="CT659" s="74"/>
      <c r="CU659" s="74"/>
      <c r="CV659" s="74"/>
      <c r="CW659" s="74"/>
      <c r="CX659" s="74"/>
      <c r="CY659" s="74"/>
      <c r="CZ659" s="74"/>
      <c r="DA659" s="74"/>
      <c r="DB659" s="74"/>
      <c r="DC659" s="74"/>
      <c r="DD659" s="74"/>
      <c r="DE659" s="74"/>
      <c r="DF659" s="74"/>
      <c r="DG659" s="74"/>
      <c r="DH659" s="74"/>
      <c r="DI659" s="74"/>
      <c r="DJ659" s="74"/>
      <c r="DK659" s="74"/>
      <c r="DL659" s="74"/>
      <c r="DM659" s="74"/>
      <c r="DN659" s="74"/>
      <c r="DO659" s="74"/>
      <c r="DP659" s="74"/>
      <c r="DQ659" s="74"/>
      <c r="DR659" s="74"/>
      <c r="DS659" s="74"/>
      <c r="DT659" s="74"/>
      <c r="DU659" s="74"/>
      <c r="DV659" s="74"/>
      <c r="DW659" s="74"/>
      <c r="DX659" s="74"/>
      <c r="DY659" s="74"/>
      <c r="DZ659" s="74"/>
      <c r="EA659" s="74"/>
      <c r="EB659" s="74"/>
      <c r="EC659" s="74"/>
      <c r="ED659" s="74"/>
      <c r="EE659" s="74"/>
      <c r="EF659" s="74"/>
      <c r="EG659" s="74"/>
      <c r="EH659" s="74"/>
      <c r="EI659" s="74"/>
      <c r="EJ659" s="74"/>
      <c r="EK659" s="74"/>
      <c r="EL659" s="74"/>
      <c r="EM659" s="74"/>
      <c r="EN659" s="74"/>
      <c r="EO659" s="74"/>
      <c r="EP659" s="74"/>
      <c r="EQ659" s="74"/>
      <c r="ER659" s="74"/>
      <c r="ES659" s="74"/>
      <c r="ET659" s="74"/>
      <c r="EU659" s="74"/>
      <c r="EV659" s="74"/>
      <c r="EW659" s="74"/>
      <c r="EX659" s="74"/>
      <c r="EY659" s="74"/>
      <c r="EZ659" s="74"/>
      <c r="FA659" s="74"/>
      <c r="FB659" s="74"/>
      <c r="FC659" s="74"/>
      <c r="FD659" s="74"/>
      <c r="FE659" s="74"/>
      <c r="FF659" s="74"/>
      <c r="FG659" s="74"/>
      <c r="FH659" s="74"/>
      <c r="FI659" s="74"/>
      <c r="FJ659" s="74"/>
      <c r="FK659" s="74"/>
      <c r="FL659" s="74"/>
      <c r="FM659" s="74"/>
      <c r="FN659" s="74"/>
      <c r="FO659" s="74"/>
      <c r="FP659" s="74"/>
      <c r="FQ659" s="74"/>
      <c r="FR659" s="74"/>
      <c r="FS659" s="74"/>
      <c r="FT659" s="74"/>
      <c r="FU659" s="74"/>
      <c r="FV659" s="74"/>
      <c r="FW659" s="74"/>
      <c r="FX659" s="74"/>
      <c r="FY659" s="74"/>
      <c r="FZ659" s="74"/>
      <c r="GA659" s="74"/>
      <c r="GB659" s="74"/>
      <c r="GC659" s="74"/>
      <c r="GD659" s="74"/>
      <c r="GE659" s="74"/>
      <c r="GF659" s="74"/>
      <c r="GG659" s="74"/>
      <c r="GH659" s="74"/>
      <c r="GI659" s="74"/>
      <c r="GJ659" s="74"/>
      <c r="GK659" s="74"/>
      <c r="GL659" s="74"/>
      <c r="GM659" s="74"/>
      <c r="GN659" s="74"/>
      <c r="GO659" s="74"/>
      <c r="GP659" s="74"/>
      <c r="GQ659" s="74"/>
      <c r="GR659" s="74"/>
      <c r="GS659" s="74"/>
      <c r="GT659" s="74"/>
      <c r="GU659" s="74"/>
      <c r="GV659" s="74"/>
      <c r="GW659" s="74"/>
      <c r="GX659" s="74"/>
      <c r="GY659" s="74"/>
      <c r="GZ659" s="74"/>
      <c r="HA659" s="74"/>
      <c r="HB659" s="74"/>
      <c r="HC659" s="74"/>
      <c r="HD659" s="74"/>
      <c r="HE659" s="74"/>
      <c r="HF659" s="74"/>
      <c r="HG659" s="74"/>
      <c r="HH659" s="74"/>
      <c r="HI659" s="74"/>
      <c r="HJ659" s="74"/>
      <c r="HK659" s="74"/>
      <c r="HL659" s="74"/>
      <c r="HM659" s="74"/>
      <c r="HN659" s="74"/>
      <c r="HO659" s="74"/>
      <c r="HP659" s="74"/>
      <c r="HQ659" s="74"/>
      <c r="HR659" s="74"/>
      <c r="HS659" s="74"/>
      <c r="HT659" s="74"/>
      <c r="HU659" s="74"/>
      <c r="HV659" s="74"/>
      <c r="HW659" s="74"/>
      <c r="HX659" s="74"/>
      <c r="HY659" s="74"/>
      <c r="HZ659" s="74"/>
      <c r="IA659" s="74"/>
      <c r="IB659" s="74"/>
      <c r="IC659" s="74"/>
      <c r="ID659" s="74"/>
      <c r="IE659" s="74"/>
      <c r="IF659" s="74"/>
      <c r="IG659" s="74"/>
      <c r="IH659" s="74"/>
      <c r="II659" s="74"/>
      <c r="IJ659" s="74"/>
      <c r="IK659" s="74"/>
      <c r="IL659" s="74"/>
      <c r="IM659" s="74"/>
      <c r="IN659" s="74"/>
      <c r="IO659" s="74"/>
      <c r="IP659" s="74"/>
      <c r="IQ659" s="74"/>
      <c r="IR659" s="74"/>
      <c r="IS659" s="74"/>
      <c r="IT659" s="74"/>
      <c r="IU659" s="74"/>
      <c r="IV659" s="74"/>
      <c r="IW659" s="74"/>
    </row>
    <row r="660" customFormat="false" ht="16.5" hidden="true" customHeight="false" outlineLevel="0" collapsed="false">
      <c r="A660" s="220" t="s">
        <v>631</v>
      </c>
      <c r="B660" s="95" t="n">
        <v>37091</v>
      </c>
      <c r="C660" s="188" t="s">
        <v>605</v>
      </c>
      <c r="D660" s="92" t="n">
        <f aca="false">I660/0.015</f>
        <v>-270.733333333333</v>
      </c>
      <c r="E660" s="93" t="n">
        <v>-4.131</v>
      </c>
      <c r="F660" s="81" t="n">
        <v>0.07</v>
      </c>
      <c r="G660" s="81" t="n">
        <v>0</v>
      </c>
      <c r="H660" s="81" t="n">
        <v>0</v>
      </c>
      <c r="I660" s="94" t="n">
        <f aca="false">SUM(E660:H660)</f>
        <v>-4.061</v>
      </c>
      <c r="J660" s="118"/>
      <c r="K660" s="74"/>
      <c r="L660" s="74"/>
      <c r="M660" s="119"/>
      <c r="N660" s="74"/>
      <c r="O660" s="74"/>
      <c r="P660" s="74"/>
      <c r="Q660" s="74"/>
      <c r="R660" s="74"/>
      <c r="S660" s="74"/>
      <c r="T660" s="65" t="str">
        <f aca="false">IF(D660&gt;0,(I660/D660),"")</f>
        <v/>
      </c>
      <c r="U660" s="74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74"/>
      <c r="AJ660" s="74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74"/>
      <c r="CB660" s="74"/>
      <c r="CC660" s="74"/>
      <c r="CD660" s="74"/>
      <c r="CE660" s="74"/>
      <c r="CF660" s="74"/>
      <c r="CG660" s="74"/>
      <c r="CH660" s="74"/>
      <c r="CI660" s="74"/>
      <c r="CJ660" s="74"/>
      <c r="CK660" s="74"/>
      <c r="CL660" s="74"/>
      <c r="CM660" s="74"/>
      <c r="CN660" s="74"/>
      <c r="CO660" s="74"/>
      <c r="CP660" s="74"/>
      <c r="CQ660" s="74"/>
      <c r="CR660" s="74"/>
      <c r="CS660" s="74"/>
      <c r="CT660" s="74"/>
      <c r="CU660" s="74"/>
      <c r="CV660" s="74"/>
      <c r="CW660" s="74"/>
      <c r="CX660" s="74"/>
      <c r="CY660" s="74"/>
      <c r="CZ660" s="74"/>
      <c r="DA660" s="74"/>
      <c r="DB660" s="74"/>
      <c r="DC660" s="74"/>
      <c r="DD660" s="74"/>
      <c r="DE660" s="74"/>
      <c r="DF660" s="74"/>
      <c r="DG660" s="74"/>
      <c r="DH660" s="74"/>
      <c r="DI660" s="74"/>
      <c r="DJ660" s="74"/>
      <c r="DK660" s="74"/>
      <c r="DL660" s="74"/>
      <c r="DM660" s="74"/>
      <c r="DN660" s="74"/>
      <c r="DO660" s="74"/>
      <c r="DP660" s="74"/>
      <c r="DQ660" s="74"/>
      <c r="DR660" s="74"/>
      <c r="DS660" s="74"/>
      <c r="DT660" s="74"/>
      <c r="DU660" s="74"/>
      <c r="DV660" s="74"/>
      <c r="DW660" s="74"/>
      <c r="DX660" s="74"/>
      <c r="DY660" s="74"/>
      <c r="DZ660" s="74"/>
      <c r="EA660" s="74"/>
      <c r="EB660" s="74"/>
      <c r="EC660" s="74"/>
      <c r="ED660" s="74"/>
      <c r="EE660" s="74"/>
      <c r="EF660" s="74"/>
      <c r="EG660" s="74"/>
      <c r="EH660" s="74"/>
      <c r="EI660" s="74"/>
      <c r="EJ660" s="74"/>
      <c r="EK660" s="74"/>
      <c r="EL660" s="74"/>
      <c r="EM660" s="74"/>
      <c r="EN660" s="74"/>
      <c r="EO660" s="74"/>
      <c r="EP660" s="74"/>
      <c r="EQ660" s="74"/>
      <c r="ER660" s="74"/>
      <c r="ES660" s="74"/>
      <c r="ET660" s="74"/>
      <c r="EU660" s="74"/>
      <c r="EV660" s="74"/>
      <c r="EW660" s="74"/>
      <c r="EX660" s="74"/>
      <c r="EY660" s="74"/>
      <c r="EZ660" s="74"/>
      <c r="FA660" s="74"/>
      <c r="FB660" s="74"/>
      <c r="FC660" s="74"/>
      <c r="FD660" s="74"/>
      <c r="FE660" s="74"/>
      <c r="FF660" s="74"/>
      <c r="FG660" s="74"/>
      <c r="FH660" s="74"/>
      <c r="FI660" s="74"/>
      <c r="FJ660" s="74"/>
      <c r="FK660" s="74"/>
      <c r="FL660" s="74"/>
      <c r="FM660" s="74"/>
      <c r="FN660" s="74"/>
      <c r="FO660" s="74"/>
      <c r="FP660" s="74"/>
      <c r="FQ660" s="74"/>
      <c r="FR660" s="74"/>
      <c r="FS660" s="74"/>
      <c r="FT660" s="74"/>
      <c r="FU660" s="74"/>
      <c r="FV660" s="74"/>
      <c r="FW660" s="74"/>
      <c r="FX660" s="74"/>
      <c r="FY660" s="74"/>
      <c r="FZ660" s="74"/>
      <c r="GA660" s="74"/>
      <c r="GB660" s="74"/>
      <c r="GC660" s="74"/>
      <c r="GD660" s="74"/>
      <c r="GE660" s="74"/>
      <c r="GF660" s="74"/>
      <c r="GG660" s="74"/>
      <c r="GH660" s="74"/>
      <c r="GI660" s="74"/>
      <c r="GJ660" s="74"/>
      <c r="GK660" s="74"/>
      <c r="GL660" s="74"/>
      <c r="GM660" s="74"/>
      <c r="GN660" s="74"/>
      <c r="GO660" s="74"/>
      <c r="GP660" s="74"/>
      <c r="GQ660" s="74"/>
      <c r="GR660" s="74"/>
      <c r="GS660" s="74"/>
      <c r="GT660" s="74"/>
      <c r="GU660" s="74"/>
      <c r="GV660" s="74"/>
      <c r="GW660" s="74"/>
      <c r="GX660" s="74"/>
      <c r="GY660" s="74"/>
      <c r="GZ660" s="74"/>
      <c r="HA660" s="74"/>
      <c r="HB660" s="74"/>
      <c r="HC660" s="74"/>
      <c r="HD660" s="74"/>
      <c r="HE660" s="74"/>
      <c r="HF660" s="74"/>
      <c r="HG660" s="74"/>
      <c r="HH660" s="74"/>
      <c r="HI660" s="74"/>
      <c r="HJ660" s="74"/>
      <c r="HK660" s="74"/>
      <c r="HL660" s="74"/>
      <c r="HM660" s="74"/>
      <c r="HN660" s="74"/>
      <c r="HO660" s="74"/>
      <c r="HP660" s="74"/>
      <c r="HQ660" s="74"/>
      <c r="HR660" s="74"/>
      <c r="HS660" s="74"/>
      <c r="HT660" s="74"/>
      <c r="HU660" s="74"/>
      <c r="HV660" s="74"/>
      <c r="HW660" s="74"/>
      <c r="HX660" s="74"/>
      <c r="HY660" s="74"/>
      <c r="HZ660" s="74"/>
      <c r="IA660" s="74"/>
      <c r="IB660" s="74"/>
      <c r="IC660" s="74"/>
      <c r="ID660" s="74"/>
      <c r="IE660" s="74"/>
      <c r="IF660" s="74"/>
      <c r="IG660" s="74"/>
      <c r="IH660" s="74"/>
      <c r="II660" s="74"/>
      <c r="IJ660" s="74"/>
      <c r="IK660" s="74"/>
      <c r="IL660" s="74"/>
      <c r="IM660" s="74"/>
      <c r="IN660" s="74"/>
      <c r="IO660" s="74"/>
      <c r="IP660" s="74"/>
      <c r="IQ660" s="74"/>
      <c r="IR660" s="74"/>
      <c r="IS660" s="74"/>
      <c r="IT660" s="74"/>
      <c r="IU660" s="74"/>
      <c r="IV660" s="74"/>
      <c r="IW660" s="74"/>
    </row>
    <row r="661" customFormat="false" ht="16.5" hidden="true" customHeight="false" outlineLevel="0" collapsed="false">
      <c r="A661" s="220" t="s">
        <v>632</v>
      </c>
      <c r="B661" s="95" t="n">
        <v>37091</v>
      </c>
      <c r="C661" s="188" t="s">
        <v>605</v>
      </c>
      <c r="D661" s="92" t="n">
        <f aca="false">I661/0.015</f>
        <v>-633.266666666667</v>
      </c>
      <c r="E661" s="93" t="n">
        <v>-9.667</v>
      </c>
      <c r="F661" s="81" t="n">
        <v>0.168</v>
      </c>
      <c r="G661" s="81" t="n">
        <v>0</v>
      </c>
      <c r="H661" s="81" t="n">
        <v>0</v>
      </c>
      <c r="I661" s="94" t="n">
        <f aca="false">SUM(E661:H661)</f>
        <v>-9.499</v>
      </c>
      <c r="J661" s="118"/>
      <c r="K661" s="74"/>
      <c r="L661" s="74"/>
      <c r="M661" s="119"/>
      <c r="N661" s="74"/>
      <c r="O661" s="74"/>
      <c r="P661" s="74"/>
      <c r="Q661" s="74"/>
      <c r="R661" s="74"/>
      <c r="S661" s="74"/>
      <c r="T661" s="65" t="str">
        <f aca="false">IF(D661&gt;0,(I661/D661),"")</f>
        <v/>
      </c>
      <c r="U661" s="74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74"/>
      <c r="AJ661" s="74"/>
      <c r="AK661" s="74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4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74"/>
      <c r="CB661" s="74"/>
      <c r="CC661" s="74"/>
      <c r="CD661" s="74"/>
      <c r="CE661" s="74"/>
      <c r="CF661" s="74"/>
      <c r="CG661" s="74"/>
      <c r="CH661" s="74"/>
      <c r="CI661" s="74"/>
      <c r="CJ661" s="74"/>
      <c r="CK661" s="74"/>
      <c r="CL661" s="74"/>
      <c r="CM661" s="74"/>
      <c r="CN661" s="74"/>
      <c r="CO661" s="74"/>
      <c r="CP661" s="74"/>
      <c r="CQ661" s="74"/>
      <c r="CR661" s="74"/>
      <c r="CS661" s="74"/>
      <c r="CT661" s="74"/>
      <c r="CU661" s="74"/>
      <c r="CV661" s="74"/>
      <c r="CW661" s="74"/>
      <c r="CX661" s="74"/>
      <c r="CY661" s="74"/>
      <c r="CZ661" s="74"/>
      <c r="DA661" s="74"/>
      <c r="DB661" s="74"/>
      <c r="DC661" s="74"/>
      <c r="DD661" s="74"/>
      <c r="DE661" s="74"/>
      <c r="DF661" s="74"/>
      <c r="DG661" s="74"/>
      <c r="DH661" s="74"/>
      <c r="DI661" s="74"/>
      <c r="DJ661" s="74"/>
      <c r="DK661" s="74"/>
      <c r="DL661" s="74"/>
      <c r="DM661" s="74"/>
      <c r="DN661" s="74"/>
      <c r="DO661" s="74"/>
      <c r="DP661" s="74"/>
      <c r="DQ661" s="74"/>
      <c r="DR661" s="74"/>
      <c r="DS661" s="74"/>
      <c r="DT661" s="74"/>
      <c r="DU661" s="74"/>
      <c r="DV661" s="74"/>
      <c r="DW661" s="74"/>
      <c r="DX661" s="74"/>
      <c r="DY661" s="74"/>
      <c r="DZ661" s="74"/>
      <c r="EA661" s="74"/>
      <c r="EB661" s="74"/>
      <c r="EC661" s="74"/>
      <c r="ED661" s="74"/>
      <c r="EE661" s="74"/>
      <c r="EF661" s="74"/>
      <c r="EG661" s="74"/>
      <c r="EH661" s="74"/>
      <c r="EI661" s="74"/>
      <c r="EJ661" s="74"/>
      <c r="EK661" s="74"/>
      <c r="EL661" s="74"/>
      <c r="EM661" s="74"/>
      <c r="EN661" s="74"/>
      <c r="EO661" s="74"/>
      <c r="EP661" s="74"/>
      <c r="EQ661" s="74"/>
      <c r="ER661" s="74"/>
      <c r="ES661" s="74"/>
      <c r="ET661" s="74"/>
      <c r="EU661" s="74"/>
      <c r="EV661" s="74"/>
      <c r="EW661" s="74"/>
      <c r="EX661" s="74"/>
      <c r="EY661" s="74"/>
      <c r="EZ661" s="74"/>
      <c r="FA661" s="74"/>
      <c r="FB661" s="74"/>
      <c r="FC661" s="74"/>
      <c r="FD661" s="74"/>
      <c r="FE661" s="74"/>
      <c r="FF661" s="74"/>
      <c r="FG661" s="74"/>
      <c r="FH661" s="74"/>
      <c r="FI661" s="74"/>
      <c r="FJ661" s="74"/>
      <c r="FK661" s="74"/>
      <c r="FL661" s="74"/>
      <c r="FM661" s="74"/>
      <c r="FN661" s="74"/>
      <c r="FO661" s="74"/>
      <c r="FP661" s="74"/>
      <c r="FQ661" s="74"/>
      <c r="FR661" s="74"/>
      <c r="FS661" s="74"/>
      <c r="FT661" s="74"/>
      <c r="FU661" s="74"/>
      <c r="FV661" s="74"/>
      <c r="FW661" s="74"/>
      <c r="FX661" s="74"/>
      <c r="FY661" s="74"/>
      <c r="FZ661" s="74"/>
      <c r="GA661" s="74"/>
      <c r="GB661" s="74"/>
      <c r="GC661" s="74"/>
      <c r="GD661" s="74"/>
      <c r="GE661" s="74"/>
      <c r="GF661" s="74"/>
      <c r="GG661" s="74"/>
      <c r="GH661" s="74"/>
      <c r="GI661" s="74"/>
      <c r="GJ661" s="74"/>
      <c r="GK661" s="74"/>
      <c r="GL661" s="74"/>
      <c r="GM661" s="74"/>
      <c r="GN661" s="74"/>
      <c r="GO661" s="74"/>
      <c r="GP661" s="74"/>
      <c r="GQ661" s="74"/>
      <c r="GR661" s="74"/>
      <c r="GS661" s="74"/>
      <c r="GT661" s="74"/>
      <c r="GU661" s="74"/>
      <c r="GV661" s="74"/>
      <c r="GW661" s="74"/>
      <c r="GX661" s="74"/>
      <c r="GY661" s="74"/>
      <c r="GZ661" s="74"/>
      <c r="HA661" s="74"/>
      <c r="HB661" s="74"/>
      <c r="HC661" s="74"/>
      <c r="HD661" s="74"/>
      <c r="HE661" s="74"/>
      <c r="HF661" s="74"/>
      <c r="HG661" s="74"/>
      <c r="HH661" s="74"/>
      <c r="HI661" s="74"/>
      <c r="HJ661" s="74"/>
      <c r="HK661" s="74"/>
      <c r="HL661" s="74"/>
      <c r="HM661" s="74"/>
      <c r="HN661" s="74"/>
      <c r="HO661" s="74"/>
      <c r="HP661" s="74"/>
      <c r="HQ661" s="74"/>
      <c r="HR661" s="74"/>
      <c r="HS661" s="74"/>
      <c r="HT661" s="74"/>
      <c r="HU661" s="74"/>
      <c r="HV661" s="74"/>
      <c r="HW661" s="74"/>
      <c r="HX661" s="74"/>
      <c r="HY661" s="74"/>
      <c r="HZ661" s="74"/>
      <c r="IA661" s="74"/>
      <c r="IB661" s="74"/>
      <c r="IC661" s="74"/>
      <c r="ID661" s="74"/>
      <c r="IE661" s="74"/>
      <c r="IF661" s="74"/>
      <c r="IG661" s="74"/>
      <c r="IH661" s="74"/>
      <c r="II661" s="74"/>
      <c r="IJ661" s="74"/>
      <c r="IK661" s="74"/>
      <c r="IL661" s="74"/>
      <c r="IM661" s="74"/>
      <c r="IN661" s="74"/>
      <c r="IO661" s="74"/>
      <c r="IP661" s="74"/>
      <c r="IQ661" s="74"/>
      <c r="IR661" s="74"/>
      <c r="IS661" s="74"/>
      <c r="IT661" s="74"/>
      <c r="IU661" s="74"/>
      <c r="IV661" s="74"/>
      <c r="IW661" s="74"/>
    </row>
    <row r="662" customFormat="false" ht="16.5" hidden="true" customHeight="false" outlineLevel="0" collapsed="false">
      <c r="A662" s="220" t="s">
        <v>633</v>
      </c>
      <c r="B662" s="95" t="n">
        <v>37091</v>
      </c>
      <c r="C662" s="188" t="s">
        <v>605</v>
      </c>
      <c r="D662" s="92" t="n">
        <f aca="false">I662/0.015</f>
        <v>-118.933333333333</v>
      </c>
      <c r="E662" s="93" t="n">
        <v>-1.875</v>
      </c>
      <c r="F662" s="81" t="n">
        <v>0.091</v>
      </c>
      <c r="G662" s="81" t="n">
        <v>0</v>
      </c>
      <c r="H662" s="81" t="n">
        <v>0</v>
      </c>
      <c r="I662" s="94" t="n">
        <f aca="false">SUM(E662:H662)</f>
        <v>-1.784</v>
      </c>
      <c r="J662" s="118"/>
      <c r="K662" s="74"/>
      <c r="L662" s="74"/>
      <c r="M662" s="119"/>
      <c r="N662" s="74"/>
      <c r="O662" s="74"/>
      <c r="P662" s="74"/>
      <c r="Q662" s="74"/>
      <c r="R662" s="74"/>
      <c r="S662" s="74"/>
      <c r="T662" s="65" t="str">
        <f aca="false">IF(D662&gt;0,(I662/D662),"")</f>
        <v/>
      </c>
      <c r="U662" s="74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74"/>
      <c r="AJ662" s="74"/>
      <c r="AK662" s="74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4"/>
      <c r="BM662" s="74"/>
      <c r="BN662" s="74"/>
      <c r="BO662" s="74"/>
      <c r="BP662" s="74"/>
      <c r="BQ662" s="74"/>
      <c r="BR662" s="74"/>
      <c r="BS662" s="74"/>
      <c r="BT662" s="74"/>
      <c r="BU662" s="74"/>
      <c r="BV662" s="74"/>
      <c r="BW662" s="74"/>
      <c r="BX662" s="74"/>
      <c r="BY662" s="74"/>
      <c r="BZ662" s="74"/>
      <c r="CA662" s="74"/>
      <c r="CB662" s="74"/>
      <c r="CC662" s="74"/>
      <c r="CD662" s="74"/>
      <c r="CE662" s="74"/>
      <c r="CF662" s="74"/>
      <c r="CG662" s="74"/>
      <c r="CH662" s="74"/>
      <c r="CI662" s="74"/>
      <c r="CJ662" s="74"/>
      <c r="CK662" s="74"/>
      <c r="CL662" s="74"/>
      <c r="CM662" s="74"/>
      <c r="CN662" s="74"/>
      <c r="CO662" s="74"/>
      <c r="CP662" s="74"/>
      <c r="CQ662" s="74"/>
      <c r="CR662" s="74"/>
      <c r="CS662" s="74"/>
      <c r="CT662" s="74"/>
      <c r="CU662" s="74"/>
      <c r="CV662" s="74"/>
      <c r="CW662" s="74"/>
      <c r="CX662" s="74"/>
      <c r="CY662" s="74"/>
      <c r="CZ662" s="74"/>
      <c r="DA662" s="74"/>
      <c r="DB662" s="74"/>
      <c r="DC662" s="74"/>
      <c r="DD662" s="74"/>
      <c r="DE662" s="74"/>
      <c r="DF662" s="74"/>
      <c r="DG662" s="74"/>
      <c r="DH662" s="74"/>
      <c r="DI662" s="74"/>
      <c r="DJ662" s="74"/>
      <c r="DK662" s="74"/>
      <c r="DL662" s="74"/>
      <c r="DM662" s="74"/>
      <c r="DN662" s="74"/>
      <c r="DO662" s="74"/>
      <c r="DP662" s="74"/>
      <c r="DQ662" s="74"/>
      <c r="DR662" s="74"/>
      <c r="DS662" s="74"/>
      <c r="DT662" s="74"/>
      <c r="DU662" s="74"/>
      <c r="DV662" s="74"/>
      <c r="DW662" s="74"/>
      <c r="DX662" s="74"/>
      <c r="DY662" s="74"/>
      <c r="DZ662" s="74"/>
      <c r="EA662" s="74"/>
      <c r="EB662" s="74"/>
      <c r="EC662" s="74"/>
      <c r="ED662" s="74"/>
      <c r="EE662" s="74"/>
      <c r="EF662" s="74"/>
      <c r="EG662" s="74"/>
      <c r="EH662" s="74"/>
      <c r="EI662" s="74"/>
      <c r="EJ662" s="74"/>
      <c r="EK662" s="74"/>
      <c r="EL662" s="74"/>
      <c r="EM662" s="74"/>
      <c r="EN662" s="74"/>
      <c r="EO662" s="74"/>
      <c r="EP662" s="74"/>
      <c r="EQ662" s="74"/>
      <c r="ER662" s="74"/>
      <c r="ES662" s="74"/>
      <c r="ET662" s="74"/>
      <c r="EU662" s="74"/>
      <c r="EV662" s="74"/>
      <c r="EW662" s="74"/>
      <c r="EX662" s="74"/>
      <c r="EY662" s="74"/>
      <c r="EZ662" s="74"/>
      <c r="FA662" s="74"/>
      <c r="FB662" s="74"/>
      <c r="FC662" s="74"/>
      <c r="FD662" s="74"/>
      <c r="FE662" s="74"/>
      <c r="FF662" s="74"/>
      <c r="FG662" s="74"/>
      <c r="FH662" s="74"/>
      <c r="FI662" s="74"/>
      <c r="FJ662" s="74"/>
      <c r="FK662" s="74"/>
      <c r="FL662" s="74"/>
      <c r="FM662" s="74"/>
      <c r="FN662" s="74"/>
      <c r="FO662" s="74"/>
      <c r="FP662" s="74"/>
      <c r="FQ662" s="74"/>
      <c r="FR662" s="74"/>
      <c r="FS662" s="74"/>
      <c r="FT662" s="74"/>
      <c r="FU662" s="74"/>
      <c r="FV662" s="74"/>
      <c r="FW662" s="74"/>
      <c r="FX662" s="74"/>
      <c r="FY662" s="74"/>
      <c r="FZ662" s="74"/>
      <c r="GA662" s="74"/>
      <c r="GB662" s="74"/>
      <c r="GC662" s="74"/>
      <c r="GD662" s="74"/>
      <c r="GE662" s="74"/>
      <c r="GF662" s="74"/>
      <c r="GG662" s="74"/>
      <c r="GH662" s="74"/>
      <c r="GI662" s="74"/>
      <c r="GJ662" s="74"/>
      <c r="GK662" s="74"/>
      <c r="GL662" s="74"/>
      <c r="GM662" s="74"/>
      <c r="GN662" s="74"/>
      <c r="GO662" s="74"/>
      <c r="GP662" s="74"/>
      <c r="GQ662" s="74"/>
      <c r="GR662" s="74"/>
      <c r="GS662" s="74"/>
      <c r="GT662" s="74"/>
      <c r="GU662" s="74"/>
      <c r="GV662" s="74"/>
      <c r="GW662" s="74"/>
      <c r="GX662" s="74"/>
      <c r="GY662" s="74"/>
      <c r="GZ662" s="74"/>
      <c r="HA662" s="74"/>
      <c r="HB662" s="74"/>
      <c r="HC662" s="74"/>
      <c r="HD662" s="74"/>
      <c r="HE662" s="74"/>
      <c r="HF662" s="74"/>
      <c r="HG662" s="74"/>
      <c r="HH662" s="74"/>
      <c r="HI662" s="74"/>
      <c r="HJ662" s="74"/>
      <c r="HK662" s="74"/>
      <c r="HL662" s="74"/>
      <c r="HM662" s="74"/>
      <c r="HN662" s="74"/>
      <c r="HO662" s="74"/>
      <c r="HP662" s="74"/>
      <c r="HQ662" s="74"/>
      <c r="HR662" s="74"/>
      <c r="HS662" s="74"/>
      <c r="HT662" s="74"/>
      <c r="HU662" s="74"/>
      <c r="HV662" s="74"/>
      <c r="HW662" s="74"/>
      <c r="HX662" s="74"/>
      <c r="HY662" s="74"/>
      <c r="HZ662" s="74"/>
      <c r="IA662" s="74"/>
      <c r="IB662" s="74"/>
      <c r="IC662" s="74"/>
      <c r="ID662" s="74"/>
      <c r="IE662" s="74"/>
      <c r="IF662" s="74"/>
      <c r="IG662" s="74"/>
      <c r="IH662" s="74"/>
      <c r="II662" s="74"/>
      <c r="IJ662" s="74"/>
      <c r="IK662" s="74"/>
      <c r="IL662" s="74"/>
      <c r="IM662" s="74"/>
      <c r="IN662" s="74"/>
      <c r="IO662" s="74"/>
      <c r="IP662" s="74"/>
      <c r="IQ662" s="74"/>
      <c r="IR662" s="74"/>
      <c r="IS662" s="74"/>
      <c r="IT662" s="74"/>
      <c r="IU662" s="74"/>
      <c r="IV662" s="74"/>
      <c r="IW662" s="74"/>
    </row>
    <row r="663" customFormat="false" ht="16.5" hidden="true" customHeight="false" outlineLevel="0" collapsed="false">
      <c r="A663" s="220" t="s">
        <v>634</v>
      </c>
      <c r="B663" s="95" t="n">
        <v>37091</v>
      </c>
      <c r="C663" s="188" t="s">
        <v>605</v>
      </c>
      <c r="D663" s="92" t="n">
        <f aca="false">I663/0.015</f>
        <v>-1307.86666666667</v>
      </c>
      <c r="E663" s="93" t="n">
        <v>-19.977</v>
      </c>
      <c r="F663" s="81" t="n">
        <v>0.359</v>
      </c>
      <c r="G663" s="81" t="n">
        <v>0</v>
      </c>
      <c r="H663" s="81" t="n">
        <v>0</v>
      </c>
      <c r="I663" s="94" t="n">
        <f aca="false">SUM(E663:H663)</f>
        <v>-19.618</v>
      </c>
      <c r="J663" s="118"/>
      <c r="K663" s="74"/>
      <c r="L663" s="74"/>
      <c r="M663" s="119"/>
      <c r="N663" s="74"/>
      <c r="O663" s="74"/>
      <c r="P663" s="74"/>
      <c r="Q663" s="74"/>
      <c r="R663" s="74"/>
      <c r="S663" s="74"/>
      <c r="T663" s="65" t="str">
        <f aca="false">IF(D663&gt;0,(I663/D663),"")</f>
        <v/>
      </c>
      <c r="U663" s="74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74"/>
      <c r="AJ663" s="74"/>
      <c r="AK663" s="74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4"/>
      <c r="BM663" s="74"/>
      <c r="BN663" s="74"/>
      <c r="BO663" s="74"/>
      <c r="BP663" s="74"/>
      <c r="BQ663" s="74"/>
      <c r="BR663" s="74"/>
      <c r="BS663" s="74"/>
      <c r="BT663" s="74"/>
      <c r="BU663" s="74"/>
      <c r="BV663" s="74"/>
      <c r="BW663" s="74"/>
      <c r="BX663" s="74"/>
      <c r="BY663" s="74"/>
      <c r="BZ663" s="74"/>
      <c r="CA663" s="74"/>
      <c r="CB663" s="74"/>
      <c r="CC663" s="74"/>
      <c r="CD663" s="74"/>
      <c r="CE663" s="74"/>
      <c r="CF663" s="74"/>
      <c r="CG663" s="74"/>
      <c r="CH663" s="74"/>
      <c r="CI663" s="74"/>
      <c r="CJ663" s="74"/>
      <c r="CK663" s="74"/>
      <c r="CL663" s="74"/>
      <c r="CM663" s="74"/>
      <c r="CN663" s="74"/>
      <c r="CO663" s="74"/>
      <c r="CP663" s="74"/>
      <c r="CQ663" s="74"/>
      <c r="CR663" s="74"/>
      <c r="CS663" s="74"/>
      <c r="CT663" s="74"/>
      <c r="CU663" s="74"/>
      <c r="CV663" s="74"/>
      <c r="CW663" s="74"/>
      <c r="CX663" s="74"/>
      <c r="CY663" s="74"/>
      <c r="CZ663" s="74"/>
      <c r="DA663" s="74"/>
      <c r="DB663" s="74"/>
      <c r="DC663" s="74"/>
      <c r="DD663" s="74"/>
      <c r="DE663" s="74"/>
      <c r="DF663" s="74"/>
      <c r="DG663" s="74"/>
      <c r="DH663" s="74"/>
      <c r="DI663" s="74"/>
      <c r="DJ663" s="74"/>
      <c r="DK663" s="74"/>
      <c r="DL663" s="74"/>
      <c r="DM663" s="74"/>
      <c r="DN663" s="74"/>
      <c r="DO663" s="74"/>
      <c r="DP663" s="74"/>
      <c r="DQ663" s="74"/>
      <c r="DR663" s="74"/>
      <c r="DS663" s="74"/>
      <c r="DT663" s="74"/>
      <c r="DU663" s="74"/>
      <c r="DV663" s="74"/>
      <c r="DW663" s="74"/>
      <c r="DX663" s="74"/>
      <c r="DY663" s="74"/>
      <c r="DZ663" s="74"/>
      <c r="EA663" s="74"/>
      <c r="EB663" s="74"/>
      <c r="EC663" s="74"/>
      <c r="ED663" s="74"/>
      <c r="EE663" s="74"/>
      <c r="EF663" s="74"/>
      <c r="EG663" s="74"/>
      <c r="EH663" s="74"/>
      <c r="EI663" s="74"/>
      <c r="EJ663" s="74"/>
      <c r="EK663" s="74"/>
      <c r="EL663" s="74"/>
      <c r="EM663" s="74"/>
      <c r="EN663" s="74"/>
      <c r="EO663" s="74"/>
      <c r="EP663" s="74"/>
      <c r="EQ663" s="74"/>
      <c r="ER663" s="74"/>
      <c r="ES663" s="74"/>
      <c r="ET663" s="74"/>
      <c r="EU663" s="74"/>
      <c r="EV663" s="74"/>
      <c r="EW663" s="74"/>
      <c r="EX663" s="74"/>
      <c r="EY663" s="74"/>
      <c r="EZ663" s="74"/>
      <c r="FA663" s="74"/>
      <c r="FB663" s="74"/>
      <c r="FC663" s="74"/>
      <c r="FD663" s="74"/>
      <c r="FE663" s="74"/>
      <c r="FF663" s="74"/>
      <c r="FG663" s="74"/>
      <c r="FH663" s="74"/>
      <c r="FI663" s="74"/>
      <c r="FJ663" s="74"/>
      <c r="FK663" s="74"/>
      <c r="FL663" s="74"/>
      <c r="FM663" s="74"/>
      <c r="FN663" s="74"/>
      <c r="FO663" s="74"/>
      <c r="FP663" s="74"/>
      <c r="FQ663" s="74"/>
      <c r="FR663" s="74"/>
      <c r="FS663" s="74"/>
      <c r="FT663" s="74"/>
      <c r="FU663" s="74"/>
      <c r="FV663" s="74"/>
      <c r="FW663" s="74"/>
      <c r="FX663" s="74"/>
      <c r="FY663" s="74"/>
      <c r="FZ663" s="74"/>
      <c r="GA663" s="74"/>
      <c r="GB663" s="74"/>
      <c r="GC663" s="74"/>
      <c r="GD663" s="74"/>
      <c r="GE663" s="74"/>
      <c r="GF663" s="74"/>
      <c r="GG663" s="74"/>
      <c r="GH663" s="74"/>
      <c r="GI663" s="74"/>
      <c r="GJ663" s="74"/>
      <c r="GK663" s="74"/>
      <c r="GL663" s="74"/>
      <c r="GM663" s="74"/>
      <c r="GN663" s="74"/>
      <c r="GO663" s="74"/>
      <c r="GP663" s="74"/>
      <c r="GQ663" s="74"/>
      <c r="GR663" s="74"/>
      <c r="GS663" s="74"/>
      <c r="GT663" s="74"/>
      <c r="GU663" s="74"/>
      <c r="GV663" s="74"/>
      <c r="GW663" s="74"/>
      <c r="GX663" s="74"/>
      <c r="GY663" s="74"/>
      <c r="GZ663" s="74"/>
      <c r="HA663" s="74"/>
      <c r="HB663" s="74"/>
      <c r="HC663" s="74"/>
      <c r="HD663" s="74"/>
      <c r="HE663" s="74"/>
      <c r="HF663" s="74"/>
      <c r="HG663" s="74"/>
      <c r="HH663" s="74"/>
      <c r="HI663" s="74"/>
      <c r="HJ663" s="74"/>
      <c r="HK663" s="74"/>
      <c r="HL663" s="74"/>
      <c r="HM663" s="74"/>
      <c r="HN663" s="74"/>
      <c r="HO663" s="74"/>
      <c r="HP663" s="74"/>
      <c r="HQ663" s="74"/>
      <c r="HR663" s="74"/>
      <c r="HS663" s="74"/>
      <c r="HT663" s="74"/>
      <c r="HU663" s="74"/>
      <c r="HV663" s="74"/>
      <c r="HW663" s="74"/>
      <c r="HX663" s="74"/>
      <c r="HY663" s="74"/>
      <c r="HZ663" s="74"/>
      <c r="IA663" s="74"/>
      <c r="IB663" s="74"/>
      <c r="IC663" s="74"/>
      <c r="ID663" s="74"/>
      <c r="IE663" s="74"/>
      <c r="IF663" s="74"/>
      <c r="IG663" s="74"/>
      <c r="IH663" s="74"/>
      <c r="II663" s="74"/>
      <c r="IJ663" s="74"/>
      <c r="IK663" s="74"/>
      <c r="IL663" s="74"/>
      <c r="IM663" s="74"/>
      <c r="IN663" s="74"/>
      <c r="IO663" s="74"/>
      <c r="IP663" s="74"/>
      <c r="IQ663" s="74"/>
      <c r="IR663" s="74"/>
      <c r="IS663" s="74"/>
      <c r="IT663" s="74"/>
      <c r="IU663" s="74"/>
      <c r="IV663" s="74"/>
      <c r="IW663" s="74"/>
    </row>
    <row r="664" customFormat="false" ht="16.5" hidden="true" customHeight="false" outlineLevel="0" collapsed="false">
      <c r="A664" s="220" t="s">
        <v>635</v>
      </c>
      <c r="B664" s="95" t="n">
        <v>37091</v>
      </c>
      <c r="C664" s="188" t="s">
        <v>605</v>
      </c>
      <c r="D664" s="92" t="n">
        <f aca="false">I664/0.015</f>
        <v>-253.066666666667</v>
      </c>
      <c r="E664" s="93" t="n">
        <v>-3.854</v>
      </c>
      <c r="F664" s="81" t="n">
        <v>0.058</v>
      </c>
      <c r="G664" s="81" t="n">
        <v>0</v>
      </c>
      <c r="H664" s="81" t="n">
        <v>0</v>
      </c>
      <c r="I664" s="94" t="n">
        <f aca="false">SUM(E664:H664)</f>
        <v>-3.796</v>
      </c>
      <c r="J664" s="118"/>
      <c r="K664" s="74"/>
      <c r="L664" s="74"/>
      <c r="M664" s="119"/>
      <c r="N664" s="74"/>
      <c r="O664" s="74"/>
      <c r="P664" s="74"/>
      <c r="Q664" s="74"/>
      <c r="R664" s="74"/>
      <c r="S664" s="74"/>
      <c r="T664" s="65" t="str">
        <f aca="false">IF(D664&gt;0,(I664/D664),"")</f>
        <v/>
      </c>
      <c r="U664" s="74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74"/>
      <c r="AJ664" s="74"/>
      <c r="AK664" s="74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4"/>
      <c r="AZ664" s="74"/>
      <c r="BA664" s="74"/>
      <c r="BB664" s="74"/>
      <c r="BC664" s="74"/>
      <c r="BD664" s="74"/>
      <c r="BE664" s="74"/>
      <c r="BF664" s="74"/>
      <c r="BG664" s="74"/>
      <c r="BH664" s="74"/>
      <c r="BI664" s="74"/>
      <c r="BJ664" s="74"/>
      <c r="BK664" s="74"/>
      <c r="BL664" s="74"/>
      <c r="BM664" s="74"/>
      <c r="BN664" s="74"/>
      <c r="BO664" s="74"/>
      <c r="BP664" s="74"/>
      <c r="BQ664" s="74"/>
      <c r="BR664" s="74"/>
      <c r="BS664" s="74"/>
      <c r="BT664" s="74"/>
      <c r="BU664" s="74"/>
      <c r="BV664" s="74"/>
      <c r="BW664" s="74"/>
      <c r="BX664" s="74"/>
      <c r="BY664" s="74"/>
      <c r="BZ664" s="74"/>
      <c r="CA664" s="74"/>
      <c r="CB664" s="74"/>
      <c r="CC664" s="74"/>
      <c r="CD664" s="74"/>
      <c r="CE664" s="74"/>
      <c r="CF664" s="74"/>
      <c r="CG664" s="74"/>
      <c r="CH664" s="74"/>
      <c r="CI664" s="74"/>
      <c r="CJ664" s="74"/>
      <c r="CK664" s="74"/>
      <c r="CL664" s="74"/>
      <c r="CM664" s="74"/>
      <c r="CN664" s="74"/>
      <c r="CO664" s="74"/>
      <c r="CP664" s="74"/>
      <c r="CQ664" s="74"/>
      <c r="CR664" s="74"/>
      <c r="CS664" s="74"/>
      <c r="CT664" s="74"/>
      <c r="CU664" s="74"/>
      <c r="CV664" s="74"/>
      <c r="CW664" s="74"/>
      <c r="CX664" s="74"/>
      <c r="CY664" s="74"/>
      <c r="CZ664" s="74"/>
      <c r="DA664" s="74"/>
      <c r="DB664" s="74"/>
      <c r="DC664" s="74"/>
      <c r="DD664" s="74"/>
      <c r="DE664" s="74"/>
      <c r="DF664" s="74"/>
      <c r="DG664" s="74"/>
      <c r="DH664" s="74"/>
      <c r="DI664" s="74"/>
      <c r="DJ664" s="74"/>
      <c r="DK664" s="74"/>
      <c r="DL664" s="74"/>
      <c r="DM664" s="74"/>
      <c r="DN664" s="74"/>
      <c r="DO664" s="74"/>
      <c r="DP664" s="74"/>
      <c r="DQ664" s="74"/>
      <c r="DR664" s="74"/>
      <c r="DS664" s="74"/>
      <c r="DT664" s="74"/>
      <c r="DU664" s="74"/>
      <c r="DV664" s="74"/>
      <c r="DW664" s="74"/>
      <c r="DX664" s="74"/>
      <c r="DY664" s="74"/>
      <c r="DZ664" s="74"/>
      <c r="EA664" s="74"/>
      <c r="EB664" s="74"/>
      <c r="EC664" s="74"/>
      <c r="ED664" s="74"/>
      <c r="EE664" s="74"/>
      <c r="EF664" s="74"/>
      <c r="EG664" s="74"/>
      <c r="EH664" s="74"/>
      <c r="EI664" s="74"/>
      <c r="EJ664" s="74"/>
      <c r="EK664" s="74"/>
      <c r="EL664" s="74"/>
      <c r="EM664" s="74"/>
      <c r="EN664" s="74"/>
      <c r="EO664" s="74"/>
      <c r="EP664" s="74"/>
      <c r="EQ664" s="74"/>
      <c r="ER664" s="74"/>
      <c r="ES664" s="74"/>
      <c r="ET664" s="74"/>
      <c r="EU664" s="74"/>
      <c r="EV664" s="74"/>
      <c r="EW664" s="74"/>
      <c r="EX664" s="74"/>
      <c r="EY664" s="74"/>
      <c r="EZ664" s="74"/>
      <c r="FA664" s="74"/>
      <c r="FB664" s="74"/>
      <c r="FC664" s="74"/>
      <c r="FD664" s="74"/>
      <c r="FE664" s="74"/>
      <c r="FF664" s="74"/>
      <c r="FG664" s="74"/>
      <c r="FH664" s="74"/>
      <c r="FI664" s="74"/>
      <c r="FJ664" s="74"/>
      <c r="FK664" s="74"/>
      <c r="FL664" s="74"/>
      <c r="FM664" s="74"/>
      <c r="FN664" s="74"/>
      <c r="FO664" s="74"/>
      <c r="FP664" s="74"/>
      <c r="FQ664" s="74"/>
      <c r="FR664" s="74"/>
      <c r="FS664" s="74"/>
      <c r="FT664" s="74"/>
      <c r="FU664" s="74"/>
      <c r="FV664" s="74"/>
      <c r="FW664" s="74"/>
      <c r="FX664" s="74"/>
      <c r="FY664" s="74"/>
      <c r="FZ664" s="74"/>
      <c r="GA664" s="74"/>
      <c r="GB664" s="74"/>
      <c r="GC664" s="74"/>
      <c r="GD664" s="74"/>
      <c r="GE664" s="74"/>
      <c r="GF664" s="74"/>
      <c r="GG664" s="74"/>
      <c r="GH664" s="74"/>
      <c r="GI664" s="74"/>
      <c r="GJ664" s="74"/>
      <c r="GK664" s="74"/>
      <c r="GL664" s="74"/>
      <c r="GM664" s="74"/>
      <c r="GN664" s="74"/>
      <c r="GO664" s="74"/>
      <c r="GP664" s="74"/>
      <c r="GQ664" s="74"/>
      <c r="GR664" s="74"/>
      <c r="GS664" s="74"/>
      <c r="GT664" s="74"/>
      <c r="GU664" s="74"/>
      <c r="GV664" s="74"/>
      <c r="GW664" s="74"/>
      <c r="GX664" s="74"/>
      <c r="GY664" s="74"/>
      <c r="GZ664" s="74"/>
      <c r="HA664" s="74"/>
      <c r="HB664" s="74"/>
      <c r="HC664" s="74"/>
      <c r="HD664" s="74"/>
      <c r="HE664" s="74"/>
      <c r="HF664" s="74"/>
      <c r="HG664" s="74"/>
      <c r="HH664" s="74"/>
      <c r="HI664" s="74"/>
      <c r="HJ664" s="74"/>
      <c r="HK664" s="74"/>
      <c r="HL664" s="74"/>
      <c r="HM664" s="74"/>
      <c r="HN664" s="74"/>
      <c r="HO664" s="74"/>
      <c r="HP664" s="74"/>
      <c r="HQ664" s="74"/>
      <c r="HR664" s="74"/>
      <c r="HS664" s="74"/>
      <c r="HT664" s="74"/>
      <c r="HU664" s="74"/>
      <c r="HV664" s="74"/>
      <c r="HW664" s="74"/>
      <c r="HX664" s="74"/>
      <c r="HY664" s="74"/>
      <c r="HZ664" s="74"/>
      <c r="IA664" s="74"/>
      <c r="IB664" s="74"/>
      <c r="IC664" s="74"/>
      <c r="ID664" s="74"/>
      <c r="IE664" s="74"/>
      <c r="IF664" s="74"/>
      <c r="IG664" s="74"/>
      <c r="IH664" s="74"/>
      <c r="II664" s="74"/>
      <c r="IJ664" s="74"/>
      <c r="IK664" s="74"/>
      <c r="IL664" s="74"/>
      <c r="IM664" s="74"/>
      <c r="IN664" s="74"/>
      <c r="IO664" s="74"/>
      <c r="IP664" s="74"/>
      <c r="IQ664" s="74"/>
      <c r="IR664" s="74"/>
      <c r="IS664" s="74"/>
      <c r="IT664" s="74"/>
      <c r="IU664" s="74"/>
      <c r="IV664" s="74"/>
      <c r="IW664" s="74"/>
    </row>
    <row r="665" customFormat="false" ht="16.5" hidden="true" customHeight="false" outlineLevel="0" collapsed="false">
      <c r="A665" s="220" t="s">
        <v>636</v>
      </c>
      <c r="B665" s="95" t="n">
        <v>37091</v>
      </c>
      <c r="C665" s="188" t="s">
        <v>605</v>
      </c>
      <c r="D665" s="92" t="n">
        <f aca="false">I665/0.015</f>
        <v>-34.2666666666667</v>
      </c>
      <c r="E665" s="93" t="n">
        <v>-0.525</v>
      </c>
      <c r="F665" s="81" t="n">
        <v>0.011</v>
      </c>
      <c r="G665" s="81" t="n">
        <v>0</v>
      </c>
      <c r="H665" s="81" t="n">
        <v>0</v>
      </c>
      <c r="I665" s="94" t="n">
        <f aca="false">SUM(E665:H665)</f>
        <v>-0.514</v>
      </c>
      <c r="J665" s="118"/>
      <c r="K665" s="74"/>
      <c r="L665" s="74"/>
      <c r="M665" s="119"/>
      <c r="N665" s="74"/>
      <c r="O665" s="74"/>
      <c r="P665" s="74"/>
      <c r="Q665" s="74"/>
      <c r="R665" s="74"/>
      <c r="S665" s="74"/>
      <c r="T665" s="65" t="str">
        <f aca="false">IF(D665&gt;0,(I665/D665),"")</f>
        <v/>
      </c>
      <c r="U665" s="74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74"/>
      <c r="AJ665" s="74"/>
      <c r="AK665" s="74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4"/>
      <c r="AZ665" s="74"/>
      <c r="BA665" s="74"/>
      <c r="BB665" s="74"/>
      <c r="BC665" s="74"/>
      <c r="BD665" s="74"/>
      <c r="BE665" s="74"/>
      <c r="BF665" s="74"/>
      <c r="BG665" s="74"/>
      <c r="BH665" s="74"/>
      <c r="BI665" s="74"/>
      <c r="BJ665" s="74"/>
      <c r="BK665" s="74"/>
      <c r="BL665" s="74"/>
      <c r="BM665" s="74"/>
      <c r="BN665" s="74"/>
      <c r="BO665" s="74"/>
      <c r="BP665" s="74"/>
      <c r="BQ665" s="74"/>
      <c r="BR665" s="74"/>
      <c r="BS665" s="74"/>
      <c r="BT665" s="74"/>
      <c r="BU665" s="74"/>
      <c r="BV665" s="74"/>
      <c r="BW665" s="74"/>
      <c r="BX665" s="74"/>
      <c r="BY665" s="74"/>
      <c r="BZ665" s="74"/>
      <c r="CA665" s="74"/>
      <c r="CB665" s="74"/>
      <c r="CC665" s="74"/>
      <c r="CD665" s="74"/>
      <c r="CE665" s="74"/>
      <c r="CF665" s="74"/>
      <c r="CG665" s="74"/>
      <c r="CH665" s="74"/>
      <c r="CI665" s="74"/>
      <c r="CJ665" s="74"/>
      <c r="CK665" s="74"/>
      <c r="CL665" s="74"/>
      <c r="CM665" s="74"/>
      <c r="CN665" s="74"/>
      <c r="CO665" s="74"/>
      <c r="CP665" s="74"/>
      <c r="CQ665" s="74"/>
      <c r="CR665" s="74"/>
      <c r="CS665" s="74"/>
      <c r="CT665" s="74"/>
      <c r="CU665" s="74"/>
      <c r="CV665" s="74"/>
      <c r="CW665" s="74"/>
      <c r="CX665" s="74"/>
      <c r="CY665" s="74"/>
      <c r="CZ665" s="74"/>
      <c r="DA665" s="74"/>
      <c r="DB665" s="74"/>
      <c r="DC665" s="74"/>
      <c r="DD665" s="74"/>
      <c r="DE665" s="74"/>
      <c r="DF665" s="74"/>
      <c r="DG665" s="74"/>
      <c r="DH665" s="74"/>
      <c r="DI665" s="74"/>
      <c r="DJ665" s="74"/>
      <c r="DK665" s="74"/>
      <c r="DL665" s="74"/>
      <c r="DM665" s="74"/>
      <c r="DN665" s="74"/>
      <c r="DO665" s="74"/>
      <c r="DP665" s="74"/>
      <c r="DQ665" s="74"/>
      <c r="DR665" s="74"/>
      <c r="DS665" s="74"/>
      <c r="DT665" s="74"/>
      <c r="DU665" s="74"/>
      <c r="DV665" s="74"/>
      <c r="DW665" s="74"/>
      <c r="DX665" s="74"/>
      <c r="DY665" s="74"/>
      <c r="DZ665" s="74"/>
      <c r="EA665" s="74"/>
      <c r="EB665" s="74"/>
      <c r="EC665" s="74"/>
      <c r="ED665" s="74"/>
      <c r="EE665" s="74"/>
      <c r="EF665" s="74"/>
      <c r="EG665" s="74"/>
      <c r="EH665" s="74"/>
      <c r="EI665" s="74"/>
      <c r="EJ665" s="74"/>
      <c r="EK665" s="74"/>
      <c r="EL665" s="74"/>
      <c r="EM665" s="74"/>
      <c r="EN665" s="74"/>
      <c r="EO665" s="74"/>
      <c r="EP665" s="74"/>
      <c r="EQ665" s="74"/>
      <c r="ER665" s="74"/>
      <c r="ES665" s="74"/>
      <c r="ET665" s="74"/>
      <c r="EU665" s="74"/>
      <c r="EV665" s="74"/>
      <c r="EW665" s="74"/>
      <c r="EX665" s="74"/>
      <c r="EY665" s="74"/>
      <c r="EZ665" s="74"/>
      <c r="FA665" s="74"/>
      <c r="FB665" s="74"/>
      <c r="FC665" s="74"/>
      <c r="FD665" s="74"/>
      <c r="FE665" s="74"/>
      <c r="FF665" s="74"/>
      <c r="FG665" s="74"/>
      <c r="FH665" s="74"/>
      <c r="FI665" s="74"/>
      <c r="FJ665" s="74"/>
      <c r="FK665" s="74"/>
      <c r="FL665" s="74"/>
      <c r="FM665" s="74"/>
      <c r="FN665" s="74"/>
      <c r="FO665" s="74"/>
      <c r="FP665" s="74"/>
      <c r="FQ665" s="74"/>
      <c r="FR665" s="74"/>
      <c r="FS665" s="74"/>
      <c r="FT665" s="74"/>
      <c r="FU665" s="74"/>
      <c r="FV665" s="74"/>
      <c r="FW665" s="74"/>
      <c r="FX665" s="74"/>
      <c r="FY665" s="74"/>
      <c r="FZ665" s="74"/>
      <c r="GA665" s="74"/>
      <c r="GB665" s="74"/>
      <c r="GC665" s="74"/>
      <c r="GD665" s="74"/>
      <c r="GE665" s="74"/>
      <c r="GF665" s="74"/>
      <c r="GG665" s="74"/>
      <c r="GH665" s="74"/>
      <c r="GI665" s="74"/>
      <c r="GJ665" s="74"/>
      <c r="GK665" s="74"/>
      <c r="GL665" s="74"/>
      <c r="GM665" s="74"/>
      <c r="GN665" s="74"/>
      <c r="GO665" s="74"/>
      <c r="GP665" s="74"/>
      <c r="GQ665" s="74"/>
      <c r="GR665" s="74"/>
      <c r="GS665" s="74"/>
      <c r="GT665" s="74"/>
      <c r="GU665" s="74"/>
      <c r="GV665" s="74"/>
      <c r="GW665" s="74"/>
      <c r="GX665" s="74"/>
      <c r="GY665" s="74"/>
      <c r="GZ665" s="74"/>
      <c r="HA665" s="74"/>
      <c r="HB665" s="74"/>
      <c r="HC665" s="74"/>
      <c r="HD665" s="74"/>
      <c r="HE665" s="74"/>
      <c r="HF665" s="74"/>
      <c r="HG665" s="74"/>
      <c r="HH665" s="74"/>
      <c r="HI665" s="74"/>
      <c r="HJ665" s="74"/>
      <c r="HK665" s="74"/>
      <c r="HL665" s="74"/>
      <c r="HM665" s="74"/>
      <c r="HN665" s="74"/>
      <c r="HO665" s="74"/>
      <c r="HP665" s="74"/>
      <c r="HQ665" s="74"/>
      <c r="HR665" s="74"/>
      <c r="HS665" s="74"/>
      <c r="HT665" s="74"/>
      <c r="HU665" s="74"/>
      <c r="HV665" s="74"/>
      <c r="HW665" s="74"/>
      <c r="HX665" s="74"/>
      <c r="HY665" s="74"/>
      <c r="HZ665" s="74"/>
      <c r="IA665" s="74"/>
      <c r="IB665" s="74"/>
      <c r="IC665" s="74"/>
      <c r="ID665" s="74"/>
      <c r="IE665" s="74"/>
      <c r="IF665" s="74"/>
      <c r="IG665" s="74"/>
      <c r="IH665" s="74"/>
      <c r="II665" s="74"/>
      <c r="IJ665" s="74"/>
      <c r="IK665" s="74"/>
      <c r="IL665" s="74"/>
      <c r="IM665" s="74"/>
      <c r="IN665" s="74"/>
      <c r="IO665" s="74"/>
      <c r="IP665" s="74"/>
      <c r="IQ665" s="74"/>
      <c r="IR665" s="74"/>
      <c r="IS665" s="74"/>
      <c r="IT665" s="74"/>
      <c r="IU665" s="74"/>
      <c r="IV665" s="74"/>
      <c r="IW665" s="74"/>
    </row>
    <row r="666" customFormat="false" ht="16.5" hidden="true" customHeight="false" outlineLevel="0" collapsed="false">
      <c r="A666" s="220" t="s">
        <v>637</v>
      </c>
      <c r="B666" s="95" t="n">
        <v>37091</v>
      </c>
      <c r="C666" s="188" t="s">
        <v>605</v>
      </c>
      <c r="D666" s="92" t="n">
        <f aca="false">I666/0.015</f>
        <v>-465.133333333333</v>
      </c>
      <c r="E666" s="93" t="n">
        <v>-7.107</v>
      </c>
      <c r="F666" s="81" t="n">
        <v>0.13</v>
      </c>
      <c r="G666" s="81" t="n">
        <v>0</v>
      </c>
      <c r="H666" s="81" t="n">
        <v>0</v>
      </c>
      <c r="I666" s="94" t="n">
        <f aca="false">SUM(E666:H666)</f>
        <v>-6.977</v>
      </c>
      <c r="J666" s="118"/>
      <c r="K666" s="74"/>
      <c r="L666" s="74"/>
      <c r="M666" s="119"/>
      <c r="N666" s="74"/>
      <c r="O666" s="74"/>
      <c r="P666" s="74"/>
      <c r="Q666" s="74"/>
      <c r="R666" s="74"/>
      <c r="S666" s="74"/>
      <c r="T666" s="65" t="str">
        <f aca="false">IF(D666&gt;0,(I666/D666),"")</f>
        <v/>
      </c>
      <c r="U666" s="74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74"/>
      <c r="AJ666" s="74"/>
      <c r="AK666" s="74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4"/>
      <c r="AZ666" s="74"/>
      <c r="BA666" s="74"/>
      <c r="BB666" s="74"/>
      <c r="BC666" s="74"/>
      <c r="BD666" s="74"/>
      <c r="BE666" s="74"/>
      <c r="BF666" s="74"/>
      <c r="BG666" s="74"/>
      <c r="BH666" s="74"/>
      <c r="BI666" s="74"/>
      <c r="BJ666" s="74"/>
      <c r="BK666" s="74"/>
      <c r="BL666" s="74"/>
      <c r="BM666" s="74"/>
      <c r="BN666" s="74"/>
      <c r="BO666" s="74"/>
      <c r="BP666" s="74"/>
      <c r="BQ666" s="74"/>
      <c r="BR666" s="74"/>
      <c r="BS666" s="74"/>
      <c r="BT666" s="74"/>
      <c r="BU666" s="74"/>
      <c r="BV666" s="74"/>
      <c r="BW666" s="74"/>
      <c r="BX666" s="74"/>
      <c r="BY666" s="74"/>
      <c r="BZ666" s="74"/>
      <c r="CA666" s="74"/>
      <c r="CB666" s="74"/>
      <c r="CC666" s="74"/>
      <c r="CD666" s="74"/>
      <c r="CE666" s="74"/>
      <c r="CF666" s="74"/>
      <c r="CG666" s="74"/>
      <c r="CH666" s="74"/>
      <c r="CI666" s="74"/>
      <c r="CJ666" s="74"/>
      <c r="CK666" s="74"/>
      <c r="CL666" s="74"/>
      <c r="CM666" s="74"/>
      <c r="CN666" s="74"/>
      <c r="CO666" s="74"/>
      <c r="CP666" s="74"/>
      <c r="CQ666" s="74"/>
      <c r="CR666" s="74"/>
      <c r="CS666" s="74"/>
      <c r="CT666" s="74"/>
      <c r="CU666" s="74"/>
      <c r="CV666" s="74"/>
      <c r="CW666" s="74"/>
      <c r="CX666" s="74"/>
      <c r="CY666" s="74"/>
      <c r="CZ666" s="74"/>
      <c r="DA666" s="74"/>
      <c r="DB666" s="74"/>
      <c r="DC666" s="74"/>
      <c r="DD666" s="74"/>
      <c r="DE666" s="74"/>
      <c r="DF666" s="74"/>
      <c r="DG666" s="74"/>
      <c r="DH666" s="74"/>
      <c r="DI666" s="74"/>
      <c r="DJ666" s="74"/>
      <c r="DK666" s="74"/>
      <c r="DL666" s="74"/>
      <c r="DM666" s="74"/>
      <c r="DN666" s="74"/>
      <c r="DO666" s="74"/>
      <c r="DP666" s="74"/>
      <c r="DQ666" s="74"/>
      <c r="DR666" s="74"/>
      <c r="DS666" s="74"/>
      <c r="DT666" s="74"/>
      <c r="DU666" s="74"/>
      <c r="DV666" s="74"/>
      <c r="DW666" s="74"/>
      <c r="DX666" s="74"/>
      <c r="DY666" s="74"/>
      <c r="DZ666" s="74"/>
      <c r="EA666" s="74"/>
      <c r="EB666" s="74"/>
      <c r="EC666" s="74"/>
      <c r="ED666" s="74"/>
      <c r="EE666" s="74"/>
      <c r="EF666" s="74"/>
      <c r="EG666" s="74"/>
      <c r="EH666" s="74"/>
      <c r="EI666" s="74"/>
      <c r="EJ666" s="74"/>
      <c r="EK666" s="74"/>
      <c r="EL666" s="74"/>
      <c r="EM666" s="74"/>
      <c r="EN666" s="74"/>
      <c r="EO666" s="74"/>
      <c r="EP666" s="74"/>
      <c r="EQ666" s="74"/>
      <c r="ER666" s="74"/>
      <c r="ES666" s="74"/>
      <c r="ET666" s="74"/>
      <c r="EU666" s="74"/>
      <c r="EV666" s="74"/>
      <c r="EW666" s="74"/>
      <c r="EX666" s="74"/>
      <c r="EY666" s="74"/>
      <c r="EZ666" s="74"/>
      <c r="FA666" s="74"/>
      <c r="FB666" s="74"/>
      <c r="FC666" s="74"/>
      <c r="FD666" s="74"/>
      <c r="FE666" s="74"/>
      <c r="FF666" s="74"/>
      <c r="FG666" s="74"/>
      <c r="FH666" s="74"/>
      <c r="FI666" s="74"/>
      <c r="FJ666" s="74"/>
      <c r="FK666" s="74"/>
      <c r="FL666" s="74"/>
      <c r="FM666" s="74"/>
      <c r="FN666" s="74"/>
      <c r="FO666" s="74"/>
      <c r="FP666" s="74"/>
      <c r="FQ666" s="74"/>
      <c r="FR666" s="74"/>
      <c r="FS666" s="74"/>
      <c r="FT666" s="74"/>
      <c r="FU666" s="74"/>
      <c r="FV666" s="74"/>
      <c r="FW666" s="74"/>
      <c r="FX666" s="74"/>
      <c r="FY666" s="74"/>
      <c r="FZ666" s="74"/>
      <c r="GA666" s="74"/>
      <c r="GB666" s="74"/>
      <c r="GC666" s="74"/>
      <c r="GD666" s="74"/>
      <c r="GE666" s="74"/>
      <c r="GF666" s="74"/>
      <c r="GG666" s="74"/>
      <c r="GH666" s="74"/>
      <c r="GI666" s="74"/>
      <c r="GJ666" s="74"/>
      <c r="GK666" s="74"/>
      <c r="GL666" s="74"/>
      <c r="GM666" s="74"/>
      <c r="GN666" s="74"/>
      <c r="GO666" s="74"/>
      <c r="GP666" s="74"/>
      <c r="GQ666" s="74"/>
      <c r="GR666" s="74"/>
      <c r="GS666" s="74"/>
      <c r="GT666" s="74"/>
      <c r="GU666" s="74"/>
      <c r="GV666" s="74"/>
      <c r="GW666" s="74"/>
      <c r="GX666" s="74"/>
      <c r="GY666" s="74"/>
      <c r="GZ666" s="74"/>
      <c r="HA666" s="74"/>
      <c r="HB666" s="74"/>
      <c r="HC666" s="74"/>
      <c r="HD666" s="74"/>
      <c r="HE666" s="74"/>
      <c r="HF666" s="74"/>
      <c r="HG666" s="74"/>
      <c r="HH666" s="74"/>
      <c r="HI666" s="74"/>
      <c r="HJ666" s="74"/>
      <c r="HK666" s="74"/>
      <c r="HL666" s="74"/>
      <c r="HM666" s="74"/>
      <c r="HN666" s="74"/>
      <c r="HO666" s="74"/>
      <c r="HP666" s="74"/>
      <c r="HQ666" s="74"/>
      <c r="HR666" s="74"/>
      <c r="HS666" s="74"/>
      <c r="HT666" s="74"/>
      <c r="HU666" s="74"/>
      <c r="HV666" s="74"/>
      <c r="HW666" s="74"/>
      <c r="HX666" s="74"/>
      <c r="HY666" s="74"/>
      <c r="HZ666" s="74"/>
      <c r="IA666" s="74"/>
      <c r="IB666" s="74"/>
      <c r="IC666" s="74"/>
      <c r="ID666" s="74"/>
      <c r="IE666" s="74"/>
      <c r="IF666" s="74"/>
      <c r="IG666" s="74"/>
      <c r="IH666" s="74"/>
      <c r="II666" s="74"/>
      <c r="IJ666" s="74"/>
      <c r="IK666" s="74"/>
      <c r="IL666" s="74"/>
      <c r="IM666" s="74"/>
      <c r="IN666" s="74"/>
      <c r="IO666" s="74"/>
      <c r="IP666" s="74"/>
      <c r="IQ666" s="74"/>
      <c r="IR666" s="74"/>
      <c r="IS666" s="74"/>
      <c r="IT666" s="74"/>
      <c r="IU666" s="74"/>
      <c r="IV666" s="74"/>
      <c r="IW666" s="74"/>
    </row>
    <row r="667" customFormat="false" ht="16.5" hidden="true" customHeight="false" outlineLevel="0" collapsed="false">
      <c r="A667" s="220" t="s">
        <v>638</v>
      </c>
      <c r="B667" s="95" t="n">
        <v>37091</v>
      </c>
      <c r="C667" s="188" t="s">
        <v>605</v>
      </c>
      <c r="D667" s="92" t="n">
        <f aca="false">I667/0.015</f>
        <v>-562.533333333333</v>
      </c>
      <c r="E667" s="93" t="n">
        <v>-8.593</v>
      </c>
      <c r="F667" s="81" t="n">
        <v>0.155</v>
      </c>
      <c r="G667" s="81" t="n">
        <v>0</v>
      </c>
      <c r="H667" s="81" t="n">
        <v>0</v>
      </c>
      <c r="I667" s="94" t="n">
        <f aca="false">SUM(E667:H667)</f>
        <v>-8.438</v>
      </c>
      <c r="J667" s="118"/>
      <c r="K667" s="74"/>
      <c r="L667" s="74"/>
      <c r="M667" s="119"/>
      <c r="N667" s="74"/>
      <c r="O667" s="74"/>
      <c r="P667" s="74"/>
      <c r="Q667" s="74"/>
      <c r="R667" s="74"/>
      <c r="S667" s="74"/>
      <c r="T667" s="65" t="str">
        <f aca="false">IF(D667&gt;0,(I667/D667),"")</f>
        <v/>
      </c>
      <c r="U667" s="74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74"/>
      <c r="AJ667" s="74"/>
      <c r="AK667" s="74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4"/>
      <c r="AZ667" s="74"/>
      <c r="BA667" s="74"/>
      <c r="BB667" s="74"/>
      <c r="BC667" s="74"/>
      <c r="BD667" s="74"/>
      <c r="BE667" s="74"/>
      <c r="BF667" s="74"/>
      <c r="BG667" s="74"/>
      <c r="BH667" s="74"/>
      <c r="BI667" s="74"/>
      <c r="BJ667" s="74"/>
      <c r="BK667" s="74"/>
      <c r="BL667" s="74"/>
      <c r="BM667" s="74"/>
      <c r="BN667" s="74"/>
      <c r="BO667" s="74"/>
      <c r="BP667" s="74"/>
      <c r="BQ667" s="74"/>
      <c r="BR667" s="74"/>
      <c r="BS667" s="74"/>
      <c r="BT667" s="74"/>
      <c r="BU667" s="74"/>
      <c r="BV667" s="74"/>
      <c r="BW667" s="74"/>
      <c r="BX667" s="74"/>
      <c r="BY667" s="74"/>
      <c r="BZ667" s="74"/>
      <c r="CA667" s="74"/>
      <c r="CB667" s="74"/>
      <c r="CC667" s="74"/>
      <c r="CD667" s="74"/>
      <c r="CE667" s="74"/>
      <c r="CF667" s="74"/>
      <c r="CG667" s="74"/>
      <c r="CH667" s="74"/>
      <c r="CI667" s="74"/>
      <c r="CJ667" s="74"/>
      <c r="CK667" s="74"/>
      <c r="CL667" s="74"/>
      <c r="CM667" s="74"/>
      <c r="CN667" s="74"/>
      <c r="CO667" s="74"/>
      <c r="CP667" s="74"/>
      <c r="CQ667" s="74"/>
      <c r="CR667" s="74"/>
      <c r="CS667" s="74"/>
      <c r="CT667" s="74"/>
      <c r="CU667" s="74"/>
      <c r="CV667" s="74"/>
      <c r="CW667" s="74"/>
      <c r="CX667" s="74"/>
      <c r="CY667" s="74"/>
      <c r="CZ667" s="74"/>
      <c r="DA667" s="74"/>
      <c r="DB667" s="74"/>
      <c r="DC667" s="74"/>
      <c r="DD667" s="74"/>
      <c r="DE667" s="74"/>
      <c r="DF667" s="74"/>
      <c r="DG667" s="74"/>
      <c r="DH667" s="74"/>
      <c r="DI667" s="74"/>
      <c r="DJ667" s="74"/>
      <c r="DK667" s="74"/>
      <c r="DL667" s="74"/>
      <c r="DM667" s="74"/>
      <c r="DN667" s="74"/>
      <c r="DO667" s="74"/>
      <c r="DP667" s="74"/>
      <c r="DQ667" s="74"/>
      <c r="DR667" s="74"/>
      <c r="DS667" s="74"/>
      <c r="DT667" s="74"/>
      <c r="DU667" s="74"/>
      <c r="DV667" s="74"/>
      <c r="DW667" s="74"/>
      <c r="DX667" s="74"/>
      <c r="DY667" s="74"/>
      <c r="DZ667" s="74"/>
      <c r="EA667" s="74"/>
      <c r="EB667" s="74"/>
      <c r="EC667" s="74"/>
      <c r="ED667" s="74"/>
      <c r="EE667" s="74"/>
      <c r="EF667" s="74"/>
      <c r="EG667" s="74"/>
      <c r="EH667" s="74"/>
      <c r="EI667" s="74"/>
      <c r="EJ667" s="74"/>
      <c r="EK667" s="74"/>
      <c r="EL667" s="74"/>
      <c r="EM667" s="74"/>
      <c r="EN667" s="74"/>
      <c r="EO667" s="74"/>
      <c r="EP667" s="74"/>
      <c r="EQ667" s="74"/>
      <c r="ER667" s="74"/>
      <c r="ES667" s="74"/>
      <c r="ET667" s="74"/>
      <c r="EU667" s="74"/>
      <c r="EV667" s="74"/>
      <c r="EW667" s="74"/>
      <c r="EX667" s="74"/>
      <c r="EY667" s="74"/>
      <c r="EZ667" s="74"/>
      <c r="FA667" s="74"/>
      <c r="FB667" s="74"/>
      <c r="FC667" s="74"/>
      <c r="FD667" s="74"/>
      <c r="FE667" s="74"/>
      <c r="FF667" s="74"/>
      <c r="FG667" s="74"/>
      <c r="FH667" s="74"/>
      <c r="FI667" s="74"/>
      <c r="FJ667" s="74"/>
      <c r="FK667" s="74"/>
      <c r="FL667" s="74"/>
      <c r="FM667" s="74"/>
      <c r="FN667" s="74"/>
      <c r="FO667" s="74"/>
      <c r="FP667" s="74"/>
      <c r="FQ667" s="74"/>
      <c r="FR667" s="74"/>
      <c r="FS667" s="74"/>
      <c r="FT667" s="74"/>
      <c r="FU667" s="74"/>
      <c r="FV667" s="74"/>
      <c r="FW667" s="74"/>
      <c r="FX667" s="74"/>
      <c r="FY667" s="74"/>
      <c r="FZ667" s="74"/>
      <c r="GA667" s="74"/>
      <c r="GB667" s="74"/>
      <c r="GC667" s="74"/>
      <c r="GD667" s="74"/>
      <c r="GE667" s="74"/>
      <c r="GF667" s="74"/>
      <c r="GG667" s="74"/>
      <c r="GH667" s="74"/>
      <c r="GI667" s="74"/>
      <c r="GJ667" s="74"/>
      <c r="GK667" s="74"/>
      <c r="GL667" s="74"/>
      <c r="GM667" s="74"/>
      <c r="GN667" s="74"/>
      <c r="GO667" s="74"/>
      <c r="GP667" s="74"/>
      <c r="GQ667" s="74"/>
      <c r="GR667" s="74"/>
      <c r="GS667" s="74"/>
      <c r="GT667" s="74"/>
      <c r="GU667" s="74"/>
      <c r="GV667" s="74"/>
      <c r="GW667" s="74"/>
      <c r="GX667" s="74"/>
      <c r="GY667" s="74"/>
      <c r="GZ667" s="74"/>
      <c r="HA667" s="74"/>
      <c r="HB667" s="74"/>
      <c r="HC667" s="74"/>
      <c r="HD667" s="74"/>
      <c r="HE667" s="74"/>
      <c r="HF667" s="74"/>
      <c r="HG667" s="74"/>
      <c r="HH667" s="74"/>
      <c r="HI667" s="74"/>
      <c r="HJ667" s="74"/>
      <c r="HK667" s="74"/>
      <c r="HL667" s="74"/>
      <c r="HM667" s="74"/>
      <c r="HN667" s="74"/>
      <c r="HO667" s="74"/>
      <c r="HP667" s="74"/>
      <c r="HQ667" s="74"/>
      <c r="HR667" s="74"/>
      <c r="HS667" s="74"/>
      <c r="HT667" s="74"/>
      <c r="HU667" s="74"/>
      <c r="HV667" s="74"/>
      <c r="HW667" s="74"/>
      <c r="HX667" s="74"/>
      <c r="HY667" s="74"/>
      <c r="HZ667" s="74"/>
      <c r="IA667" s="74"/>
      <c r="IB667" s="74"/>
      <c r="IC667" s="74"/>
      <c r="ID667" s="74"/>
      <c r="IE667" s="74"/>
      <c r="IF667" s="74"/>
      <c r="IG667" s="74"/>
      <c r="IH667" s="74"/>
      <c r="II667" s="74"/>
      <c r="IJ667" s="74"/>
      <c r="IK667" s="74"/>
      <c r="IL667" s="74"/>
      <c r="IM667" s="74"/>
      <c r="IN667" s="74"/>
      <c r="IO667" s="74"/>
      <c r="IP667" s="74"/>
      <c r="IQ667" s="74"/>
      <c r="IR667" s="74"/>
      <c r="IS667" s="74"/>
      <c r="IT667" s="74"/>
      <c r="IU667" s="74"/>
      <c r="IV667" s="74"/>
      <c r="IW667" s="74"/>
    </row>
    <row r="668" customFormat="false" ht="16.5" hidden="true" customHeight="false" outlineLevel="0" collapsed="false">
      <c r="A668" s="220" t="s">
        <v>639</v>
      </c>
      <c r="B668" s="95" t="n">
        <v>37091</v>
      </c>
      <c r="C668" s="188" t="s">
        <v>605</v>
      </c>
      <c r="D668" s="92" t="n">
        <f aca="false">I668/0.015</f>
        <v>-244.933333333333</v>
      </c>
      <c r="E668" s="93" t="n">
        <v>-3.731</v>
      </c>
      <c r="F668" s="81" t="n">
        <v>0.057</v>
      </c>
      <c r="G668" s="81" t="n">
        <v>0</v>
      </c>
      <c r="H668" s="81" t="n">
        <v>0</v>
      </c>
      <c r="I668" s="94" t="n">
        <f aca="false">SUM(E668:H668)</f>
        <v>-3.674</v>
      </c>
      <c r="J668" s="118"/>
      <c r="K668" s="74"/>
      <c r="L668" s="74"/>
      <c r="M668" s="119"/>
      <c r="N668" s="74"/>
      <c r="O668" s="74"/>
      <c r="P668" s="74"/>
      <c r="Q668" s="74"/>
      <c r="R668" s="74"/>
      <c r="S668" s="74"/>
      <c r="T668" s="65" t="str">
        <f aca="false">IF(D668&gt;0,(I668/D668),"")</f>
        <v/>
      </c>
      <c r="U668" s="74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74"/>
      <c r="AJ668" s="74"/>
      <c r="AK668" s="74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4"/>
      <c r="AZ668" s="74"/>
      <c r="BA668" s="74"/>
      <c r="BB668" s="74"/>
      <c r="BC668" s="74"/>
      <c r="BD668" s="74"/>
      <c r="BE668" s="74"/>
      <c r="BF668" s="74"/>
      <c r="BG668" s="74"/>
      <c r="BH668" s="74"/>
      <c r="BI668" s="74"/>
      <c r="BJ668" s="74"/>
      <c r="BK668" s="74"/>
      <c r="BL668" s="74"/>
      <c r="BM668" s="74"/>
      <c r="BN668" s="74"/>
      <c r="BO668" s="74"/>
      <c r="BP668" s="74"/>
      <c r="BQ668" s="74"/>
      <c r="BR668" s="74"/>
      <c r="BS668" s="74"/>
      <c r="BT668" s="74"/>
      <c r="BU668" s="74"/>
      <c r="BV668" s="74"/>
      <c r="BW668" s="74"/>
      <c r="BX668" s="74"/>
      <c r="BY668" s="74"/>
      <c r="BZ668" s="74"/>
      <c r="CA668" s="74"/>
      <c r="CB668" s="74"/>
      <c r="CC668" s="74"/>
      <c r="CD668" s="74"/>
      <c r="CE668" s="74"/>
      <c r="CF668" s="74"/>
      <c r="CG668" s="74"/>
      <c r="CH668" s="74"/>
      <c r="CI668" s="74"/>
      <c r="CJ668" s="74"/>
      <c r="CK668" s="74"/>
      <c r="CL668" s="74"/>
      <c r="CM668" s="74"/>
      <c r="CN668" s="74"/>
      <c r="CO668" s="74"/>
      <c r="CP668" s="74"/>
      <c r="CQ668" s="74"/>
      <c r="CR668" s="74"/>
      <c r="CS668" s="74"/>
      <c r="CT668" s="74"/>
      <c r="CU668" s="74"/>
      <c r="CV668" s="74"/>
      <c r="CW668" s="74"/>
      <c r="CX668" s="74"/>
      <c r="CY668" s="74"/>
      <c r="CZ668" s="74"/>
      <c r="DA668" s="74"/>
      <c r="DB668" s="74"/>
      <c r="DC668" s="74"/>
      <c r="DD668" s="74"/>
      <c r="DE668" s="74"/>
      <c r="DF668" s="74"/>
      <c r="DG668" s="74"/>
      <c r="DH668" s="74"/>
      <c r="DI668" s="74"/>
      <c r="DJ668" s="74"/>
      <c r="DK668" s="74"/>
      <c r="DL668" s="74"/>
      <c r="DM668" s="74"/>
      <c r="DN668" s="74"/>
      <c r="DO668" s="74"/>
      <c r="DP668" s="74"/>
      <c r="DQ668" s="74"/>
      <c r="DR668" s="74"/>
      <c r="DS668" s="74"/>
      <c r="DT668" s="74"/>
      <c r="DU668" s="74"/>
      <c r="DV668" s="74"/>
      <c r="DW668" s="74"/>
      <c r="DX668" s="74"/>
      <c r="DY668" s="74"/>
      <c r="DZ668" s="74"/>
      <c r="EA668" s="74"/>
      <c r="EB668" s="74"/>
      <c r="EC668" s="74"/>
      <c r="ED668" s="74"/>
      <c r="EE668" s="74"/>
      <c r="EF668" s="74"/>
      <c r="EG668" s="74"/>
      <c r="EH668" s="74"/>
      <c r="EI668" s="74"/>
      <c r="EJ668" s="74"/>
      <c r="EK668" s="74"/>
      <c r="EL668" s="74"/>
      <c r="EM668" s="74"/>
      <c r="EN668" s="74"/>
      <c r="EO668" s="74"/>
      <c r="EP668" s="74"/>
      <c r="EQ668" s="74"/>
      <c r="ER668" s="74"/>
      <c r="ES668" s="74"/>
      <c r="ET668" s="74"/>
      <c r="EU668" s="74"/>
      <c r="EV668" s="74"/>
      <c r="EW668" s="74"/>
      <c r="EX668" s="74"/>
      <c r="EY668" s="74"/>
      <c r="EZ668" s="74"/>
      <c r="FA668" s="74"/>
      <c r="FB668" s="74"/>
      <c r="FC668" s="74"/>
      <c r="FD668" s="74"/>
      <c r="FE668" s="74"/>
      <c r="FF668" s="74"/>
      <c r="FG668" s="74"/>
      <c r="FH668" s="74"/>
      <c r="FI668" s="74"/>
      <c r="FJ668" s="74"/>
      <c r="FK668" s="74"/>
      <c r="FL668" s="74"/>
      <c r="FM668" s="74"/>
      <c r="FN668" s="74"/>
      <c r="FO668" s="74"/>
      <c r="FP668" s="74"/>
      <c r="FQ668" s="74"/>
      <c r="FR668" s="74"/>
      <c r="FS668" s="74"/>
      <c r="FT668" s="74"/>
      <c r="FU668" s="74"/>
      <c r="FV668" s="74"/>
      <c r="FW668" s="74"/>
      <c r="FX668" s="74"/>
      <c r="FY668" s="74"/>
      <c r="FZ668" s="74"/>
      <c r="GA668" s="74"/>
      <c r="GB668" s="74"/>
      <c r="GC668" s="74"/>
      <c r="GD668" s="74"/>
      <c r="GE668" s="74"/>
      <c r="GF668" s="74"/>
      <c r="GG668" s="74"/>
      <c r="GH668" s="74"/>
      <c r="GI668" s="74"/>
      <c r="GJ668" s="74"/>
      <c r="GK668" s="74"/>
      <c r="GL668" s="74"/>
      <c r="GM668" s="74"/>
      <c r="GN668" s="74"/>
      <c r="GO668" s="74"/>
      <c r="GP668" s="74"/>
      <c r="GQ668" s="74"/>
      <c r="GR668" s="74"/>
      <c r="GS668" s="74"/>
      <c r="GT668" s="74"/>
      <c r="GU668" s="74"/>
      <c r="GV668" s="74"/>
      <c r="GW668" s="74"/>
      <c r="GX668" s="74"/>
      <c r="GY668" s="74"/>
      <c r="GZ668" s="74"/>
      <c r="HA668" s="74"/>
      <c r="HB668" s="74"/>
      <c r="HC668" s="74"/>
      <c r="HD668" s="74"/>
      <c r="HE668" s="74"/>
      <c r="HF668" s="74"/>
      <c r="HG668" s="74"/>
      <c r="HH668" s="74"/>
      <c r="HI668" s="74"/>
      <c r="HJ668" s="74"/>
      <c r="HK668" s="74"/>
      <c r="HL668" s="74"/>
      <c r="HM668" s="74"/>
      <c r="HN668" s="74"/>
      <c r="HO668" s="74"/>
      <c r="HP668" s="74"/>
      <c r="HQ668" s="74"/>
      <c r="HR668" s="74"/>
      <c r="HS668" s="74"/>
      <c r="HT668" s="74"/>
      <c r="HU668" s="74"/>
      <c r="HV668" s="74"/>
      <c r="HW668" s="74"/>
      <c r="HX668" s="74"/>
      <c r="HY668" s="74"/>
      <c r="HZ668" s="74"/>
      <c r="IA668" s="74"/>
      <c r="IB668" s="74"/>
      <c r="IC668" s="74"/>
      <c r="ID668" s="74"/>
      <c r="IE668" s="74"/>
      <c r="IF668" s="74"/>
      <c r="IG668" s="74"/>
      <c r="IH668" s="74"/>
      <c r="II668" s="74"/>
      <c r="IJ668" s="74"/>
      <c r="IK668" s="74"/>
      <c r="IL668" s="74"/>
      <c r="IM668" s="74"/>
      <c r="IN668" s="74"/>
      <c r="IO668" s="74"/>
      <c r="IP668" s="74"/>
      <c r="IQ668" s="74"/>
      <c r="IR668" s="74"/>
      <c r="IS668" s="74"/>
      <c r="IT668" s="74"/>
      <c r="IU668" s="74"/>
      <c r="IV668" s="74"/>
      <c r="IW668" s="74"/>
    </row>
    <row r="669" customFormat="false" ht="16.5" hidden="true" customHeight="false" outlineLevel="0" collapsed="false">
      <c r="A669" s="220" t="s">
        <v>640</v>
      </c>
      <c r="B669" s="95" t="n">
        <v>37098</v>
      </c>
      <c r="C669" s="188" t="s">
        <v>605</v>
      </c>
      <c r="D669" s="96" t="n">
        <f aca="false">I669/0.03</f>
        <v>2077.13333333333</v>
      </c>
      <c r="E669" s="93" t="n">
        <v>85.383</v>
      </c>
      <c r="F669" s="81" t="n">
        <v>-23.069</v>
      </c>
      <c r="G669" s="81"/>
      <c r="H669" s="81"/>
      <c r="I669" s="94" t="n">
        <f aca="false">SUM(E669:H669)</f>
        <v>62.314</v>
      </c>
      <c r="J669" s="118"/>
      <c r="K669" s="74"/>
      <c r="L669" s="74"/>
      <c r="M669" s="119"/>
      <c r="N669" s="74"/>
      <c r="O669" s="74"/>
      <c r="P669" s="74"/>
      <c r="Q669" s="74"/>
      <c r="R669" s="74"/>
      <c r="S669" s="74"/>
      <c r="T669" s="65" t="n">
        <f aca="false">IF(D669&gt;0,(I669/D669),"")</f>
        <v>0.03</v>
      </c>
      <c r="U669" s="74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74"/>
      <c r="AJ669" s="74"/>
      <c r="AK669" s="74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4"/>
      <c r="AZ669" s="74"/>
      <c r="BA669" s="74"/>
      <c r="BB669" s="74"/>
      <c r="BC669" s="74"/>
      <c r="BD669" s="74"/>
      <c r="BE669" s="74"/>
      <c r="BF669" s="74"/>
      <c r="BG669" s="74"/>
      <c r="BH669" s="74"/>
      <c r="BI669" s="74"/>
      <c r="BJ669" s="74"/>
      <c r="BK669" s="74"/>
      <c r="BL669" s="74"/>
      <c r="BM669" s="74"/>
      <c r="BN669" s="74"/>
      <c r="BO669" s="74"/>
      <c r="BP669" s="74"/>
      <c r="BQ669" s="74"/>
      <c r="BR669" s="74"/>
      <c r="BS669" s="74"/>
      <c r="BT669" s="74"/>
      <c r="BU669" s="74"/>
      <c r="BV669" s="74"/>
      <c r="BW669" s="74"/>
      <c r="BX669" s="74"/>
      <c r="BY669" s="74"/>
      <c r="BZ669" s="74"/>
      <c r="CA669" s="74"/>
      <c r="CB669" s="74"/>
      <c r="CC669" s="74"/>
      <c r="CD669" s="74"/>
      <c r="CE669" s="74"/>
      <c r="CF669" s="74"/>
      <c r="CG669" s="74"/>
      <c r="CH669" s="74"/>
      <c r="CI669" s="74"/>
      <c r="CJ669" s="74"/>
      <c r="CK669" s="74"/>
      <c r="CL669" s="74"/>
      <c r="CM669" s="74"/>
      <c r="CN669" s="74"/>
      <c r="CO669" s="74"/>
      <c r="CP669" s="74"/>
      <c r="CQ669" s="74"/>
      <c r="CR669" s="74"/>
      <c r="CS669" s="74"/>
      <c r="CT669" s="74"/>
      <c r="CU669" s="74"/>
      <c r="CV669" s="74"/>
      <c r="CW669" s="74"/>
      <c r="CX669" s="74"/>
      <c r="CY669" s="74"/>
      <c r="CZ669" s="74"/>
      <c r="DA669" s="74"/>
      <c r="DB669" s="74"/>
      <c r="DC669" s="74"/>
      <c r="DD669" s="74"/>
      <c r="DE669" s="74"/>
      <c r="DF669" s="74"/>
      <c r="DG669" s="74"/>
      <c r="DH669" s="74"/>
      <c r="DI669" s="74"/>
      <c r="DJ669" s="74"/>
      <c r="DK669" s="74"/>
      <c r="DL669" s="74"/>
      <c r="DM669" s="74"/>
      <c r="DN669" s="74"/>
      <c r="DO669" s="74"/>
      <c r="DP669" s="74"/>
      <c r="DQ669" s="74"/>
      <c r="DR669" s="74"/>
      <c r="DS669" s="74"/>
      <c r="DT669" s="74"/>
      <c r="DU669" s="74"/>
      <c r="DV669" s="74"/>
      <c r="DW669" s="74"/>
      <c r="DX669" s="74"/>
      <c r="DY669" s="74"/>
      <c r="DZ669" s="74"/>
      <c r="EA669" s="74"/>
      <c r="EB669" s="74"/>
      <c r="EC669" s="74"/>
      <c r="ED669" s="74"/>
      <c r="EE669" s="74"/>
      <c r="EF669" s="74"/>
      <c r="EG669" s="74"/>
      <c r="EH669" s="74"/>
      <c r="EI669" s="74"/>
      <c r="EJ669" s="74"/>
      <c r="EK669" s="74"/>
      <c r="EL669" s="74"/>
      <c r="EM669" s="74"/>
      <c r="EN669" s="74"/>
      <c r="EO669" s="74"/>
      <c r="EP669" s="74"/>
      <c r="EQ669" s="74"/>
      <c r="ER669" s="74"/>
      <c r="ES669" s="74"/>
      <c r="ET669" s="74"/>
      <c r="EU669" s="74"/>
      <c r="EV669" s="74"/>
      <c r="EW669" s="74"/>
      <c r="EX669" s="74"/>
      <c r="EY669" s="74"/>
      <c r="EZ669" s="74"/>
      <c r="FA669" s="74"/>
      <c r="FB669" s="74"/>
      <c r="FC669" s="74"/>
      <c r="FD669" s="74"/>
      <c r="FE669" s="74"/>
      <c r="FF669" s="74"/>
      <c r="FG669" s="74"/>
      <c r="FH669" s="74"/>
      <c r="FI669" s="74"/>
      <c r="FJ669" s="74"/>
      <c r="FK669" s="74"/>
      <c r="FL669" s="74"/>
      <c r="FM669" s="74"/>
      <c r="FN669" s="74"/>
      <c r="FO669" s="74"/>
      <c r="FP669" s="74"/>
      <c r="FQ669" s="74"/>
      <c r="FR669" s="74"/>
      <c r="FS669" s="74"/>
      <c r="FT669" s="74"/>
      <c r="FU669" s="74"/>
      <c r="FV669" s="74"/>
      <c r="FW669" s="74"/>
      <c r="FX669" s="74"/>
      <c r="FY669" s="74"/>
      <c r="FZ669" s="74"/>
      <c r="GA669" s="74"/>
      <c r="GB669" s="74"/>
      <c r="GC669" s="74"/>
      <c r="GD669" s="74"/>
      <c r="GE669" s="74"/>
      <c r="GF669" s="74"/>
      <c r="GG669" s="74"/>
      <c r="GH669" s="74"/>
      <c r="GI669" s="74"/>
      <c r="GJ669" s="74"/>
      <c r="GK669" s="74"/>
      <c r="GL669" s="74"/>
      <c r="GM669" s="74"/>
      <c r="GN669" s="74"/>
      <c r="GO669" s="74"/>
      <c r="GP669" s="74"/>
      <c r="GQ669" s="74"/>
      <c r="GR669" s="74"/>
      <c r="GS669" s="74"/>
      <c r="GT669" s="74"/>
      <c r="GU669" s="74"/>
      <c r="GV669" s="74"/>
      <c r="GW669" s="74"/>
      <c r="GX669" s="74"/>
      <c r="GY669" s="74"/>
      <c r="GZ669" s="74"/>
      <c r="HA669" s="74"/>
      <c r="HB669" s="74"/>
      <c r="HC669" s="74"/>
      <c r="HD669" s="74"/>
      <c r="HE669" s="74"/>
      <c r="HF669" s="74"/>
      <c r="HG669" s="74"/>
      <c r="HH669" s="74"/>
      <c r="HI669" s="74"/>
      <c r="HJ669" s="74"/>
      <c r="HK669" s="74"/>
      <c r="HL669" s="74"/>
      <c r="HM669" s="74"/>
      <c r="HN669" s="74"/>
      <c r="HO669" s="74"/>
      <c r="HP669" s="74"/>
      <c r="HQ669" s="74"/>
      <c r="HR669" s="74"/>
      <c r="HS669" s="74"/>
      <c r="HT669" s="74"/>
      <c r="HU669" s="74"/>
      <c r="HV669" s="74"/>
      <c r="HW669" s="74"/>
      <c r="HX669" s="74"/>
      <c r="HY669" s="74"/>
      <c r="HZ669" s="74"/>
      <c r="IA669" s="74"/>
      <c r="IB669" s="74"/>
      <c r="IC669" s="74"/>
      <c r="ID669" s="74"/>
      <c r="IE669" s="74"/>
      <c r="IF669" s="74"/>
      <c r="IG669" s="74"/>
      <c r="IH669" s="74"/>
      <c r="II669" s="74"/>
      <c r="IJ669" s="74"/>
      <c r="IK669" s="74"/>
      <c r="IL669" s="74"/>
      <c r="IM669" s="74"/>
      <c r="IN669" s="74"/>
      <c r="IO669" s="74"/>
      <c r="IP669" s="74"/>
      <c r="IQ669" s="74"/>
      <c r="IR669" s="74"/>
      <c r="IS669" s="74"/>
      <c r="IT669" s="74"/>
      <c r="IU669" s="74"/>
      <c r="IV669" s="74"/>
      <c r="IW669" s="74"/>
    </row>
    <row r="670" customFormat="false" ht="16.5" hidden="true" customHeight="false" outlineLevel="0" collapsed="false">
      <c r="A670" s="220" t="s">
        <v>641</v>
      </c>
      <c r="B670" s="95" t="n">
        <v>37098</v>
      </c>
      <c r="C670" s="188" t="s">
        <v>605</v>
      </c>
      <c r="D670" s="96" t="n">
        <f aca="false">I670/0.03</f>
        <v>-645.2</v>
      </c>
      <c r="E670" s="93" t="n">
        <v>-19.699</v>
      </c>
      <c r="F670" s="81" t="n">
        <v>0.343</v>
      </c>
      <c r="G670" s="81"/>
      <c r="H670" s="81"/>
      <c r="I670" s="94" t="n">
        <f aca="false">SUM(E670:H670)</f>
        <v>-19.356</v>
      </c>
      <c r="J670" s="118"/>
      <c r="K670" s="74"/>
      <c r="L670" s="74"/>
      <c r="M670" s="119"/>
      <c r="N670" s="74"/>
      <c r="O670" s="74"/>
      <c r="P670" s="74"/>
      <c r="Q670" s="74"/>
      <c r="R670" s="74"/>
      <c r="S670" s="74"/>
      <c r="T670" s="65" t="str">
        <f aca="false">IF(D670&gt;0,(I670/D670),"")</f>
        <v/>
      </c>
      <c r="U670" s="74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4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74"/>
      <c r="CB670" s="74"/>
      <c r="CC670" s="74"/>
      <c r="CD670" s="74"/>
      <c r="CE670" s="74"/>
      <c r="CF670" s="74"/>
      <c r="CG670" s="74"/>
      <c r="CH670" s="74"/>
      <c r="CI670" s="74"/>
      <c r="CJ670" s="74"/>
      <c r="CK670" s="74"/>
      <c r="CL670" s="74"/>
      <c r="CM670" s="74"/>
      <c r="CN670" s="74"/>
      <c r="CO670" s="74"/>
      <c r="CP670" s="74"/>
      <c r="CQ670" s="74"/>
      <c r="CR670" s="74"/>
      <c r="CS670" s="74"/>
      <c r="CT670" s="74"/>
      <c r="CU670" s="74"/>
      <c r="CV670" s="74"/>
      <c r="CW670" s="74"/>
      <c r="CX670" s="74"/>
      <c r="CY670" s="74"/>
      <c r="CZ670" s="74"/>
      <c r="DA670" s="74"/>
      <c r="DB670" s="74"/>
      <c r="DC670" s="74"/>
      <c r="DD670" s="74"/>
      <c r="DE670" s="74"/>
      <c r="DF670" s="74"/>
      <c r="DG670" s="74"/>
      <c r="DH670" s="74"/>
      <c r="DI670" s="74"/>
      <c r="DJ670" s="74"/>
      <c r="DK670" s="74"/>
      <c r="DL670" s="74"/>
      <c r="DM670" s="74"/>
      <c r="DN670" s="74"/>
      <c r="DO670" s="74"/>
      <c r="DP670" s="74"/>
      <c r="DQ670" s="74"/>
      <c r="DR670" s="74"/>
      <c r="DS670" s="74"/>
      <c r="DT670" s="74"/>
      <c r="DU670" s="74"/>
      <c r="DV670" s="74"/>
      <c r="DW670" s="74"/>
      <c r="DX670" s="74"/>
      <c r="DY670" s="74"/>
      <c r="DZ670" s="74"/>
      <c r="EA670" s="74"/>
      <c r="EB670" s="74"/>
      <c r="EC670" s="74"/>
      <c r="ED670" s="74"/>
      <c r="EE670" s="74"/>
      <c r="EF670" s="74"/>
      <c r="EG670" s="74"/>
      <c r="EH670" s="74"/>
      <c r="EI670" s="74"/>
      <c r="EJ670" s="74"/>
      <c r="EK670" s="74"/>
      <c r="EL670" s="74"/>
      <c r="EM670" s="74"/>
      <c r="EN670" s="74"/>
      <c r="EO670" s="74"/>
      <c r="EP670" s="74"/>
      <c r="EQ670" s="74"/>
      <c r="ER670" s="74"/>
      <c r="ES670" s="74"/>
      <c r="ET670" s="74"/>
      <c r="EU670" s="74"/>
      <c r="EV670" s="74"/>
      <c r="EW670" s="74"/>
      <c r="EX670" s="74"/>
      <c r="EY670" s="74"/>
      <c r="EZ670" s="74"/>
      <c r="FA670" s="74"/>
      <c r="FB670" s="74"/>
      <c r="FC670" s="74"/>
      <c r="FD670" s="74"/>
      <c r="FE670" s="74"/>
      <c r="FF670" s="74"/>
      <c r="FG670" s="74"/>
      <c r="FH670" s="74"/>
      <c r="FI670" s="74"/>
      <c r="FJ670" s="74"/>
      <c r="FK670" s="74"/>
      <c r="FL670" s="74"/>
      <c r="FM670" s="74"/>
      <c r="FN670" s="74"/>
      <c r="FO670" s="74"/>
      <c r="FP670" s="74"/>
      <c r="FQ670" s="74"/>
      <c r="FR670" s="74"/>
      <c r="FS670" s="74"/>
      <c r="FT670" s="74"/>
      <c r="FU670" s="74"/>
      <c r="FV670" s="74"/>
      <c r="FW670" s="74"/>
      <c r="FX670" s="74"/>
      <c r="FY670" s="74"/>
      <c r="FZ670" s="74"/>
      <c r="GA670" s="74"/>
      <c r="GB670" s="74"/>
      <c r="GC670" s="74"/>
      <c r="GD670" s="74"/>
      <c r="GE670" s="74"/>
      <c r="GF670" s="74"/>
      <c r="GG670" s="74"/>
      <c r="GH670" s="74"/>
      <c r="GI670" s="74"/>
      <c r="GJ670" s="74"/>
      <c r="GK670" s="74"/>
      <c r="GL670" s="74"/>
      <c r="GM670" s="74"/>
      <c r="GN670" s="74"/>
      <c r="GO670" s="74"/>
      <c r="GP670" s="74"/>
      <c r="GQ670" s="74"/>
      <c r="GR670" s="74"/>
      <c r="GS670" s="74"/>
      <c r="GT670" s="74"/>
      <c r="GU670" s="74"/>
      <c r="GV670" s="74"/>
      <c r="GW670" s="74"/>
      <c r="GX670" s="74"/>
      <c r="GY670" s="74"/>
      <c r="GZ670" s="74"/>
      <c r="HA670" s="74"/>
      <c r="HB670" s="74"/>
      <c r="HC670" s="74"/>
      <c r="HD670" s="74"/>
      <c r="HE670" s="74"/>
      <c r="HF670" s="74"/>
      <c r="HG670" s="74"/>
      <c r="HH670" s="74"/>
      <c r="HI670" s="74"/>
      <c r="HJ670" s="74"/>
      <c r="HK670" s="74"/>
      <c r="HL670" s="74"/>
      <c r="HM670" s="74"/>
      <c r="HN670" s="74"/>
      <c r="HO670" s="74"/>
      <c r="HP670" s="74"/>
      <c r="HQ670" s="74"/>
      <c r="HR670" s="74"/>
      <c r="HS670" s="74"/>
      <c r="HT670" s="74"/>
      <c r="HU670" s="74"/>
      <c r="HV670" s="74"/>
      <c r="HW670" s="74"/>
      <c r="HX670" s="74"/>
      <c r="HY670" s="74"/>
      <c r="HZ670" s="74"/>
      <c r="IA670" s="74"/>
      <c r="IB670" s="74"/>
      <c r="IC670" s="74"/>
      <c r="ID670" s="74"/>
      <c r="IE670" s="74"/>
      <c r="IF670" s="74"/>
      <c r="IG670" s="74"/>
      <c r="IH670" s="74"/>
      <c r="II670" s="74"/>
      <c r="IJ670" s="74"/>
      <c r="IK670" s="74"/>
      <c r="IL670" s="74"/>
      <c r="IM670" s="74"/>
      <c r="IN670" s="74"/>
      <c r="IO670" s="74"/>
      <c r="IP670" s="74"/>
      <c r="IQ670" s="74"/>
      <c r="IR670" s="74"/>
      <c r="IS670" s="74"/>
      <c r="IT670" s="74"/>
      <c r="IU670" s="74"/>
      <c r="IV670" s="74"/>
      <c r="IW670" s="74"/>
    </row>
    <row r="671" customFormat="false" ht="16.5" hidden="true" customHeight="false" outlineLevel="0" collapsed="false">
      <c r="A671" s="220" t="s">
        <v>642</v>
      </c>
      <c r="B671" s="95" t="n">
        <v>37098</v>
      </c>
      <c r="C671" s="188" t="s">
        <v>605</v>
      </c>
      <c r="D671" s="96" t="n">
        <f aca="false">I671/0.03</f>
        <v>-88.3333333333333</v>
      </c>
      <c r="E671" s="93" t="n">
        <v>-3.455</v>
      </c>
      <c r="F671" s="81" t="n">
        <v>0.805</v>
      </c>
      <c r="G671" s="81"/>
      <c r="H671" s="81"/>
      <c r="I671" s="94" t="n">
        <f aca="false">SUM(E671:H671)</f>
        <v>-2.65</v>
      </c>
      <c r="J671" s="118"/>
      <c r="K671" s="74"/>
      <c r="L671" s="142"/>
      <c r="M671" s="119"/>
      <c r="N671" s="74"/>
      <c r="O671" s="74"/>
      <c r="P671" s="74"/>
      <c r="Q671" s="74"/>
      <c r="R671" s="74"/>
      <c r="S671" s="74"/>
      <c r="T671" s="65" t="str">
        <f aca="false">IF(D671&gt;0,(I671/D671),"")</f>
        <v/>
      </c>
      <c r="U671" s="74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4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74"/>
      <c r="CB671" s="74"/>
      <c r="CC671" s="74"/>
      <c r="CD671" s="74"/>
      <c r="CE671" s="74"/>
      <c r="CF671" s="74"/>
      <c r="CG671" s="74"/>
      <c r="CH671" s="74"/>
      <c r="CI671" s="74"/>
      <c r="CJ671" s="74"/>
      <c r="CK671" s="74"/>
      <c r="CL671" s="74"/>
      <c r="CM671" s="74"/>
      <c r="CN671" s="74"/>
      <c r="CO671" s="74"/>
      <c r="CP671" s="74"/>
      <c r="CQ671" s="74"/>
      <c r="CR671" s="74"/>
      <c r="CS671" s="74"/>
      <c r="CT671" s="74"/>
      <c r="CU671" s="74"/>
      <c r="CV671" s="74"/>
      <c r="CW671" s="74"/>
      <c r="CX671" s="74"/>
      <c r="CY671" s="74"/>
      <c r="CZ671" s="74"/>
      <c r="DA671" s="74"/>
      <c r="DB671" s="74"/>
      <c r="DC671" s="74"/>
      <c r="DD671" s="74"/>
      <c r="DE671" s="74"/>
      <c r="DF671" s="74"/>
      <c r="DG671" s="74"/>
      <c r="DH671" s="74"/>
      <c r="DI671" s="74"/>
      <c r="DJ671" s="74"/>
      <c r="DK671" s="74"/>
      <c r="DL671" s="74"/>
      <c r="DM671" s="74"/>
      <c r="DN671" s="74"/>
      <c r="DO671" s="74"/>
      <c r="DP671" s="74"/>
      <c r="DQ671" s="74"/>
      <c r="DR671" s="74"/>
      <c r="DS671" s="74"/>
      <c r="DT671" s="74"/>
      <c r="DU671" s="74"/>
      <c r="DV671" s="74"/>
      <c r="DW671" s="74"/>
      <c r="DX671" s="74"/>
      <c r="DY671" s="74"/>
      <c r="DZ671" s="74"/>
      <c r="EA671" s="74"/>
      <c r="EB671" s="74"/>
      <c r="EC671" s="74"/>
      <c r="ED671" s="74"/>
      <c r="EE671" s="74"/>
      <c r="EF671" s="74"/>
      <c r="EG671" s="74"/>
      <c r="EH671" s="74"/>
      <c r="EI671" s="74"/>
      <c r="EJ671" s="74"/>
      <c r="EK671" s="74"/>
      <c r="EL671" s="74"/>
      <c r="EM671" s="74"/>
      <c r="EN671" s="74"/>
      <c r="EO671" s="74"/>
      <c r="EP671" s="74"/>
      <c r="EQ671" s="74"/>
      <c r="ER671" s="74"/>
      <c r="ES671" s="74"/>
      <c r="ET671" s="74"/>
      <c r="EU671" s="74"/>
      <c r="EV671" s="74"/>
      <c r="EW671" s="74"/>
      <c r="EX671" s="74"/>
      <c r="EY671" s="74"/>
      <c r="EZ671" s="74"/>
      <c r="FA671" s="74"/>
      <c r="FB671" s="74"/>
      <c r="FC671" s="74"/>
      <c r="FD671" s="74"/>
      <c r="FE671" s="74"/>
      <c r="FF671" s="74"/>
      <c r="FG671" s="74"/>
      <c r="FH671" s="74"/>
      <c r="FI671" s="74"/>
      <c r="FJ671" s="74"/>
      <c r="FK671" s="74"/>
      <c r="FL671" s="74"/>
      <c r="FM671" s="74"/>
      <c r="FN671" s="74"/>
      <c r="FO671" s="74"/>
      <c r="FP671" s="74"/>
      <c r="FQ671" s="74"/>
      <c r="FR671" s="74"/>
      <c r="FS671" s="74"/>
      <c r="FT671" s="74"/>
      <c r="FU671" s="74"/>
      <c r="FV671" s="74"/>
      <c r="FW671" s="74"/>
      <c r="FX671" s="74"/>
      <c r="FY671" s="74"/>
      <c r="FZ671" s="74"/>
      <c r="GA671" s="74"/>
      <c r="GB671" s="74"/>
      <c r="GC671" s="74"/>
      <c r="GD671" s="74"/>
      <c r="GE671" s="74"/>
      <c r="GF671" s="74"/>
      <c r="GG671" s="74"/>
      <c r="GH671" s="74"/>
      <c r="GI671" s="74"/>
      <c r="GJ671" s="74"/>
      <c r="GK671" s="74"/>
      <c r="GL671" s="74"/>
      <c r="GM671" s="74"/>
      <c r="GN671" s="74"/>
      <c r="GO671" s="74"/>
      <c r="GP671" s="74"/>
      <c r="GQ671" s="74"/>
      <c r="GR671" s="74"/>
      <c r="GS671" s="74"/>
      <c r="GT671" s="74"/>
      <c r="GU671" s="74"/>
      <c r="GV671" s="74"/>
      <c r="GW671" s="74"/>
      <c r="GX671" s="74"/>
      <c r="GY671" s="74"/>
      <c r="GZ671" s="74"/>
      <c r="HA671" s="74"/>
      <c r="HB671" s="74"/>
      <c r="HC671" s="74"/>
      <c r="HD671" s="74"/>
      <c r="HE671" s="74"/>
      <c r="HF671" s="74"/>
      <c r="HG671" s="74"/>
      <c r="HH671" s="74"/>
      <c r="HI671" s="74"/>
      <c r="HJ671" s="74"/>
      <c r="HK671" s="74"/>
      <c r="HL671" s="74"/>
      <c r="HM671" s="74"/>
      <c r="HN671" s="74"/>
      <c r="HO671" s="74"/>
      <c r="HP671" s="74"/>
      <c r="HQ671" s="74"/>
      <c r="HR671" s="74"/>
      <c r="HS671" s="74"/>
      <c r="HT671" s="74"/>
      <c r="HU671" s="74"/>
      <c r="HV671" s="74"/>
      <c r="HW671" s="74"/>
      <c r="HX671" s="74"/>
      <c r="HY671" s="74"/>
      <c r="HZ671" s="74"/>
      <c r="IA671" s="74"/>
      <c r="IB671" s="74"/>
      <c r="IC671" s="74"/>
      <c r="ID671" s="74"/>
      <c r="IE671" s="74"/>
      <c r="IF671" s="74"/>
      <c r="IG671" s="74"/>
      <c r="IH671" s="74"/>
      <c r="II671" s="74"/>
      <c r="IJ671" s="74"/>
      <c r="IK671" s="74"/>
      <c r="IL671" s="74"/>
      <c r="IM671" s="74"/>
      <c r="IN671" s="74"/>
      <c r="IO671" s="74"/>
      <c r="IP671" s="74"/>
      <c r="IQ671" s="74"/>
      <c r="IR671" s="74"/>
      <c r="IS671" s="74"/>
      <c r="IT671" s="74"/>
      <c r="IU671" s="74"/>
      <c r="IV671" s="142"/>
      <c r="IW671" s="142"/>
    </row>
    <row r="672" customFormat="false" ht="16.5" hidden="true" customHeight="false" outlineLevel="0" collapsed="false">
      <c r="A672" s="220" t="s">
        <v>643</v>
      </c>
      <c r="B672" s="95" t="n">
        <v>37098</v>
      </c>
      <c r="C672" s="188" t="s">
        <v>605</v>
      </c>
      <c r="D672" s="96" t="n">
        <f aca="false">I672/0.03</f>
        <v>2112.83333333333</v>
      </c>
      <c r="E672" s="93" t="n">
        <v>86.812</v>
      </c>
      <c r="F672" s="81" t="n">
        <v>-23.427</v>
      </c>
      <c r="G672" s="81"/>
      <c r="H672" s="81"/>
      <c r="I672" s="94" t="n">
        <f aca="false">SUM(E672:H672)</f>
        <v>63.385</v>
      </c>
      <c r="J672" s="118"/>
      <c r="K672" s="74"/>
      <c r="L672" s="142"/>
      <c r="M672" s="119"/>
      <c r="N672" s="74"/>
      <c r="O672" s="74"/>
      <c r="P672" s="74"/>
      <c r="Q672" s="74"/>
      <c r="R672" s="74"/>
      <c r="S672" s="74"/>
      <c r="T672" s="65" t="n">
        <f aca="false">IF(D672&gt;0,(I672/D672),"")</f>
        <v>0.03</v>
      </c>
      <c r="U672" s="74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4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74"/>
      <c r="CB672" s="74"/>
      <c r="CC672" s="74"/>
      <c r="CD672" s="74"/>
      <c r="CE672" s="74"/>
      <c r="CF672" s="74"/>
      <c r="CG672" s="74"/>
      <c r="CH672" s="74"/>
      <c r="CI672" s="74"/>
      <c r="CJ672" s="74"/>
      <c r="CK672" s="74"/>
      <c r="CL672" s="74"/>
      <c r="CM672" s="74"/>
      <c r="CN672" s="74"/>
      <c r="CO672" s="74"/>
      <c r="CP672" s="74"/>
      <c r="CQ672" s="74"/>
      <c r="CR672" s="74"/>
      <c r="CS672" s="74"/>
      <c r="CT672" s="74"/>
      <c r="CU672" s="74"/>
      <c r="CV672" s="74"/>
      <c r="CW672" s="74"/>
      <c r="CX672" s="74"/>
      <c r="CY672" s="74"/>
      <c r="CZ672" s="74"/>
      <c r="DA672" s="74"/>
      <c r="DB672" s="74"/>
      <c r="DC672" s="74"/>
      <c r="DD672" s="74"/>
      <c r="DE672" s="74"/>
      <c r="DF672" s="74"/>
      <c r="DG672" s="74"/>
      <c r="DH672" s="74"/>
      <c r="DI672" s="74"/>
      <c r="DJ672" s="74"/>
      <c r="DK672" s="74"/>
      <c r="DL672" s="74"/>
      <c r="DM672" s="74"/>
      <c r="DN672" s="74"/>
      <c r="DO672" s="74"/>
      <c r="DP672" s="74"/>
      <c r="DQ672" s="74"/>
      <c r="DR672" s="74"/>
      <c r="DS672" s="74"/>
      <c r="DT672" s="74"/>
      <c r="DU672" s="74"/>
      <c r="DV672" s="74"/>
      <c r="DW672" s="74"/>
      <c r="DX672" s="74"/>
      <c r="DY672" s="74"/>
      <c r="DZ672" s="74"/>
      <c r="EA672" s="74"/>
      <c r="EB672" s="74"/>
      <c r="EC672" s="74"/>
      <c r="ED672" s="74"/>
      <c r="EE672" s="74"/>
      <c r="EF672" s="74"/>
      <c r="EG672" s="74"/>
      <c r="EH672" s="74"/>
      <c r="EI672" s="74"/>
      <c r="EJ672" s="74"/>
      <c r="EK672" s="74"/>
      <c r="EL672" s="74"/>
      <c r="EM672" s="74"/>
      <c r="EN672" s="74"/>
      <c r="EO672" s="74"/>
      <c r="EP672" s="74"/>
      <c r="EQ672" s="74"/>
      <c r="ER672" s="74"/>
      <c r="ES672" s="74"/>
      <c r="ET672" s="74"/>
      <c r="EU672" s="74"/>
      <c r="EV672" s="74"/>
      <c r="EW672" s="74"/>
      <c r="EX672" s="74"/>
      <c r="EY672" s="74"/>
      <c r="EZ672" s="74"/>
      <c r="FA672" s="74"/>
      <c r="FB672" s="74"/>
      <c r="FC672" s="74"/>
      <c r="FD672" s="74"/>
      <c r="FE672" s="74"/>
      <c r="FF672" s="74"/>
      <c r="FG672" s="74"/>
      <c r="FH672" s="74"/>
      <c r="FI672" s="74"/>
      <c r="FJ672" s="74"/>
      <c r="FK672" s="74"/>
      <c r="FL672" s="74"/>
      <c r="FM672" s="74"/>
      <c r="FN672" s="74"/>
      <c r="FO672" s="74"/>
      <c r="FP672" s="74"/>
      <c r="FQ672" s="74"/>
      <c r="FR672" s="74"/>
      <c r="FS672" s="74"/>
      <c r="FT672" s="74"/>
      <c r="FU672" s="74"/>
      <c r="FV672" s="74"/>
      <c r="FW672" s="74"/>
      <c r="FX672" s="74"/>
      <c r="FY672" s="74"/>
      <c r="FZ672" s="74"/>
      <c r="GA672" s="74"/>
      <c r="GB672" s="74"/>
      <c r="GC672" s="74"/>
      <c r="GD672" s="74"/>
      <c r="GE672" s="74"/>
      <c r="GF672" s="74"/>
      <c r="GG672" s="74"/>
      <c r="GH672" s="74"/>
      <c r="GI672" s="74"/>
      <c r="GJ672" s="74"/>
      <c r="GK672" s="74"/>
      <c r="GL672" s="74"/>
      <c r="GM672" s="74"/>
      <c r="GN672" s="74"/>
      <c r="GO672" s="74"/>
      <c r="GP672" s="74"/>
      <c r="GQ672" s="74"/>
      <c r="GR672" s="74"/>
      <c r="GS672" s="74"/>
      <c r="GT672" s="74"/>
      <c r="GU672" s="74"/>
      <c r="GV672" s="74"/>
      <c r="GW672" s="74"/>
      <c r="GX672" s="74"/>
      <c r="GY672" s="74"/>
      <c r="GZ672" s="74"/>
      <c r="HA672" s="74"/>
      <c r="HB672" s="74"/>
      <c r="HC672" s="74"/>
      <c r="HD672" s="74"/>
      <c r="HE672" s="74"/>
      <c r="HF672" s="74"/>
      <c r="HG672" s="74"/>
      <c r="HH672" s="74"/>
      <c r="HI672" s="74"/>
      <c r="HJ672" s="74"/>
      <c r="HK672" s="74"/>
      <c r="HL672" s="74"/>
      <c r="HM672" s="74"/>
      <c r="HN672" s="74"/>
      <c r="HO672" s="74"/>
      <c r="HP672" s="74"/>
      <c r="HQ672" s="74"/>
      <c r="HR672" s="74"/>
      <c r="HS672" s="74"/>
      <c r="HT672" s="74"/>
      <c r="HU672" s="74"/>
      <c r="HV672" s="74"/>
      <c r="HW672" s="74"/>
      <c r="HX672" s="74"/>
      <c r="HY672" s="74"/>
      <c r="HZ672" s="74"/>
      <c r="IA672" s="74"/>
      <c r="IB672" s="74"/>
      <c r="IC672" s="74"/>
      <c r="ID672" s="74"/>
      <c r="IE672" s="74"/>
      <c r="IF672" s="74"/>
      <c r="IG672" s="74"/>
      <c r="IH672" s="74"/>
      <c r="II672" s="74"/>
      <c r="IJ672" s="74"/>
      <c r="IK672" s="74"/>
      <c r="IL672" s="74"/>
      <c r="IM672" s="74"/>
      <c r="IN672" s="74"/>
      <c r="IO672" s="74"/>
      <c r="IP672" s="74"/>
      <c r="IQ672" s="74"/>
      <c r="IR672" s="74"/>
      <c r="IS672" s="74"/>
      <c r="IT672" s="74"/>
      <c r="IU672" s="74"/>
      <c r="IV672" s="142"/>
      <c r="IW672" s="142"/>
    </row>
    <row r="673" customFormat="false" ht="16.5" hidden="true" customHeight="false" outlineLevel="0" collapsed="false">
      <c r="A673" s="220" t="s">
        <v>644</v>
      </c>
      <c r="B673" s="95"/>
      <c r="C673" s="188"/>
      <c r="D673" s="92" t="n">
        <f aca="false">I673/0.06</f>
        <v>1740.33333333333</v>
      </c>
      <c r="E673" s="93" t="n">
        <v>142.859</v>
      </c>
      <c r="F673" s="81" t="n">
        <v>-38.439</v>
      </c>
      <c r="G673" s="81" t="n">
        <v>0</v>
      </c>
      <c r="H673" s="81"/>
      <c r="I673" s="94" t="n">
        <v>104.42</v>
      </c>
      <c r="J673" s="118"/>
      <c r="K673" s="74"/>
      <c r="L673" s="142"/>
      <c r="M673" s="119"/>
      <c r="N673" s="74"/>
      <c r="O673" s="74"/>
      <c r="P673" s="74"/>
      <c r="Q673" s="74"/>
      <c r="R673" s="74"/>
      <c r="S673" s="74"/>
      <c r="T673" s="65" t="n">
        <f aca="false">IF(D673&gt;0,(I673/D673),"")</f>
        <v>0.06</v>
      </c>
      <c r="U673" s="74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4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74"/>
      <c r="CB673" s="74"/>
      <c r="CC673" s="74"/>
      <c r="CD673" s="74"/>
      <c r="CE673" s="74"/>
      <c r="CF673" s="74"/>
      <c r="CG673" s="74"/>
      <c r="CH673" s="74"/>
      <c r="CI673" s="74"/>
      <c r="CJ673" s="74"/>
      <c r="CK673" s="74"/>
      <c r="CL673" s="74"/>
      <c r="CM673" s="74"/>
      <c r="CN673" s="74"/>
      <c r="CO673" s="74"/>
      <c r="CP673" s="74"/>
      <c r="CQ673" s="74"/>
      <c r="CR673" s="74"/>
      <c r="CS673" s="74"/>
      <c r="CT673" s="74"/>
      <c r="CU673" s="74"/>
      <c r="CV673" s="74"/>
      <c r="CW673" s="74"/>
      <c r="CX673" s="74"/>
      <c r="CY673" s="74"/>
      <c r="CZ673" s="74"/>
      <c r="DA673" s="74"/>
      <c r="DB673" s="74"/>
      <c r="DC673" s="74"/>
      <c r="DD673" s="74"/>
      <c r="DE673" s="74"/>
      <c r="DF673" s="74"/>
      <c r="DG673" s="74"/>
      <c r="DH673" s="74"/>
      <c r="DI673" s="74"/>
      <c r="DJ673" s="74"/>
      <c r="DK673" s="74"/>
      <c r="DL673" s="74"/>
      <c r="DM673" s="74"/>
      <c r="DN673" s="74"/>
      <c r="DO673" s="74"/>
      <c r="DP673" s="74"/>
      <c r="DQ673" s="74"/>
      <c r="DR673" s="74"/>
      <c r="DS673" s="74"/>
      <c r="DT673" s="74"/>
      <c r="DU673" s="74"/>
      <c r="DV673" s="74"/>
      <c r="DW673" s="74"/>
      <c r="DX673" s="74"/>
      <c r="DY673" s="74"/>
      <c r="DZ673" s="74"/>
      <c r="EA673" s="74"/>
      <c r="EB673" s="74"/>
      <c r="EC673" s="74"/>
      <c r="ED673" s="74"/>
      <c r="EE673" s="74"/>
      <c r="EF673" s="74"/>
      <c r="EG673" s="74"/>
      <c r="EH673" s="74"/>
      <c r="EI673" s="74"/>
      <c r="EJ673" s="74"/>
      <c r="EK673" s="74"/>
      <c r="EL673" s="74"/>
      <c r="EM673" s="74"/>
      <c r="EN673" s="74"/>
      <c r="EO673" s="74"/>
      <c r="EP673" s="74"/>
      <c r="EQ673" s="74"/>
      <c r="ER673" s="74"/>
      <c r="ES673" s="74"/>
      <c r="ET673" s="74"/>
      <c r="EU673" s="74"/>
      <c r="EV673" s="74"/>
      <c r="EW673" s="74"/>
      <c r="EX673" s="74"/>
      <c r="EY673" s="74"/>
      <c r="EZ673" s="74"/>
      <c r="FA673" s="74"/>
      <c r="FB673" s="74"/>
      <c r="FC673" s="74"/>
      <c r="FD673" s="74"/>
      <c r="FE673" s="74"/>
      <c r="FF673" s="74"/>
      <c r="FG673" s="74"/>
      <c r="FH673" s="74"/>
      <c r="FI673" s="74"/>
      <c r="FJ673" s="74"/>
      <c r="FK673" s="74"/>
      <c r="FL673" s="74"/>
      <c r="FM673" s="74"/>
      <c r="FN673" s="74"/>
      <c r="FO673" s="74"/>
      <c r="FP673" s="74"/>
      <c r="FQ673" s="74"/>
      <c r="FR673" s="74"/>
      <c r="FS673" s="74"/>
      <c r="FT673" s="74"/>
      <c r="FU673" s="74"/>
      <c r="FV673" s="74"/>
      <c r="FW673" s="74"/>
      <c r="FX673" s="74"/>
      <c r="FY673" s="74"/>
      <c r="FZ673" s="74"/>
      <c r="GA673" s="74"/>
      <c r="GB673" s="74"/>
      <c r="GC673" s="74"/>
      <c r="GD673" s="74"/>
      <c r="GE673" s="74"/>
      <c r="GF673" s="74"/>
      <c r="GG673" s="74"/>
      <c r="GH673" s="74"/>
      <c r="GI673" s="74"/>
      <c r="GJ673" s="74"/>
      <c r="GK673" s="74"/>
      <c r="GL673" s="74"/>
      <c r="GM673" s="74"/>
      <c r="GN673" s="74"/>
      <c r="GO673" s="74"/>
      <c r="GP673" s="74"/>
      <c r="GQ673" s="74"/>
      <c r="GR673" s="74"/>
      <c r="GS673" s="74"/>
      <c r="GT673" s="74"/>
      <c r="GU673" s="74"/>
      <c r="GV673" s="74"/>
      <c r="GW673" s="74"/>
      <c r="GX673" s="74"/>
      <c r="GY673" s="74"/>
      <c r="GZ673" s="74"/>
      <c r="HA673" s="74"/>
      <c r="HB673" s="74"/>
      <c r="HC673" s="74"/>
      <c r="HD673" s="74"/>
      <c r="HE673" s="74"/>
      <c r="HF673" s="74"/>
      <c r="HG673" s="74"/>
      <c r="HH673" s="74"/>
      <c r="HI673" s="74"/>
      <c r="HJ673" s="74"/>
      <c r="HK673" s="74"/>
      <c r="HL673" s="74"/>
      <c r="HM673" s="74"/>
      <c r="HN673" s="74"/>
      <c r="HO673" s="74"/>
      <c r="HP673" s="74"/>
      <c r="HQ673" s="74"/>
      <c r="HR673" s="74"/>
      <c r="HS673" s="74"/>
      <c r="HT673" s="74"/>
      <c r="HU673" s="74"/>
      <c r="HV673" s="74"/>
      <c r="HW673" s="74"/>
      <c r="HX673" s="74"/>
      <c r="HY673" s="74"/>
      <c r="HZ673" s="74"/>
      <c r="IA673" s="74"/>
      <c r="IB673" s="74"/>
      <c r="IC673" s="74"/>
      <c r="ID673" s="74"/>
      <c r="IE673" s="74"/>
      <c r="IF673" s="74"/>
      <c r="IG673" s="74"/>
      <c r="IH673" s="74"/>
      <c r="II673" s="74"/>
      <c r="IJ673" s="74"/>
      <c r="IK673" s="74"/>
      <c r="IL673" s="74"/>
      <c r="IM673" s="74"/>
      <c r="IN673" s="74"/>
      <c r="IO673" s="74"/>
      <c r="IP673" s="74"/>
      <c r="IQ673" s="74"/>
      <c r="IR673" s="74"/>
      <c r="IS673" s="74"/>
      <c r="IT673" s="74"/>
      <c r="IU673" s="74"/>
      <c r="IV673" s="142"/>
      <c r="IW673" s="142"/>
    </row>
    <row r="674" customFormat="false" ht="16.5" hidden="true" customHeight="false" outlineLevel="0" collapsed="false">
      <c r="A674" s="220" t="s">
        <v>645</v>
      </c>
      <c r="B674" s="95"/>
      <c r="C674" s="188"/>
      <c r="D674" s="92" t="n">
        <f aca="false">I674/0.06</f>
        <v>1287.93333333333</v>
      </c>
      <c r="E674" s="93" t="n">
        <v>105.095</v>
      </c>
      <c r="F674" s="81" t="n">
        <v>-27.819</v>
      </c>
      <c r="G674" s="81" t="n">
        <v>0</v>
      </c>
      <c r="H674" s="81"/>
      <c r="I674" s="94" t="n">
        <v>77.276</v>
      </c>
      <c r="J674" s="118"/>
      <c r="K674" s="74"/>
      <c r="L674" s="142"/>
      <c r="M674" s="119"/>
      <c r="N674" s="74"/>
      <c r="O674" s="74"/>
      <c r="P674" s="74"/>
      <c r="Q674" s="74"/>
      <c r="R674" s="74"/>
      <c r="S674" s="74"/>
      <c r="T674" s="65" t="n">
        <f aca="false">IF(D674&gt;0,(I674/D674),"")</f>
        <v>0.06</v>
      </c>
      <c r="U674" s="74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4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74"/>
      <c r="CB674" s="74"/>
      <c r="CC674" s="74"/>
      <c r="CD674" s="74"/>
      <c r="CE674" s="74"/>
      <c r="CF674" s="74"/>
      <c r="CG674" s="74"/>
      <c r="CH674" s="74"/>
      <c r="CI674" s="74"/>
      <c r="CJ674" s="74"/>
      <c r="CK674" s="74"/>
      <c r="CL674" s="74"/>
      <c r="CM674" s="74"/>
      <c r="CN674" s="74"/>
      <c r="CO674" s="74"/>
      <c r="CP674" s="74"/>
      <c r="CQ674" s="74"/>
      <c r="CR674" s="74"/>
      <c r="CS674" s="74"/>
      <c r="CT674" s="74"/>
      <c r="CU674" s="74"/>
      <c r="CV674" s="74"/>
      <c r="CW674" s="74"/>
      <c r="CX674" s="74"/>
      <c r="CY674" s="74"/>
      <c r="CZ674" s="74"/>
      <c r="DA674" s="74"/>
      <c r="DB674" s="74"/>
      <c r="DC674" s="74"/>
      <c r="DD674" s="74"/>
      <c r="DE674" s="74"/>
      <c r="DF674" s="74"/>
      <c r="DG674" s="74"/>
      <c r="DH674" s="74"/>
      <c r="DI674" s="74"/>
      <c r="DJ674" s="74"/>
      <c r="DK674" s="74"/>
      <c r="DL674" s="74"/>
      <c r="DM674" s="74"/>
      <c r="DN674" s="74"/>
      <c r="DO674" s="74"/>
      <c r="DP674" s="74"/>
      <c r="DQ674" s="74"/>
      <c r="DR674" s="74"/>
      <c r="DS674" s="74"/>
      <c r="DT674" s="74"/>
      <c r="DU674" s="74"/>
      <c r="DV674" s="74"/>
      <c r="DW674" s="74"/>
      <c r="DX674" s="74"/>
      <c r="DY674" s="74"/>
      <c r="DZ674" s="74"/>
      <c r="EA674" s="74"/>
      <c r="EB674" s="74"/>
      <c r="EC674" s="74"/>
      <c r="ED674" s="74"/>
      <c r="EE674" s="74"/>
      <c r="EF674" s="74"/>
      <c r="EG674" s="74"/>
      <c r="EH674" s="74"/>
      <c r="EI674" s="74"/>
      <c r="EJ674" s="74"/>
      <c r="EK674" s="74"/>
      <c r="EL674" s="74"/>
      <c r="EM674" s="74"/>
      <c r="EN674" s="74"/>
      <c r="EO674" s="74"/>
      <c r="EP674" s="74"/>
      <c r="EQ674" s="74"/>
      <c r="ER674" s="74"/>
      <c r="ES674" s="74"/>
      <c r="ET674" s="74"/>
      <c r="EU674" s="74"/>
      <c r="EV674" s="74"/>
      <c r="EW674" s="74"/>
      <c r="EX674" s="74"/>
      <c r="EY674" s="74"/>
      <c r="EZ674" s="74"/>
      <c r="FA674" s="74"/>
      <c r="FB674" s="74"/>
      <c r="FC674" s="74"/>
      <c r="FD674" s="74"/>
      <c r="FE674" s="74"/>
      <c r="FF674" s="74"/>
      <c r="FG674" s="74"/>
      <c r="FH674" s="74"/>
      <c r="FI674" s="74"/>
      <c r="FJ674" s="74"/>
      <c r="FK674" s="74"/>
      <c r="FL674" s="74"/>
      <c r="FM674" s="74"/>
      <c r="FN674" s="74"/>
      <c r="FO674" s="74"/>
      <c r="FP674" s="74"/>
      <c r="FQ674" s="74"/>
      <c r="FR674" s="74"/>
      <c r="FS674" s="74"/>
      <c r="FT674" s="74"/>
      <c r="FU674" s="74"/>
      <c r="FV674" s="74"/>
      <c r="FW674" s="74"/>
      <c r="FX674" s="74"/>
      <c r="FY674" s="74"/>
      <c r="FZ674" s="74"/>
      <c r="GA674" s="74"/>
      <c r="GB674" s="74"/>
      <c r="GC674" s="74"/>
      <c r="GD674" s="74"/>
      <c r="GE674" s="74"/>
      <c r="GF674" s="74"/>
      <c r="GG674" s="74"/>
      <c r="GH674" s="74"/>
      <c r="GI674" s="74"/>
      <c r="GJ674" s="74"/>
      <c r="GK674" s="74"/>
      <c r="GL674" s="74"/>
      <c r="GM674" s="74"/>
      <c r="GN674" s="74"/>
      <c r="GO674" s="74"/>
      <c r="GP674" s="74"/>
      <c r="GQ674" s="74"/>
      <c r="GR674" s="74"/>
      <c r="GS674" s="74"/>
      <c r="GT674" s="74"/>
      <c r="GU674" s="74"/>
      <c r="GV674" s="74"/>
      <c r="GW674" s="74"/>
      <c r="GX674" s="74"/>
      <c r="GY674" s="74"/>
      <c r="GZ674" s="74"/>
      <c r="HA674" s="74"/>
      <c r="HB674" s="74"/>
      <c r="HC674" s="74"/>
      <c r="HD674" s="74"/>
      <c r="HE674" s="74"/>
      <c r="HF674" s="74"/>
      <c r="HG674" s="74"/>
      <c r="HH674" s="74"/>
      <c r="HI674" s="74"/>
      <c r="HJ674" s="74"/>
      <c r="HK674" s="74"/>
      <c r="HL674" s="74"/>
      <c r="HM674" s="74"/>
      <c r="HN674" s="74"/>
      <c r="HO674" s="74"/>
      <c r="HP674" s="74"/>
      <c r="HQ674" s="74"/>
      <c r="HR674" s="74"/>
      <c r="HS674" s="74"/>
      <c r="HT674" s="74"/>
      <c r="HU674" s="74"/>
      <c r="HV674" s="74"/>
      <c r="HW674" s="74"/>
      <c r="HX674" s="74"/>
      <c r="HY674" s="74"/>
      <c r="HZ674" s="74"/>
      <c r="IA674" s="74"/>
      <c r="IB674" s="74"/>
      <c r="IC674" s="74"/>
      <c r="ID674" s="74"/>
      <c r="IE674" s="74"/>
      <c r="IF674" s="74"/>
      <c r="IG674" s="74"/>
      <c r="IH674" s="74"/>
      <c r="II674" s="74"/>
      <c r="IJ674" s="74"/>
      <c r="IK674" s="74"/>
      <c r="IL674" s="74"/>
      <c r="IM674" s="74"/>
      <c r="IN674" s="74"/>
      <c r="IO674" s="74"/>
      <c r="IP674" s="74"/>
      <c r="IQ674" s="74"/>
      <c r="IR674" s="74"/>
      <c r="IS674" s="74"/>
      <c r="IT674" s="74"/>
      <c r="IU674" s="74"/>
      <c r="IV674" s="142"/>
      <c r="IW674" s="142"/>
    </row>
    <row r="675" customFormat="false" ht="16.5" hidden="true" customHeight="false" outlineLevel="0" collapsed="false">
      <c r="A675" s="220" t="s">
        <v>646</v>
      </c>
      <c r="B675" s="95"/>
      <c r="C675" s="188"/>
      <c r="D675" s="92" t="n">
        <f aca="false">I675/0.06</f>
        <v>861.433333333333</v>
      </c>
      <c r="E675" s="93" t="n">
        <v>70.833</v>
      </c>
      <c r="F675" s="81" t="n">
        <v>-19.147</v>
      </c>
      <c r="G675" s="81" t="n">
        <v>0</v>
      </c>
      <c r="H675" s="81"/>
      <c r="I675" s="94" t="n">
        <v>51.686</v>
      </c>
      <c r="J675" s="118"/>
      <c r="K675" s="74"/>
      <c r="L675" s="142"/>
      <c r="M675" s="119"/>
      <c r="N675" s="74"/>
      <c r="O675" s="74"/>
      <c r="P675" s="74"/>
      <c r="Q675" s="74"/>
      <c r="R675" s="74"/>
      <c r="S675" s="74"/>
      <c r="T675" s="65" t="n">
        <f aca="false">IF(D675&gt;0,(I675/D675),"")</f>
        <v>0.06</v>
      </c>
      <c r="U675" s="74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4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74"/>
      <c r="CB675" s="74"/>
      <c r="CC675" s="74"/>
      <c r="CD675" s="74"/>
      <c r="CE675" s="74"/>
      <c r="CF675" s="74"/>
      <c r="CG675" s="74"/>
      <c r="CH675" s="74"/>
      <c r="CI675" s="74"/>
      <c r="CJ675" s="74"/>
      <c r="CK675" s="74"/>
      <c r="CL675" s="74"/>
      <c r="CM675" s="74"/>
      <c r="CN675" s="74"/>
      <c r="CO675" s="74"/>
      <c r="CP675" s="74"/>
      <c r="CQ675" s="74"/>
      <c r="CR675" s="74"/>
      <c r="CS675" s="74"/>
      <c r="CT675" s="74"/>
      <c r="CU675" s="74"/>
      <c r="CV675" s="74"/>
      <c r="CW675" s="74"/>
      <c r="CX675" s="74"/>
      <c r="CY675" s="74"/>
      <c r="CZ675" s="74"/>
      <c r="DA675" s="74"/>
      <c r="DB675" s="74"/>
      <c r="DC675" s="74"/>
      <c r="DD675" s="74"/>
      <c r="DE675" s="74"/>
      <c r="DF675" s="74"/>
      <c r="DG675" s="74"/>
      <c r="DH675" s="74"/>
      <c r="DI675" s="74"/>
      <c r="DJ675" s="74"/>
      <c r="DK675" s="74"/>
      <c r="DL675" s="74"/>
      <c r="DM675" s="74"/>
      <c r="DN675" s="74"/>
      <c r="DO675" s="74"/>
      <c r="DP675" s="74"/>
      <c r="DQ675" s="74"/>
      <c r="DR675" s="74"/>
      <c r="DS675" s="74"/>
      <c r="DT675" s="74"/>
      <c r="DU675" s="74"/>
      <c r="DV675" s="74"/>
      <c r="DW675" s="74"/>
      <c r="DX675" s="74"/>
      <c r="DY675" s="74"/>
      <c r="DZ675" s="74"/>
      <c r="EA675" s="74"/>
      <c r="EB675" s="74"/>
      <c r="EC675" s="74"/>
      <c r="ED675" s="74"/>
      <c r="EE675" s="74"/>
      <c r="EF675" s="74"/>
      <c r="EG675" s="74"/>
      <c r="EH675" s="74"/>
      <c r="EI675" s="74"/>
      <c r="EJ675" s="74"/>
      <c r="EK675" s="74"/>
      <c r="EL675" s="74"/>
      <c r="EM675" s="74"/>
      <c r="EN675" s="74"/>
      <c r="EO675" s="74"/>
      <c r="EP675" s="74"/>
      <c r="EQ675" s="74"/>
      <c r="ER675" s="74"/>
      <c r="ES675" s="74"/>
      <c r="ET675" s="74"/>
      <c r="EU675" s="74"/>
      <c r="EV675" s="74"/>
      <c r="EW675" s="74"/>
      <c r="EX675" s="74"/>
      <c r="EY675" s="74"/>
      <c r="EZ675" s="74"/>
      <c r="FA675" s="74"/>
      <c r="FB675" s="74"/>
      <c r="FC675" s="74"/>
      <c r="FD675" s="74"/>
      <c r="FE675" s="74"/>
      <c r="FF675" s="74"/>
      <c r="FG675" s="74"/>
      <c r="FH675" s="74"/>
      <c r="FI675" s="74"/>
      <c r="FJ675" s="74"/>
      <c r="FK675" s="74"/>
      <c r="FL675" s="74"/>
      <c r="FM675" s="74"/>
      <c r="FN675" s="74"/>
      <c r="FO675" s="74"/>
      <c r="FP675" s="74"/>
      <c r="FQ675" s="74"/>
      <c r="FR675" s="74"/>
      <c r="FS675" s="74"/>
      <c r="FT675" s="74"/>
      <c r="FU675" s="74"/>
      <c r="FV675" s="74"/>
      <c r="FW675" s="74"/>
      <c r="FX675" s="74"/>
      <c r="FY675" s="74"/>
      <c r="FZ675" s="74"/>
      <c r="GA675" s="74"/>
      <c r="GB675" s="74"/>
      <c r="GC675" s="74"/>
      <c r="GD675" s="74"/>
      <c r="GE675" s="74"/>
      <c r="GF675" s="74"/>
      <c r="GG675" s="74"/>
      <c r="GH675" s="74"/>
      <c r="GI675" s="74"/>
      <c r="GJ675" s="74"/>
      <c r="GK675" s="74"/>
      <c r="GL675" s="74"/>
      <c r="GM675" s="74"/>
      <c r="GN675" s="74"/>
      <c r="GO675" s="74"/>
      <c r="GP675" s="74"/>
      <c r="GQ675" s="74"/>
      <c r="GR675" s="74"/>
      <c r="GS675" s="74"/>
      <c r="GT675" s="74"/>
      <c r="GU675" s="74"/>
      <c r="GV675" s="74"/>
      <c r="GW675" s="74"/>
      <c r="GX675" s="74"/>
      <c r="GY675" s="74"/>
      <c r="GZ675" s="74"/>
      <c r="HA675" s="74"/>
      <c r="HB675" s="74"/>
      <c r="HC675" s="74"/>
      <c r="HD675" s="74"/>
      <c r="HE675" s="74"/>
      <c r="HF675" s="74"/>
      <c r="HG675" s="74"/>
      <c r="HH675" s="74"/>
      <c r="HI675" s="74"/>
      <c r="HJ675" s="74"/>
      <c r="HK675" s="74"/>
      <c r="HL675" s="74"/>
      <c r="HM675" s="74"/>
      <c r="HN675" s="74"/>
      <c r="HO675" s="74"/>
      <c r="HP675" s="74"/>
      <c r="HQ675" s="74"/>
      <c r="HR675" s="74"/>
      <c r="HS675" s="74"/>
      <c r="HT675" s="74"/>
      <c r="HU675" s="74"/>
      <c r="HV675" s="74"/>
      <c r="HW675" s="74"/>
      <c r="HX675" s="74"/>
      <c r="HY675" s="74"/>
      <c r="HZ675" s="74"/>
      <c r="IA675" s="74"/>
      <c r="IB675" s="74"/>
      <c r="IC675" s="74"/>
      <c r="ID675" s="74"/>
      <c r="IE675" s="74"/>
      <c r="IF675" s="74"/>
      <c r="IG675" s="74"/>
      <c r="IH675" s="74"/>
      <c r="II675" s="74"/>
      <c r="IJ675" s="74"/>
      <c r="IK675" s="74"/>
      <c r="IL675" s="74"/>
      <c r="IM675" s="74"/>
      <c r="IN675" s="74"/>
      <c r="IO675" s="74"/>
      <c r="IP675" s="74"/>
      <c r="IQ675" s="74"/>
      <c r="IR675" s="74"/>
      <c r="IS675" s="74"/>
      <c r="IT675" s="74"/>
      <c r="IU675" s="74"/>
      <c r="IV675" s="142"/>
      <c r="IW675" s="142"/>
    </row>
    <row r="676" customFormat="false" ht="16.5" hidden="true" customHeight="false" outlineLevel="0" collapsed="false">
      <c r="A676" s="220" t="s">
        <v>647</v>
      </c>
      <c r="B676" s="95"/>
      <c r="C676" s="188"/>
      <c r="D676" s="92" t="n">
        <f aca="false">I676/0.06</f>
        <v>1361.5</v>
      </c>
      <c r="E676" s="93" t="n">
        <v>111.351</v>
      </c>
      <c r="F676" s="81" t="n">
        <v>-29.661</v>
      </c>
      <c r="G676" s="81" t="n">
        <v>0</v>
      </c>
      <c r="H676" s="81"/>
      <c r="I676" s="94" t="n">
        <v>81.69</v>
      </c>
      <c r="J676" s="118"/>
      <c r="K676" s="74"/>
      <c r="L676" s="142"/>
      <c r="M676" s="119"/>
      <c r="N676" s="74"/>
      <c r="O676" s="74"/>
      <c r="P676" s="74"/>
      <c r="Q676" s="74"/>
      <c r="R676" s="74"/>
      <c r="S676" s="74"/>
      <c r="T676" s="65" t="n">
        <f aca="false">IF(D676&gt;0,(I676/D676),"")</f>
        <v>0.06</v>
      </c>
      <c r="U676" s="74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4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74"/>
      <c r="CB676" s="74"/>
      <c r="CC676" s="74"/>
      <c r="CD676" s="74"/>
      <c r="CE676" s="74"/>
      <c r="CF676" s="74"/>
      <c r="CG676" s="74"/>
      <c r="CH676" s="74"/>
      <c r="CI676" s="74"/>
      <c r="CJ676" s="74"/>
      <c r="CK676" s="74"/>
      <c r="CL676" s="74"/>
      <c r="CM676" s="74"/>
      <c r="CN676" s="74"/>
      <c r="CO676" s="74"/>
      <c r="CP676" s="74"/>
      <c r="CQ676" s="74"/>
      <c r="CR676" s="74"/>
      <c r="CS676" s="74"/>
      <c r="CT676" s="74"/>
      <c r="CU676" s="74"/>
      <c r="CV676" s="74"/>
      <c r="CW676" s="74"/>
      <c r="CX676" s="74"/>
      <c r="CY676" s="74"/>
      <c r="CZ676" s="74"/>
      <c r="DA676" s="74"/>
      <c r="DB676" s="74"/>
      <c r="DC676" s="74"/>
      <c r="DD676" s="74"/>
      <c r="DE676" s="74"/>
      <c r="DF676" s="74"/>
      <c r="DG676" s="74"/>
      <c r="DH676" s="74"/>
      <c r="DI676" s="74"/>
      <c r="DJ676" s="74"/>
      <c r="DK676" s="74"/>
      <c r="DL676" s="74"/>
      <c r="DM676" s="74"/>
      <c r="DN676" s="74"/>
      <c r="DO676" s="74"/>
      <c r="DP676" s="74"/>
      <c r="DQ676" s="74"/>
      <c r="DR676" s="74"/>
      <c r="DS676" s="74"/>
      <c r="DT676" s="74"/>
      <c r="DU676" s="74"/>
      <c r="DV676" s="74"/>
      <c r="DW676" s="74"/>
      <c r="DX676" s="74"/>
      <c r="DY676" s="74"/>
      <c r="DZ676" s="74"/>
      <c r="EA676" s="74"/>
      <c r="EB676" s="74"/>
      <c r="EC676" s="74"/>
      <c r="ED676" s="74"/>
      <c r="EE676" s="74"/>
      <c r="EF676" s="74"/>
      <c r="EG676" s="74"/>
      <c r="EH676" s="74"/>
      <c r="EI676" s="74"/>
      <c r="EJ676" s="74"/>
      <c r="EK676" s="74"/>
      <c r="EL676" s="74"/>
      <c r="EM676" s="74"/>
      <c r="EN676" s="74"/>
      <c r="EO676" s="74"/>
      <c r="EP676" s="74"/>
      <c r="EQ676" s="74"/>
      <c r="ER676" s="74"/>
      <c r="ES676" s="74"/>
      <c r="ET676" s="74"/>
      <c r="EU676" s="74"/>
      <c r="EV676" s="74"/>
      <c r="EW676" s="74"/>
      <c r="EX676" s="74"/>
      <c r="EY676" s="74"/>
      <c r="EZ676" s="74"/>
      <c r="FA676" s="74"/>
      <c r="FB676" s="74"/>
      <c r="FC676" s="74"/>
      <c r="FD676" s="74"/>
      <c r="FE676" s="74"/>
      <c r="FF676" s="74"/>
      <c r="FG676" s="74"/>
      <c r="FH676" s="74"/>
      <c r="FI676" s="74"/>
      <c r="FJ676" s="74"/>
      <c r="FK676" s="74"/>
      <c r="FL676" s="74"/>
      <c r="FM676" s="74"/>
      <c r="FN676" s="74"/>
      <c r="FO676" s="74"/>
      <c r="FP676" s="74"/>
      <c r="FQ676" s="74"/>
      <c r="FR676" s="74"/>
      <c r="FS676" s="74"/>
      <c r="FT676" s="74"/>
      <c r="FU676" s="74"/>
      <c r="FV676" s="74"/>
      <c r="FW676" s="74"/>
      <c r="FX676" s="74"/>
      <c r="FY676" s="74"/>
      <c r="FZ676" s="74"/>
      <c r="GA676" s="74"/>
      <c r="GB676" s="74"/>
      <c r="GC676" s="74"/>
      <c r="GD676" s="74"/>
      <c r="GE676" s="74"/>
      <c r="GF676" s="74"/>
      <c r="GG676" s="74"/>
      <c r="GH676" s="74"/>
      <c r="GI676" s="74"/>
      <c r="GJ676" s="74"/>
      <c r="GK676" s="74"/>
      <c r="GL676" s="74"/>
      <c r="GM676" s="74"/>
      <c r="GN676" s="74"/>
      <c r="GO676" s="74"/>
      <c r="GP676" s="74"/>
      <c r="GQ676" s="74"/>
      <c r="GR676" s="74"/>
      <c r="GS676" s="74"/>
      <c r="GT676" s="74"/>
      <c r="GU676" s="74"/>
      <c r="GV676" s="74"/>
      <c r="GW676" s="74"/>
      <c r="GX676" s="74"/>
      <c r="GY676" s="74"/>
      <c r="GZ676" s="74"/>
      <c r="HA676" s="74"/>
      <c r="HB676" s="74"/>
      <c r="HC676" s="74"/>
      <c r="HD676" s="74"/>
      <c r="HE676" s="74"/>
      <c r="HF676" s="74"/>
      <c r="HG676" s="74"/>
      <c r="HH676" s="74"/>
      <c r="HI676" s="74"/>
      <c r="HJ676" s="74"/>
      <c r="HK676" s="74"/>
      <c r="HL676" s="74"/>
      <c r="HM676" s="74"/>
      <c r="HN676" s="74"/>
      <c r="HO676" s="74"/>
      <c r="HP676" s="74"/>
      <c r="HQ676" s="74"/>
      <c r="HR676" s="74"/>
      <c r="HS676" s="74"/>
      <c r="HT676" s="74"/>
      <c r="HU676" s="74"/>
      <c r="HV676" s="74"/>
      <c r="HW676" s="74"/>
      <c r="HX676" s="74"/>
      <c r="HY676" s="74"/>
      <c r="HZ676" s="74"/>
      <c r="IA676" s="74"/>
      <c r="IB676" s="74"/>
      <c r="IC676" s="74"/>
      <c r="ID676" s="74"/>
      <c r="IE676" s="74"/>
      <c r="IF676" s="74"/>
      <c r="IG676" s="74"/>
      <c r="IH676" s="74"/>
      <c r="II676" s="74"/>
      <c r="IJ676" s="74"/>
      <c r="IK676" s="74"/>
      <c r="IL676" s="74"/>
      <c r="IM676" s="74"/>
      <c r="IN676" s="74"/>
      <c r="IO676" s="74"/>
      <c r="IP676" s="74"/>
      <c r="IQ676" s="74"/>
      <c r="IR676" s="74"/>
      <c r="IS676" s="74"/>
      <c r="IT676" s="74"/>
      <c r="IU676" s="74"/>
      <c r="IV676" s="142"/>
      <c r="IW676" s="142"/>
    </row>
    <row r="677" customFormat="false" ht="15.75" hidden="true" customHeight="true" outlineLevel="0" collapsed="false">
      <c r="A677" s="220" t="s">
        <v>648</v>
      </c>
      <c r="B677" s="95"/>
      <c r="C677" s="188"/>
      <c r="D677" s="92" t="n">
        <f aca="false">I677/0.06</f>
        <v>698.3</v>
      </c>
      <c r="E677" s="93" t="n">
        <v>46.862</v>
      </c>
      <c r="F677" s="81" t="n">
        <v>-4.964</v>
      </c>
      <c r="G677" s="81" t="n">
        <v>0</v>
      </c>
      <c r="H677" s="81"/>
      <c r="I677" s="94" t="n">
        <v>41.898</v>
      </c>
      <c r="J677" s="118"/>
      <c r="K677" s="74"/>
      <c r="L677" s="74"/>
      <c r="M677" s="119"/>
      <c r="N677" s="74"/>
      <c r="O677" s="74"/>
      <c r="P677" s="74"/>
      <c r="Q677" s="74"/>
      <c r="R677" s="74"/>
      <c r="S677" s="74"/>
      <c r="T677" s="65" t="n">
        <f aca="false">IF(D677&gt;0,(I677/D677),"")</f>
        <v>0.06</v>
      </c>
      <c r="U677" s="74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74"/>
      <c r="AJ677" s="74"/>
      <c r="AK677" s="74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4"/>
      <c r="AZ677" s="74"/>
      <c r="BA677" s="74"/>
      <c r="BB677" s="74"/>
      <c r="BC677" s="74"/>
      <c r="BD677" s="74"/>
      <c r="BE677" s="74"/>
      <c r="BF677" s="74"/>
      <c r="BG677" s="74"/>
      <c r="BH677" s="74"/>
      <c r="BI677" s="74"/>
      <c r="BJ677" s="74"/>
      <c r="BK677" s="74"/>
      <c r="BL677" s="74"/>
      <c r="BM677" s="74"/>
      <c r="BN677" s="74"/>
      <c r="BO677" s="74"/>
      <c r="BP677" s="74"/>
      <c r="BQ677" s="74"/>
      <c r="BR677" s="74"/>
      <c r="BS677" s="74"/>
      <c r="BT677" s="74"/>
      <c r="BU677" s="74"/>
      <c r="BV677" s="74"/>
      <c r="BW677" s="74"/>
      <c r="BX677" s="74"/>
      <c r="BY677" s="74"/>
      <c r="BZ677" s="74"/>
      <c r="CA677" s="74"/>
      <c r="CB677" s="74"/>
      <c r="CC677" s="74"/>
      <c r="CD677" s="74"/>
      <c r="CE677" s="74"/>
      <c r="CF677" s="74"/>
      <c r="CG677" s="74"/>
      <c r="CH677" s="74"/>
      <c r="CI677" s="74"/>
      <c r="CJ677" s="74"/>
      <c r="CK677" s="74"/>
      <c r="CL677" s="74"/>
      <c r="CM677" s="74"/>
      <c r="CN677" s="74"/>
      <c r="CO677" s="74"/>
      <c r="CP677" s="74"/>
      <c r="CQ677" s="74"/>
      <c r="CR677" s="74"/>
      <c r="CS677" s="74"/>
      <c r="CT677" s="74"/>
      <c r="CU677" s="74"/>
      <c r="CV677" s="74"/>
      <c r="CW677" s="74"/>
      <c r="CX677" s="74"/>
      <c r="CY677" s="74"/>
      <c r="CZ677" s="74"/>
      <c r="DA677" s="74"/>
      <c r="DB677" s="74"/>
      <c r="DC677" s="74"/>
      <c r="DD677" s="74"/>
      <c r="DE677" s="74"/>
      <c r="DF677" s="74"/>
      <c r="DG677" s="74"/>
      <c r="DH677" s="74"/>
      <c r="DI677" s="74"/>
      <c r="DJ677" s="74"/>
      <c r="DK677" s="74"/>
      <c r="DL677" s="74"/>
      <c r="DM677" s="74"/>
      <c r="DN677" s="74"/>
      <c r="DO677" s="74"/>
      <c r="DP677" s="74"/>
      <c r="DQ677" s="74"/>
      <c r="DR677" s="74"/>
      <c r="DS677" s="74"/>
      <c r="DT677" s="74"/>
      <c r="DU677" s="74"/>
      <c r="DV677" s="74"/>
      <c r="DW677" s="74"/>
      <c r="DX677" s="74"/>
      <c r="DY677" s="74"/>
      <c r="DZ677" s="74"/>
      <c r="EA677" s="74"/>
      <c r="EB677" s="74"/>
      <c r="EC677" s="74"/>
      <c r="ED677" s="74"/>
      <c r="EE677" s="74"/>
      <c r="EF677" s="74"/>
      <c r="EG677" s="74"/>
      <c r="EH677" s="74"/>
      <c r="EI677" s="74"/>
      <c r="EJ677" s="74"/>
      <c r="EK677" s="74"/>
      <c r="EL677" s="74"/>
      <c r="EM677" s="74"/>
      <c r="EN677" s="74"/>
      <c r="EO677" s="74"/>
      <c r="EP677" s="74"/>
      <c r="EQ677" s="74"/>
      <c r="ER677" s="74"/>
      <c r="ES677" s="74"/>
      <c r="ET677" s="74"/>
      <c r="EU677" s="74"/>
      <c r="EV677" s="74"/>
      <c r="EW677" s="74"/>
      <c r="EX677" s="74"/>
      <c r="EY677" s="74"/>
      <c r="EZ677" s="74"/>
      <c r="FA677" s="74"/>
      <c r="FB677" s="74"/>
      <c r="FC677" s="74"/>
      <c r="FD677" s="74"/>
      <c r="FE677" s="74"/>
      <c r="FF677" s="74"/>
      <c r="FG677" s="74"/>
      <c r="FH677" s="74"/>
      <c r="FI677" s="74"/>
      <c r="FJ677" s="74"/>
      <c r="FK677" s="74"/>
      <c r="FL677" s="74"/>
      <c r="FM677" s="74"/>
      <c r="FN677" s="74"/>
      <c r="FO677" s="74"/>
      <c r="FP677" s="74"/>
      <c r="FQ677" s="74"/>
      <c r="FR677" s="74"/>
      <c r="FS677" s="74"/>
      <c r="FT677" s="74"/>
      <c r="FU677" s="74"/>
      <c r="FV677" s="74"/>
      <c r="FW677" s="74"/>
      <c r="FX677" s="74"/>
      <c r="FY677" s="74"/>
      <c r="FZ677" s="74"/>
      <c r="GA677" s="74"/>
      <c r="GB677" s="74"/>
      <c r="GC677" s="74"/>
      <c r="GD677" s="74"/>
      <c r="GE677" s="74"/>
      <c r="GF677" s="74"/>
      <c r="GG677" s="74"/>
      <c r="GH677" s="74"/>
      <c r="GI677" s="74"/>
      <c r="GJ677" s="74"/>
      <c r="GK677" s="74"/>
      <c r="GL677" s="74"/>
      <c r="GM677" s="74"/>
      <c r="GN677" s="74"/>
      <c r="GO677" s="74"/>
      <c r="GP677" s="74"/>
      <c r="GQ677" s="74"/>
      <c r="GR677" s="74"/>
      <c r="GS677" s="74"/>
      <c r="GT677" s="74"/>
      <c r="GU677" s="74"/>
      <c r="GV677" s="74"/>
      <c r="GW677" s="74"/>
      <c r="GX677" s="74"/>
      <c r="GY677" s="74"/>
      <c r="GZ677" s="74"/>
      <c r="HA677" s="74"/>
      <c r="HB677" s="74"/>
      <c r="HC677" s="74"/>
      <c r="HD677" s="74"/>
      <c r="HE677" s="74"/>
      <c r="HF677" s="74"/>
      <c r="HG677" s="74"/>
      <c r="HH677" s="74"/>
      <c r="HI677" s="74"/>
      <c r="HJ677" s="74"/>
      <c r="HK677" s="74"/>
      <c r="HL677" s="74"/>
      <c r="HM677" s="74"/>
      <c r="HN677" s="74"/>
      <c r="HO677" s="74"/>
      <c r="HP677" s="74"/>
      <c r="HQ677" s="74"/>
      <c r="HR677" s="74"/>
      <c r="HS677" s="74"/>
      <c r="HT677" s="74"/>
      <c r="HU677" s="74"/>
      <c r="HV677" s="74"/>
      <c r="HW677" s="74"/>
      <c r="HX677" s="74"/>
      <c r="HY677" s="74"/>
      <c r="HZ677" s="74"/>
      <c r="IA677" s="74"/>
      <c r="IB677" s="74"/>
      <c r="IC677" s="74"/>
      <c r="ID677" s="74"/>
      <c r="IE677" s="74"/>
      <c r="IF677" s="74"/>
      <c r="IG677" s="74"/>
      <c r="IH677" s="74"/>
      <c r="II677" s="74"/>
      <c r="IJ677" s="74"/>
      <c r="IK677" s="74"/>
      <c r="IL677" s="74"/>
      <c r="IM677" s="74"/>
      <c r="IN677" s="74"/>
      <c r="IO677" s="74"/>
      <c r="IP677" s="74"/>
      <c r="IQ677" s="74"/>
      <c r="IR677" s="74"/>
      <c r="IS677" s="74"/>
      <c r="IT677" s="74"/>
      <c r="IU677" s="74"/>
      <c r="IV677" s="74"/>
      <c r="IW677" s="74"/>
    </row>
    <row r="678" customFormat="false" ht="18" hidden="true" customHeight="true" outlineLevel="0" collapsed="false">
      <c r="A678" s="220" t="s">
        <v>649</v>
      </c>
      <c r="B678" s="95"/>
      <c r="C678" s="188"/>
      <c r="D678" s="92" t="n">
        <f aca="false">I678/0.06</f>
        <v>1605.43333333333</v>
      </c>
      <c r="E678" s="93" t="n">
        <v>115.105</v>
      </c>
      <c r="F678" s="81" t="n">
        <v>-18.779</v>
      </c>
      <c r="G678" s="81" t="n">
        <v>0</v>
      </c>
      <c r="H678" s="81"/>
      <c r="I678" s="94" t="n">
        <v>96.326</v>
      </c>
      <c r="J678" s="118"/>
      <c r="K678" s="74"/>
      <c r="L678" s="74"/>
      <c r="M678" s="119"/>
      <c r="N678" s="74"/>
      <c r="O678" s="74"/>
      <c r="P678" s="74"/>
      <c r="Q678" s="74"/>
      <c r="R678" s="74"/>
      <c r="S678" s="74"/>
      <c r="T678" s="65" t="n">
        <f aca="false">IF(D678&gt;0,(I678/D678),"")</f>
        <v>0.06</v>
      </c>
      <c r="U678" s="74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4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74"/>
      <c r="CB678" s="74"/>
      <c r="CC678" s="74"/>
      <c r="CD678" s="74"/>
      <c r="CE678" s="74"/>
      <c r="CF678" s="74"/>
      <c r="CG678" s="74"/>
      <c r="CH678" s="74"/>
      <c r="CI678" s="74"/>
      <c r="CJ678" s="74"/>
      <c r="CK678" s="74"/>
      <c r="CL678" s="74"/>
      <c r="CM678" s="74"/>
      <c r="CN678" s="74"/>
      <c r="CO678" s="74"/>
      <c r="CP678" s="74"/>
      <c r="CQ678" s="74"/>
      <c r="CR678" s="74"/>
      <c r="CS678" s="74"/>
      <c r="CT678" s="74"/>
      <c r="CU678" s="74"/>
      <c r="CV678" s="74"/>
      <c r="CW678" s="74"/>
      <c r="CX678" s="74"/>
      <c r="CY678" s="74"/>
      <c r="CZ678" s="74"/>
      <c r="DA678" s="74"/>
      <c r="DB678" s="74"/>
      <c r="DC678" s="74"/>
      <c r="DD678" s="74"/>
      <c r="DE678" s="74"/>
      <c r="DF678" s="74"/>
      <c r="DG678" s="74"/>
      <c r="DH678" s="74"/>
      <c r="DI678" s="74"/>
      <c r="DJ678" s="74"/>
      <c r="DK678" s="74"/>
      <c r="DL678" s="74"/>
      <c r="DM678" s="74"/>
      <c r="DN678" s="74"/>
      <c r="DO678" s="74"/>
      <c r="DP678" s="74"/>
      <c r="DQ678" s="74"/>
      <c r="DR678" s="74"/>
      <c r="DS678" s="74"/>
      <c r="DT678" s="74"/>
      <c r="DU678" s="74"/>
      <c r="DV678" s="74"/>
      <c r="DW678" s="74"/>
      <c r="DX678" s="74"/>
      <c r="DY678" s="74"/>
      <c r="DZ678" s="74"/>
      <c r="EA678" s="74"/>
      <c r="EB678" s="74"/>
      <c r="EC678" s="74"/>
      <c r="ED678" s="74"/>
      <c r="EE678" s="74"/>
      <c r="EF678" s="74"/>
      <c r="EG678" s="74"/>
      <c r="EH678" s="74"/>
      <c r="EI678" s="74"/>
      <c r="EJ678" s="74"/>
      <c r="EK678" s="74"/>
      <c r="EL678" s="74"/>
      <c r="EM678" s="74"/>
      <c r="EN678" s="74"/>
      <c r="EO678" s="74"/>
      <c r="EP678" s="74"/>
      <c r="EQ678" s="74"/>
      <c r="ER678" s="74"/>
      <c r="ES678" s="74"/>
      <c r="ET678" s="74"/>
      <c r="EU678" s="74"/>
      <c r="EV678" s="74"/>
      <c r="EW678" s="74"/>
      <c r="EX678" s="74"/>
      <c r="EY678" s="74"/>
      <c r="EZ678" s="74"/>
      <c r="FA678" s="74"/>
      <c r="FB678" s="74"/>
      <c r="FC678" s="74"/>
      <c r="FD678" s="74"/>
      <c r="FE678" s="74"/>
      <c r="FF678" s="74"/>
      <c r="FG678" s="74"/>
      <c r="FH678" s="74"/>
      <c r="FI678" s="74"/>
      <c r="FJ678" s="74"/>
      <c r="FK678" s="74"/>
      <c r="FL678" s="74"/>
      <c r="FM678" s="74"/>
      <c r="FN678" s="74"/>
      <c r="FO678" s="74"/>
      <c r="FP678" s="74"/>
      <c r="FQ678" s="74"/>
      <c r="FR678" s="74"/>
      <c r="FS678" s="74"/>
      <c r="FT678" s="74"/>
      <c r="FU678" s="74"/>
      <c r="FV678" s="74"/>
      <c r="FW678" s="74"/>
      <c r="FX678" s="74"/>
      <c r="FY678" s="74"/>
      <c r="FZ678" s="74"/>
      <c r="GA678" s="74"/>
      <c r="GB678" s="74"/>
      <c r="GC678" s="74"/>
      <c r="GD678" s="74"/>
      <c r="GE678" s="74"/>
      <c r="GF678" s="74"/>
      <c r="GG678" s="74"/>
      <c r="GH678" s="74"/>
      <c r="GI678" s="74"/>
      <c r="GJ678" s="74"/>
      <c r="GK678" s="74"/>
      <c r="GL678" s="74"/>
      <c r="GM678" s="74"/>
      <c r="GN678" s="74"/>
      <c r="GO678" s="74"/>
      <c r="GP678" s="74"/>
      <c r="GQ678" s="74"/>
      <c r="GR678" s="74"/>
      <c r="GS678" s="74"/>
      <c r="GT678" s="74"/>
      <c r="GU678" s="74"/>
      <c r="GV678" s="74"/>
      <c r="GW678" s="74"/>
      <c r="GX678" s="74"/>
      <c r="GY678" s="74"/>
      <c r="GZ678" s="74"/>
      <c r="HA678" s="74"/>
      <c r="HB678" s="74"/>
      <c r="HC678" s="74"/>
      <c r="HD678" s="74"/>
      <c r="HE678" s="74"/>
      <c r="HF678" s="74"/>
      <c r="HG678" s="74"/>
      <c r="HH678" s="74"/>
      <c r="HI678" s="74"/>
      <c r="HJ678" s="74"/>
      <c r="HK678" s="74"/>
      <c r="HL678" s="74"/>
      <c r="HM678" s="74"/>
      <c r="HN678" s="74"/>
      <c r="HO678" s="74"/>
      <c r="HP678" s="74"/>
      <c r="HQ678" s="74"/>
      <c r="HR678" s="74"/>
      <c r="HS678" s="74"/>
      <c r="HT678" s="74"/>
      <c r="HU678" s="74"/>
      <c r="HV678" s="74"/>
      <c r="HW678" s="74"/>
      <c r="HX678" s="74"/>
      <c r="HY678" s="74"/>
      <c r="HZ678" s="74"/>
      <c r="IA678" s="74"/>
      <c r="IB678" s="74"/>
      <c r="IC678" s="74"/>
      <c r="ID678" s="74"/>
      <c r="IE678" s="74"/>
      <c r="IF678" s="74"/>
      <c r="IG678" s="74"/>
      <c r="IH678" s="74"/>
      <c r="II678" s="74"/>
      <c r="IJ678" s="74"/>
      <c r="IK678" s="74"/>
      <c r="IL678" s="74"/>
      <c r="IM678" s="74"/>
      <c r="IN678" s="74"/>
      <c r="IO678" s="74"/>
      <c r="IP678" s="74"/>
      <c r="IQ678" s="74"/>
      <c r="IR678" s="74"/>
      <c r="IS678" s="74"/>
      <c r="IT678" s="74"/>
      <c r="IU678" s="74"/>
      <c r="IV678" s="74"/>
      <c r="IW678" s="74"/>
    </row>
    <row r="679" customFormat="false" ht="18" hidden="true" customHeight="true" outlineLevel="0" collapsed="false">
      <c r="A679" s="220" t="s">
        <v>650</v>
      </c>
      <c r="B679" s="95" t="n">
        <v>37098</v>
      </c>
      <c r="C679" s="188" t="s">
        <v>605</v>
      </c>
      <c r="D679" s="96" t="n">
        <f aca="false">I679/0.03</f>
        <v>1619.53333333333</v>
      </c>
      <c r="E679" s="93" t="n">
        <v>66.383</v>
      </c>
      <c r="F679" s="81" t="n">
        <v>-17.797</v>
      </c>
      <c r="G679" s="81"/>
      <c r="H679" s="81"/>
      <c r="I679" s="94" t="n">
        <f aca="false">SUM(E679:H679)</f>
        <v>48.586</v>
      </c>
      <c r="J679" s="118"/>
      <c r="K679" s="74"/>
      <c r="L679" s="74"/>
      <c r="M679" s="119"/>
      <c r="N679" s="74"/>
      <c r="O679" s="74"/>
      <c r="P679" s="74"/>
      <c r="Q679" s="74"/>
      <c r="R679" s="74"/>
      <c r="S679" s="74"/>
      <c r="T679" s="65" t="n">
        <f aca="false">IF(D679&gt;0,(I679/D679),"")</f>
        <v>0.03</v>
      </c>
      <c r="U679" s="74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4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74"/>
      <c r="CB679" s="74"/>
      <c r="CC679" s="74"/>
      <c r="CD679" s="74"/>
      <c r="CE679" s="74"/>
      <c r="CF679" s="74"/>
      <c r="CG679" s="74"/>
      <c r="CH679" s="74"/>
      <c r="CI679" s="74"/>
      <c r="CJ679" s="74"/>
      <c r="CK679" s="74"/>
      <c r="CL679" s="74"/>
      <c r="CM679" s="74"/>
      <c r="CN679" s="74"/>
      <c r="CO679" s="74"/>
      <c r="CP679" s="74"/>
      <c r="CQ679" s="74"/>
      <c r="CR679" s="74"/>
      <c r="CS679" s="74"/>
      <c r="CT679" s="74"/>
      <c r="CU679" s="74"/>
      <c r="CV679" s="74"/>
      <c r="CW679" s="74"/>
      <c r="CX679" s="74"/>
      <c r="CY679" s="74"/>
      <c r="CZ679" s="74"/>
      <c r="DA679" s="74"/>
      <c r="DB679" s="74"/>
      <c r="DC679" s="74"/>
      <c r="DD679" s="74"/>
      <c r="DE679" s="74"/>
      <c r="DF679" s="74"/>
      <c r="DG679" s="74"/>
      <c r="DH679" s="74"/>
      <c r="DI679" s="74"/>
      <c r="DJ679" s="74"/>
      <c r="DK679" s="74"/>
      <c r="DL679" s="74"/>
      <c r="DM679" s="74"/>
      <c r="DN679" s="74"/>
      <c r="DO679" s="74"/>
      <c r="DP679" s="74"/>
      <c r="DQ679" s="74"/>
      <c r="DR679" s="74"/>
      <c r="DS679" s="74"/>
      <c r="DT679" s="74"/>
      <c r="DU679" s="74"/>
      <c r="DV679" s="74"/>
      <c r="DW679" s="74"/>
      <c r="DX679" s="74"/>
      <c r="DY679" s="74"/>
      <c r="DZ679" s="74"/>
      <c r="EA679" s="74"/>
      <c r="EB679" s="74"/>
      <c r="EC679" s="74"/>
      <c r="ED679" s="74"/>
      <c r="EE679" s="74"/>
      <c r="EF679" s="74"/>
      <c r="EG679" s="74"/>
      <c r="EH679" s="74"/>
      <c r="EI679" s="74"/>
      <c r="EJ679" s="74"/>
      <c r="EK679" s="74"/>
      <c r="EL679" s="74"/>
      <c r="EM679" s="74"/>
      <c r="EN679" s="74"/>
      <c r="EO679" s="74"/>
      <c r="EP679" s="74"/>
      <c r="EQ679" s="74"/>
      <c r="ER679" s="74"/>
      <c r="ES679" s="74"/>
      <c r="ET679" s="74"/>
      <c r="EU679" s="74"/>
      <c r="EV679" s="74"/>
      <c r="EW679" s="74"/>
      <c r="EX679" s="74"/>
      <c r="EY679" s="74"/>
      <c r="EZ679" s="74"/>
      <c r="FA679" s="74"/>
      <c r="FB679" s="74"/>
      <c r="FC679" s="74"/>
      <c r="FD679" s="74"/>
      <c r="FE679" s="74"/>
      <c r="FF679" s="74"/>
      <c r="FG679" s="74"/>
      <c r="FH679" s="74"/>
      <c r="FI679" s="74"/>
      <c r="FJ679" s="74"/>
      <c r="FK679" s="74"/>
      <c r="FL679" s="74"/>
      <c r="FM679" s="74"/>
      <c r="FN679" s="74"/>
      <c r="FO679" s="74"/>
      <c r="FP679" s="74"/>
      <c r="FQ679" s="74"/>
      <c r="FR679" s="74"/>
      <c r="FS679" s="74"/>
      <c r="FT679" s="74"/>
      <c r="FU679" s="74"/>
      <c r="FV679" s="74"/>
      <c r="FW679" s="74"/>
      <c r="FX679" s="74"/>
      <c r="FY679" s="74"/>
      <c r="FZ679" s="74"/>
      <c r="GA679" s="74"/>
      <c r="GB679" s="74"/>
      <c r="GC679" s="74"/>
      <c r="GD679" s="74"/>
      <c r="GE679" s="74"/>
      <c r="GF679" s="74"/>
      <c r="GG679" s="74"/>
      <c r="GH679" s="74"/>
      <c r="GI679" s="74"/>
      <c r="GJ679" s="74"/>
      <c r="GK679" s="74"/>
      <c r="GL679" s="74"/>
      <c r="GM679" s="74"/>
      <c r="GN679" s="74"/>
      <c r="GO679" s="74"/>
      <c r="GP679" s="74"/>
      <c r="GQ679" s="74"/>
      <c r="GR679" s="74"/>
      <c r="GS679" s="74"/>
      <c r="GT679" s="74"/>
      <c r="GU679" s="74"/>
      <c r="GV679" s="74"/>
      <c r="GW679" s="74"/>
      <c r="GX679" s="74"/>
      <c r="GY679" s="74"/>
      <c r="GZ679" s="74"/>
      <c r="HA679" s="74"/>
      <c r="HB679" s="74"/>
      <c r="HC679" s="74"/>
      <c r="HD679" s="74"/>
      <c r="HE679" s="74"/>
      <c r="HF679" s="74"/>
      <c r="HG679" s="74"/>
      <c r="HH679" s="74"/>
      <c r="HI679" s="74"/>
      <c r="HJ679" s="74"/>
      <c r="HK679" s="74"/>
      <c r="HL679" s="74"/>
      <c r="HM679" s="74"/>
      <c r="HN679" s="74"/>
      <c r="HO679" s="74"/>
      <c r="HP679" s="74"/>
      <c r="HQ679" s="74"/>
      <c r="HR679" s="74"/>
      <c r="HS679" s="74"/>
      <c r="HT679" s="74"/>
      <c r="HU679" s="74"/>
      <c r="HV679" s="74"/>
      <c r="HW679" s="74"/>
      <c r="HX679" s="74"/>
      <c r="HY679" s="74"/>
      <c r="HZ679" s="74"/>
      <c r="IA679" s="74"/>
      <c r="IB679" s="74"/>
      <c r="IC679" s="74"/>
      <c r="ID679" s="74"/>
      <c r="IE679" s="74"/>
      <c r="IF679" s="74"/>
      <c r="IG679" s="74"/>
      <c r="IH679" s="74"/>
      <c r="II679" s="74"/>
      <c r="IJ679" s="74"/>
      <c r="IK679" s="74"/>
      <c r="IL679" s="74"/>
      <c r="IM679" s="74"/>
      <c r="IN679" s="74"/>
      <c r="IO679" s="74"/>
      <c r="IP679" s="74"/>
      <c r="IQ679" s="74"/>
      <c r="IR679" s="74"/>
      <c r="IS679" s="74"/>
      <c r="IT679" s="74"/>
      <c r="IU679" s="74"/>
      <c r="IV679" s="74"/>
      <c r="IW679" s="74"/>
    </row>
    <row r="680" customFormat="false" ht="5.1" hidden="true" customHeight="true" outlineLevel="0" collapsed="false">
      <c r="A680" s="229"/>
      <c r="B680" s="224"/>
      <c r="C680" s="215"/>
      <c r="D680" s="243"/>
      <c r="E680" s="217"/>
      <c r="F680" s="218"/>
      <c r="G680" s="218"/>
      <c r="H680" s="218"/>
      <c r="I680" s="219"/>
      <c r="J680" s="118"/>
      <c r="K680" s="74"/>
      <c r="L680" s="74"/>
      <c r="M680" s="119"/>
      <c r="N680" s="74"/>
      <c r="O680" s="74"/>
      <c r="P680" s="74"/>
      <c r="Q680" s="74"/>
      <c r="R680" s="74"/>
      <c r="S680" s="74"/>
      <c r="T680" s="65" t="str">
        <f aca="false">IF(D680&gt;0,(I680/D680),"")</f>
        <v/>
      </c>
      <c r="U680" s="74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4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74"/>
      <c r="CB680" s="74"/>
      <c r="CC680" s="74"/>
      <c r="CD680" s="74"/>
      <c r="CE680" s="74"/>
      <c r="CF680" s="74"/>
      <c r="CG680" s="74"/>
      <c r="CH680" s="74"/>
      <c r="CI680" s="74"/>
      <c r="CJ680" s="74"/>
      <c r="CK680" s="74"/>
      <c r="CL680" s="74"/>
      <c r="CM680" s="74"/>
      <c r="CN680" s="74"/>
      <c r="CO680" s="74"/>
      <c r="CP680" s="74"/>
      <c r="CQ680" s="74"/>
      <c r="CR680" s="74"/>
      <c r="CS680" s="74"/>
      <c r="CT680" s="74"/>
      <c r="CU680" s="74"/>
      <c r="CV680" s="74"/>
      <c r="CW680" s="74"/>
      <c r="CX680" s="74"/>
      <c r="CY680" s="74"/>
      <c r="CZ680" s="74"/>
      <c r="DA680" s="74"/>
      <c r="DB680" s="74"/>
      <c r="DC680" s="74"/>
      <c r="DD680" s="74"/>
      <c r="DE680" s="74"/>
      <c r="DF680" s="74"/>
      <c r="DG680" s="74"/>
      <c r="DH680" s="74"/>
      <c r="DI680" s="74"/>
      <c r="DJ680" s="74"/>
      <c r="DK680" s="74"/>
      <c r="DL680" s="74"/>
      <c r="DM680" s="74"/>
      <c r="DN680" s="74"/>
      <c r="DO680" s="74"/>
      <c r="DP680" s="74"/>
      <c r="DQ680" s="74"/>
      <c r="DR680" s="74"/>
      <c r="DS680" s="74"/>
      <c r="DT680" s="74"/>
      <c r="DU680" s="74"/>
      <c r="DV680" s="74"/>
      <c r="DW680" s="74"/>
      <c r="DX680" s="74"/>
      <c r="DY680" s="74"/>
      <c r="DZ680" s="74"/>
      <c r="EA680" s="74"/>
      <c r="EB680" s="74"/>
      <c r="EC680" s="74"/>
      <c r="ED680" s="74"/>
      <c r="EE680" s="74"/>
      <c r="EF680" s="74"/>
      <c r="EG680" s="74"/>
      <c r="EH680" s="74"/>
      <c r="EI680" s="74"/>
      <c r="EJ680" s="74"/>
      <c r="EK680" s="74"/>
      <c r="EL680" s="74"/>
      <c r="EM680" s="74"/>
      <c r="EN680" s="74"/>
      <c r="EO680" s="74"/>
      <c r="EP680" s="74"/>
      <c r="EQ680" s="74"/>
      <c r="ER680" s="74"/>
      <c r="ES680" s="74"/>
      <c r="ET680" s="74"/>
      <c r="EU680" s="74"/>
      <c r="EV680" s="74"/>
      <c r="EW680" s="74"/>
      <c r="EX680" s="74"/>
      <c r="EY680" s="74"/>
      <c r="EZ680" s="74"/>
      <c r="FA680" s="74"/>
      <c r="FB680" s="74"/>
      <c r="FC680" s="74"/>
      <c r="FD680" s="74"/>
      <c r="FE680" s="74"/>
      <c r="FF680" s="74"/>
      <c r="FG680" s="74"/>
      <c r="FH680" s="74"/>
      <c r="FI680" s="74"/>
      <c r="FJ680" s="74"/>
      <c r="FK680" s="74"/>
      <c r="FL680" s="74"/>
      <c r="FM680" s="74"/>
      <c r="FN680" s="74"/>
      <c r="FO680" s="74"/>
      <c r="FP680" s="74"/>
      <c r="FQ680" s="74"/>
      <c r="FR680" s="74"/>
      <c r="FS680" s="74"/>
      <c r="FT680" s="74"/>
      <c r="FU680" s="74"/>
      <c r="FV680" s="74"/>
      <c r="FW680" s="74"/>
      <c r="FX680" s="74"/>
      <c r="FY680" s="74"/>
      <c r="FZ680" s="74"/>
      <c r="GA680" s="74"/>
      <c r="GB680" s="74"/>
      <c r="GC680" s="74"/>
      <c r="GD680" s="74"/>
      <c r="GE680" s="74"/>
      <c r="GF680" s="74"/>
      <c r="GG680" s="74"/>
      <c r="GH680" s="74"/>
      <c r="GI680" s="74"/>
      <c r="GJ680" s="74"/>
      <c r="GK680" s="74"/>
      <c r="GL680" s="74"/>
      <c r="GM680" s="74"/>
      <c r="GN680" s="74"/>
      <c r="GO680" s="74"/>
      <c r="GP680" s="74"/>
      <c r="GQ680" s="74"/>
      <c r="GR680" s="74"/>
      <c r="GS680" s="74"/>
      <c r="GT680" s="74"/>
      <c r="GU680" s="74"/>
      <c r="GV680" s="74"/>
      <c r="GW680" s="74"/>
      <c r="GX680" s="74"/>
      <c r="GY680" s="74"/>
      <c r="GZ680" s="74"/>
      <c r="HA680" s="74"/>
      <c r="HB680" s="74"/>
      <c r="HC680" s="74"/>
      <c r="HD680" s="74"/>
      <c r="HE680" s="74"/>
      <c r="HF680" s="74"/>
      <c r="HG680" s="74"/>
      <c r="HH680" s="74"/>
      <c r="HI680" s="74"/>
      <c r="HJ680" s="74"/>
      <c r="HK680" s="74"/>
      <c r="HL680" s="74"/>
      <c r="HM680" s="74"/>
      <c r="HN680" s="74"/>
      <c r="HO680" s="74"/>
      <c r="HP680" s="74"/>
      <c r="HQ680" s="74"/>
      <c r="HR680" s="74"/>
      <c r="HS680" s="74"/>
      <c r="HT680" s="74"/>
      <c r="HU680" s="74"/>
      <c r="HV680" s="74"/>
      <c r="HW680" s="74"/>
      <c r="HX680" s="74"/>
      <c r="HY680" s="74"/>
      <c r="HZ680" s="74"/>
      <c r="IA680" s="74"/>
      <c r="IB680" s="74"/>
      <c r="IC680" s="74"/>
      <c r="ID680" s="74"/>
      <c r="IE680" s="74"/>
      <c r="IF680" s="74"/>
      <c r="IG680" s="74"/>
      <c r="IH680" s="74"/>
      <c r="II680" s="74"/>
      <c r="IJ680" s="74"/>
      <c r="IK680" s="74"/>
      <c r="IL680" s="74"/>
      <c r="IM680" s="74"/>
      <c r="IN680" s="74"/>
      <c r="IO680" s="74"/>
      <c r="IP680" s="74"/>
      <c r="IQ680" s="74"/>
      <c r="IR680" s="74"/>
      <c r="IS680" s="74"/>
      <c r="IT680" s="74"/>
      <c r="IU680" s="74"/>
      <c r="IV680" s="74"/>
      <c r="IW680" s="74"/>
    </row>
    <row r="681" customFormat="false" ht="18" hidden="false" customHeight="true" outlineLevel="0" collapsed="false">
      <c r="A681" s="196" t="s">
        <v>651</v>
      </c>
      <c r="B681" s="195"/>
      <c r="C681" s="183"/>
      <c r="D681" s="244" t="n">
        <f aca="false">D432+D473</f>
        <v>537950.9</v>
      </c>
      <c r="E681" s="245" t="n">
        <f aca="false">E432+E473</f>
        <v>22084.819</v>
      </c>
      <c r="F681" s="246" t="n">
        <f aca="false">F432+F473</f>
        <v>-5910.217</v>
      </c>
      <c r="G681" s="246" t="n">
        <f aca="false">G432+G473</f>
        <v>0</v>
      </c>
      <c r="H681" s="246" t="n">
        <f aca="false">+H306+H432+H473</f>
        <v>0</v>
      </c>
      <c r="I681" s="207" t="n">
        <f aca="false">I432+I473</f>
        <v>16174.602</v>
      </c>
      <c r="J681" s="118"/>
      <c r="K681" s="74"/>
      <c r="L681" s="74"/>
      <c r="M681" s="119"/>
      <c r="N681" s="74"/>
      <c r="O681" s="74"/>
      <c r="P681" s="74"/>
      <c r="Q681" s="74"/>
      <c r="R681" s="74"/>
      <c r="S681" s="74"/>
      <c r="T681" s="65" t="n">
        <f aca="false">IF(D681&gt;0,(I681/D681),"")</f>
        <v>0.0300670600235077</v>
      </c>
      <c r="U681" s="74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4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74"/>
      <c r="CB681" s="74"/>
      <c r="CC681" s="74"/>
      <c r="CD681" s="74"/>
      <c r="CE681" s="74"/>
      <c r="CF681" s="74"/>
      <c r="CG681" s="74"/>
      <c r="CH681" s="74"/>
      <c r="CI681" s="74"/>
      <c r="CJ681" s="74"/>
      <c r="CK681" s="74"/>
      <c r="CL681" s="74"/>
      <c r="CM681" s="74"/>
      <c r="CN681" s="74"/>
      <c r="CO681" s="74"/>
      <c r="CP681" s="74"/>
      <c r="CQ681" s="74"/>
      <c r="CR681" s="74"/>
      <c r="CS681" s="74"/>
      <c r="CT681" s="74"/>
      <c r="CU681" s="74"/>
      <c r="CV681" s="74"/>
      <c r="CW681" s="74"/>
      <c r="CX681" s="74"/>
      <c r="CY681" s="74"/>
      <c r="CZ681" s="74"/>
      <c r="DA681" s="74"/>
      <c r="DB681" s="74"/>
      <c r="DC681" s="74"/>
      <c r="DD681" s="74"/>
      <c r="DE681" s="74"/>
      <c r="DF681" s="74"/>
      <c r="DG681" s="74"/>
      <c r="DH681" s="74"/>
      <c r="DI681" s="74"/>
      <c r="DJ681" s="74"/>
      <c r="DK681" s="74"/>
      <c r="DL681" s="74"/>
      <c r="DM681" s="74"/>
      <c r="DN681" s="74"/>
      <c r="DO681" s="74"/>
      <c r="DP681" s="74"/>
      <c r="DQ681" s="74"/>
      <c r="DR681" s="74"/>
      <c r="DS681" s="74"/>
      <c r="DT681" s="74"/>
      <c r="DU681" s="74"/>
      <c r="DV681" s="74"/>
      <c r="DW681" s="74"/>
      <c r="DX681" s="74"/>
      <c r="DY681" s="74"/>
      <c r="DZ681" s="74"/>
      <c r="EA681" s="74"/>
      <c r="EB681" s="74"/>
      <c r="EC681" s="74"/>
      <c r="ED681" s="74"/>
      <c r="EE681" s="74"/>
      <c r="EF681" s="74"/>
      <c r="EG681" s="74"/>
      <c r="EH681" s="74"/>
      <c r="EI681" s="74"/>
      <c r="EJ681" s="74"/>
      <c r="EK681" s="74"/>
      <c r="EL681" s="74"/>
      <c r="EM681" s="74"/>
      <c r="EN681" s="74"/>
      <c r="EO681" s="74"/>
      <c r="EP681" s="74"/>
      <c r="EQ681" s="74"/>
      <c r="ER681" s="74"/>
      <c r="ES681" s="74"/>
      <c r="ET681" s="74"/>
      <c r="EU681" s="74"/>
      <c r="EV681" s="74"/>
      <c r="EW681" s="74"/>
      <c r="EX681" s="74"/>
      <c r="EY681" s="74"/>
      <c r="EZ681" s="74"/>
      <c r="FA681" s="74"/>
      <c r="FB681" s="74"/>
      <c r="FC681" s="74"/>
      <c r="FD681" s="74"/>
      <c r="FE681" s="74"/>
      <c r="FF681" s="74"/>
      <c r="FG681" s="74"/>
      <c r="FH681" s="74"/>
      <c r="FI681" s="74"/>
      <c r="FJ681" s="74"/>
      <c r="FK681" s="74"/>
      <c r="FL681" s="74"/>
      <c r="FM681" s="74"/>
      <c r="FN681" s="74"/>
      <c r="FO681" s="74"/>
      <c r="FP681" s="74"/>
      <c r="FQ681" s="74"/>
      <c r="FR681" s="74"/>
      <c r="FS681" s="74"/>
      <c r="FT681" s="74"/>
      <c r="FU681" s="74"/>
      <c r="FV681" s="74"/>
      <c r="FW681" s="74"/>
      <c r="FX681" s="74"/>
      <c r="FY681" s="74"/>
      <c r="FZ681" s="74"/>
      <c r="GA681" s="74"/>
      <c r="GB681" s="74"/>
      <c r="GC681" s="74"/>
      <c r="GD681" s="74"/>
      <c r="GE681" s="74"/>
      <c r="GF681" s="74"/>
      <c r="GG681" s="74"/>
      <c r="GH681" s="74"/>
      <c r="GI681" s="74"/>
      <c r="GJ681" s="74"/>
      <c r="GK681" s="74"/>
      <c r="GL681" s="74"/>
      <c r="GM681" s="74"/>
      <c r="GN681" s="74"/>
      <c r="GO681" s="74"/>
      <c r="GP681" s="74"/>
      <c r="GQ681" s="74"/>
      <c r="GR681" s="74"/>
      <c r="GS681" s="74"/>
      <c r="GT681" s="74"/>
      <c r="GU681" s="74"/>
      <c r="GV681" s="74"/>
      <c r="GW681" s="74"/>
      <c r="GX681" s="74"/>
      <c r="GY681" s="74"/>
      <c r="GZ681" s="74"/>
      <c r="HA681" s="74"/>
      <c r="HB681" s="74"/>
      <c r="HC681" s="74"/>
      <c r="HD681" s="74"/>
      <c r="HE681" s="74"/>
      <c r="HF681" s="74"/>
      <c r="HG681" s="74"/>
      <c r="HH681" s="74"/>
      <c r="HI681" s="74"/>
      <c r="HJ681" s="74"/>
      <c r="HK681" s="74"/>
      <c r="HL681" s="74"/>
      <c r="HM681" s="74"/>
      <c r="HN681" s="74"/>
      <c r="HO681" s="74"/>
      <c r="HP681" s="74"/>
      <c r="HQ681" s="74"/>
      <c r="HR681" s="74"/>
      <c r="HS681" s="74"/>
      <c r="HT681" s="74"/>
      <c r="HU681" s="74"/>
      <c r="HV681" s="74"/>
      <c r="HW681" s="74"/>
      <c r="HX681" s="74"/>
      <c r="HY681" s="74"/>
      <c r="HZ681" s="74"/>
      <c r="IA681" s="74"/>
      <c r="IB681" s="74"/>
      <c r="IC681" s="74"/>
      <c r="ID681" s="74"/>
      <c r="IE681" s="74"/>
      <c r="IF681" s="74"/>
      <c r="IG681" s="74"/>
      <c r="IH681" s="74"/>
      <c r="II681" s="74"/>
      <c r="IJ681" s="74"/>
      <c r="IK681" s="74"/>
      <c r="IL681" s="74"/>
      <c r="IM681" s="74"/>
      <c r="IN681" s="74"/>
      <c r="IO681" s="74"/>
      <c r="IP681" s="74"/>
      <c r="IQ681" s="74"/>
      <c r="IR681" s="74"/>
      <c r="IS681" s="74"/>
      <c r="IT681" s="74"/>
      <c r="IU681" s="74"/>
      <c r="IV681" s="74"/>
      <c r="IW681" s="74"/>
    </row>
    <row r="682" customFormat="false" ht="18" hidden="false" customHeight="true" outlineLevel="0" collapsed="false">
      <c r="A682" s="209"/>
      <c r="B682" s="210"/>
      <c r="C682" s="183"/>
      <c r="D682" s="92"/>
      <c r="E682" s="93"/>
      <c r="F682" s="81"/>
      <c r="G682" s="81"/>
      <c r="H682" s="81"/>
      <c r="I682" s="94"/>
      <c r="J682" s="118"/>
      <c r="K682" s="74"/>
      <c r="L682" s="74"/>
      <c r="M682" s="201"/>
      <c r="N682" s="247"/>
      <c r="O682" s="74"/>
      <c r="P682" s="74"/>
      <c r="Q682" s="74"/>
      <c r="R682" s="74"/>
      <c r="S682" s="74"/>
      <c r="T682" s="65" t="str">
        <f aca="false">IF(D682&gt;0,(I682/D682),"")</f>
        <v/>
      </c>
      <c r="U682" s="74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4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74"/>
      <c r="CB682" s="74"/>
      <c r="CC682" s="74"/>
      <c r="CD682" s="74"/>
      <c r="CE682" s="74"/>
      <c r="CF682" s="74"/>
      <c r="CG682" s="74"/>
      <c r="CH682" s="74"/>
      <c r="CI682" s="74"/>
      <c r="CJ682" s="74"/>
      <c r="CK682" s="74"/>
      <c r="CL682" s="74"/>
      <c r="CM682" s="74"/>
      <c r="CN682" s="74"/>
      <c r="CO682" s="74"/>
      <c r="CP682" s="74"/>
      <c r="CQ682" s="74"/>
      <c r="CR682" s="74"/>
      <c r="CS682" s="74"/>
      <c r="CT682" s="74"/>
      <c r="CU682" s="74"/>
      <c r="CV682" s="74"/>
      <c r="CW682" s="74"/>
      <c r="CX682" s="74"/>
      <c r="CY682" s="74"/>
      <c r="CZ682" s="74"/>
      <c r="DA682" s="74"/>
      <c r="DB682" s="74"/>
      <c r="DC682" s="74"/>
      <c r="DD682" s="74"/>
      <c r="DE682" s="74"/>
      <c r="DF682" s="74"/>
      <c r="DG682" s="74"/>
      <c r="DH682" s="74"/>
      <c r="DI682" s="74"/>
      <c r="DJ682" s="74"/>
      <c r="DK682" s="74"/>
      <c r="DL682" s="74"/>
      <c r="DM682" s="74"/>
      <c r="DN682" s="74"/>
      <c r="DO682" s="74"/>
      <c r="DP682" s="74"/>
      <c r="DQ682" s="74"/>
      <c r="DR682" s="74"/>
      <c r="DS682" s="74"/>
      <c r="DT682" s="74"/>
      <c r="DU682" s="74"/>
      <c r="DV682" s="74"/>
      <c r="DW682" s="74"/>
      <c r="DX682" s="74"/>
      <c r="DY682" s="74"/>
      <c r="DZ682" s="74"/>
      <c r="EA682" s="74"/>
      <c r="EB682" s="74"/>
      <c r="EC682" s="74"/>
      <c r="ED682" s="74"/>
      <c r="EE682" s="74"/>
      <c r="EF682" s="74"/>
      <c r="EG682" s="74"/>
      <c r="EH682" s="74"/>
      <c r="EI682" s="74"/>
      <c r="EJ682" s="74"/>
      <c r="EK682" s="74"/>
      <c r="EL682" s="74"/>
      <c r="EM682" s="74"/>
      <c r="EN682" s="74"/>
      <c r="EO682" s="74"/>
      <c r="EP682" s="74"/>
      <c r="EQ682" s="74"/>
      <c r="ER682" s="74"/>
      <c r="ES682" s="74"/>
      <c r="ET682" s="74"/>
      <c r="EU682" s="74"/>
      <c r="EV682" s="74"/>
      <c r="EW682" s="74"/>
      <c r="EX682" s="74"/>
      <c r="EY682" s="74"/>
      <c r="EZ682" s="74"/>
      <c r="FA682" s="74"/>
      <c r="FB682" s="74"/>
      <c r="FC682" s="74"/>
      <c r="FD682" s="74"/>
      <c r="FE682" s="74"/>
      <c r="FF682" s="74"/>
      <c r="FG682" s="74"/>
      <c r="FH682" s="74"/>
      <c r="FI682" s="74"/>
      <c r="FJ682" s="74"/>
      <c r="FK682" s="74"/>
      <c r="FL682" s="74"/>
      <c r="FM682" s="74"/>
      <c r="FN682" s="74"/>
      <c r="FO682" s="74"/>
      <c r="FP682" s="74"/>
      <c r="FQ682" s="74"/>
      <c r="FR682" s="74"/>
      <c r="FS682" s="74"/>
      <c r="FT682" s="74"/>
      <c r="FU682" s="74"/>
      <c r="FV682" s="74"/>
      <c r="FW682" s="74"/>
      <c r="FX682" s="74"/>
      <c r="FY682" s="74"/>
      <c r="FZ682" s="74"/>
      <c r="GA682" s="74"/>
      <c r="GB682" s="74"/>
      <c r="GC682" s="74"/>
      <c r="GD682" s="74"/>
      <c r="GE682" s="74"/>
      <c r="GF682" s="74"/>
      <c r="GG682" s="74"/>
      <c r="GH682" s="74"/>
      <c r="GI682" s="74"/>
      <c r="GJ682" s="74"/>
      <c r="GK682" s="74"/>
      <c r="GL682" s="74"/>
      <c r="GM682" s="74"/>
      <c r="GN682" s="74"/>
      <c r="GO682" s="74"/>
      <c r="GP682" s="74"/>
      <c r="GQ682" s="74"/>
      <c r="GR682" s="74"/>
      <c r="GS682" s="74"/>
      <c r="GT682" s="74"/>
      <c r="GU682" s="74"/>
      <c r="GV682" s="74"/>
      <c r="GW682" s="74"/>
      <c r="GX682" s="74"/>
      <c r="GY682" s="74"/>
      <c r="GZ682" s="74"/>
      <c r="HA682" s="74"/>
      <c r="HB682" s="74"/>
      <c r="HC682" s="74"/>
      <c r="HD682" s="74"/>
      <c r="HE682" s="74"/>
      <c r="HF682" s="74"/>
      <c r="HG682" s="74"/>
      <c r="HH682" s="74"/>
      <c r="HI682" s="74"/>
      <c r="HJ682" s="74"/>
      <c r="HK682" s="74"/>
      <c r="HL682" s="74"/>
      <c r="HM682" s="74"/>
      <c r="HN682" s="74"/>
      <c r="HO682" s="74"/>
      <c r="HP682" s="74"/>
      <c r="HQ682" s="74"/>
      <c r="HR682" s="74"/>
      <c r="HS682" s="74"/>
      <c r="HT682" s="74"/>
      <c r="HU682" s="74"/>
      <c r="HV682" s="74"/>
      <c r="HW682" s="74"/>
      <c r="HX682" s="74"/>
      <c r="HY682" s="74"/>
      <c r="HZ682" s="74"/>
      <c r="IA682" s="74"/>
      <c r="IB682" s="74"/>
      <c r="IC682" s="74"/>
      <c r="ID682" s="74"/>
      <c r="IE682" s="74"/>
      <c r="IF682" s="74"/>
      <c r="IG682" s="74"/>
      <c r="IH682" s="74"/>
      <c r="II682" s="74"/>
      <c r="IJ682" s="74"/>
      <c r="IK682" s="74"/>
      <c r="IL682" s="74"/>
      <c r="IM682" s="74"/>
      <c r="IN682" s="74"/>
      <c r="IO682" s="74"/>
      <c r="IP682" s="74"/>
      <c r="IQ682" s="74"/>
      <c r="IR682" s="74"/>
      <c r="IS682" s="74"/>
      <c r="IT682" s="74"/>
      <c r="IU682" s="74"/>
      <c r="IV682" s="74"/>
      <c r="IW682" s="74"/>
    </row>
    <row r="683" customFormat="false" ht="15.75" hidden="false" customHeight="false" outlineLevel="0" collapsed="false">
      <c r="A683" s="248" t="s">
        <v>652</v>
      </c>
      <c r="B683" s="211"/>
      <c r="C683" s="118"/>
      <c r="D683" s="92"/>
      <c r="E683" s="93"/>
      <c r="F683" s="81"/>
      <c r="G683" s="81"/>
      <c r="H683" s="81"/>
      <c r="I683" s="94"/>
      <c r="J683" s="249"/>
      <c r="K683" s="97"/>
      <c r="L683" s="199"/>
      <c r="M683" s="119"/>
      <c r="N683" s="97"/>
      <c r="O683" s="97"/>
      <c r="P683" s="97"/>
      <c r="Q683" s="97"/>
      <c r="R683" s="97"/>
      <c r="S683" s="97"/>
      <c r="T683" s="65" t="str">
        <f aca="false">IF(D683&gt;0,(I683/D683),"")</f>
        <v/>
      </c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7"/>
      <c r="AV683" s="97"/>
      <c r="AW683" s="97"/>
      <c r="AX683" s="97"/>
      <c r="AY683" s="97"/>
      <c r="AZ683" s="97"/>
      <c r="BA683" s="97"/>
      <c r="BB683" s="97"/>
      <c r="BC683" s="97"/>
      <c r="BD683" s="97"/>
      <c r="BE683" s="97"/>
      <c r="BF683" s="97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7"/>
      <c r="BS683" s="97"/>
      <c r="BT683" s="97"/>
      <c r="BU683" s="97"/>
      <c r="BV683" s="199"/>
      <c r="BW683" s="199"/>
      <c r="BX683" s="199"/>
      <c r="BY683" s="199"/>
      <c r="BZ683" s="199"/>
      <c r="CA683" s="199"/>
      <c r="CB683" s="199"/>
      <c r="CC683" s="199"/>
      <c r="CD683" s="199"/>
      <c r="CE683" s="199"/>
      <c r="CF683" s="199"/>
      <c r="CG683" s="199"/>
      <c r="CH683" s="199"/>
      <c r="CI683" s="199"/>
      <c r="CJ683" s="199"/>
      <c r="CK683" s="199"/>
      <c r="CL683" s="199"/>
      <c r="CM683" s="199"/>
      <c r="CN683" s="199"/>
      <c r="CO683" s="199"/>
      <c r="CP683" s="199"/>
      <c r="CQ683" s="199"/>
      <c r="CR683" s="199"/>
      <c r="CS683" s="199"/>
      <c r="CT683" s="199"/>
      <c r="CU683" s="199"/>
      <c r="CV683" s="199"/>
      <c r="CW683" s="199"/>
      <c r="CX683" s="199"/>
      <c r="CY683" s="199"/>
      <c r="CZ683" s="199"/>
      <c r="DA683" s="199"/>
      <c r="DB683" s="199"/>
      <c r="DC683" s="199"/>
      <c r="DD683" s="199"/>
      <c r="DE683" s="199"/>
      <c r="DF683" s="199"/>
      <c r="DG683" s="199"/>
      <c r="DH683" s="199"/>
      <c r="DI683" s="199"/>
      <c r="DJ683" s="199"/>
      <c r="DK683" s="199"/>
      <c r="DL683" s="199"/>
      <c r="DM683" s="199"/>
      <c r="DN683" s="199"/>
      <c r="DO683" s="199"/>
      <c r="DP683" s="199"/>
      <c r="DQ683" s="199"/>
      <c r="DR683" s="199"/>
      <c r="DS683" s="199"/>
      <c r="DT683" s="199"/>
      <c r="DU683" s="199"/>
      <c r="DV683" s="199"/>
      <c r="DW683" s="199"/>
      <c r="DX683" s="199"/>
      <c r="DY683" s="199"/>
      <c r="DZ683" s="199"/>
      <c r="EA683" s="199"/>
      <c r="EB683" s="199"/>
      <c r="EC683" s="199"/>
      <c r="ED683" s="199"/>
      <c r="EE683" s="199"/>
      <c r="EF683" s="199"/>
      <c r="EG683" s="199"/>
      <c r="EH683" s="199"/>
      <c r="EI683" s="199"/>
      <c r="EJ683" s="199"/>
      <c r="EK683" s="199"/>
      <c r="EL683" s="199"/>
      <c r="EM683" s="199"/>
      <c r="EN683" s="199"/>
      <c r="EO683" s="199"/>
      <c r="EP683" s="199"/>
      <c r="EQ683" s="199"/>
      <c r="ER683" s="199"/>
      <c r="ES683" s="199"/>
      <c r="ET683" s="199"/>
      <c r="EU683" s="199"/>
      <c r="EV683" s="199"/>
      <c r="EW683" s="199"/>
      <c r="EX683" s="199"/>
      <c r="EY683" s="199"/>
      <c r="EZ683" s="199"/>
      <c r="FA683" s="199"/>
      <c r="FB683" s="199"/>
      <c r="FC683" s="199"/>
      <c r="FD683" s="199"/>
      <c r="FE683" s="199"/>
      <c r="FF683" s="199"/>
      <c r="FG683" s="199"/>
      <c r="FH683" s="199"/>
      <c r="FI683" s="199"/>
      <c r="FJ683" s="199"/>
      <c r="FK683" s="199"/>
      <c r="FL683" s="199"/>
      <c r="FM683" s="199"/>
      <c r="FN683" s="199"/>
      <c r="FO683" s="199"/>
      <c r="FP683" s="199"/>
      <c r="FQ683" s="199"/>
      <c r="FR683" s="199"/>
      <c r="FS683" s="199"/>
      <c r="FT683" s="199"/>
      <c r="FU683" s="199"/>
      <c r="FV683" s="199"/>
      <c r="FW683" s="199"/>
      <c r="FX683" s="199"/>
      <c r="FY683" s="199"/>
      <c r="FZ683" s="199"/>
      <c r="GA683" s="199"/>
      <c r="GB683" s="199"/>
      <c r="GC683" s="199"/>
      <c r="GD683" s="199"/>
      <c r="GE683" s="199"/>
      <c r="GF683" s="199"/>
      <c r="GG683" s="199"/>
      <c r="GH683" s="199"/>
      <c r="GI683" s="199"/>
      <c r="GJ683" s="199"/>
      <c r="GK683" s="199"/>
      <c r="GL683" s="199"/>
      <c r="GM683" s="199"/>
      <c r="GN683" s="199"/>
      <c r="GO683" s="199"/>
      <c r="GP683" s="199"/>
      <c r="GQ683" s="199"/>
      <c r="GR683" s="199"/>
      <c r="GS683" s="199"/>
      <c r="GT683" s="199"/>
      <c r="GU683" s="199"/>
      <c r="GV683" s="199"/>
      <c r="GW683" s="199"/>
      <c r="GX683" s="199"/>
      <c r="GY683" s="199"/>
      <c r="GZ683" s="199"/>
      <c r="HA683" s="199"/>
      <c r="HB683" s="199"/>
      <c r="HC683" s="199"/>
      <c r="HD683" s="199"/>
      <c r="HE683" s="199"/>
      <c r="HF683" s="199"/>
      <c r="HG683" s="199"/>
      <c r="HH683" s="199"/>
      <c r="HI683" s="199"/>
      <c r="HJ683" s="199"/>
      <c r="HK683" s="199"/>
      <c r="HL683" s="199"/>
      <c r="HM683" s="199"/>
      <c r="HN683" s="199"/>
      <c r="HO683" s="199"/>
      <c r="HP683" s="199"/>
      <c r="HQ683" s="199"/>
      <c r="HR683" s="199"/>
      <c r="HS683" s="199"/>
      <c r="HT683" s="199"/>
      <c r="HU683" s="199"/>
      <c r="HV683" s="199"/>
      <c r="HW683" s="199"/>
      <c r="HX683" s="199"/>
      <c r="HY683" s="199"/>
      <c r="HZ683" s="199"/>
      <c r="IA683" s="199"/>
      <c r="IB683" s="199"/>
      <c r="IC683" s="199"/>
      <c r="ID683" s="199"/>
      <c r="IE683" s="199"/>
      <c r="IF683" s="199"/>
      <c r="IG683" s="199"/>
      <c r="IH683" s="199"/>
      <c r="II683" s="199"/>
      <c r="IJ683" s="199"/>
      <c r="IK683" s="199"/>
      <c r="IL683" s="199"/>
      <c r="IM683" s="199"/>
      <c r="IN683" s="199"/>
      <c r="IO683" s="199"/>
      <c r="IP683" s="199"/>
      <c r="IQ683" s="199"/>
      <c r="IR683" s="199"/>
      <c r="IS683" s="199"/>
      <c r="IT683" s="199"/>
      <c r="IU683" s="199"/>
      <c r="IV683" s="199"/>
      <c r="IW683" s="199"/>
    </row>
    <row r="684" customFormat="false" ht="5.1" hidden="false" customHeight="true" outlineLevel="0" collapsed="false">
      <c r="A684" s="212"/>
      <c r="B684" s="211"/>
      <c r="C684" s="118"/>
      <c r="D684" s="92"/>
      <c r="E684" s="93"/>
      <c r="F684" s="81"/>
      <c r="G684" s="81"/>
      <c r="H684" s="81"/>
      <c r="I684" s="94"/>
      <c r="J684" s="118"/>
      <c r="K684" s="74"/>
      <c r="L684" s="74"/>
      <c r="M684" s="119"/>
      <c r="N684" s="74"/>
      <c r="O684" s="74"/>
      <c r="P684" s="74"/>
      <c r="Q684" s="74"/>
      <c r="R684" s="74"/>
      <c r="S684" s="74"/>
      <c r="T684" s="65" t="str">
        <f aca="false">IF(D684&gt;0,(I684/D684),"")</f>
        <v/>
      </c>
      <c r="U684" s="74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4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74"/>
      <c r="CB684" s="74"/>
      <c r="CC684" s="74"/>
      <c r="CD684" s="74"/>
      <c r="CE684" s="74"/>
      <c r="CF684" s="74"/>
      <c r="CG684" s="74"/>
      <c r="CH684" s="74"/>
      <c r="CI684" s="74"/>
      <c r="CJ684" s="74"/>
      <c r="CK684" s="74"/>
      <c r="CL684" s="74"/>
      <c r="CM684" s="74"/>
      <c r="CN684" s="74"/>
      <c r="CO684" s="74"/>
      <c r="CP684" s="74"/>
      <c r="CQ684" s="74"/>
      <c r="CR684" s="74"/>
      <c r="CS684" s="74"/>
      <c r="CT684" s="74"/>
      <c r="CU684" s="74"/>
      <c r="CV684" s="74"/>
      <c r="CW684" s="74"/>
      <c r="CX684" s="74"/>
      <c r="CY684" s="74"/>
      <c r="CZ684" s="74"/>
      <c r="DA684" s="74"/>
      <c r="DB684" s="74"/>
      <c r="DC684" s="74"/>
      <c r="DD684" s="74"/>
      <c r="DE684" s="74"/>
      <c r="DF684" s="74"/>
      <c r="DG684" s="74"/>
      <c r="DH684" s="74"/>
      <c r="DI684" s="74"/>
      <c r="DJ684" s="74"/>
      <c r="DK684" s="74"/>
      <c r="DL684" s="74"/>
      <c r="DM684" s="74"/>
      <c r="DN684" s="74"/>
      <c r="DO684" s="74"/>
      <c r="DP684" s="74"/>
      <c r="DQ684" s="74"/>
      <c r="DR684" s="74"/>
      <c r="DS684" s="74"/>
      <c r="DT684" s="74"/>
      <c r="DU684" s="74"/>
      <c r="DV684" s="74"/>
      <c r="DW684" s="74"/>
      <c r="DX684" s="74"/>
      <c r="DY684" s="74"/>
      <c r="DZ684" s="74"/>
      <c r="EA684" s="74"/>
      <c r="EB684" s="74"/>
      <c r="EC684" s="74"/>
      <c r="ED684" s="74"/>
      <c r="EE684" s="74"/>
      <c r="EF684" s="74"/>
      <c r="EG684" s="74"/>
      <c r="EH684" s="74"/>
      <c r="EI684" s="74"/>
      <c r="EJ684" s="74"/>
      <c r="EK684" s="74"/>
      <c r="EL684" s="74"/>
      <c r="EM684" s="74"/>
      <c r="EN684" s="74"/>
      <c r="EO684" s="74"/>
      <c r="EP684" s="74"/>
      <c r="EQ684" s="74"/>
      <c r="ER684" s="74"/>
      <c r="ES684" s="74"/>
      <c r="ET684" s="74"/>
      <c r="EU684" s="74"/>
      <c r="EV684" s="74"/>
      <c r="EW684" s="74"/>
      <c r="EX684" s="74"/>
      <c r="EY684" s="74"/>
      <c r="EZ684" s="74"/>
      <c r="FA684" s="74"/>
      <c r="FB684" s="74"/>
      <c r="FC684" s="74"/>
      <c r="FD684" s="74"/>
      <c r="FE684" s="74"/>
      <c r="FF684" s="74"/>
      <c r="FG684" s="74"/>
      <c r="FH684" s="74"/>
      <c r="FI684" s="74"/>
      <c r="FJ684" s="74"/>
      <c r="FK684" s="74"/>
      <c r="FL684" s="74"/>
      <c r="FM684" s="74"/>
      <c r="FN684" s="74"/>
      <c r="FO684" s="74"/>
      <c r="FP684" s="74"/>
      <c r="FQ684" s="74"/>
      <c r="FR684" s="74"/>
      <c r="FS684" s="74"/>
      <c r="FT684" s="74"/>
      <c r="FU684" s="74"/>
      <c r="FV684" s="74"/>
      <c r="FW684" s="74"/>
      <c r="FX684" s="74"/>
      <c r="FY684" s="74"/>
      <c r="FZ684" s="74"/>
      <c r="GA684" s="74"/>
      <c r="GB684" s="74"/>
      <c r="GC684" s="74"/>
      <c r="GD684" s="74"/>
      <c r="GE684" s="74"/>
      <c r="GF684" s="74"/>
      <c r="GG684" s="74"/>
      <c r="GH684" s="74"/>
      <c r="GI684" s="74"/>
      <c r="GJ684" s="74"/>
      <c r="GK684" s="74"/>
      <c r="GL684" s="74"/>
      <c r="GM684" s="74"/>
      <c r="GN684" s="74"/>
      <c r="GO684" s="74"/>
      <c r="GP684" s="74"/>
      <c r="GQ684" s="74"/>
      <c r="GR684" s="74"/>
      <c r="GS684" s="74"/>
      <c r="GT684" s="74"/>
      <c r="GU684" s="74"/>
      <c r="GV684" s="74"/>
      <c r="GW684" s="74"/>
      <c r="GX684" s="74"/>
      <c r="GY684" s="74"/>
      <c r="GZ684" s="74"/>
      <c r="HA684" s="74"/>
      <c r="HB684" s="74"/>
      <c r="HC684" s="74"/>
      <c r="HD684" s="74"/>
      <c r="HE684" s="74"/>
      <c r="HF684" s="74"/>
      <c r="HG684" s="74"/>
      <c r="HH684" s="74"/>
      <c r="HI684" s="74"/>
      <c r="HJ684" s="74"/>
      <c r="HK684" s="74"/>
      <c r="HL684" s="74"/>
      <c r="HM684" s="74"/>
      <c r="HN684" s="74"/>
      <c r="HO684" s="74"/>
      <c r="HP684" s="74"/>
      <c r="HQ684" s="74"/>
      <c r="HR684" s="74"/>
      <c r="HS684" s="74"/>
      <c r="HT684" s="74"/>
      <c r="HU684" s="74"/>
      <c r="HV684" s="74"/>
      <c r="HW684" s="74"/>
      <c r="HX684" s="74"/>
      <c r="HY684" s="74"/>
      <c r="HZ684" s="74"/>
      <c r="IA684" s="74"/>
      <c r="IB684" s="74"/>
      <c r="IC684" s="74"/>
      <c r="ID684" s="74"/>
      <c r="IE684" s="74"/>
      <c r="IF684" s="74"/>
      <c r="IG684" s="74"/>
      <c r="IH684" s="74"/>
      <c r="II684" s="74"/>
      <c r="IJ684" s="74"/>
      <c r="IK684" s="74"/>
      <c r="IL684" s="74"/>
      <c r="IM684" s="74"/>
      <c r="IN684" s="74"/>
      <c r="IO684" s="74"/>
      <c r="IP684" s="74"/>
      <c r="IQ684" s="74"/>
      <c r="IR684" s="74"/>
      <c r="IS684" s="74"/>
      <c r="IT684" s="74"/>
      <c r="IU684" s="74"/>
      <c r="IV684" s="74"/>
      <c r="IW684" s="74"/>
    </row>
    <row r="685" customFormat="false" ht="18" hidden="false" customHeight="false" outlineLevel="0" collapsed="false">
      <c r="A685" s="112" t="s">
        <v>653</v>
      </c>
      <c r="B685" s="67"/>
      <c r="C685" s="175"/>
      <c r="D685" s="69" t="n">
        <f aca="false">I685/0.06</f>
        <v>35.05</v>
      </c>
      <c r="E685" s="71" t="n">
        <f aca="false">2528/1000</f>
        <v>2.528</v>
      </c>
      <c r="F685" s="71" t="n">
        <v>-0.425</v>
      </c>
      <c r="G685" s="71" t="n">
        <v>0</v>
      </c>
      <c r="H685" s="71"/>
      <c r="I685" s="72" t="n">
        <f aca="false">SUM(E685:G685)</f>
        <v>2.103</v>
      </c>
      <c r="J685" s="118" t="s">
        <v>654</v>
      </c>
      <c r="K685" s="74"/>
      <c r="L685" s="74"/>
      <c r="M685" s="119"/>
      <c r="N685" s="74"/>
      <c r="O685" s="74"/>
      <c r="P685" s="74"/>
      <c r="Q685" s="74"/>
      <c r="R685" s="74"/>
      <c r="S685" s="74"/>
      <c r="T685" s="65" t="n">
        <f aca="false">IF(D685&gt;0,(I685/D685),"")</f>
        <v>0.06</v>
      </c>
      <c r="U685" s="74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74"/>
      <c r="AJ685" s="74"/>
      <c r="AK685" s="74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4"/>
      <c r="AZ685" s="74"/>
      <c r="BA685" s="74"/>
      <c r="BB685" s="74"/>
      <c r="BC685" s="74"/>
      <c r="BD685" s="74"/>
      <c r="BE685" s="74"/>
      <c r="BF685" s="74"/>
      <c r="BG685" s="74"/>
      <c r="BH685" s="74"/>
      <c r="BI685" s="74"/>
      <c r="BJ685" s="74"/>
      <c r="BK685" s="74"/>
      <c r="BL685" s="74"/>
      <c r="BM685" s="74"/>
      <c r="BN685" s="74"/>
      <c r="BO685" s="74"/>
      <c r="BP685" s="74"/>
      <c r="BQ685" s="74"/>
      <c r="BR685" s="74"/>
      <c r="BS685" s="74"/>
      <c r="BT685" s="74"/>
      <c r="BU685" s="74"/>
      <c r="BV685" s="74"/>
      <c r="BW685" s="74"/>
      <c r="BX685" s="74"/>
      <c r="BY685" s="74"/>
      <c r="BZ685" s="74"/>
      <c r="CA685" s="74"/>
      <c r="CB685" s="74"/>
      <c r="CC685" s="74"/>
      <c r="CD685" s="74"/>
      <c r="CE685" s="74"/>
      <c r="CF685" s="74"/>
      <c r="CG685" s="74"/>
      <c r="CH685" s="74"/>
      <c r="CI685" s="74"/>
      <c r="CJ685" s="74"/>
      <c r="CK685" s="74"/>
      <c r="CL685" s="74"/>
      <c r="CM685" s="74"/>
      <c r="CN685" s="74"/>
      <c r="CO685" s="74"/>
      <c r="CP685" s="74"/>
      <c r="CQ685" s="74"/>
      <c r="CR685" s="74"/>
      <c r="CS685" s="74"/>
      <c r="CT685" s="74"/>
      <c r="CU685" s="74"/>
      <c r="CV685" s="74"/>
      <c r="CW685" s="74"/>
      <c r="CX685" s="74"/>
      <c r="CY685" s="74"/>
      <c r="CZ685" s="74"/>
      <c r="DA685" s="74"/>
      <c r="DB685" s="74"/>
      <c r="DC685" s="74"/>
      <c r="DD685" s="74"/>
      <c r="DE685" s="74"/>
      <c r="DF685" s="74"/>
      <c r="DG685" s="74"/>
      <c r="DH685" s="74"/>
      <c r="DI685" s="74"/>
      <c r="DJ685" s="74"/>
      <c r="DK685" s="74"/>
      <c r="DL685" s="74"/>
      <c r="DM685" s="74"/>
      <c r="DN685" s="74"/>
      <c r="DO685" s="74"/>
      <c r="DP685" s="74"/>
      <c r="DQ685" s="74"/>
      <c r="DR685" s="74"/>
      <c r="DS685" s="74"/>
      <c r="DT685" s="74"/>
      <c r="DU685" s="74"/>
      <c r="DV685" s="74"/>
      <c r="DW685" s="74"/>
      <c r="DX685" s="74"/>
      <c r="DY685" s="74"/>
      <c r="DZ685" s="74"/>
      <c r="EA685" s="74"/>
      <c r="EB685" s="74"/>
      <c r="EC685" s="74"/>
      <c r="ED685" s="74"/>
      <c r="EE685" s="74"/>
      <c r="EF685" s="74"/>
      <c r="EG685" s="74"/>
      <c r="EH685" s="74"/>
      <c r="EI685" s="74"/>
      <c r="EJ685" s="74"/>
      <c r="EK685" s="74"/>
      <c r="EL685" s="74"/>
      <c r="EM685" s="74"/>
      <c r="EN685" s="74"/>
      <c r="EO685" s="74"/>
      <c r="EP685" s="74"/>
      <c r="EQ685" s="74"/>
      <c r="ER685" s="74"/>
      <c r="ES685" s="74"/>
      <c r="ET685" s="74"/>
      <c r="EU685" s="74"/>
      <c r="EV685" s="74"/>
      <c r="EW685" s="74"/>
      <c r="EX685" s="74"/>
      <c r="EY685" s="74"/>
      <c r="EZ685" s="74"/>
      <c r="FA685" s="74"/>
      <c r="FB685" s="74"/>
      <c r="FC685" s="74"/>
      <c r="FD685" s="74"/>
      <c r="FE685" s="74"/>
      <c r="FF685" s="74"/>
      <c r="FG685" s="74"/>
      <c r="FH685" s="74"/>
      <c r="FI685" s="74"/>
      <c r="FJ685" s="74"/>
      <c r="FK685" s="74"/>
      <c r="FL685" s="74"/>
      <c r="FM685" s="74"/>
      <c r="FN685" s="74"/>
      <c r="FO685" s="74"/>
      <c r="FP685" s="74"/>
      <c r="FQ685" s="74"/>
      <c r="FR685" s="74"/>
      <c r="FS685" s="74"/>
      <c r="FT685" s="74"/>
      <c r="FU685" s="74"/>
      <c r="FV685" s="74"/>
      <c r="FW685" s="74"/>
      <c r="FX685" s="74"/>
      <c r="FY685" s="74"/>
      <c r="FZ685" s="74"/>
      <c r="GA685" s="74"/>
      <c r="GB685" s="74"/>
      <c r="GC685" s="74"/>
      <c r="GD685" s="74"/>
      <c r="GE685" s="74"/>
      <c r="GF685" s="74"/>
      <c r="GG685" s="74"/>
      <c r="GH685" s="74"/>
      <c r="GI685" s="74"/>
      <c r="GJ685" s="74"/>
      <c r="GK685" s="74"/>
      <c r="GL685" s="74"/>
      <c r="GM685" s="74"/>
      <c r="GN685" s="74"/>
      <c r="GO685" s="74"/>
      <c r="GP685" s="74"/>
      <c r="GQ685" s="74"/>
      <c r="GR685" s="74"/>
      <c r="GS685" s="74"/>
      <c r="GT685" s="74"/>
      <c r="GU685" s="74"/>
      <c r="GV685" s="74"/>
      <c r="GW685" s="74"/>
      <c r="GX685" s="74"/>
      <c r="GY685" s="74"/>
      <c r="GZ685" s="74"/>
      <c r="HA685" s="74"/>
      <c r="HB685" s="74"/>
      <c r="HC685" s="74"/>
      <c r="HD685" s="74"/>
      <c r="HE685" s="74"/>
      <c r="HF685" s="74"/>
      <c r="HG685" s="74"/>
      <c r="HH685" s="74"/>
      <c r="HI685" s="74"/>
      <c r="HJ685" s="74"/>
      <c r="HK685" s="74"/>
      <c r="HL685" s="74"/>
      <c r="HM685" s="74"/>
      <c r="HN685" s="74"/>
      <c r="HO685" s="74"/>
      <c r="HP685" s="74"/>
      <c r="HQ685" s="74"/>
      <c r="HR685" s="74"/>
      <c r="HS685" s="74"/>
      <c r="HT685" s="74"/>
      <c r="HU685" s="74"/>
      <c r="HV685" s="74"/>
      <c r="HW685" s="74"/>
      <c r="HX685" s="74"/>
      <c r="HY685" s="74"/>
      <c r="HZ685" s="74"/>
      <c r="IA685" s="74"/>
      <c r="IB685" s="74"/>
      <c r="IC685" s="74"/>
      <c r="ID685" s="74"/>
      <c r="IE685" s="74"/>
      <c r="IF685" s="74"/>
      <c r="IG685" s="74"/>
      <c r="IH685" s="74"/>
      <c r="II685" s="74"/>
      <c r="IJ685" s="74"/>
      <c r="IK685" s="74"/>
      <c r="IL685" s="74"/>
      <c r="IM685" s="74"/>
      <c r="IN685" s="74"/>
      <c r="IO685" s="74"/>
      <c r="IP685" s="74"/>
      <c r="IQ685" s="74"/>
      <c r="IR685" s="74"/>
      <c r="IS685" s="74"/>
      <c r="IT685" s="74"/>
      <c r="IU685" s="74"/>
      <c r="IV685" s="74"/>
      <c r="IW685" s="74"/>
    </row>
    <row r="686" customFormat="false" ht="15.75" hidden="false" customHeight="false" outlineLevel="0" collapsed="false">
      <c r="A686" s="137" t="s">
        <v>655</v>
      </c>
      <c r="B686" s="250"/>
      <c r="C686" s="202"/>
      <c r="D686" s="85"/>
      <c r="E686" s="86" t="n">
        <v>0</v>
      </c>
      <c r="F686" s="87" t="n">
        <f aca="false">(-886-351-145-472-2158-884)/1000</f>
        <v>-4.896</v>
      </c>
      <c r="G686" s="87" t="n">
        <v>0</v>
      </c>
      <c r="H686" s="87" t="n">
        <v>0</v>
      </c>
      <c r="I686" s="88" t="n">
        <f aca="false">SUM(E686:H686)</f>
        <v>-4.896</v>
      </c>
      <c r="J686" s="118"/>
      <c r="K686" s="74"/>
      <c r="L686" s="74"/>
      <c r="M686" s="119"/>
      <c r="N686" s="74"/>
      <c r="O686" s="74"/>
      <c r="P686" s="74"/>
      <c r="Q686" s="74"/>
      <c r="R686" s="74"/>
      <c r="S686" s="74"/>
      <c r="T686" s="65" t="str">
        <f aca="false">IF(D686&gt;0,(I686/D686),"")</f>
        <v/>
      </c>
      <c r="U686" s="74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4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74"/>
      <c r="CB686" s="74"/>
      <c r="CC686" s="74"/>
      <c r="CD686" s="74"/>
      <c r="CE686" s="74"/>
      <c r="CF686" s="74"/>
      <c r="CG686" s="74"/>
      <c r="CH686" s="74"/>
      <c r="CI686" s="74"/>
      <c r="CJ686" s="74"/>
      <c r="CK686" s="74"/>
      <c r="CL686" s="74"/>
      <c r="CM686" s="74"/>
      <c r="CN686" s="74"/>
      <c r="CO686" s="74"/>
      <c r="CP686" s="74"/>
      <c r="CQ686" s="74"/>
      <c r="CR686" s="74"/>
      <c r="CS686" s="74"/>
      <c r="CT686" s="74"/>
      <c r="CU686" s="74"/>
      <c r="CV686" s="74"/>
      <c r="CW686" s="74"/>
      <c r="CX686" s="74"/>
      <c r="CY686" s="74"/>
      <c r="CZ686" s="74"/>
      <c r="DA686" s="74"/>
      <c r="DB686" s="74"/>
      <c r="DC686" s="74"/>
      <c r="DD686" s="74"/>
      <c r="DE686" s="74"/>
      <c r="DF686" s="74"/>
      <c r="DG686" s="74"/>
      <c r="DH686" s="74"/>
      <c r="DI686" s="74"/>
      <c r="DJ686" s="74"/>
      <c r="DK686" s="74"/>
      <c r="DL686" s="74"/>
      <c r="DM686" s="74"/>
      <c r="DN686" s="74"/>
      <c r="DO686" s="74"/>
      <c r="DP686" s="74"/>
      <c r="DQ686" s="74"/>
      <c r="DR686" s="74"/>
      <c r="DS686" s="74"/>
      <c r="DT686" s="74"/>
      <c r="DU686" s="74"/>
      <c r="DV686" s="74"/>
      <c r="DW686" s="74"/>
      <c r="DX686" s="74"/>
      <c r="DY686" s="74"/>
      <c r="DZ686" s="74"/>
      <c r="EA686" s="74"/>
      <c r="EB686" s="74"/>
      <c r="EC686" s="74"/>
      <c r="ED686" s="74"/>
      <c r="EE686" s="74"/>
      <c r="EF686" s="74"/>
      <c r="EG686" s="74"/>
      <c r="EH686" s="74"/>
      <c r="EI686" s="74"/>
      <c r="EJ686" s="74"/>
      <c r="EK686" s="74"/>
      <c r="EL686" s="74"/>
      <c r="EM686" s="74"/>
      <c r="EN686" s="74"/>
      <c r="EO686" s="74"/>
      <c r="EP686" s="74"/>
      <c r="EQ686" s="74"/>
      <c r="ER686" s="74"/>
      <c r="ES686" s="74"/>
      <c r="ET686" s="74"/>
      <c r="EU686" s="74"/>
      <c r="EV686" s="74"/>
      <c r="EW686" s="74"/>
      <c r="EX686" s="74"/>
      <c r="EY686" s="74"/>
      <c r="EZ686" s="74"/>
      <c r="FA686" s="74"/>
      <c r="FB686" s="74"/>
      <c r="FC686" s="74"/>
      <c r="FD686" s="74"/>
      <c r="FE686" s="74"/>
      <c r="FF686" s="74"/>
      <c r="FG686" s="74"/>
      <c r="FH686" s="74"/>
      <c r="FI686" s="74"/>
      <c r="FJ686" s="74"/>
      <c r="FK686" s="74"/>
      <c r="FL686" s="74"/>
      <c r="FM686" s="74"/>
      <c r="FN686" s="74"/>
      <c r="FO686" s="74"/>
      <c r="FP686" s="74"/>
      <c r="FQ686" s="74"/>
      <c r="FR686" s="74"/>
      <c r="FS686" s="74"/>
      <c r="FT686" s="74"/>
      <c r="FU686" s="74"/>
      <c r="FV686" s="74"/>
      <c r="FW686" s="74"/>
      <c r="FX686" s="74"/>
      <c r="FY686" s="74"/>
      <c r="FZ686" s="74"/>
      <c r="GA686" s="74"/>
      <c r="GB686" s="74"/>
      <c r="GC686" s="74"/>
      <c r="GD686" s="74"/>
      <c r="GE686" s="74"/>
      <c r="GF686" s="74"/>
      <c r="GG686" s="74"/>
      <c r="GH686" s="74"/>
      <c r="GI686" s="74"/>
      <c r="GJ686" s="74"/>
      <c r="GK686" s="74"/>
      <c r="GL686" s="74"/>
      <c r="GM686" s="74"/>
      <c r="GN686" s="74"/>
      <c r="GO686" s="74"/>
      <c r="GP686" s="74"/>
      <c r="GQ686" s="74"/>
      <c r="GR686" s="74"/>
      <c r="GS686" s="74"/>
      <c r="GT686" s="74"/>
      <c r="GU686" s="74"/>
      <c r="GV686" s="74"/>
      <c r="GW686" s="74"/>
      <c r="GX686" s="74"/>
      <c r="GY686" s="74"/>
      <c r="GZ686" s="74"/>
      <c r="HA686" s="74"/>
      <c r="HB686" s="74"/>
      <c r="HC686" s="74"/>
      <c r="HD686" s="74"/>
      <c r="HE686" s="74"/>
      <c r="HF686" s="74"/>
      <c r="HG686" s="74"/>
      <c r="HH686" s="74"/>
      <c r="HI686" s="74"/>
      <c r="HJ686" s="74"/>
      <c r="HK686" s="74"/>
      <c r="HL686" s="74"/>
      <c r="HM686" s="74"/>
      <c r="HN686" s="74"/>
      <c r="HO686" s="74"/>
      <c r="HP686" s="74"/>
      <c r="HQ686" s="74"/>
      <c r="HR686" s="74"/>
      <c r="HS686" s="74"/>
      <c r="HT686" s="74"/>
      <c r="HU686" s="74"/>
      <c r="HV686" s="74"/>
      <c r="HW686" s="74"/>
      <c r="HX686" s="74"/>
      <c r="HY686" s="74"/>
      <c r="HZ686" s="74"/>
      <c r="IA686" s="74"/>
      <c r="IB686" s="74"/>
      <c r="IC686" s="74"/>
      <c r="ID686" s="74"/>
      <c r="IE686" s="74"/>
      <c r="IF686" s="74"/>
      <c r="IG686" s="74"/>
      <c r="IH686" s="74"/>
      <c r="II686" s="74"/>
      <c r="IJ686" s="74"/>
      <c r="IK686" s="74"/>
      <c r="IL686" s="74"/>
      <c r="IM686" s="74"/>
      <c r="IN686" s="74"/>
      <c r="IO686" s="74"/>
      <c r="IP686" s="74"/>
      <c r="IQ686" s="74"/>
      <c r="IR686" s="74"/>
      <c r="IS686" s="74"/>
      <c r="IT686" s="74"/>
      <c r="IU686" s="74"/>
      <c r="IV686" s="74"/>
      <c r="IW686" s="74"/>
    </row>
    <row r="687" customFormat="false" ht="16.5" hidden="false" customHeight="false" outlineLevel="0" collapsed="false">
      <c r="A687" s="120" t="s">
        <v>656</v>
      </c>
      <c r="B687" s="251"/>
      <c r="C687" s="170" t="s">
        <v>654</v>
      </c>
      <c r="D687" s="252" t="n">
        <f aca="false">I687/0.04</f>
        <v>105017.975</v>
      </c>
      <c r="E687" s="131" t="n">
        <v>4200.719</v>
      </c>
      <c r="F687" s="132" t="n">
        <v>0</v>
      </c>
      <c r="G687" s="132" t="n">
        <v>0</v>
      </c>
      <c r="H687" s="132" t="n">
        <v>0</v>
      </c>
      <c r="I687" s="133" t="n">
        <f aca="false">SUM(E687:H687)</f>
        <v>4200.719</v>
      </c>
      <c r="J687" s="118" t="s">
        <v>18</v>
      </c>
      <c r="K687" s="74"/>
      <c r="L687" s="74"/>
      <c r="M687" s="119"/>
      <c r="N687" s="74"/>
      <c r="O687" s="74"/>
      <c r="P687" s="74"/>
      <c r="Q687" s="74"/>
      <c r="R687" s="74"/>
      <c r="S687" s="74"/>
      <c r="T687" s="65" t="n">
        <f aca="false">IF(D687&gt;0,(I687/D687),"")</f>
        <v>0.04</v>
      </c>
      <c r="U687" s="74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4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74"/>
      <c r="CB687" s="74"/>
      <c r="CC687" s="74"/>
      <c r="CD687" s="74"/>
      <c r="CE687" s="74"/>
      <c r="CF687" s="74"/>
      <c r="CG687" s="74"/>
      <c r="CH687" s="74"/>
      <c r="CI687" s="74"/>
      <c r="CJ687" s="74"/>
      <c r="CK687" s="74"/>
      <c r="CL687" s="74"/>
      <c r="CM687" s="74"/>
      <c r="CN687" s="74"/>
      <c r="CO687" s="74"/>
      <c r="CP687" s="74"/>
      <c r="CQ687" s="74"/>
      <c r="CR687" s="74"/>
      <c r="CS687" s="74"/>
      <c r="CT687" s="74"/>
      <c r="CU687" s="74"/>
      <c r="CV687" s="74"/>
      <c r="CW687" s="74"/>
      <c r="CX687" s="74"/>
      <c r="CY687" s="74"/>
      <c r="CZ687" s="74"/>
      <c r="DA687" s="74"/>
      <c r="DB687" s="74"/>
      <c r="DC687" s="74"/>
      <c r="DD687" s="74"/>
      <c r="DE687" s="74"/>
      <c r="DF687" s="74"/>
      <c r="DG687" s="74"/>
      <c r="DH687" s="74"/>
      <c r="DI687" s="74"/>
      <c r="DJ687" s="74"/>
      <c r="DK687" s="74"/>
      <c r="DL687" s="74"/>
      <c r="DM687" s="74"/>
      <c r="DN687" s="74"/>
      <c r="DO687" s="74"/>
      <c r="DP687" s="74"/>
      <c r="DQ687" s="74"/>
      <c r="DR687" s="74"/>
      <c r="DS687" s="74"/>
      <c r="DT687" s="74"/>
      <c r="DU687" s="74"/>
      <c r="DV687" s="74"/>
      <c r="DW687" s="74"/>
      <c r="DX687" s="74"/>
      <c r="DY687" s="74"/>
      <c r="DZ687" s="74"/>
      <c r="EA687" s="74"/>
      <c r="EB687" s="74"/>
      <c r="EC687" s="74"/>
      <c r="ED687" s="74"/>
      <c r="EE687" s="74"/>
      <c r="EF687" s="74"/>
      <c r="EG687" s="74"/>
      <c r="EH687" s="74"/>
      <c r="EI687" s="74"/>
      <c r="EJ687" s="74"/>
      <c r="EK687" s="74"/>
      <c r="EL687" s="74"/>
      <c r="EM687" s="74"/>
      <c r="EN687" s="74"/>
      <c r="EO687" s="74"/>
      <c r="EP687" s="74"/>
      <c r="EQ687" s="74"/>
      <c r="ER687" s="74"/>
      <c r="ES687" s="74"/>
      <c r="ET687" s="74"/>
      <c r="EU687" s="74"/>
      <c r="EV687" s="74"/>
      <c r="EW687" s="74"/>
      <c r="EX687" s="74"/>
      <c r="EY687" s="74"/>
      <c r="EZ687" s="74"/>
      <c r="FA687" s="74"/>
      <c r="FB687" s="74"/>
      <c r="FC687" s="74"/>
      <c r="FD687" s="74"/>
      <c r="FE687" s="74"/>
      <c r="FF687" s="74"/>
      <c r="FG687" s="74"/>
      <c r="FH687" s="74"/>
      <c r="FI687" s="74"/>
      <c r="FJ687" s="74"/>
      <c r="FK687" s="74"/>
      <c r="FL687" s="74"/>
      <c r="FM687" s="74"/>
      <c r="FN687" s="74"/>
      <c r="FO687" s="74"/>
      <c r="FP687" s="74"/>
      <c r="FQ687" s="74"/>
      <c r="FR687" s="74"/>
      <c r="FS687" s="74"/>
      <c r="FT687" s="74"/>
      <c r="FU687" s="74"/>
      <c r="FV687" s="74"/>
      <c r="FW687" s="74"/>
      <c r="FX687" s="74"/>
      <c r="FY687" s="74"/>
      <c r="FZ687" s="74"/>
      <c r="GA687" s="74"/>
      <c r="GB687" s="74"/>
      <c r="GC687" s="74"/>
      <c r="GD687" s="74"/>
      <c r="GE687" s="74"/>
      <c r="GF687" s="74"/>
      <c r="GG687" s="74"/>
      <c r="GH687" s="74"/>
      <c r="GI687" s="74"/>
      <c r="GJ687" s="74"/>
      <c r="GK687" s="74"/>
      <c r="GL687" s="74"/>
      <c r="GM687" s="74"/>
      <c r="GN687" s="74"/>
      <c r="GO687" s="74"/>
      <c r="GP687" s="74"/>
      <c r="GQ687" s="74"/>
      <c r="GR687" s="74"/>
      <c r="GS687" s="74"/>
      <c r="GT687" s="74"/>
      <c r="GU687" s="74"/>
      <c r="GV687" s="74"/>
      <c r="GW687" s="74"/>
      <c r="GX687" s="74"/>
      <c r="GY687" s="74"/>
      <c r="GZ687" s="74"/>
      <c r="HA687" s="74"/>
      <c r="HB687" s="74"/>
      <c r="HC687" s="74"/>
      <c r="HD687" s="74"/>
      <c r="HE687" s="74"/>
      <c r="HF687" s="74"/>
      <c r="HG687" s="74"/>
      <c r="HH687" s="74"/>
      <c r="HI687" s="74"/>
      <c r="HJ687" s="74"/>
      <c r="HK687" s="74"/>
      <c r="HL687" s="74"/>
      <c r="HM687" s="74"/>
      <c r="HN687" s="74"/>
      <c r="HO687" s="74"/>
      <c r="HP687" s="74"/>
      <c r="HQ687" s="74"/>
      <c r="HR687" s="74"/>
      <c r="HS687" s="74"/>
      <c r="HT687" s="74"/>
      <c r="HU687" s="74"/>
      <c r="HV687" s="74"/>
      <c r="HW687" s="74"/>
      <c r="HX687" s="74"/>
      <c r="HY687" s="74"/>
      <c r="HZ687" s="74"/>
      <c r="IA687" s="74"/>
      <c r="IB687" s="74"/>
      <c r="IC687" s="74"/>
      <c r="ID687" s="74"/>
      <c r="IE687" s="74"/>
      <c r="IF687" s="74"/>
      <c r="IG687" s="74"/>
      <c r="IH687" s="74"/>
      <c r="II687" s="74"/>
      <c r="IJ687" s="74"/>
      <c r="IK687" s="74"/>
      <c r="IL687" s="74"/>
      <c r="IM687" s="74"/>
      <c r="IN687" s="74"/>
      <c r="IO687" s="74"/>
      <c r="IP687" s="74"/>
      <c r="IQ687" s="74"/>
      <c r="IR687" s="74"/>
      <c r="IS687" s="74"/>
      <c r="IT687" s="74"/>
      <c r="IU687" s="74"/>
      <c r="IV687" s="74"/>
      <c r="IW687" s="74"/>
    </row>
    <row r="688" customFormat="false" ht="15.75" hidden="false" customHeight="false" outlineLevel="0" collapsed="false">
      <c r="A688" s="196" t="s">
        <v>657</v>
      </c>
      <c r="B688" s="195"/>
      <c r="C688" s="183"/>
      <c r="D688" s="244" t="n">
        <f aca="false">SUM(D683:D687)</f>
        <v>105053.025</v>
      </c>
      <c r="E688" s="93" t="n">
        <f aca="false">SUM(E683:E687)</f>
        <v>4203.247</v>
      </c>
      <c r="F688" s="81" t="n">
        <f aca="false">SUM(F683:F687)</f>
        <v>-5.321</v>
      </c>
      <c r="G688" s="81" t="n">
        <f aca="false">SUM(G683:G687)</f>
        <v>0</v>
      </c>
      <c r="H688" s="81" t="n">
        <f aca="false">SUM(H683:H687)</f>
        <v>0</v>
      </c>
      <c r="I688" s="94" t="n">
        <f aca="false">SUM(I683:I687)</f>
        <v>4197.926</v>
      </c>
      <c r="J688" s="118"/>
      <c r="K688" s="74"/>
      <c r="L688" s="74"/>
      <c r="M688" s="119"/>
      <c r="N688" s="74"/>
      <c r="O688" s="74"/>
      <c r="P688" s="74"/>
      <c r="Q688" s="74"/>
      <c r="R688" s="74"/>
      <c r="S688" s="74"/>
      <c r="T688" s="65" t="n">
        <f aca="false">IF(D688&gt;0,(I688/D688),"")</f>
        <v>0.0399600677848163</v>
      </c>
      <c r="U688" s="74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4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74"/>
      <c r="CB688" s="74"/>
      <c r="CC688" s="74"/>
      <c r="CD688" s="74"/>
      <c r="CE688" s="74"/>
      <c r="CF688" s="74"/>
      <c r="CG688" s="74"/>
      <c r="CH688" s="74"/>
      <c r="CI688" s="74"/>
      <c r="CJ688" s="74"/>
      <c r="CK688" s="74"/>
      <c r="CL688" s="74"/>
      <c r="CM688" s="74"/>
      <c r="CN688" s="74"/>
      <c r="CO688" s="74"/>
      <c r="CP688" s="74"/>
      <c r="CQ688" s="74"/>
      <c r="CR688" s="74"/>
      <c r="CS688" s="74"/>
      <c r="CT688" s="74"/>
      <c r="CU688" s="74"/>
      <c r="CV688" s="74"/>
      <c r="CW688" s="74"/>
      <c r="CX688" s="74"/>
      <c r="CY688" s="74"/>
      <c r="CZ688" s="74"/>
      <c r="DA688" s="74"/>
      <c r="DB688" s="74"/>
      <c r="DC688" s="74"/>
      <c r="DD688" s="74"/>
      <c r="DE688" s="74"/>
      <c r="DF688" s="74"/>
      <c r="DG688" s="74"/>
      <c r="DH688" s="74"/>
      <c r="DI688" s="74"/>
      <c r="DJ688" s="74"/>
      <c r="DK688" s="74"/>
      <c r="DL688" s="74"/>
      <c r="DM688" s="74"/>
      <c r="DN688" s="74"/>
      <c r="DO688" s="74"/>
      <c r="DP688" s="74"/>
      <c r="DQ688" s="74"/>
      <c r="DR688" s="74"/>
      <c r="DS688" s="74"/>
      <c r="DT688" s="74"/>
      <c r="DU688" s="74"/>
      <c r="DV688" s="74"/>
      <c r="DW688" s="74"/>
      <c r="DX688" s="74"/>
      <c r="DY688" s="74"/>
      <c r="DZ688" s="74"/>
      <c r="EA688" s="74"/>
      <c r="EB688" s="74"/>
      <c r="EC688" s="74"/>
      <c r="ED688" s="74"/>
      <c r="EE688" s="74"/>
      <c r="EF688" s="74"/>
      <c r="EG688" s="74"/>
      <c r="EH688" s="74"/>
      <c r="EI688" s="74"/>
      <c r="EJ688" s="74"/>
      <c r="EK688" s="74"/>
      <c r="EL688" s="74"/>
      <c r="EM688" s="74"/>
      <c r="EN688" s="74"/>
      <c r="EO688" s="74"/>
      <c r="EP688" s="74"/>
      <c r="EQ688" s="74"/>
      <c r="ER688" s="74"/>
      <c r="ES688" s="74"/>
      <c r="ET688" s="74"/>
      <c r="EU688" s="74"/>
      <c r="EV688" s="74"/>
      <c r="EW688" s="74"/>
      <c r="EX688" s="74"/>
      <c r="EY688" s="74"/>
      <c r="EZ688" s="74"/>
      <c r="FA688" s="74"/>
      <c r="FB688" s="74"/>
      <c r="FC688" s="74"/>
      <c r="FD688" s="74"/>
      <c r="FE688" s="74"/>
      <c r="FF688" s="74"/>
      <c r="FG688" s="74"/>
      <c r="FH688" s="74"/>
      <c r="FI688" s="74"/>
      <c r="FJ688" s="74"/>
      <c r="FK688" s="74"/>
      <c r="FL688" s="74"/>
      <c r="FM688" s="74"/>
      <c r="FN688" s="74"/>
      <c r="FO688" s="74"/>
      <c r="FP688" s="74"/>
      <c r="FQ688" s="74"/>
      <c r="FR688" s="74"/>
      <c r="FS688" s="74"/>
      <c r="FT688" s="74"/>
      <c r="FU688" s="74"/>
      <c r="FV688" s="74"/>
      <c r="FW688" s="74"/>
      <c r="FX688" s="74"/>
      <c r="FY688" s="74"/>
      <c r="FZ688" s="74"/>
      <c r="GA688" s="74"/>
      <c r="GB688" s="74"/>
      <c r="GC688" s="74"/>
      <c r="GD688" s="74"/>
      <c r="GE688" s="74"/>
      <c r="GF688" s="74"/>
      <c r="GG688" s="74"/>
      <c r="GH688" s="74"/>
      <c r="GI688" s="74"/>
      <c r="GJ688" s="74"/>
      <c r="GK688" s="74"/>
      <c r="GL688" s="74"/>
      <c r="GM688" s="74"/>
      <c r="GN688" s="74"/>
      <c r="GO688" s="74"/>
      <c r="GP688" s="74"/>
      <c r="GQ688" s="74"/>
      <c r="GR688" s="74"/>
      <c r="GS688" s="74"/>
      <c r="GT688" s="74"/>
      <c r="GU688" s="74"/>
      <c r="GV688" s="74"/>
      <c r="GW688" s="74"/>
      <c r="GX688" s="74"/>
      <c r="GY688" s="74"/>
      <c r="GZ688" s="74"/>
      <c r="HA688" s="74"/>
      <c r="HB688" s="74"/>
      <c r="HC688" s="74"/>
      <c r="HD688" s="74"/>
      <c r="HE688" s="74"/>
      <c r="HF688" s="74"/>
      <c r="HG688" s="74"/>
      <c r="HH688" s="74"/>
      <c r="HI688" s="74"/>
      <c r="HJ688" s="74"/>
      <c r="HK688" s="74"/>
      <c r="HL688" s="74"/>
      <c r="HM688" s="74"/>
      <c r="HN688" s="74"/>
      <c r="HO688" s="74"/>
      <c r="HP688" s="74"/>
      <c r="HQ688" s="74"/>
      <c r="HR688" s="74"/>
      <c r="HS688" s="74"/>
      <c r="HT688" s="74"/>
      <c r="HU688" s="74"/>
      <c r="HV688" s="74"/>
      <c r="HW688" s="74"/>
      <c r="HX688" s="74"/>
      <c r="HY688" s="74"/>
      <c r="HZ688" s="74"/>
      <c r="IA688" s="74"/>
      <c r="IB688" s="74"/>
      <c r="IC688" s="74"/>
      <c r="ID688" s="74"/>
      <c r="IE688" s="74"/>
      <c r="IF688" s="74"/>
      <c r="IG688" s="74"/>
      <c r="IH688" s="74"/>
      <c r="II688" s="74"/>
      <c r="IJ688" s="74"/>
      <c r="IK688" s="74"/>
      <c r="IL688" s="74"/>
      <c r="IM688" s="74"/>
      <c r="IN688" s="74"/>
      <c r="IO688" s="74"/>
      <c r="IP688" s="74"/>
      <c r="IQ688" s="74"/>
      <c r="IR688" s="74"/>
      <c r="IS688" s="74"/>
      <c r="IT688" s="74"/>
      <c r="IU688" s="74"/>
      <c r="IV688" s="74"/>
      <c r="IW688" s="74"/>
    </row>
    <row r="689" customFormat="false" ht="15.75" hidden="false" customHeight="false" outlineLevel="0" collapsed="false">
      <c r="A689" s="196"/>
      <c r="B689" s="195"/>
      <c r="C689" s="183"/>
      <c r="D689" s="92"/>
      <c r="E689" s="93"/>
      <c r="F689" s="81"/>
      <c r="G689" s="81"/>
      <c r="H689" s="81"/>
      <c r="I689" s="94"/>
      <c r="J689" s="118"/>
      <c r="K689" s="74"/>
      <c r="L689" s="74"/>
      <c r="M689" s="119"/>
      <c r="N689" s="74"/>
      <c r="O689" s="74"/>
      <c r="P689" s="74"/>
      <c r="Q689" s="74"/>
      <c r="R689" s="74"/>
      <c r="S689" s="74"/>
      <c r="T689" s="65" t="str">
        <f aca="false">IF(D689&gt;0,(I689/D689),"")</f>
        <v/>
      </c>
      <c r="U689" s="74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4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74"/>
      <c r="CB689" s="74"/>
      <c r="CC689" s="74"/>
      <c r="CD689" s="74"/>
      <c r="CE689" s="74"/>
      <c r="CF689" s="74"/>
      <c r="CG689" s="74"/>
      <c r="CH689" s="74"/>
      <c r="CI689" s="74"/>
      <c r="CJ689" s="74"/>
      <c r="CK689" s="74"/>
      <c r="CL689" s="74"/>
      <c r="CM689" s="74"/>
      <c r="CN689" s="74"/>
      <c r="CO689" s="74"/>
      <c r="CP689" s="74"/>
      <c r="CQ689" s="74"/>
      <c r="CR689" s="74"/>
      <c r="CS689" s="74"/>
      <c r="CT689" s="74"/>
      <c r="CU689" s="74"/>
      <c r="CV689" s="74"/>
      <c r="CW689" s="74"/>
      <c r="CX689" s="74"/>
      <c r="CY689" s="74"/>
      <c r="CZ689" s="74"/>
      <c r="DA689" s="74"/>
      <c r="DB689" s="74"/>
      <c r="DC689" s="74"/>
      <c r="DD689" s="74"/>
      <c r="DE689" s="74"/>
      <c r="DF689" s="74"/>
      <c r="DG689" s="74"/>
      <c r="DH689" s="74"/>
      <c r="DI689" s="74"/>
      <c r="DJ689" s="74"/>
      <c r="DK689" s="74"/>
      <c r="DL689" s="74"/>
      <c r="DM689" s="74"/>
      <c r="DN689" s="74"/>
      <c r="DO689" s="74"/>
      <c r="DP689" s="74"/>
      <c r="DQ689" s="74"/>
      <c r="DR689" s="74"/>
      <c r="DS689" s="74"/>
      <c r="DT689" s="74"/>
      <c r="DU689" s="74"/>
      <c r="DV689" s="74"/>
      <c r="DW689" s="74"/>
      <c r="DX689" s="74"/>
      <c r="DY689" s="74"/>
      <c r="DZ689" s="74"/>
      <c r="EA689" s="74"/>
      <c r="EB689" s="74"/>
      <c r="EC689" s="74"/>
      <c r="ED689" s="74"/>
      <c r="EE689" s="74"/>
      <c r="EF689" s="74"/>
      <c r="EG689" s="74"/>
      <c r="EH689" s="74"/>
      <c r="EI689" s="74"/>
      <c r="EJ689" s="74"/>
      <c r="EK689" s="74"/>
      <c r="EL689" s="74"/>
      <c r="EM689" s="74"/>
      <c r="EN689" s="74"/>
      <c r="EO689" s="74"/>
      <c r="EP689" s="74"/>
      <c r="EQ689" s="74"/>
      <c r="ER689" s="74"/>
      <c r="ES689" s="74"/>
      <c r="ET689" s="74"/>
      <c r="EU689" s="74"/>
      <c r="EV689" s="74"/>
      <c r="EW689" s="74"/>
      <c r="EX689" s="74"/>
      <c r="EY689" s="74"/>
      <c r="EZ689" s="74"/>
      <c r="FA689" s="74"/>
      <c r="FB689" s="74"/>
      <c r="FC689" s="74"/>
      <c r="FD689" s="74"/>
      <c r="FE689" s="74"/>
      <c r="FF689" s="74"/>
      <c r="FG689" s="74"/>
      <c r="FH689" s="74"/>
      <c r="FI689" s="74"/>
      <c r="FJ689" s="74"/>
      <c r="FK689" s="74"/>
      <c r="FL689" s="74"/>
      <c r="FM689" s="74"/>
      <c r="FN689" s="74"/>
      <c r="FO689" s="74"/>
      <c r="FP689" s="74"/>
      <c r="FQ689" s="74"/>
      <c r="FR689" s="74"/>
      <c r="FS689" s="74"/>
      <c r="FT689" s="74"/>
      <c r="FU689" s="74"/>
      <c r="FV689" s="74"/>
      <c r="FW689" s="74"/>
      <c r="FX689" s="74"/>
      <c r="FY689" s="74"/>
      <c r="FZ689" s="74"/>
      <c r="GA689" s="74"/>
      <c r="GB689" s="74"/>
      <c r="GC689" s="74"/>
      <c r="GD689" s="74"/>
      <c r="GE689" s="74"/>
      <c r="GF689" s="74"/>
      <c r="GG689" s="74"/>
      <c r="GH689" s="74"/>
      <c r="GI689" s="74"/>
      <c r="GJ689" s="74"/>
      <c r="GK689" s="74"/>
      <c r="GL689" s="74"/>
      <c r="GM689" s="74"/>
      <c r="GN689" s="74"/>
      <c r="GO689" s="74"/>
      <c r="GP689" s="74"/>
      <c r="GQ689" s="74"/>
      <c r="GR689" s="74"/>
      <c r="GS689" s="74"/>
      <c r="GT689" s="74"/>
      <c r="GU689" s="74"/>
      <c r="GV689" s="74"/>
      <c r="GW689" s="74"/>
      <c r="GX689" s="74"/>
      <c r="GY689" s="74"/>
      <c r="GZ689" s="74"/>
      <c r="HA689" s="74"/>
      <c r="HB689" s="74"/>
      <c r="HC689" s="74"/>
      <c r="HD689" s="74"/>
      <c r="HE689" s="74"/>
      <c r="HF689" s="74"/>
      <c r="HG689" s="74"/>
      <c r="HH689" s="74"/>
      <c r="HI689" s="74"/>
      <c r="HJ689" s="74"/>
      <c r="HK689" s="74"/>
      <c r="HL689" s="74"/>
      <c r="HM689" s="74"/>
      <c r="HN689" s="74"/>
      <c r="HO689" s="74"/>
      <c r="HP689" s="74"/>
      <c r="HQ689" s="74"/>
      <c r="HR689" s="74"/>
      <c r="HS689" s="74"/>
      <c r="HT689" s="74"/>
      <c r="HU689" s="74"/>
      <c r="HV689" s="74"/>
      <c r="HW689" s="74"/>
      <c r="HX689" s="74"/>
      <c r="HY689" s="74"/>
      <c r="HZ689" s="74"/>
      <c r="IA689" s="74"/>
      <c r="IB689" s="74"/>
      <c r="IC689" s="74"/>
      <c r="ID689" s="74"/>
      <c r="IE689" s="74"/>
      <c r="IF689" s="74"/>
      <c r="IG689" s="74"/>
      <c r="IH689" s="74"/>
      <c r="II689" s="74"/>
      <c r="IJ689" s="74"/>
      <c r="IK689" s="74"/>
      <c r="IL689" s="74"/>
      <c r="IM689" s="74"/>
      <c r="IN689" s="74"/>
      <c r="IO689" s="74"/>
      <c r="IP689" s="74"/>
      <c r="IQ689" s="74"/>
      <c r="IR689" s="74"/>
      <c r="IS689" s="74"/>
      <c r="IT689" s="74"/>
      <c r="IU689" s="74"/>
      <c r="IV689" s="74"/>
      <c r="IW689" s="74"/>
    </row>
    <row r="690" customFormat="false" ht="15.75" hidden="false" customHeight="false" outlineLevel="0" collapsed="false">
      <c r="A690" s="248" t="s">
        <v>658</v>
      </c>
      <c r="B690" s="195"/>
      <c r="C690" s="183"/>
      <c r="D690" s="92"/>
      <c r="E690" s="93"/>
      <c r="F690" s="81"/>
      <c r="G690" s="81"/>
      <c r="H690" s="81"/>
      <c r="I690" s="94"/>
      <c r="J690" s="118" t="s">
        <v>18</v>
      </c>
      <c r="K690" s="74"/>
      <c r="L690" s="74"/>
      <c r="M690" s="119"/>
      <c r="N690" s="74"/>
      <c r="O690" s="74"/>
      <c r="P690" s="74"/>
      <c r="Q690" s="74"/>
      <c r="R690" s="74"/>
      <c r="S690" s="74"/>
      <c r="T690" s="65" t="str">
        <f aca="false">IF(D690&gt;0,(I690/D690),"")</f>
        <v/>
      </c>
      <c r="U690" s="74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4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74"/>
      <c r="CB690" s="74"/>
      <c r="CC690" s="74"/>
      <c r="CD690" s="74"/>
      <c r="CE690" s="74"/>
      <c r="CF690" s="74"/>
      <c r="CG690" s="74"/>
      <c r="CH690" s="74"/>
      <c r="CI690" s="74"/>
      <c r="CJ690" s="74"/>
      <c r="CK690" s="74"/>
      <c r="CL690" s="74"/>
      <c r="CM690" s="74"/>
      <c r="CN690" s="74"/>
      <c r="CO690" s="74"/>
      <c r="CP690" s="74"/>
      <c r="CQ690" s="74"/>
      <c r="CR690" s="74"/>
      <c r="CS690" s="74"/>
      <c r="CT690" s="74"/>
      <c r="CU690" s="74"/>
      <c r="CV690" s="74"/>
      <c r="CW690" s="74"/>
      <c r="CX690" s="74"/>
      <c r="CY690" s="74"/>
      <c r="CZ690" s="74"/>
      <c r="DA690" s="74"/>
      <c r="DB690" s="74"/>
      <c r="DC690" s="74"/>
      <c r="DD690" s="74"/>
      <c r="DE690" s="74"/>
      <c r="DF690" s="74"/>
      <c r="DG690" s="74"/>
      <c r="DH690" s="74"/>
      <c r="DI690" s="74"/>
      <c r="DJ690" s="74"/>
      <c r="DK690" s="74"/>
      <c r="DL690" s="74"/>
      <c r="DM690" s="74"/>
      <c r="DN690" s="74"/>
      <c r="DO690" s="74"/>
      <c r="DP690" s="74"/>
      <c r="DQ690" s="74"/>
      <c r="DR690" s="74"/>
      <c r="DS690" s="74"/>
      <c r="DT690" s="74"/>
      <c r="DU690" s="74"/>
      <c r="DV690" s="74"/>
      <c r="DW690" s="74"/>
      <c r="DX690" s="74"/>
      <c r="DY690" s="74"/>
      <c r="DZ690" s="74"/>
      <c r="EA690" s="74"/>
      <c r="EB690" s="74"/>
      <c r="EC690" s="74"/>
      <c r="ED690" s="74"/>
      <c r="EE690" s="74"/>
      <c r="EF690" s="74"/>
      <c r="EG690" s="74"/>
      <c r="EH690" s="74"/>
      <c r="EI690" s="74"/>
      <c r="EJ690" s="74"/>
      <c r="EK690" s="74"/>
      <c r="EL690" s="74"/>
      <c r="EM690" s="74"/>
      <c r="EN690" s="74"/>
      <c r="EO690" s="74"/>
      <c r="EP690" s="74"/>
      <c r="EQ690" s="74"/>
      <c r="ER690" s="74"/>
      <c r="ES690" s="74"/>
      <c r="ET690" s="74"/>
      <c r="EU690" s="74"/>
      <c r="EV690" s="74"/>
      <c r="EW690" s="74"/>
      <c r="EX690" s="74"/>
      <c r="EY690" s="74"/>
      <c r="EZ690" s="74"/>
      <c r="FA690" s="74"/>
      <c r="FB690" s="74"/>
      <c r="FC690" s="74"/>
      <c r="FD690" s="74"/>
      <c r="FE690" s="74"/>
      <c r="FF690" s="74"/>
      <c r="FG690" s="74"/>
      <c r="FH690" s="74"/>
      <c r="FI690" s="74"/>
      <c r="FJ690" s="74"/>
      <c r="FK690" s="74"/>
      <c r="FL690" s="74"/>
      <c r="FM690" s="74"/>
      <c r="FN690" s="74"/>
      <c r="FO690" s="74"/>
      <c r="FP690" s="74"/>
      <c r="FQ690" s="74"/>
      <c r="FR690" s="74"/>
      <c r="FS690" s="74"/>
      <c r="FT690" s="74"/>
      <c r="FU690" s="74"/>
      <c r="FV690" s="74"/>
      <c r="FW690" s="74"/>
      <c r="FX690" s="74"/>
      <c r="FY690" s="74"/>
      <c r="FZ690" s="74"/>
      <c r="GA690" s="74"/>
      <c r="GB690" s="74"/>
      <c r="GC690" s="74"/>
      <c r="GD690" s="74"/>
      <c r="GE690" s="74"/>
      <c r="GF690" s="74"/>
      <c r="GG690" s="74"/>
      <c r="GH690" s="74"/>
      <c r="GI690" s="74"/>
      <c r="GJ690" s="74"/>
      <c r="GK690" s="74"/>
      <c r="GL690" s="74"/>
      <c r="GM690" s="74"/>
      <c r="GN690" s="74"/>
      <c r="GO690" s="74"/>
      <c r="GP690" s="74"/>
      <c r="GQ690" s="74"/>
      <c r="GR690" s="74"/>
      <c r="GS690" s="74"/>
      <c r="GT690" s="74"/>
      <c r="GU690" s="74"/>
      <c r="GV690" s="74"/>
      <c r="GW690" s="74"/>
      <c r="GX690" s="74"/>
      <c r="GY690" s="74"/>
      <c r="GZ690" s="74"/>
      <c r="HA690" s="74"/>
      <c r="HB690" s="74"/>
      <c r="HC690" s="74"/>
      <c r="HD690" s="74"/>
      <c r="HE690" s="74"/>
      <c r="HF690" s="74"/>
      <c r="HG690" s="74"/>
      <c r="HH690" s="74"/>
      <c r="HI690" s="74"/>
      <c r="HJ690" s="74"/>
      <c r="HK690" s="74"/>
      <c r="HL690" s="74"/>
      <c r="HM690" s="74"/>
      <c r="HN690" s="74"/>
      <c r="HO690" s="74"/>
      <c r="HP690" s="74"/>
      <c r="HQ690" s="74"/>
      <c r="HR690" s="74"/>
      <c r="HS690" s="74"/>
      <c r="HT690" s="74"/>
      <c r="HU690" s="74"/>
      <c r="HV690" s="74"/>
      <c r="HW690" s="74"/>
      <c r="HX690" s="74"/>
      <c r="HY690" s="74"/>
      <c r="HZ690" s="74"/>
      <c r="IA690" s="74"/>
      <c r="IB690" s="74"/>
      <c r="IC690" s="74"/>
      <c r="ID690" s="74"/>
      <c r="IE690" s="74"/>
      <c r="IF690" s="74"/>
      <c r="IG690" s="74"/>
      <c r="IH690" s="74"/>
      <c r="II690" s="74"/>
      <c r="IJ690" s="74"/>
      <c r="IK690" s="74"/>
      <c r="IL690" s="74"/>
      <c r="IM690" s="74"/>
      <c r="IN690" s="74"/>
      <c r="IO690" s="74"/>
      <c r="IP690" s="74"/>
      <c r="IQ690" s="74"/>
      <c r="IR690" s="74"/>
      <c r="IS690" s="74"/>
      <c r="IT690" s="74"/>
      <c r="IU690" s="74"/>
      <c r="IV690" s="74"/>
      <c r="IW690" s="74"/>
    </row>
    <row r="691" customFormat="false" ht="15.75" hidden="false" customHeight="false" outlineLevel="0" collapsed="false">
      <c r="A691" s="253" t="s">
        <v>659</v>
      </c>
      <c r="B691" s="195"/>
      <c r="C691" s="183"/>
      <c r="D691" s="92" t="n">
        <f aca="false">I691/0.04</f>
        <v>763.6</v>
      </c>
      <c r="E691" s="93" t="n">
        <v>30.544</v>
      </c>
      <c r="F691" s="81" t="n">
        <v>0</v>
      </c>
      <c r="G691" s="81" t="n">
        <v>0</v>
      </c>
      <c r="H691" s="81"/>
      <c r="I691" s="94" t="n">
        <f aca="false">SUM(E691:H691)</f>
        <v>30.544</v>
      </c>
      <c r="J691" s="118"/>
      <c r="K691" s="74"/>
      <c r="L691" s="74"/>
      <c r="M691" s="119"/>
      <c r="N691" s="74"/>
      <c r="O691" s="74"/>
      <c r="P691" s="74"/>
      <c r="Q691" s="74"/>
      <c r="R691" s="74"/>
      <c r="S691" s="74"/>
      <c r="T691" s="65" t="n">
        <f aca="false">IF(D691&gt;0,(I691/D691),"")</f>
        <v>0.04</v>
      </c>
      <c r="U691" s="74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4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74"/>
      <c r="CB691" s="74"/>
      <c r="CC691" s="74"/>
      <c r="CD691" s="74"/>
      <c r="CE691" s="74"/>
      <c r="CF691" s="74"/>
      <c r="CG691" s="74"/>
      <c r="CH691" s="74"/>
      <c r="CI691" s="74"/>
      <c r="CJ691" s="74"/>
      <c r="CK691" s="74"/>
      <c r="CL691" s="74"/>
      <c r="CM691" s="74"/>
      <c r="CN691" s="74"/>
      <c r="CO691" s="74"/>
      <c r="CP691" s="74"/>
      <c r="CQ691" s="74"/>
      <c r="CR691" s="74"/>
      <c r="CS691" s="74"/>
      <c r="CT691" s="74"/>
      <c r="CU691" s="74"/>
      <c r="CV691" s="74"/>
      <c r="CW691" s="74"/>
      <c r="CX691" s="74"/>
      <c r="CY691" s="74"/>
      <c r="CZ691" s="74"/>
      <c r="DA691" s="74"/>
      <c r="DB691" s="74"/>
      <c r="DC691" s="74"/>
      <c r="DD691" s="74"/>
      <c r="DE691" s="74"/>
      <c r="DF691" s="74"/>
      <c r="DG691" s="74"/>
      <c r="DH691" s="74"/>
      <c r="DI691" s="74"/>
      <c r="DJ691" s="74"/>
      <c r="DK691" s="74"/>
      <c r="DL691" s="74"/>
      <c r="DM691" s="74"/>
      <c r="DN691" s="74"/>
      <c r="DO691" s="74"/>
      <c r="DP691" s="74"/>
      <c r="DQ691" s="74"/>
      <c r="DR691" s="74"/>
      <c r="DS691" s="74"/>
      <c r="DT691" s="74"/>
      <c r="DU691" s="74"/>
      <c r="DV691" s="74"/>
      <c r="DW691" s="74"/>
      <c r="DX691" s="74"/>
      <c r="DY691" s="74"/>
      <c r="DZ691" s="74"/>
      <c r="EA691" s="74"/>
      <c r="EB691" s="74"/>
      <c r="EC691" s="74"/>
      <c r="ED691" s="74"/>
      <c r="EE691" s="74"/>
      <c r="EF691" s="74"/>
      <c r="EG691" s="74"/>
      <c r="EH691" s="74"/>
      <c r="EI691" s="74"/>
      <c r="EJ691" s="74"/>
      <c r="EK691" s="74"/>
      <c r="EL691" s="74"/>
      <c r="EM691" s="74"/>
      <c r="EN691" s="74"/>
      <c r="EO691" s="74"/>
      <c r="EP691" s="74"/>
      <c r="EQ691" s="74"/>
      <c r="ER691" s="74"/>
      <c r="ES691" s="74"/>
      <c r="ET691" s="74"/>
      <c r="EU691" s="74"/>
      <c r="EV691" s="74"/>
      <c r="EW691" s="74"/>
      <c r="EX691" s="74"/>
      <c r="EY691" s="74"/>
      <c r="EZ691" s="74"/>
      <c r="FA691" s="74"/>
      <c r="FB691" s="74"/>
      <c r="FC691" s="74"/>
      <c r="FD691" s="74"/>
      <c r="FE691" s="74"/>
      <c r="FF691" s="74"/>
      <c r="FG691" s="74"/>
      <c r="FH691" s="74"/>
      <c r="FI691" s="74"/>
      <c r="FJ691" s="74"/>
      <c r="FK691" s="74"/>
      <c r="FL691" s="74"/>
      <c r="FM691" s="74"/>
      <c r="FN691" s="74"/>
      <c r="FO691" s="74"/>
      <c r="FP691" s="74"/>
      <c r="FQ691" s="74"/>
      <c r="FR691" s="74"/>
      <c r="FS691" s="74"/>
      <c r="FT691" s="74"/>
      <c r="FU691" s="74"/>
      <c r="FV691" s="74"/>
      <c r="FW691" s="74"/>
      <c r="FX691" s="74"/>
      <c r="FY691" s="74"/>
      <c r="FZ691" s="74"/>
      <c r="GA691" s="74"/>
      <c r="GB691" s="74"/>
      <c r="GC691" s="74"/>
      <c r="GD691" s="74"/>
      <c r="GE691" s="74"/>
      <c r="GF691" s="74"/>
      <c r="GG691" s="74"/>
      <c r="GH691" s="74"/>
      <c r="GI691" s="74"/>
      <c r="GJ691" s="74"/>
      <c r="GK691" s="74"/>
      <c r="GL691" s="74"/>
      <c r="GM691" s="74"/>
      <c r="GN691" s="74"/>
      <c r="GO691" s="74"/>
      <c r="GP691" s="74"/>
      <c r="GQ691" s="74"/>
      <c r="GR691" s="74"/>
      <c r="GS691" s="74"/>
      <c r="GT691" s="74"/>
      <c r="GU691" s="74"/>
      <c r="GV691" s="74"/>
      <c r="GW691" s="74"/>
      <c r="GX691" s="74"/>
      <c r="GY691" s="74"/>
      <c r="GZ691" s="74"/>
      <c r="HA691" s="74"/>
      <c r="HB691" s="74"/>
      <c r="HC691" s="74"/>
      <c r="HD691" s="74"/>
      <c r="HE691" s="74"/>
      <c r="HF691" s="74"/>
      <c r="HG691" s="74"/>
      <c r="HH691" s="74"/>
      <c r="HI691" s="74"/>
      <c r="HJ691" s="74"/>
      <c r="HK691" s="74"/>
      <c r="HL691" s="74"/>
      <c r="HM691" s="74"/>
      <c r="HN691" s="74"/>
      <c r="HO691" s="74"/>
      <c r="HP691" s="74"/>
      <c r="HQ691" s="74"/>
      <c r="HR691" s="74"/>
      <c r="HS691" s="74"/>
      <c r="HT691" s="74"/>
      <c r="HU691" s="74"/>
      <c r="HV691" s="74"/>
      <c r="HW691" s="74"/>
      <c r="HX691" s="74"/>
      <c r="HY691" s="74"/>
      <c r="HZ691" s="74"/>
      <c r="IA691" s="74"/>
      <c r="IB691" s="74"/>
      <c r="IC691" s="74"/>
      <c r="ID691" s="74"/>
      <c r="IE691" s="74"/>
      <c r="IF691" s="74"/>
      <c r="IG691" s="74"/>
      <c r="IH691" s="74"/>
      <c r="II691" s="74"/>
      <c r="IJ691" s="74"/>
      <c r="IK691" s="74"/>
      <c r="IL691" s="74"/>
      <c r="IM691" s="74"/>
      <c r="IN691" s="74"/>
      <c r="IO691" s="74"/>
      <c r="IP691" s="74"/>
      <c r="IQ691" s="74"/>
      <c r="IR691" s="74"/>
      <c r="IS691" s="74"/>
      <c r="IT691" s="74"/>
      <c r="IU691" s="74"/>
      <c r="IV691" s="74"/>
      <c r="IW691" s="74"/>
    </row>
    <row r="692" customFormat="false" ht="15.75" hidden="false" customHeight="false" outlineLevel="0" collapsed="false">
      <c r="A692" s="254" t="s">
        <v>660</v>
      </c>
      <c r="B692" s="255"/>
      <c r="C692" s="232"/>
      <c r="D692" s="256"/>
      <c r="E692" s="257" t="n">
        <f aca="false">-(122.986+0.266)</f>
        <v>-123.252</v>
      </c>
      <c r="F692" s="258" t="n">
        <v>0</v>
      </c>
      <c r="G692" s="258" t="n">
        <v>0</v>
      </c>
      <c r="H692" s="258"/>
      <c r="I692" s="259" t="n">
        <f aca="false">SUM(E692:H692)</f>
        <v>-123.252</v>
      </c>
      <c r="J692" s="118"/>
      <c r="K692" s="74"/>
      <c r="L692" s="74"/>
      <c r="M692" s="119"/>
      <c r="N692" s="74"/>
      <c r="O692" s="74"/>
      <c r="P692" s="74"/>
      <c r="Q692" s="74"/>
      <c r="R692" s="74"/>
      <c r="S692" s="74"/>
      <c r="T692" s="65" t="str">
        <f aca="false">IF(D692&gt;0,(I692/D692),"")</f>
        <v/>
      </c>
      <c r="U692" s="74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4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74"/>
      <c r="CB692" s="74"/>
      <c r="CC692" s="74"/>
      <c r="CD692" s="74"/>
      <c r="CE692" s="74"/>
      <c r="CF692" s="74"/>
      <c r="CG692" s="74"/>
      <c r="CH692" s="74"/>
      <c r="CI692" s="74"/>
      <c r="CJ692" s="74"/>
      <c r="CK692" s="74"/>
      <c r="CL692" s="74"/>
      <c r="CM692" s="74"/>
      <c r="CN692" s="74"/>
      <c r="CO692" s="74"/>
      <c r="CP692" s="74"/>
      <c r="CQ692" s="74"/>
      <c r="CR692" s="74"/>
      <c r="CS692" s="74"/>
      <c r="CT692" s="74"/>
      <c r="CU692" s="74"/>
      <c r="CV692" s="74"/>
      <c r="CW692" s="74"/>
      <c r="CX692" s="74"/>
      <c r="CY692" s="74"/>
      <c r="CZ692" s="74"/>
      <c r="DA692" s="74"/>
      <c r="DB692" s="74"/>
      <c r="DC692" s="74"/>
      <c r="DD692" s="74"/>
      <c r="DE692" s="74"/>
      <c r="DF692" s="74"/>
      <c r="DG692" s="74"/>
      <c r="DH692" s="74"/>
      <c r="DI692" s="74"/>
      <c r="DJ692" s="74"/>
      <c r="DK692" s="74"/>
      <c r="DL692" s="74"/>
      <c r="DM692" s="74"/>
      <c r="DN692" s="74"/>
      <c r="DO692" s="74"/>
      <c r="DP692" s="74"/>
      <c r="DQ692" s="74"/>
      <c r="DR692" s="74"/>
      <c r="DS692" s="74"/>
      <c r="DT692" s="74"/>
      <c r="DU692" s="74"/>
      <c r="DV692" s="74"/>
      <c r="DW692" s="74"/>
      <c r="DX692" s="74"/>
      <c r="DY692" s="74"/>
      <c r="DZ692" s="74"/>
      <c r="EA692" s="74"/>
      <c r="EB692" s="74"/>
      <c r="EC692" s="74"/>
      <c r="ED692" s="74"/>
      <c r="EE692" s="74"/>
      <c r="EF692" s="74"/>
      <c r="EG692" s="74"/>
      <c r="EH692" s="74"/>
      <c r="EI692" s="74"/>
      <c r="EJ692" s="74"/>
      <c r="EK692" s="74"/>
      <c r="EL692" s="74"/>
      <c r="EM692" s="74"/>
      <c r="EN692" s="74"/>
      <c r="EO692" s="74"/>
      <c r="EP692" s="74"/>
      <c r="EQ692" s="74"/>
      <c r="ER692" s="74"/>
      <c r="ES692" s="74"/>
      <c r="ET692" s="74"/>
      <c r="EU692" s="74"/>
      <c r="EV692" s="74"/>
      <c r="EW692" s="74"/>
      <c r="EX692" s="74"/>
      <c r="EY692" s="74"/>
      <c r="EZ692" s="74"/>
      <c r="FA692" s="74"/>
      <c r="FB692" s="74"/>
      <c r="FC692" s="74"/>
      <c r="FD692" s="74"/>
      <c r="FE692" s="74"/>
      <c r="FF692" s="74"/>
      <c r="FG692" s="74"/>
      <c r="FH692" s="74"/>
      <c r="FI692" s="74"/>
      <c r="FJ692" s="74"/>
      <c r="FK692" s="74"/>
      <c r="FL692" s="74"/>
      <c r="FM692" s="74"/>
      <c r="FN692" s="74"/>
      <c r="FO692" s="74"/>
      <c r="FP692" s="74"/>
      <c r="FQ692" s="74"/>
      <c r="FR692" s="74"/>
      <c r="FS692" s="74"/>
      <c r="FT692" s="74"/>
      <c r="FU692" s="74"/>
      <c r="FV692" s="74"/>
      <c r="FW692" s="74"/>
      <c r="FX692" s="74"/>
      <c r="FY692" s="74"/>
      <c r="FZ692" s="74"/>
      <c r="GA692" s="74"/>
      <c r="GB692" s="74"/>
      <c r="GC692" s="74"/>
      <c r="GD692" s="74"/>
      <c r="GE692" s="74"/>
      <c r="GF692" s="74"/>
      <c r="GG692" s="74"/>
      <c r="GH692" s="74"/>
      <c r="GI692" s="74"/>
      <c r="GJ692" s="74"/>
      <c r="GK692" s="74"/>
      <c r="GL692" s="74"/>
      <c r="GM692" s="74"/>
      <c r="GN692" s="74"/>
      <c r="GO692" s="74"/>
      <c r="GP692" s="74"/>
      <c r="GQ692" s="74"/>
      <c r="GR692" s="74"/>
      <c r="GS692" s="74"/>
      <c r="GT692" s="74"/>
      <c r="GU692" s="74"/>
      <c r="GV692" s="74"/>
      <c r="GW692" s="74"/>
      <c r="GX692" s="74"/>
      <c r="GY692" s="74"/>
      <c r="GZ692" s="74"/>
      <c r="HA692" s="74"/>
      <c r="HB692" s="74"/>
      <c r="HC692" s="74"/>
      <c r="HD692" s="74"/>
      <c r="HE692" s="74"/>
      <c r="HF692" s="74"/>
      <c r="HG692" s="74"/>
      <c r="HH692" s="74"/>
      <c r="HI692" s="74"/>
      <c r="HJ692" s="74"/>
      <c r="HK692" s="74"/>
      <c r="HL692" s="74"/>
      <c r="HM692" s="74"/>
      <c r="HN692" s="74"/>
      <c r="HO692" s="74"/>
      <c r="HP692" s="74"/>
      <c r="HQ692" s="74"/>
      <c r="HR692" s="74"/>
      <c r="HS692" s="74"/>
      <c r="HT692" s="74"/>
      <c r="HU692" s="74"/>
      <c r="HV692" s="74"/>
      <c r="HW692" s="74"/>
      <c r="HX692" s="74"/>
      <c r="HY692" s="74"/>
      <c r="HZ692" s="74"/>
      <c r="IA692" s="74"/>
      <c r="IB692" s="74"/>
      <c r="IC692" s="74"/>
      <c r="ID692" s="74"/>
      <c r="IE692" s="74"/>
      <c r="IF692" s="74"/>
      <c r="IG692" s="74"/>
      <c r="IH692" s="74"/>
      <c r="II692" s="74"/>
      <c r="IJ692" s="74"/>
      <c r="IK692" s="74"/>
      <c r="IL692" s="74"/>
      <c r="IM692" s="74"/>
      <c r="IN692" s="74"/>
      <c r="IO692" s="74"/>
      <c r="IP692" s="74"/>
      <c r="IQ692" s="74"/>
      <c r="IR692" s="74"/>
      <c r="IS692" s="74"/>
      <c r="IT692" s="74"/>
      <c r="IU692" s="74"/>
      <c r="IV692" s="74"/>
      <c r="IW692" s="74"/>
    </row>
    <row r="693" customFormat="false" ht="15.75" hidden="false" customHeight="false" outlineLevel="0" collapsed="false">
      <c r="A693" s="196" t="s">
        <v>661</v>
      </c>
      <c r="B693" s="195"/>
      <c r="C693" s="183"/>
      <c r="D693" s="92" t="n">
        <f aca="false">SUM(D691:D692)</f>
        <v>763.6</v>
      </c>
      <c r="E693" s="93" t="n">
        <f aca="false">SUM(E691:E692)</f>
        <v>-92.708</v>
      </c>
      <c r="F693" s="81" t="n">
        <f aca="false">SUM(F691:F692)</f>
        <v>0</v>
      </c>
      <c r="G693" s="81" t="n">
        <f aca="false">SUM(G691:G692)</f>
        <v>0</v>
      </c>
      <c r="H693" s="81" t="n">
        <f aca="false">SUM(H691:H692)</f>
        <v>0</v>
      </c>
      <c r="I693" s="94" t="n">
        <f aca="false">SUM(I691:I692)</f>
        <v>-92.708</v>
      </c>
      <c r="J693" s="118"/>
      <c r="K693" s="74"/>
      <c r="L693" s="74"/>
      <c r="M693" s="119"/>
      <c r="N693" s="74"/>
      <c r="O693" s="74"/>
      <c r="P693" s="74"/>
      <c r="Q693" s="74"/>
      <c r="R693" s="74"/>
      <c r="S693" s="74"/>
      <c r="T693" s="65" t="n">
        <f aca="false">IF(D693&gt;0,(I693/D693),"")</f>
        <v>-0.121409114719749</v>
      </c>
      <c r="U693" s="74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4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4"/>
      <c r="CB693" s="74"/>
      <c r="CC693" s="74"/>
      <c r="CD693" s="74"/>
      <c r="CE693" s="74"/>
      <c r="CF693" s="74"/>
      <c r="CG693" s="74"/>
      <c r="CH693" s="74"/>
      <c r="CI693" s="74"/>
      <c r="CJ693" s="74"/>
      <c r="CK693" s="74"/>
      <c r="CL693" s="74"/>
      <c r="CM693" s="74"/>
      <c r="CN693" s="74"/>
      <c r="CO693" s="74"/>
      <c r="CP693" s="74"/>
      <c r="CQ693" s="74"/>
      <c r="CR693" s="74"/>
      <c r="CS693" s="74"/>
      <c r="CT693" s="74"/>
      <c r="CU693" s="74"/>
      <c r="CV693" s="74"/>
      <c r="CW693" s="74"/>
      <c r="CX693" s="74"/>
      <c r="CY693" s="74"/>
      <c r="CZ693" s="74"/>
      <c r="DA693" s="74"/>
      <c r="DB693" s="74"/>
      <c r="DC693" s="74"/>
      <c r="DD693" s="74"/>
      <c r="DE693" s="74"/>
      <c r="DF693" s="74"/>
      <c r="DG693" s="74"/>
      <c r="DH693" s="74"/>
      <c r="DI693" s="74"/>
      <c r="DJ693" s="74"/>
      <c r="DK693" s="74"/>
      <c r="DL693" s="74"/>
      <c r="DM693" s="74"/>
      <c r="DN693" s="74"/>
      <c r="DO693" s="74"/>
      <c r="DP693" s="74"/>
      <c r="DQ693" s="74"/>
      <c r="DR693" s="74"/>
      <c r="DS693" s="74"/>
      <c r="DT693" s="74"/>
      <c r="DU693" s="74"/>
      <c r="DV693" s="74"/>
      <c r="DW693" s="74"/>
      <c r="DX693" s="74"/>
      <c r="DY693" s="74"/>
      <c r="DZ693" s="74"/>
      <c r="EA693" s="74"/>
      <c r="EB693" s="74"/>
      <c r="EC693" s="74"/>
      <c r="ED693" s="74"/>
      <c r="EE693" s="74"/>
      <c r="EF693" s="74"/>
      <c r="EG693" s="74"/>
      <c r="EH693" s="74"/>
      <c r="EI693" s="74"/>
      <c r="EJ693" s="74"/>
      <c r="EK693" s="74"/>
      <c r="EL693" s="74"/>
      <c r="EM693" s="74"/>
      <c r="EN693" s="74"/>
      <c r="EO693" s="74"/>
      <c r="EP693" s="74"/>
      <c r="EQ693" s="74"/>
      <c r="ER693" s="74"/>
      <c r="ES693" s="74"/>
      <c r="ET693" s="74"/>
      <c r="EU693" s="74"/>
      <c r="EV693" s="74"/>
      <c r="EW693" s="74"/>
      <c r="EX693" s="74"/>
      <c r="EY693" s="74"/>
      <c r="EZ693" s="74"/>
      <c r="FA693" s="74"/>
      <c r="FB693" s="74"/>
      <c r="FC693" s="74"/>
      <c r="FD693" s="74"/>
      <c r="FE693" s="74"/>
      <c r="FF693" s="74"/>
      <c r="FG693" s="74"/>
      <c r="FH693" s="74"/>
      <c r="FI693" s="74"/>
      <c r="FJ693" s="74"/>
      <c r="FK693" s="74"/>
      <c r="FL693" s="74"/>
      <c r="FM693" s="74"/>
      <c r="FN693" s="74"/>
      <c r="FO693" s="74"/>
      <c r="FP693" s="74"/>
      <c r="FQ693" s="74"/>
      <c r="FR693" s="74"/>
      <c r="FS693" s="74"/>
      <c r="FT693" s="74"/>
      <c r="FU693" s="74"/>
      <c r="FV693" s="74"/>
      <c r="FW693" s="74"/>
      <c r="FX693" s="74"/>
      <c r="FY693" s="74"/>
      <c r="FZ693" s="74"/>
      <c r="GA693" s="74"/>
      <c r="GB693" s="74"/>
      <c r="GC693" s="74"/>
      <c r="GD693" s="74"/>
      <c r="GE693" s="74"/>
      <c r="GF693" s="74"/>
      <c r="GG693" s="74"/>
      <c r="GH693" s="74"/>
      <c r="GI693" s="74"/>
      <c r="GJ693" s="74"/>
      <c r="GK693" s="74"/>
      <c r="GL693" s="74"/>
      <c r="GM693" s="74"/>
      <c r="GN693" s="74"/>
      <c r="GO693" s="74"/>
      <c r="GP693" s="74"/>
      <c r="GQ693" s="74"/>
      <c r="GR693" s="74"/>
      <c r="GS693" s="74"/>
      <c r="GT693" s="74"/>
      <c r="GU693" s="74"/>
      <c r="GV693" s="74"/>
      <c r="GW693" s="74"/>
      <c r="GX693" s="74"/>
      <c r="GY693" s="74"/>
      <c r="GZ693" s="74"/>
      <c r="HA693" s="74"/>
      <c r="HB693" s="74"/>
      <c r="HC693" s="74"/>
      <c r="HD693" s="74"/>
      <c r="HE693" s="74"/>
      <c r="HF693" s="74"/>
      <c r="HG693" s="74"/>
      <c r="HH693" s="74"/>
      <c r="HI693" s="74"/>
      <c r="HJ693" s="74"/>
      <c r="HK693" s="74"/>
      <c r="HL693" s="74"/>
      <c r="HM693" s="74"/>
      <c r="HN693" s="74"/>
      <c r="HO693" s="74"/>
      <c r="HP693" s="74"/>
      <c r="HQ693" s="74"/>
      <c r="HR693" s="74"/>
      <c r="HS693" s="74"/>
      <c r="HT693" s="74"/>
      <c r="HU693" s="74"/>
      <c r="HV693" s="74"/>
      <c r="HW693" s="74"/>
      <c r="HX693" s="74"/>
      <c r="HY693" s="74"/>
      <c r="HZ693" s="74"/>
      <c r="IA693" s="74"/>
      <c r="IB693" s="74"/>
      <c r="IC693" s="74"/>
      <c r="ID693" s="74"/>
      <c r="IE693" s="74"/>
      <c r="IF693" s="74"/>
      <c r="IG693" s="74"/>
      <c r="IH693" s="74"/>
      <c r="II693" s="74"/>
      <c r="IJ693" s="74"/>
      <c r="IK693" s="74"/>
      <c r="IL693" s="74"/>
      <c r="IM693" s="74"/>
      <c r="IN693" s="74"/>
      <c r="IO693" s="74"/>
      <c r="IP693" s="74"/>
      <c r="IQ693" s="74"/>
      <c r="IR693" s="74"/>
      <c r="IS693" s="74"/>
      <c r="IT693" s="74"/>
      <c r="IU693" s="74"/>
      <c r="IV693" s="74"/>
      <c r="IW693" s="74"/>
    </row>
    <row r="694" customFormat="false" ht="15.75" hidden="false" customHeight="false" outlineLevel="0" collapsed="false">
      <c r="A694" s="196"/>
      <c r="B694" s="195"/>
      <c r="C694" s="183"/>
      <c r="D694" s="92"/>
      <c r="E694" s="93"/>
      <c r="F694" s="81"/>
      <c r="G694" s="81"/>
      <c r="H694" s="81"/>
      <c r="I694" s="94"/>
      <c r="J694" s="118"/>
      <c r="K694" s="97"/>
      <c r="L694" s="199"/>
      <c r="M694" s="119"/>
      <c r="N694" s="97"/>
      <c r="O694" s="97"/>
      <c r="P694" s="97"/>
      <c r="Q694" s="97"/>
      <c r="R694" s="97"/>
      <c r="S694" s="97"/>
      <c r="T694" s="65" t="str">
        <f aca="false">IF(D694&gt;0,(I694/D694),"")</f>
        <v/>
      </c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97"/>
      <c r="AU694" s="97"/>
      <c r="AV694" s="97"/>
      <c r="AW694" s="97"/>
      <c r="AX694" s="97"/>
      <c r="AY694" s="97"/>
      <c r="AZ694" s="97"/>
      <c r="BA694" s="97"/>
      <c r="BB694" s="97"/>
      <c r="BC694" s="97"/>
      <c r="BD694" s="97"/>
      <c r="BE694" s="97"/>
      <c r="BF694" s="97"/>
      <c r="BG694" s="97"/>
      <c r="BH694" s="97"/>
      <c r="BI694" s="97"/>
      <c r="BJ694" s="97"/>
      <c r="BK694" s="97"/>
      <c r="BL694" s="97"/>
      <c r="BM694" s="97"/>
      <c r="BN694" s="97"/>
      <c r="BO694" s="97"/>
      <c r="BP694" s="97"/>
      <c r="BQ694" s="97"/>
      <c r="BR694" s="97"/>
      <c r="BS694" s="97"/>
      <c r="BT694" s="97"/>
      <c r="BU694" s="97"/>
      <c r="BV694" s="199"/>
      <c r="BW694" s="199"/>
      <c r="BX694" s="199"/>
      <c r="BY694" s="199"/>
      <c r="BZ694" s="199"/>
      <c r="CA694" s="199"/>
      <c r="CB694" s="199"/>
      <c r="CC694" s="199"/>
      <c r="CD694" s="199"/>
      <c r="CE694" s="199"/>
      <c r="CF694" s="199"/>
      <c r="CG694" s="199"/>
      <c r="CH694" s="199"/>
      <c r="CI694" s="199"/>
      <c r="CJ694" s="199"/>
      <c r="CK694" s="199"/>
      <c r="CL694" s="199"/>
      <c r="CM694" s="199"/>
      <c r="CN694" s="199"/>
      <c r="CO694" s="199"/>
      <c r="CP694" s="199"/>
      <c r="CQ694" s="199"/>
      <c r="CR694" s="199"/>
      <c r="CS694" s="199"/>
      <c r="CT694" s="199"/>
      <c r="CU694" s="199"/>
      <c r="CV694" s="199"/>
      <c r="CW694" s="199"/>
      <c r="CX694" s="199"/>
      <c r="CY694" s="199"/>
      <c r="CZ694" s="199"/>
      <c r="DA694" s="199"/>
      <c r="DB694" s="199"/>
      <c r="DC694" s="199"/>
      <c r="DD694" s="199"/>
      <c r="DE694" s="199"/>
      <c r="DF694" s="199"/>
      <c r="DG694" s="199"/>
      <c r="DH694" s="199"/>
      <c r="DI694" s="199"/>
      <c r="DJ694" s="199"/>
      <c r="DK694" s="199"/>
      <c r="DL694" s="199"/>
      <c r="DM694" s="199"/>
      <c r="DN694" s="199"/>
      <c r="DO694" s="199"/>
      <c r="DP694" s="199"/>
      <c r="DQ694" s="199"/>
      <c r="DR694" s="199"/>
      <c r="DS694" s="199"/>
      <c r="DT694" s="199"/>
      <c r="DU694" s="199"/>
      <c r="DV694" s="199"/>
      <c r="DW694" s="199"/>
      <c r="DX694" s="199"/>
      <c r="DY694" s="199"/>
      <c r="DZ694" s="199"/>
      <c r="EA694" s="199"/>
      <c r="EB694" s="199"/>
      <c r="EC694" s="199"/>
      <c r="ED694" s="199"/>
      <c r="EE694" s="199"/>
      <c r="EF694" s="199"/>
      <c r="EG694" s="199"/>
      <c r="EH694" s="199"/>
      <c r="EI694" s="199"/>
      <c r="EJ694" s="199"/>
      <c r="EK694" s="199"/>
      <c r="EL694" s="199"/>
      <c r="EM694" s="199"/>
      <c r="EN694" s="199"/>
      <c r="EO694" s="199"/>
      <c r="EP694" s="199"/>
      <c r="EQ694" s="199"/>
      <c r="ER694" s="199"/>
      <c r="ES694" s="199"/>
      <c r="ET694" s="199"/>
      <c r="EU694" s="199"/>
      <c r="EV694" s="199"/>
      <c r="EW694" s="199"/>
      <c r="EX694" s="199"/>
      <c r="EY694" s="199"/>
      <c r="EZ694" s="199"/>
      <c r="FA694" s="199"/>
      <c r="FB694" s="199"/>
      <c r="FC694" s="199"/>
      <c r="FD694" s="199"/>
      <c r="FE694" s="199"/>
      <c r="FF694" s="199"/>
      <c r="FG694" s="199"/>
      <c r="FH694" s="199"/>
      <c r="FI694" s="199"/>
      <c r="FJ694" s="199"/>
      <c r="FK694" s="199"/>
      <c r="FL694" s="199"/>
      <c r="FM694" s="199"/>
      <c r="FN694" s="199"/>
      <c r="FO694" s="199"/>
      <c r="FP694" s="199"/>
      <c r="FQ694" s="199"/>
      <c r="FR694" s="199"/>
      <c r="FS694" s="199"/>
      <c r="FT694" s="199"/>
      <c r="FU694" s="199"/>
      <c r="FV694" s="199"/>
      <c r="FW694" s="199"/>
      <c r="FX694" s="199"/>
      <c r="FY694" s="199"/>
      <c r="FZ694" s="199"/>
      <c r="GA694" s="199"/>
      <c r="GB694" s="199"/>
      <c r="GC694" s="199"/>
      <c r="GD694" s="199"/>
      <c r="GE694" s="199"/>
      <c r="GF694" s="199"/>
      <c r="GG694" s="199"/>
      <c r="GH694" s="199"/>
      <c r="GI694" s="199"/>
      <c r="GJ694" s="199"/>
      <c r="GK694" s="199"/>
      <c r="GL694" s="199"/>
      <c r="GM694" s="199"/>
      <c r="GN694" s="199"/>
      <c r="GO694" s="199"/>
      <c r="GP694" s="199"/>
      <c r="GQ694" s="199"/>
      <c r="GR694" s="199"/>
      <c r="GS694" s="199"/>
      <c r="GT694" s="199"/>
      <c r="GU694" s="199"/>
      <c r="GV694" s="199"/>
      <c r="GW694" s="199"/>
      <c r="GX694" s="199"/>
      <c r="GY694" s="199"/>
      <c r="GZ694" s="199"/>
      <c r="HA694" s="199"/>
      <c r="HB694" s="199"/>
      <c r="HC694" s="199"/>
      <c r="HD694" s="199"/>
      <c r="HE694" s="199"/>
      <c r="HF694" s="199"/>
      <c r="HG694" s="199"/>
      <c r="HH694" s="199"/>
      <c r="HI694" s="199"/>
      <c r="HJ694" s="199"/>
      <c r="HK694" s="199"/>
      <c r="HL694" s="199"/>
      <c r="HM694" s="199"/>
      <c r="HN694" s="199"/>
      <c r="HO694" s="199"/>
      <c r="HP694" s="199"/>
      <c r="HQ694" s="199"/>
      <c r="HR694" s="199"/>
      <c r="HS694" s="199"/>
      <c r="HT694" s="199"/>
      <c r="HU694" s="199"/>
      <c r="HV694" s="199"/>
      <c r="HW694" s="199"/>
      <c r="HX694" s="199"/>
      <c r="HY694" s="199"/>
      <c r="HZ694" s="199"/>
      <c r="IA694" s="199"/>
      <c r="IB694" s="199"/>
      <c r="IC694" s="199"/>
      <c r="ID694" s="199"/>
      <c r="IE694" s="199"/>
      <c r="IF694" s="199"/>
      <c r="IG694" s="199"/>
      <c r="IH694" s="199"/>
      <c r="II694" s="199"/>
      <c r="IJ694" s="199"/>
      <c r="IK694" s="199"/>
      <c r="IL694" s="199"/>
      <c r="IM694" s="199"/>
      <c r="IN694" s="199"/>
      <c r="IO694" s="199"/>
      <c r="IP694" s="199"/>
      <c r="IQ694" s="199"/>
      <c r="IR694" s="199"/>
      <c r="IS694" s="199"/>
      <c r="IT694" s="199"/>
      <c r="IU694" s="199"/>
      <c r="IV694" s="199"/>
      <c r="IW694" s="199"/>
    </row>
    <row r="695" customFormat="false" ht="15.75" hidden="false" customHeight="false" outlineLevel="0" collapsed="false">
      <c r="A695" s="248" t="s">
        <v>662</v>
      </c>
      <c r="B695" s="210"/>
      <c r="C695" s="183"/>
      <c r="D695" s="92"/>
      <c r="E695" s="93"/>
      <c r="F695" s="81"/>
      <c r="G695" s="81"/>
      <c r="H695" s="81"/>
      <c r="I695" s="94"/>
      <c r="J695" s="118"/>
      <c r="K695" s="97"/>
      <c r="L695" s="199"/>
      <c r="M695" s="119"/>
      <c r="N695" s="97"/>
      <c r="O695" s="97"/>
      <c r="P695" s="97"/>
      <c r="Q695" s="97"/>
      <c r="R695" s="97"/>
      <c r="S695" s="97"/>
      <c r="T695" s="65" t="str">
        <f aca="false">IF(D695&gt;0,(I695/D695),"")</f>
        <v/>
      </c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97"/>
      <c r="AU695" s="97"/>
      <c r="AV695" s="97"/>
      <c r="AW695" s="97"/>
      <c r="AX695" s="97"/>
      <c r="AY695" s="97"/>
      <c r="AZ695" s="97"/>
      <c r="BA695" s="97"/>
      <c r="BB695" s="97"/>
      <c r="BC695" s="97"/>
      <c r="BD695" s="97"/>
      <c r="BE695" s="97"/>
      <c r="BF695" s="97"/>
      <c r="BG695" s="97"/>
      <c r="BH695" s="97"/>
      <c r="BI695" s="97"/>
      <c r="BJ695" s="97"/>
      <c r="BK695" s="97"/>
      <c r="BL695" s="97"/>
      <c r="BM695" s="97"/>
      <c r="BN695" s="97"/>
      <c r="BO695" s="97"/>
      <c r="BP695" s="97"/>
      <c r="BQ695" s="97"/>
      <c r="BR695" s="97"/>
      <c r="BS695" s="97"/>
      <c r="BT695" s="97"/>
      <c r="BU695" s="97"/>
      <c r="BV695" s="199"/>
      <c r="BW695" s="199"/>
      <c r="BX695" s="199"/>
      <c r="BY695" s="199"/>
      <c r="BZ695" s="199"/>
      <c r="CA695" s="199"/>
      <c r="CB695" s="199"/>
      <c r="CC695" s="199"/>
      <c r="CD695" s="199"/>
      <c r="CE695" s="199"/>
      <c r="CF695" s="199"/>
      <c r="CG695" s="199"/>
      <c r="CH695" s="199"/>
      <c r="CI695" s="199"/>
      <c r="CJ695" s="199"/>
      <c r="CK695" s="199"/>
      <c r="CL695" s="199"/>
      <c r="CM695" s="199"/>
      <c r="CN695" s="199"/>
      <c r="CO695" s="199"/>
      <c r="CP695" s="199"/>
      <c r="CQ695" s="199"/>
      <c r="CR695" s="199"/>
      <c r="CS695" s="199"/>
      <c r="CT695" s="199"/>
      <c r="CU695" s="199"/>
      <c r="CV695" s="199"/>
      <c r="CW695" s="199"/>
      <c r="CX695" s="199"/>
      <c r="CY695" s="199"/>
      <c r="CZ695" s="199"/>
      <c r="DA695" s="199"/>
      <c r="DB695" s="199"/>
      <c r="DC695" s="199"/>
      <c r="DD695" s="199"/>
      <c r="DE695" s="199"/>
      <c r="DF695" s="199"/>
      <c r="DG695" s="199"/>
      <c r="DH695" s="199"/>
      <c r="DI695" s="199"/>
      <c r="DJ695" s="199"/>
      <c r="DK695" s="199"/>
      <c r="DL695" s="199"/>
      <c r="DM695" s="199"/>
      <c r="DN695" s="199"/>
      <c r="DO695" s="199"/>
      <c r="DP695" s="199"/>
      <c r="DQ695" s="199"/>
      <c r="DR695" s="199"/>
      <c r="DS695" s="199"/>
      <c r="DT695" s="199"/>
      <c r="DU695" s="199"/>
      <c r="DV695" s="199"/>
      <c r="DW695" s="199"/>
      <c r="DX695" s="199"/>
      <c r="DY695" s="199"/>
      <c r="DZ695" s="199"/>
      <c r="EA695" s="199"/>
      <c r="EB695" s="199"/>
      <c r="EC695" s="199"/>
      <c r="ED695" s="199"/>
      <c r="EE695" s="199"/>
      <c r="EF695" s="199"/>
      <c r="EG695" s="199"/>
      <c r="EH695" s="199"/>
      <c r="EI695" s="199"/>
      <c r="EJ695" s="199"/>
      <c r="EK695" s="199"/>
      <c r="EL695" s="199"/>
      <c r="EM695" s="199"/>
      <c r="EN695" s="199"/>
      <c r="EO695" s="199"/>
      <c r="EP695" s="199"/>
      <c r="EQ695" s="199"/>
      <c r="ER695" s="199"/>
      <c r="ES695" s="199"/>
      <c r="ET695" s="199"/>
      <c r="EU695" s="199"/>
      <c r="EV695" s="199"/>
      <c r="EW695" s="199"/>
      <c r="EX695" s="199"/>
      <c r="EY695" s="199"/>
      <c r="EZ695" s="199"/>
      <c r="FA695" s="199"/>
      <c r="FB695" s="199"/>
      <c r="FC695" s="199"/>
      <c r="FD695" s="199"/>
      <c r="FE695" s="199"/>
      <c r="FF695" s="199"/>
      <c r="FG695" s="199"/>
      <c r="FH695" s="199"/>
      <c r="FI695" s="199"/>
      <c r="FJ695" s="199"/>
      <c r="FK695" s="199"/>
      <c r="FL695" s="199"/>
      <c r="FM695" s="199"/>
      <c r="FN695" s="199"/>
      <c r="FO695" s="199"/>
      <c r="FP695" s="199"/>
      <c r="FQ695" s="199"/>
      <c r="FR695" s="199"/>
      <c r="FS695" s="199"/>
      <c r="FT695" s="199"/>
      <c r="FU695" s="199"/>
      <c r="FV695" s="199"/>
      <c r="FW695" s="199"/>
      <c r="FX695" s="199"/>
      <c r="FY695" s="199"/>
      <c r="FZ695" s="199"/>
      <c r="GA695" s="199"/>
      <c r="GB695" s="199"/>
      <c r="GC695" s="199"/>
      <c r="GD695" s="199"/>
      <c r="GE695" s="199"/>
      <c r="GF695" s="199"/>
      <c r="GG695" s="199"/>
      <c r="GH695" s="199"/>
      <c r="GI695" s="199"/>
      <c r="GJ695" s="199"/>
      <c r="GK695" s="199"/>
      <c r="GL695" s="199"/>
      <c r="GM695" s="199"/>
      <c r="GN695" s="199"/>
      <c r="GO695" s="199"/>
      <c r="GP695" s="199"/>
      <c r="GQ695" s="199"/>
      <c r="GR695" s="199"/>
      <c r="GS695" s="199"/>
      <c r="GT695" s="199"/>
      <c r="GU695" s="199"/>
      <c r="GV695" s="199"/>
      <c r="GW695" s="199"/>
      <c r="GX695" s="199"/>
      <c r="GY695" s="199"/>
      <c r="GZ695" s="199"/>
      <c r="HA695" s="199"/>
      <c r="HB695" s="199"/>
      <c r="HC695" s="199"/>
      <c r="HD695" s="199"/>
      <c r="HE695" s="199"/>
      <c r="HF695" s="199"/>
      <c r="HG695" s="199"/>
      <c r="HH695" s="199"/>
      <c r="HI695" s="199"/>
      <c r="HJ695" s="199"/>
      <c r="HK695" s="199"/>
      <c r="HL695" s="199"/>
      <c r="HM695" s="199"/>
      <c r="HN695" s="199"/>
      <c r="HO695" s="199"/>
      <c r="HP695" s="199"/>
      <c r="HQ695" s="199"/>
      <c r="HR695" s="199"/>
      <c r="HS695" s="199"/>
      <c r="HT695" s="199"/>
      <c r="HU695" s="199"/>
      <c r="HV695" s="199"/>
      <c r="HW695" s="199"/>
      <c r="HX695" s="199"/>
      <c r="HY695" s="199"/>
      <c r="HZ695" s="199"/>
      <c r="IA695" s="199"/>
      <c r="IB695" s="199"/>
      <c r="IC695" s="199"/>
      <c r="ID695" s="199"/>
      <c r="IE695" s="199"/>
      <c r="IF695" s="199"/>
      <c r="IG695" s="199"/>
      <c r="IH695" s="199"/>
      <c r="II695" s="199"/>
      <c r="IJ695" s="199"/>
      <c r="IK695" s="199"/>
      <c r="IL695" s="199"/>
      <c r="IM695" s="199"/>
      <c r="IN695" s="199"/>
      <c r="IO695" s="199"/>
      <c r="IP695" s="199"/>
      <c r="IQ695" s="199"/>
      <c r="IR695" s="199"/>
      <c r="IS695" s="199"/>
      <c r="IT695" s="199"/>
      <c r="IU695" s="199"/>
      <c r="IV695" s="199"/>
      <c r="IW695" s="199"/>
    </row>
    <row r="696" customFormat="false" ht="15.75" hidden="false" customHeight="false" outlineLevel="0" collapsed="false">
      <c r="A696" s="120" t="s">
        <v>663</v>
      </c>
      <c r="B696" s="251"/>
      <c r="C696" s="188"/>
      <c r="D696" s="92" t="n">
        <v>0</v>
      </c>
      <c r="E696" s="93" t="n">
        <v>0</v>
      </c>
      <c r="F696" s="81" t="n">
        <v>0</v>
      </c>
      <c r="G696" s="81" t="n">
        <v>0</v>
      </c>
      <c r="H696" s="81" t="n">
        <v>0</v>
      </c>
      <c r="I696" s="94" t="n">
        <f aca="false">SUM(E696:H696)</f>
        <v>0</v>
      </c>
      <c r="J696" s="118" t="s">
        <v>18</v>
      </c>
      <c r="K696" s="97"/>
      <c r="L696" s="199"/>
      <c r="M696" s="119"/>
      <c r="N696" s="97"/>
      <c r="O696" s="97"/>
      <c r="P696" s="97"/>
      <c r="Q696" s="97"/>
      <c r="R696" s="97"/>
      <c r="S696" s="97"/>
      <c r="T696" s="65" t="str">
        <f aca="false">IF(D696&gt;0,(I696/D696),"")</f>
        <v/>
      </c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97"/>
      <c r="AU696" s="97"/>
      <c r="AV696" s="97"/>
      <c r="AW696" s="97"/>
      <c r="AX696" s="97"/>
      <c r="AY696" s="97"/>
      <c r="AZ696" s="97"/>
      <c r="BA696" s="97"/>
      <c r="BB696" s="97"/>
      <c r="BC696" s="97"/>
      <c r="BD696" s="97"/>
      <c r="BE696" s="97"/>
      <c r="BF696" s="97"/>
      <c r="BG696" s="97"/>
      <c r="BH696" s="97"/>
      <c r="BI696" s="97"/>
      <c r="BJ696" s="97"/>
      <c r="BK696" s="97"/>
      <c r="BL696" s="97"/>
      <c r="BM696" s="97"/>
      <c r="BN696" s="97"/>
      <c r="BO696" s="97"/>
      <c r="BP696" s="97"/>
      <c r="BQ696" s="97"/>
      <c r="BR696" s="97"/>
      <c r="BS696" s="97"/>
      <c r="BT696" s="97"/>
      <c r="BU696" s="97"/>
      <c r="BV696" s="199"/>
      <c r="BW696" s="199"/>
      <c r="BX696" s="199"/>
      <c r="BY696" s="199"/>
      <c r="BZ696" s="199"/>
      <c r="CA696" s="199"/>
      <c r="CB696" s="199"/>
      <c r="CC696" s="199"/>
      <c r="CD696" s="199"/>
      <c r="CE696" s="199"/>
      <c r="CF696" s="199"/>
      <c r="CG696" s="199"/>
      <c r="CH696" s="199"/>
      <c r="CI696" s="199"/>
      <c r="CJ696" s="199"/>
      <c r="CK696" s="199"/>
      <c r="CL696" s="199"/>
      <c r="CM696" s="199"/>
      <c r="CN696" s="199"/>
      <c r="CO696" s="199"/>
      <c r="CP696" s="199"/>
      <c r="CQ696" s="199"/>
      <c r="CR696" s="199"/>
      <c r="CS696" s="199"/>
      <c r="CT696" s="199"/>
      <c r="CU696" s="199"/>
      <c r="CV696" s="199"/>
      <c r="CW696" s="199"/>
      <c r="CX696" s="199"/>
      <c r="CY696" s="199"/>
      <c r="CZ696" s="199"/>
      <c r="DA696" s="199"/>
      <c r="DB696" s="199"/>
      <c r="DC696" s="199"/>
      <c r="DD696" s="199"/>
      <c r="DE696" s="199"/>
      <c r="DF696" s="199"/>
      <c r="DG696" s="199"/>
      <c r="DH696" s="199"/>
      <c r="DI696" s="199"/>
      <c r="DJ696" s="199"/>
      <c r="DK696" s="199"/>
      <c r="DL696" s="199"/>
      <c r="DM696" s="199"/>
      <c r="DN696" s="199"/>
      <c r="DO696" s="199"/>
      <c r="DP696" s="199"/>
      <c r="DQ696" s="199"/>
      <c r="DR696" s="199"/>
      <c r="DS696" s="199"/>
      <c r="DT696" s="199"/>
      <c r="DU696" s="199"/>
      <c r="DV696" s="199"/>
      <c r="DW696" s="199"/>
      <c r="DX696" s="199"/>
      <c r="DY696" s="199"/>
      <c r="DZ696" s="199"/>
      <c r="EA696" s="199"/>
      <c r="EB696" s="199"/>
      <c r="EC696" s="199"/>
      <c r="ED696" s="199"/>
      <c r="EE696" s="199"/>
      <c r="EF696" s="199"/>
      <c r="EG696" s="199"/>
      <c r="EH696" s="199"/>
      <c r="EI696" s="199"/>
      <c r="EJ696" s="199"/>
      <c r="EK696" s="199"/>
      <c r="EL696" s="199"/>
      <c r="EM696" s="199"/>
      <c r="EN696" s="199"/>
      <c r="EO696" s="199"/>
      <c r="EP696" s="199"/>
      <c r="EQ696" s="199"/>
      <c r="ER696" s="199"/>
      <c r="ES696" s="199"/>
      <c r="ET696" s="199"/>
      <c r="EU696" s="199"/>
      <c r="EV696" s="199"/>
      <c r="EW696" s="199"/>
      <c r="EX696" s="199"/>
      <c r="EY696" s="199"/>
      <c r="EZ696" s="199"/>
      <c r="FA696" s="199"/>
      <c r="FB696" s="199"/>
      <c r="FC696" s="199"/>
      <c r="FD696" s="199"/>
      <c r="FE696" s="199"/>
      <c r="FF696" s="199"/>
      <c r="FG696" s="199"/>
      <c r="FH696" s="199"/>
      <c r="FI696" s="199"/>
      <c r="FJ696" s="199"/>
      <c r="FK696" s="199"/>
      <c r="FL696" s="199"/>
      <c r="FM696" s="199"/>
      <c r="FN696" s="199"/>
      <c r="FO696" s="199"/>
      <c r="FP696" s="199"/>
      <c r="FQ696" s="199"/>
      <c r="FR696" s="199"/>
      <c r="FS696" s="199"/>
      <c r="FT696" s="199"/>
      <c r="FU696" s="199"/>
      <c r="FV696" s="199"/>
      <c r="FW696" s="199"/>
      <c r="FX696" s="199"/>
      <c r="FY696" s="199"/>
      <c r="FZ696" s="199"/>
      <c r="GA696" s="199"/>
      <c r="GB696" s="199"/>
      <c r="GC696" s="199"/>
      <c r="GD696" s="199"/>
      <c r="GE696" s="199"/>
      <c r="GF696" s="199"/>
      <c r="GG696" s="199"/>
      <c r="GH696" s="199"/>
      <c r="GI696" s="199"/>
      <c r="GJ696" s="199"/>
      <c r="GK696" s="199"/>
      <c r="GL696" s="199"/>
      <c r="GM696" s="199"/>
      <c r="GN696" s="199"/>
      <c r="GO696" s="199"/>
      <c r="GP696" s="199"/>
      <c r="GQ696" s="199"/>
      <c r="GR696" s="199"/>
      <c r="GS696" s="199"/>
      <c r="GT696" s="199"/>
      <c r="GU696" s="199"/>
      <c r="GV696" s="199"/>
      <c r="GW696" s="199"/>
      <c r="GX696" s="199"/>
      <c r="GY696" s="199"/>
      <c r="GZ696" s="199"/>
      <c r="HA696" s="199"/>
      <c r="HB696" s="199"/>
      <c r="HC696" s="199"/>
      <c r="HD696" s="199"/>
      <c r="HE696" s="199"/>
      <c r="HF696" s="199"/>
      <c r="HG696" s="199"/>
      <c r="HH696" s="199"/>
      <c r="HI696" s="199"/>
      <c r="HJ696" s="199"/>
      <c r="HK696" s="199"/>
      <c r="HL696" s="199"/>
      <c r="HM696" s="199"/>
      <c r="HN696" s="199"/>
      <c r="HO696" s="199"/>
      <c r="HP696" s="199"/>
      <c r="HQ696" s="199"/>
      <c r="HR696" s="199"/>
      <c r="HS696" s="199"/>
      <c r="HT696" s="199"/>
      <c r="HU696" s="199"/>
      <c r="HV696" s="199"/>
      <c r="HW696" s="199"/>
      <c r="HX696" s="199"/>
      <c r="HY696" s="199"/>
      <c r="HZ696" s="199"/>
      <c r="IA696" s="199"/>
      <c r="IB696" s="199"/>
      <c r="IC696" s="199"/>
      <c r="ID696" s="199"/>
      <c r="IE696" s="199"/>
      <c r="IF696" s="199"/>
      <c r="IG696" s="199"/>
      <c r="IH696" s="199"/>
      <c r="II696" s="199"/>
      <c r="IJ696" s="199"/>
      <c r="IK696" s="199"/>
      <c r="IL696" s="199"/>
      <c r="IM696" s="199"/>
      <c r="IN696" s="199"/>
      <c r="IO696" s="199"/>
      <c r="IP696" s="199"/>
      <c r="IQ696" s="199"/>
      <c r="IR696" s="199"/>
      <c r="IS696" s="199"/>
      <c r="IT696" s="199"/>
      <c r="IU696" s="199"/>
      <c r="IV696" s="199"/>
      <c r="IW696" s="199"/>
    </row>
    <row r="697" customFormat="false" ht="15.75" hidden="false" customHeight="false" outlineLevel="0" collapsed="false">
      <c r="A697" s="120" t="s">
        <v>664</v>
      </c>
      <c r="B697" s="251"/>
      <c r="C697" s="188"/>
      <c r="D697" s="92" t="n">
        <v>0</v>
      </c>
      <c r="E697" s="93" t="n">
        <v>1.373</v>
      </c>
      <c r="F697" s="81" t="n">
        <v>0</v>
      </c>
      <c r="G697" s="81" t="n">
        <v>0</v>
      </c>
      <c r="H697" s="81" t="n">
        <v>0</v>
      </c>
      <c r="I697" s="94" t="n">
        <f aca="false">SUM(E697:H697)</f>
        <v>1.373</v>
      </c>
      <c r="J697" s="118" t="s">
        <v>18</v>
      </c>
      <c r="K697" s="97"/>
      <c r="L697" s="199"/>
      <c r="M697" s="119"/>
      <c r="N697" s="97"/>
      <c r="O697" s="97"/>
      <c r="P697" s="97"/>
      <c r="Q697" s="97"/>
      <c r="R697" s="97"/>
      <c r="S697" s="97"/>
      <c r="T697" s="65" t="str">
        <f aca="false">IF(D697&gt;0,(I697/D697),"")</f>
        <v/>
      </c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97"/>
      <c r="AU697" s="97"/>
      <c r="AV697" s="97"/>
      <c r="AW697" s="97"/>
      <c r="AX697" s="97"/>
      <c r="AY697" s="97"/>
      <c r="AZ697" s="97"/>
      <c r="BA697" s="97"/>
      <c r="BB697" s="97"/>
      <c r="BC697" s="97"/>
      <c r="BD697" s="97"/>
      <c r="BE697" s="97"/>
      <c r="BF697" s="97"/>
      <c r="BG697" s="97"/>
      <c r="BH697" s="97"/>
      <c r="BI697" s="97"/>
      <c r="BJ697" s="97"/>
      <c r="BK697" s="97"/>
      <c r="BL697" s="97"/>
      <c r="BM697" s="97"/>
      <c r="BN697" s="97"/>
      <c r="BO697" s="97"/>
      <c r="BP697" s="97"/>
      <c r="BQ697" s="97"/>
      <c r="BR697" s="97"/>
      <c r="BS697" s="97"/>
      <c r="BT697" s="97"/>
      <c r="BU697" s="97"/>
      <c r="BV697" s="199"/>
      <c r="BW697" s="199"/>
      <c r="BX697" s="199"/>
      <c r="BY697" s="199"/>
      <c r="BZ697" s="199"/>
      <c r="CA697" s="199"/>
      <c r="CB697" s="199"/>
      <c r="CC697" s="199"/>
      <c r="CD697" s="199"/>
      <c r="CE697" s="199"/>
      <c r="CF697" s="199"/>
      <c r="CG697" s="199"/>
      <c r="CH697" s="199"/>
      <c r="CI697" s="199"/>
      <c r="CJ697" s="199"/>
      <c r="CK697" s="199"/>
      <c r="CL697" s="199"/>
      <c r="CM697" s="199"/>
      <c r="CN697" s="199"/>
      <c r="CO697" s="199"/>
      <c r="CP697" s="199"/>
      <c r="CQ697" s="199"/>
      <c r="CR697" s="199"/>
      <c r="CS697" s="199"/>
      <c r="CT697" s="199"/>
      <c r="CU697" s="199"/>
      <c r="CV697" s="199"/>
      <c r="CW697" s="199"/>
      <c r="CX697" s="199"/>
      <c r="CY697" s="199"/>
      <c r="CZ697" s="199"/>
      <c r="DA697" s="199"/>
      <c r="DB697" s="199"/>
      <c r="DC697" s="199"/>
      <c r="DD697" s="199"/>
      <c r="DE697" s="199"/>
      <c r="DF697" s="199"/>
      <c r="DG697" s="199"/>
      <c r="DH697" s="199"/>
      <c r="DI697" s="199"/>
      <c r="DJ697" s="199"/>
      <c r="DK697" s="199"/>
      <c r="DL697" s="199"/>
      <c r="DM697" s="199"/>
      <c r="DN697" s="199"/>
      <c r="DO697" s="199"/>
      <c r="DP697" s="199"/>
      <c r="DQ697" s="199"/>
      <c r="DR697" s="199"/>
      <c r="DS697" s="199"/>
      <c r="DT697" s="199"/>
      <c r="DU697" s="199"/>
      <c r="DV697" s="199"/>
      <c r="DW697" s="199"/>
      <c r="DX697" s="199"/>
      <c r="DY697" s="199"/>
      <c r="DZ697" s="199"/>
      <c r="EA697" s="199"/>
      <c r="EB697" s="199"/>
      <c r="EC697" s="199"/>
      <c r="ED697" s="199"/>
      <c r="EE697" s="199"/>
      <c r="EF697" s="199"/>
      <c r="EG697" s="199"/>
      <c r="EH697" s="199"/>
      <c r="EI697" s="199"/>
      <c r="EJ697" s="199"/>
      <c r="EK697" s="199"/>
      <c r="EL697" s="199"/>
      <c r="EM697" s="199"/>
      <c r="EN697" s="199"/>
      <c r="EO697" s="199"/>
      <c r="EP697" s="199"/>
      <c r="EQ697" s="199"/>
      <c r="ER697" s="199"/>
      <c r="ES697" s="199"/>
      <c r="ET697" s="199"/>
      <c r="EU697" s="199"/>
      <c r="EV697" s="199"/>
      <c r="EW697" s="199"/>
      <c r="EX697" s="199"/>
      <c r="EY697" s="199"/>
      <c r="EZ697" s="199"/>
      <c r="FA697" s="199"/>
      <c r="FB697" s="199"/>
      <c r="FC697" s="199"/>
      <c r="FD697" s="199"/>
      <c r="FE697" s="199"/>
      <c r="FF697" s="199"/>
      <c r="FG697" s="199"/>
      <c r="FH697" s="199"/>
      <c r="FI697" s="199"/>
      <c r="FJ697" s="199"/>
      <c r="FK697" s="199"/>
      <c r="FL697" s="199"/>
      <c r="FM697" s="199"/>
      <c r="FN697" s="199"/>
      <c r="FO697" s="199"/>
      <c r="FP697" s="199"/>
      <c r="FQ697" s="199"/>
      <c r="FR697" s="199"/>
      <c r="FS697" s="199"/>
      <c r="FT697" s="199"/>
      <c r="FU697" s="199"/>
      <c r="FV697" s="199"/>
      <c r="FW697" s="199"/>
      <c r="FX697" s="199"/>
      <c r="FY697" s="199"/>
      <c r="FZ697" s="199"/>
      <c r="GA697" s="199"/>
      <c r="GB697" s="199"/>
      <c r="GC697" s="199"/>
      <c r="GD697" s="199"/>
      <c r="GE697" s="199"/>
      <c r="GF697" s="199"/>
      <c r="GG697" s="199"/>
      <c r="GH697" s="199"/>
      <c r="GI697" s="199"/>
      <c r="GJ697" s="199"/>
      <c r="GK697" s="199"/>
      <c r="GL697" s="199"/>
      <c r="GM697" s="199"/>
      <c r="GN697" s="199"/>
      <c r="GO697" s="199"/>
      <c r="GP697" s="199"/>
      <c r="GQ697" s="199"/>
      <c r="GR697" s="199"/>
      <c r="GS697" s="199"/>
      <c r="GT697" s="199"/>
      <c r="GU697" s="199"/>
      <c r="GV697" s="199"/>
      <c r="GW697" s="199"/>
      <c r="GX697" s="199"/>
      <c r="GY697" s="199"/>
      <c r="GZ697" s="199"/>
      <c r="HA697" s="199"/>
      <c r="HB697" s="199"/>
      <c r="HC697" s="199"/>
      <c r="HD697" s="199"/>
      <c r="HE697" s="199"/>
      <c r="HF697" s="199"/>
      <c r="HG697" s="199"/>
      <c r="HH697" s="199"/>
      <c r="HI697" s="199"/>
      <c r="HJ697" s="199"/>
      <c r="HK697" s="199"/>
      <c r="HL697" s="199"/>
      <c r="HM697" s="199"/>
      <c r="HN697" s="199"/>
      <c r="HO697" s="199"/>
      <c r="HP697" s="199"/>
      <c r="HQ697" s="199"/>
      <c r="HR697" s="199"/>
      <c r="HS697" s="199"/>
      <c r="HT697" s="199"/>
      <c r="HU697" s="199"/>
      <c r="HV697" s="199"/>
      <c r="HW697" s="199"/>
      <c r="HX697" s="199"/>
      <c r="HY697" s="199"/>
      <c r="HZ697" s="199"/>
      <c r="IA697" s="199"/>
      <c r="IB697" s="199"/>
      <c r="IC697" s="199"/>
      <c r="ID697" s="199"/>
      <c r="IE697" s="199"/>
      <c r="IF697" s="199"/>
      <c r="IG697" s="199"/>
      <c r="IH697" s="199"/>
      <c r="II697" s="199"/>
      <c r="IJ697" s="199"/>
      <c r="IK697" s="199"/>
      <c r="IL697" s="199"/>
      <c r="IM697" s="199"/>
      <c r="IN697" s="199"/>
      <c r="IO697" s="199"/>
      <c r="IP697" s="199"/>
      <c r="IQ697" s="199"/>
      <c r="IR697" s="199"/>
      <c r="IS697" s="199"/>
      <c r="IT697" s="199"/>
      <c r="IU697" s="199"/>
      <c r="IV697" s="199"/>
      <c r="IW697" s="199"/>
    </row>
    <row r="698" customFormat="false" ht="15.75" hidden="false" customHeight="false" outlineLevel="0" collapsed="false">
      <c r="A698" s="120" t="s">
        <v>665</v>
      </c>
      <c r="B698" s="251"/>
      <c r="C698" s="188"/>
      <c r="D698" s="92" t="n">
        <v>0</v>
      </c>
      <c r="E698" s="93" t="n">
        <v>-5.567</v>
      </c>
      <c r="F698" s="81" t="n">
        <v>0</v>
      </c>
      <c r="G698" s="81" t="n">
        <v>0</v>
      </c>
      <c r="H698" s="81" t="n">
        <v>0</v>
      </c>
      <c r="I698" s="94" t="n">
        <f aca="false">SUM(E698:H698)</f>
        <v>-5.567</v>
      </c>
      <c r="J698" s="118" t="s">
        <v>18</v>
      </c>
      <c r="K698" s="97"/>
      <c r="L698" s="199"/>
      <c r="M698" s="119"/>
      <c r="N698" s="97"/>
      <c r="O698" s="97"/>
      <c r="P698" s="97"/>
      <c r="Q698" s="97"/>
      <c r="R698" s="97"/>
      <c r="S698" s="97"/>
      <c r="T698" s="65" t="str">
        <f aca="false">IF(D698&gt;0,(I698/D698),"")</f>
        <v/>
      </c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97"/>
      <c r="AU698" s="97"/>
      <c r="AV698" s="97"/>
      <c r="AW698" s="97"/>
      <c r="AX698" s="97"/>
      <c r="AY698" s="97"/>
      <c r="AZ698" s="97"/>
      <c r="BA698" s="97"/>
      <c r="BB698" s="97"/>
      <c r="BC698" s="97"/>
      <c r="BD698" s="97"/>
      <c r="BE698" s="97"/>
      <c r="BF698" s="97"/>
      <c r="BG698" s="97"/>
      <c r="BH698" s="97"/>
      <c r="BI698" s="97"/>
      <c r="BJ698" s="97"/>
      <c r="BK698" s="97"/>
      <c r="BL698" s="97"/>
      <c r="BM698" s="97"/>
      <c r="BN698" s="97"/>
      <c r="BO698" s="97"/>
      <c r="BP698" s="97"/>
      <c r="BQ698" s="97"/>
      <c r="BR698" s="97"/>
      <c r="BS698" s="97"/>
      <c r="BT698" s="97"/>
      <c r="BU698" s="97"/>
      <c r="BV698" s="199"/>
      <c r="BW698" s="199"/>
      <c r="BX698" s="199"/>
      <c r="BY698" s="199"/>
      <c r="BZ698" s="199"/>
      <c r="CA698" s="199"/>
      <c r="CB698" s="199"/>
      <c r="CC698" s="199"/>
      <c r="CD698" s="199"/>
      <c r="CE698" s="199"/>
      <c r="CF698" s="199"/>
      <c r="CG698" s="199"/>
      <c r="CH698" s="199"/>
      <c r="CI698" s="199"/>
      <c r="CJ698" s="199"/>
      <c r="CK698" s="199"/>
      <c r="CL698" s="199"/>
      <c r="CM698" s="199"/>
      <c r="CN698" s="199"/>
      <c r="CO698" s="199"/>
      <c r="CP698" s="199"/>
      <c r="CQ698" s="199"/>
      <c r="CR698" s="199"/>
      <c r="CS698" s="199"/>
      <c r="CT698" s="199"/>
      <c r="CU698" s="199"/>
      <c r="CV698" s="199"/>
      <c r="CW698" s="199"/>
      <c r="CX698" s="199"/>
      <c r="CY698" s="199"/>
      <c r="CZ698" s="199"/>
      <c r="DA698" s="199"/>
      <c r="DB698" s="199"/>
      <c r="DC698" s="199"/>
      <c r="DD698" s="199"/>
      <c r="DE698" s="199"/>
      <c r="DF698" s="199"/>
      <c r="DG698" s="199"/>
      <c r="DH698" s="199"/>
      <c r="DI698" s="199"/>
      <c r="DJ698" s="199"/>
      <c r="DK698" s="199"/>
      <c r="DL698" s="199"/>
      <c r="DM698" s="199"/>
      <c r="DN698" s="199"/>
      <c r="DO698" s="199"/>
      <c r="DP698" s="199"/>
      <c r="DQ698" s="199"/>
      <c r="DR698" s="199"/>
      <c r="DS698" s="199"/>
      <c r="DT698" s="199"/>
      <c r="DU698" s="199"/>
      <c r="DV698" s="199"/>
      <c r="DW698" s="199"/>
      <c r="DX698" s="199"/>
      <c r="DY698" s="199"/>
      <c r="DZ698" s="199"/>
      <c r="EA698" s="199"/>
      <c r="EB698" s="199"/>
      <c r="EC698" s="199"/>
      <c r="ED698" s="199"/>
      <c r="EE698" s="199"/>
      <c r="EF698" s="199"/>
      <c r="EG698" s="199"/>
      <c r="EH698" s="199"/>
      <c r="EI698" s="199"/>
      <c r="EJ698" s="199"/>
      <c r="EK698" s="199"/>
      <c r="EL698" s="199"/>
      <c r="EM698" s="199"/>
      <c r="EN698" s="199"/>
      <c r="EO698" s="199"/>
      <c r="EP698" s="199"/>
      <c r="EQ698" s="199"/>
      <c r="ER698" s="199"/>
      <c r="ES698" s="199"/>
      <c r="ET698" s="199"/>
      <c r="EU698" s="199"/>
      <c r="EV698" s="199"/>
      <c r="EW698" s="199"/>
      <c r="EX698" s="199"/>
      <c r="EY698" s="199"/>
      <c r="EZ698" s="199"/>
      <c r="FA698" s="199"/>
      <c r="FB698" s="199"/>
      <c r="FC698" s="199"/>
      <c r="FD698" s="199"/>
      <c r="FE698" s="199"/>
      <c r="FF698" s="199"/>
      <c r="FG698" s="199"/>
      <c r="FH698" s="199"/>
      <c r="FI698" s="199"/>
      <c r="FJ698" s="199"/>
      <c r="FK698" s="199"/>
      <c r="FL698" s="199"/>
      <c r="FM698" s="199"/>
      <c r="FN698" s="199"/>
      <c r="FO698" s="199"/>
      <c r="FP698" s="199"/>
      <c r="FQ698" s="199"/>
      <c r="FR698" s="199"/>
      <c r="FS698" s="199"/>
      <c r="FT698" s="199"/>
      <c r="FU698" s="199"/>
      <c r="FV698" s="199"/>
      <c r="FW698" s="199"/>
      <c r="FX698" s="199"/>
      <c r="FY698" s="199"/>
      <c r="FZ698" s="199"/>
      <c r="GA698" s="199"/>
      <c r="GB698" s="199"/>
      <c r="GC698" s="199"/>
      <c r="GD698" s="199"/>
      <c r="GE698" s="199"/>
      <c r="GF698" s="199"/>
      <c r="GG698" s="199"/>
      <c r="GH698" s="199"/>
      <c r="GI698" s="199"/>
      <c r="GJ698" s="199"/>
      <c r="GK698" s="199"/>
      <c r="GL698" s="199"/>
      <c r="GM698" s="199"/>
      <c r="GN698" s="199"/>
      <c r="GO698" s="199"/>
      <c r="GP698" s="199"/>
      <c r="GQ698" s="199"/>
      <c r="GR698" s="199"/>
      <c r="GS698" s="199"/>
      <c r="GT698" s="199"/>
      <c r="GU698" s="199"/>
      <c r="GV698" s="199"/>
      <c r="GW698" s="199"/>
      <c r="GX698" s="199"/>
      <c r="GY698" s="199"/>
      <c r="GZ698" s="199"/>
      <c r="HA698" s="199"/>
      <c r="HB698" s="199"/>
      <c r="HC698" s="199"/>
      <c r="HD698" s="199"/>
      <c r="HE698" s="199"/>
      <c r="HF698" s="199"/>
      <c r="HG698" s="199"/>
      <c r="HH698" s="199"/>
      <c r="HI698" s="199"/>
      <c r="HJ698" s="199"/>
      <c r="HK698" s="199"/>
      <c r="HL698" s="199"/>
      <c r="HM698" s="199"/>
      <c r="HN698" s="199"/>
      <c r="HO698" s="199"/>
      <c r="HP698" s="199"/>
      <c r="HQ698" s="199"/>
      <c r="HR698" s="199"/>
      <c r="HS698" s="199"/>
      <c r="HT698" s="199"/>
      <c r="HU698" s="199"/>
      <c r="HV698" s="199"/>
      <c r="HW698" s="199"/>
      <c r="HX698" s="199"/>
      <c r="HY698" s="199"/>
      <c r="HZ698" s="199"/>
      <c r="IA698" s="199"/>
      <c r="IB698" s="199"/>
      <c r="IC698" s="199"/>
      <c r="ID698" s="199"/>
      <c r="IE698" s="199"/>
      <c r="IF698" s="199"/>
      <c r="IG698" s="199"/>
      <c r="IH698" s="199"/>
      <c r="II698" s="199"/>
      <c r="IJ698" s="199"/>
      <c r="IK698" s="199"/>
      <c r="IL698" s="199"/>
      <c r="IM698" s="199"/>
      <c r="IN698" s="199"/>
      <c r="IO698" s="199"/>
      <c r="IP698" s="199"/>
      <c r="IQ698" s="199"/>
      <c r="IR698" s="199"/>
      <c r="IS698" s="199"/>
      <c r="IT698" s="199"/>
      <c r="IU698" s="199"/>
      <c r="IV698" s="199"/>
      <c r="IW698" s="199"/>
    </row>
    <row r="699" customFormat="false" ht="15.75" hidden="false" customHeight="false" outlineLevel="0" collapsed="false">
      <c r="A699" s="137" t="s">
        <v>666</v>
      </c>
      <c r="B699" s="138"/>
      <c r="C699" s="139"/>
      <c r="D699" s="85" t="n">
        <v>0</v>
      </c>
      <c r="E699" s="86" t="n">
        <v>734.552</v>
      </c>
      <c r="F699" s="87" t="n">
        <v>0</v>
      </c>
      <c r="G699" s="87" t="n">
        <v>0</v>
      </c>
      <c r="H699" s="87" t="n">
        <v>0</v>
      </c>
      <c r="I699" s="88" t="n">
        <f aca="false">SUM(E699:H699)</f>
        <v>734.552</v>
      </c>
      <c r="J699" s="118" t="s">
        <v>18</v>
      </c>
      <c r="K699" s="74"/>
      <c r="L699" s="74"/>
      <c r="M699" s="119"/>
      <c r="N699" s="74"/>
      <c r="O699" s="74"/>
      <c r="P699" s="74"/>
      <c r="Q699" s="74"/>
      <c r="R699" s="74"/>
      <c r="S699" s="74"/>
      <c r="T699" s="65" t="str">
        <f aca="false">IF(D699&gt;0,(I699/D699),"")</f>
        <v/>
      </c>
      <c r="U699" s="74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74"/>
      <c r="AJ699" s="74"/>
      <c r="AK699" s="74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4"/>
      <c r="AZ699" s="74"/>
      <c r="BA699" s="74"/>
      <c r="BB699" s="74"/>
      <c r="BC699" s="74"/>
      <c r="BD699" s="74"/>
      <c r="BE699" s="74"/>
      <c r="BF699" s="74"/>
      <c r="BG699" s="74"/>
      <c r="BH699" s="74"/>
      <c r="BI699" s="74"/>
      <c r="BJ699" s="74"/>
      <c r="BK699" s="74"/>
      <c r="BL699" s="74"/>
      <c r="BM699" s="74"/>
      <c r="BN699" s="74"/>
      <c r="BO699" s="74"/>
      <c r="BP699" s="74"/>
      <c r="BQ699" s="74"/>
      <c r="BR699" s="74"/>
      <c r="BS699" s="74"/>
      <c r="BT699" s="74"/>
      <c r="BU699" s="74"/>
      <c r="BV699" s="74"/>
      <c r="BW699" s="74"/>
      <c r="BX699" s="74"/>
      <c r="BY699" s="74"/>
      <c r="BZ699" s="74"/>
      <c r="CA699" s="74"/>
      <c r="CB699" s="74"/>
      <c r="CC699" s="74"/>
      <c r="CD699" s="74"/>
      <c r="CE699" s="74"/>
      <c r="CF699" s="74"/>
      <c r="CG699" s="74"/>
      <c r="CH699" s="74"/>
      <c r="CI699" s="74"/>
      <c r="CJ699" s="74"/>
      <c r="CK699" s="74"/>
      <c r="CL699" s="74"/>
      <c r="CM699" s="74"/>
      <c r="CN699" s="74"/>
      <c r="CO699" s="74"/>
      <c r="CP699" s="74"/>
      <c r="CQ699" s="74"/>
      <c r="CR699" s="74"/>
      <c r="CS699" s="74"/>
      <c r="CT699" s="74"/>
      <c r="CU699" s="74"/>
      <c r="CV699" s="74"/>
      <c r="CW699" s="74"/>
      <c r="CX699" s="74"/>
      <c r="CY699" s="74"/>
      <c r="CZ699" s="74"/>
      <c r="DA699" s="74"/>
      <c r="DB699" s="74"/>
      <c r="DC699" s="74"/>
      <c r="DD699" s="74"/>
      <c r="DE699" s="74"/>
      <c r="DF699" s="74"/>
      <c r="DG699" s="74"/>
      <c r="DH699" s="74"/>
      <c r="DI699" s="74"/>
      <c r="DJ699" s="74"/>
      <c r="DK699" s="74"/>
      <c r="DL699" s="74"/>
      <c r="DM699" s="74"/>
      <c r="DN699" s="74"/>
      <c r="DO699" s="74"/>
      <c r="DP699" s="74"/>
      <c r="DQ699" s="74"/>
      <c r="DR699" s="74"/>
      <c r="DS699" s="74"/>
      <c r="DT699" s="74"/>
      <c r="DU699" s="74"/>
      <c r="DV699" s="74"/>
      <c r="DW699" s="74"/>
      <c r="DX699" s="74"/>
      <c r="DY699" s="74"/>
      <c r="DZ699" s="74"/>
      <c r="EA699" s="74"/>
      <c r="EB699" s="74"/>
      <c r="EC699" s="74"/>
      <c r="ED699" s="74"/>
      <c r="EE699" s="74"/>
      <c r="EF699" s="74"/>
      <c r="EG699" s="74"/>
      <c r="EH699" s="74"/>
      <c r="EI699" s="74"/>
      <c r="EJ699" s="74"/>
      <c r="EK699" s="74"/>
      <c r="EL699" s="74"/>
      <c r="EM699" s="74"/>
      <c r="EN699" s="74"/>
      <c r="EO699" s="74"/>
      <c r="EP699" s="74"/>
      <c r="EQ699" s="74"/>
      <c r="ER699" s="74"/>
      <c r="ES699" s="74"/>
      <c r="ET699" s="74"/>
      <c r="EU699" s="74"/>
      <c r="EV699" s="74"/>
      <c r="EW699" s="74"/>
      <c r="EX699" s="74"/>
      <c r="EY699" s="74"/>
      <c r="EZ699" s="74"/>
      <c r="FA699" s="74"/>
      <c r="FB699" s="74"/>
      <c r="FC699" s="74"/>
      <c r="FD699" s="74"/>
      <c r="FE699" s="74"/>
      <c r="FF699" s="74"/>
      <c r="FG699" s="74"/>
      <c r="FH699" s="74"/>
      <c r="FI699" s="74"/>
      <c r="FJ699" s="74"/>
      <c r="FK699" s="74"/>
      <c r="FL699" s="74"/>
      <c r="FM699" s="74"/>
      <c r="FN699" s="74"/>
      <c r="FO699" s="74"/>
      <c r="FP699" s="74"/>
      <c r="FQ699" s="74"/>
      <c r="FR699" s="74"/>
      <c r="FS699" s="74"/>
      <c r="FT699" s="74"/>
      <c r="FU699" s="74"/>
      <c r="FV699" s="74"/>
      <c r="FW699" s="74"/>
      <c r="FX699" s="74"/>
      <c r="FY699" s="74"/>
      <c r="FZ699" s="74"/>
      <c r="GA699" s="74"/>
      <c r="GB699" s="74"/>
      <c r="GC699" s="74"/>
      <c r="GD699" s="74"/>
      <c r="GE699" s="74"/>
      <c r="GF699" s="74"/>
      <c r="GG699" s="74"/>
      <c r="GH699" s="74"/>
      <c r="GI699" s="74"/>
      <c r="GJ699" s="74"/>
      <c r="GK699" s="74"/>
      <c r="GL699" s="74"/>
      <c r="GM699" s="74"/>
      <c r="GN699" s="74"/>
      <c r="GO699" s="74"/>
      <c r="GP699" s="74"/>
      <c r="GQ699" s="74"/>
      <c r="GR699" s="74"/>
      <c r="GS699" s="74"/>
      <c r="GT699" s="74"/>
      <c r="GU699" s="74"/>
      <c r="GV699" s="74"/>
      <c r="GW699" s="74"/>
      <c r="GX699" s="74"/>
      <c r="GY699" s="74"/>
      <c r="GZ699" s="74"/>
      <c r="HA699" s="74"/>
      <c r="HB699" s="74"/>
      <c r="HC699" s="74"/>
      <c r="HD699" s="74"/>
      <c r="HE699" s="74"/>
      <c r="HF699" s="74"/>
      <c r="HG699" s="74"/>
      <c r="HH699" s="74"/>
      <c r="HI699" s="74"/>
      <c r="HJ699" s="74"/>
      <c r="HK699" s="74"/>
      <c r="HL699" s="74"/>
      <c r="HM699" s="74"/>
      <c r="HN699" s="74"/>
      <c r="HO699" s="74"/>
      <c r="HP699" s="74"/>
      <c r="HQ699" s="74"/>
      <c r="HR699" s="74"/>
      <c r="HS699" s="74"/>
      <c r="HT699" s="74"/>
      <c r="HU699" s="74"/>
      <c r="HV699" s="74"/>
      <c r="HW699" s="74"/>
      <c r="HX699" s="74"/>
      <c r="HY699" s="74"/>
      <c r="HZ699" s="74"/>
      <c r="IA699" s="74"/>
      <c r="IB699" s="74"/>
      <c r="IC699" s="74"/>
      <c r="ID699" s="74"/>
      <c r="IE699" s="74"/>
      <c r="IF699" s="74"/>
      <c r="IG699" s="74"/>
      <c r="IH699" s="74"/>
      <c r="II699" s="74"/>
      <c r="IJ699" s="74"/>
      <c r="IK699" s="74"/>
      <c r="IL699" s="74"/>
      <c r="IM699" s="74"/>
      <c r="IN699" s="74"/>
      <c r="IO699" s="74"/>
      <c r="IP699" s="74"/>
      <c r="IQ699" s="74"/>
      <c r="IR699" s="74"/>
      <c r="IS699" s="74"/>
      <c r="IT699" s="74"/>
      <c r="IU699" s="74"/>
      <c r="IV699" s="74"/>
      <c r="IW699" s="74"/>
    </row>
    <row r="700" customFormat="false" ht="15.75" hidden="false" customHeight="false" outlineLevel="0" collapsed="false">
      <c r="A700" s="137" t="s">
        <v>667</v>
      </c>
      <c r="B700" s="138"/>
      <c r="C700" s="139"/>
      <c r="D700" s="85" t="n">
        <v>0</v>
      </c>
      <c r="E700" s="86" t="n">
        <v>-734.552</v>
      </c>
      <c r="F700" s="87" t="n">
        <v>0</v>
      </c>
      <c r="G700" s="87" t="n">
        <v>0</v>
      </c>
      <c r="H700" s="87" t="n">
        <v>0</v>
      </c>
      <c r="I700" s="88" t="n">
        <f aca="false">SUM(E700:H700)</f>
        <v>-734.552</v>
      </c>
      <c r="J700" s="118" t="s">
        <v>18</v>
      </c>
      <c r="K700" s="74"/>
      <c r="L700" s="74"/>
      <c r="M700" s="119"/>
      <c r="N700" s="74"/>
      <c r="O700" s="74"/>
      <c r="P700" s="74"/>
      <c r="Q700" s="74"/>
      <c r="R700" s="74"/>
      <c r="S700" s="74"/>
      <c r="T700" s="65" t="str">
        <f aca="false">IF(D700&gt;0,(I700/D700),"")</f>
        <v/>
      </c>
      <c r="U700" s="74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74"/>
      <c r="AJ700" s="74"/>
      <c r="AK700" s="74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4"/>
      <c r="AZ700" s="74"/>
      <c r="BA700" s="74"/>
      <c r="BB700" s="74"/>
      <c r="BC700" s="74"/>
      <c r="BD700" s="74"/>
      <c r="BE700" s="74"/>
      <c r="BF700" s="74"/>
      <c r="BG700" s="74"/>
      <c r="BH700" s="74"/>
      <c r="BI700" s="74"/>
      <c r="BJ700" s="74"/>
      <c r="BK700" s="74"/>
      <c r="BL700" s="74"/>
      <c r="BM700" s="74"/>
      <c r="BN700" s="74"/>
      <c r="BO700" s="74"/>
      <c r="BP700" s="74"/>
      <c r="BQ700" s="74"/>
      <c r="BR700" s="74"/>
      <c r="BS700" s="74"/>
      <c r="BT700" s="74"/>
      <c r="BU700" s="74"/>
      <c r="BV700" s="74"/>
      <c r="BW700" s="74"/>
      <c r="BX700" s="74"/>
      <c r="BY700" s="74"/>
      <c r="BZ700" s="74"/>
      <c r="CA700" s="74"/>
      <c r="CB700" s="74"/>
      <c r="CC700" s="74"/>
      <c r="CD700" s="74"/>
      <c r="CE700" s="74"/>
      <c r="CF700" s="74"/>
      <c r="CG700" s="74"/>
      <c r="CH700" s="74"/>
      <c r="CI700" s="74"/>
      <c r="CJ700" s="74"/>
      <c r="CK700" s="74"/>
      <c r="CL700" s="74"/>
      <c r="CM700" s="74"/>
      <c r="CN700" s="74"/>
      <c r="CO700" s="74"/>
      <c r="CP700" s="74"/>
      <c r="CQ700" s="74"/>
      <c r="CR700" s="74"/>
      <c r="CS700" s="74"/>
      <c r="CT700" s="74"/>
      <c r="CU700" s="74"/>
      <c r="CV700" s="74"/>
      <c r="CW700" s="74"/>
      <c r="CX700" s="74"/>
      <c r="CY700" s="74"/>
      <c r="CZ700" s="74"/>
      <c r="DA700" s="74"/>
      <c r="DB700" s="74"/>
      <c r="DC700" s="74"/>
      <c r="DD700" s="74"/>
      <c r="DE700" s="74"/>
      <c r="DF700" s="74"/>
      <c r="DG700" s="74"/>
      <c r="DH700" s="74"/>
      <c r="DI700" s="74"/>
      <c r="DJ700" s="74"/>
      <c r="DK700" s="74"/>
      <c r="DL700" s="74"/>
      <c r="DM700" s="74"/>
      <c r="DN700" s="74"/>
      <c r="DO700" s="74"/>
      <c r="DP700" s="74"/>
      <c r="DQ700" s="74"/>
      <c r="DR700" s="74"/>
      <c r="DS700" s="74"/>
      <c r="DT700" s="74"/>
      <c r="DU700" s="74"/>
      <c r="DV700" s="74"/>
      <c r="DW700" s="74"/>
      <c r="DX700" s="74"/>
      <c r="DY700" s="74"/>
      <c r="DZ700" s="74"/>
      <c r="EA700" s="74"/>
      <c r="EB700" s="74"/>
      <c r="EC700" s="74"/>
      <c r="ED700" s="74"/>
      <c r="EE700" s="74"/>
      <c r="EF700" s="74"/>
      <c r="EG700" s="74"/>
      <c r="EH700" s="74"/>
      <c r="EI700" s="74"/>
      <c r="EJ700" s="74"/>
      <c r="EK700" s="74"/>
      <c r="EL700" s="74"/>
      <c r="EM700" s="74"/>
      <c r="EN700" s="74"/>
      <c r="EO700" s="74"/>
      <c r="EP700" s="74"/>
      <c r="EQ700" s="74"/>
      <c r="ER700" s="74"/>
      <c r="ES700" s="74"/>
      <c r="ET700" s="74"/>
      <c r="EU700" s="74"/>
      <c r="EV700" s="74"/>
      <c r="EW700" s="74"/>
      <c r="EX700" s="74"/>
      <c r="EY700" s="74"/>
      <c r="EZ700" s="74"/>
      <c r="FA700" s="74"/>
      <c r="FB700" s="74"/>
      <c r="FC700" s="74"/>
      <c r="FD700" s="74"/>
      <c r="FE700" s="74"/>
      <c r="FF700" s="74"/>
      <c r="FG700" s="74"/>
      <c r="FH700" s="74"/>
      <c r="FI700" s="74"/>
      <c r="FJ700" s="74"/>
      <c r="FK700" s="74"/>
      <c r="FL700" s="74"/>
      <c r="FM700" s="74"/>
      <c r="FN700" s="74"/>
      <c r="FO700" s="74"/>
      <c r="FP700" s="74"/>
      <c r="FQ700" s="74"/>
      <c r="FR700" s="74"/>
      <c r="FS700" s="74"/>
      <c r="FT700" s="74"/>
      <c r="FU700" s="74"/>
      <c r="FV700" s="74"/>
      <c r="FW700" s="74"/>
      <c r="FX700" s="74"/>
      <c r="FY700" s="74"/>
      <c r="FZ700" s="74"/>
      <c r="GA700" s="74"/>
      <c r="GB700" s="74"/>
      <c r="GC700" s="74"/>
      <c r="GD700" s="74"/>
      <c r="GE700" s="74"/>
      <c r="GF700" s="74"/>
      <c r="GG700" s="74"/>
      <c r="GH700" s="74"/>
      <c r="GI700" s="74"/>
      <c r="GJ700" s="74"/>
      <c r="GK700" s="74"/>
      <c r="GL700" s="74"/>
      <c r="GM700" s="74"/>
      <c r="GN700" s="74"/>
      <c r="GO700" s="74"/>
      <c r="GP700" s="74"/>
      <c r="GQ700" s="74"/>
      <c r="GR700" s="74"/>
      <c r="GS700" s="74"/>
      <c r="GT700" s="74"/>
      <c r="GU700" s="74"/>
      <c r="GV700" s="74"/>
      <c r="GW700" s="74"/>
      <c r="GX700" s="74"/>
      <c r="GY700" s="74"/>
      <c r="GZ700" s="74"/>
      <c r="HA700" s="74"/>
      <c r="HB700" s="74"/>
      <c r="HC700" s="74"/>
      <c r="HD700" s="74"/>
      <c r="HE700" s="74"/>
      <c r="HF700" s="74"/>
      <c r="HG700" s="74"/>
      <c r="HH700" s="74"/>
      <c r="HI700" s="74"/>
      <c r="HJ700" s="74"/>
      <c r="HK700" s="74"/>
      <c r="HL700" s="74"/>
      <c r="HM700" s="74"/>
      <c r="HN700" s="74"/>
      <c r="HO700" s="74"/>
      <c r="HP700" s="74"/>
      <c r="HQ700" s="74"/>
      <c r="HR700" s="74"/>
      <c r="HS700" s="74"/>
      <c r="HT700" s="74"/>
      <c r="HU700" s="74"/>
      <c r="HV700" s="74"/>
      <c r="HW700" s="74"/>
      <c r="HX700" s="74"/>
      <c r="HY700" s="74"/>
      <c r="HZ700" s="74"/>
      <c r="IA700" s="74"/>
      <c r="IB700" s="74"/>
      <c r="IC700" s="74"/>
      <c r="ID700" s="74"/>
      <c r="IE700" s="74"/>
      <c r="IF700" s="74"/>
      <c r="IG700" s="74"/>
      <c r="IH700" s="74"/>
      <c r="II700" s="74"/>
      <c r="IJ700" s="74"/>
      <c r="IK700" s="74"/>
      <c r="IL700" s="74"/>
      <c r="IM700" s="74"/>
      <c r="IN700" s="74"/>
      <c r="IO700" s="74"/>
      <c r="IP700" s="74"/>
      <c r="IQ700" s="74"/>
      <c r="IR700" s="74"/>
      <c r="IS700" s="74"/>
      <c r="IT700" s="74"/>
      <c r="IU700" s="74"/>
      <c r="IV700" s="74"/>
      <c r="IW700" s="74"/>
    </row>
    <row r="701" customFormat="false" ht="15.75" hidden="false" customHeight="false" outlineLevel="0" collapsed="false">
      <c r="A701" s="140" t="s">
        <v>668</v>
      </c>
      <c r="B701" s="138"/>
      <c r="C701" s="139"/>
      <c r="D701" s="85" t="n">
        <v>0</v>
      </c>
      <c r="E701" s="86" t="n">
        <v>-4.744</v>
      </c>
      <c r="F701" s="87" t="n">
        <v>0</v>
      </c>
      <c r="G701" s="87" t="n">
        <v>0</v>
      </c>
      <c r="H701" s="87" t="n">
        <v>0</v>
      </c>
      <c r="I701" s="88" t="n">
        <f aca="false">SUM(E701:H701)</f>
        <v>-4.744</v>
      </c>
      <c r="J701" s="118" t="s">
        <v>18</v>
      </c>
      <c r="K701" s="74"/>
      <c r="L701" s="74"/>
      <c r="M701" s="119"/>
      <c r="N701" s="74"/>
      <c r="O701" s="74"/>
      <c r="P701" s="74"/>
      <c r="Q701" s="74"/>
      <c r="R701" s="74"/>
      <c r="S701" s="74"/>
      <c r="T701" s="65" t="str">
        <f aca="false">IF(D701&gt;0,(I701/D701),"")</f>
        <v/>
      </c>
      <c r="U701" s="74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74"/>
      <c r="AJ701" s="74"/>
      <c r="AK701" s="74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4"/>
      <c r="AZ701" s="74"/>
      <c r="BA701" s="74"/>
      <c r="BB701" s="74"/>
      <c r="BC701" s="74"/>
      <c r="BD701" s="74"/>
      <c r="BE701" s="74"/>
      <c r="BF701" s="74"/>
      <c r="BG701" s="74"/>
      <c r="BH701" s="74"/>
      <c r="BI701" s="74"/>
      <c r="BJ701" s="74"/>
      <c r="BK701" s="74"/>
      <c r="BL701" s="74"/>
      <c r="BM701" s="74"/>
      <c r="BN701" s="74"/>
      <c r="BO701" s="74"/>
      <c r="BP701" s="74"/>
      <c r="BQ701" s="74"/>
      <c r="BR701" s="74"/>
      <c r="BS701" s="74"/>
      <c r="BT701" s="74"/>
      <c r="BU701" s="74"/>
      <c r="BV701" s="74"/>
      <c r="BW701" s="74"/>
      <c r="BX701" s="74"/>
      <c r="BY701" s="74"/>
      <c r="BZ701" s="74"/>
      <c r="CA701" s="74"/>
      <c r="CB701" s="74"/>
      <c r="CC701" s="74"/>
      <c r="CD701" s="74"/>
      <c r="CE701" s="74"/>
      <c r="CF701" s="74"/>
      <c r="CG701" s="74"/>
      <c r="CH701" s="74"/>
      <c r="CI701" s="74"/>
      <c r="CJ701" s="74"/>
      <c r="CK701" s="74"/>
      <c r="CL701" s="74"/>
      <c r="CM701" s="74"/>
      <c r="CN701" s="74"/>
      <c r="CO701" s="74"/>
      <c r="CP701" s="74"/>
      <c r="CQ701" s="74"/>
      <c r="CR701" s="74"/>
      <c r="CS701" s="74"/>
      <c r="CT701" s="74"/>
      <c r="CU701" s="74"/>
      <c r="CV701" s="74"/>
      <c r="CW701" s="74"/>
      <c r="CX701" s="74"/>
      <c r="CY701" s="74"/>
      <c r="CZ701" s="74"/>
      <c r="DA701" s="74"/>
      <c r="DB701" s="74"/>
      <c r="DC701" s="74"/>
      <c r="DD701" s="74"/>
      <c r="DE701" s="74"/>
      <c r="DF701" s="74"/>
      <c r="DG701" s="74"/>
      <c r="DH701" s="74"/>
      <c r="DI701" s="74"/>
      <c r="DJ701" s="74"/>
      <c r="DK701" s="74"/>
      <c r="DL701" s="74"/>
      <c r="DM701" s="74"/>
      <c r="DN701" s="74"/>
      <c r="DO701" s="74"/>
      <c r="DP701" s="74"/>
      <c r="DQ701" s="74"/>
      <c r="DR701" s="74"/>
      <c r="DS701" s="74"/>
      <c r="DT701" s="74"/>
      <c r="DU701" s="74"/>
      <c r="DV701" s="74"/>
      <c r="DW701" s="74"/>
      <c r="DX701" s="74"/>
      <c r="DY701" s="74"/>
      <c r="DZ701" s="74"/>
      <c r="EA701" s="74"/>
      <c r="EB701" s="74"/>
      <c r="EC701" s="74"/>
      <c r="ED701" s="74"/>
      <c r="EE701" s="74"/>
      <c r="EF701" s="74"/>
      <c r="EG701" s="74"/>
      <c r="EH701" s="74"/>
      <c r="EI701" s="74"/>
      <c r="EJ701" s="74"/>
      <c r="EK701" s="74"/>
      <c r="EL701" s="74"/>
      <c r="EM701" s="74"/>
      <c r="EN701" s="74"/>
      <c r="EO701" s="74"/>
      <c r="EP701" s="74"/>
      <c r="EQ701" s="74"/>
      <c r="ER701" s="74"/>
      <c r="ES701" s="74"/>
      <c r="ET701" s="74"/>
      <c r="EU701" s="74"/>
      <c r="EV701" s="74"/>
      <c r="EW701" s="74"/>
      <c r="EX701" s="74"/>
      <c r="EY701" s="74"/>
      <c r="EZ701" s="74"/>
      <c r="FA701" s="74"/>
      <c r="FB701" s="74"/>
      <c r="FC701" s="74"/>
      <c r="FD701" s="74"/>
      <c r="FE701" s="74"/>
      <c r="FF701" s="74"/>
      <c r="FG701" s="74"/>
      <c r="FH701" s="74"/>
      <c r="FI701" s="74"/>
      <c r="FJ701" s="74"/>
      <c r="FK701" s="74"/>
      <c r="FL701" s="74"/>
      <c r="FM701" s="74"/>
      <c r="FN701" s="74"/>
      <c r="FO701" s="74"/>
      <c r="FP701" s="74"/>
      <c r="FQ701" s="74"/>
      <c r="FR701" s="74"/>
      <c r="FS701" s="74"/>
      <c r="FT701" s="74"/>
      <c r="FU701" s="74"/>
      <c r="FV701" s="74"/>
      <c r="FW701" s="74"/>
      <c r="FX701" s="74"/>
      <c r="FY701" s="74"/>
      <c r="FZ701" s="74"/>
      <c r="GA701" s="74"/>
      <c r="GB701" s="74"/>
      <c r="GC701" s="74"/>
      <c r="GD701" s="74"/>
      <c r="GE701" s="74"/>
      <c r="GF701" s="74"/>
      <c r="GG701" s="74"/>
      <c r="GH701" s="74"/>
      <c r="GI701" s="74"/>
      <c r="GJ701" s="74"/>
      <c r="GK701" s="74"/>
      <c r="GL701" s="74"/>
      <c r="GM701" s="74"/>
      <c r="GN701" s="74"/>
      <c r="GO701" s="74"/>
      <c r="GP701" s="74"/>
      <c r="GQ701" s="74"/>
      <c r="GR701" s="74"/>
      <c r="GS701" s="74"/>
      <c r="GT701" s="74"/>
      <c r="GU701" s="74"/>
      <c r="GV701" s="74"/>
      <c r="GW701" s="74"/>
      <c r="GX701" s="74"/>
      <c r="GY701" s="74"/>
      <c r="GZ701" s="74"/>
      <c r="HA701" s="74"/>
      <c r="HB701" s="74"/>
      <c r="HC701" s="74"/>
      <c r="HD701" s="74"/>
      <c r="HE701" s="74"/>
      <c r="HF701" s="74"/>
      <c r="HG701" s="74"/>
      <c r="HH701" s="74"/>
      <c r="HI701" s="74"/>
      <c r="HJ701" s="74"/>
      <c r="HK701" s="74"/>
      <c r="HL701" s="74"/>
      <c r="HM701" s="74"/>
      <c r="HN701" s="74"/>
      <c r="HO701" s="74"/>
      <c r="HP701" s="74"/>
      <c r="HQ701" s="74"/>
      <c r="HR701" s="74"/>
      <c r="HS701" s="74"/>
      <c r="HT701" s="74"/>
      <c r="HU701" s="74"/>
      <c r="HV701" s="74"/>
      <c r="HW701" s="74"/>
      <c r="HX701" s="74"/>
      <c r="HY701" s="74"/>
      <c r="HZ701" s="74"/>
      <c r="IA701" s="74"/>
      <c r="IB701" s="74"/>
      <c r="IC701" s="74"/>
      <c r="ID701" s="74"/>
      <c r="IE701" s="74"/>
      <c r="IF701" s="74"/>
      <c r="IG701" s="74"/>
      <c r="IH701" s="74"/>
      <c r="II701" s="74"/>
      <c r="IJ701" s="74"/>
      <c r="IK701" s="74"/>
      <c r="IL701" s="74"/>
      <c r="IM701" s="74"/>
      <c r="IN701" s="74"/>
      <c r="IO701" s="74"/>
      <c r="IP701" s="74"/>
      <c r="IQ701" s="74"/>
      <c r="IR701" s="74"/>
      <c r="IS701" s="74"/>
      <c r="IT701" s="74"/>
      <c r="IU701" s="74"/>
      <c r="IV701" s="74"/>
      <c r="IW701" s="74"/>
    </row>
    <row r="702" customFormat="false" ht="15.75" hidden="false" customHeight="false" outlineLevel="0" collapsed="false">
      <c r="A702" s="140" t="s">
        <v>669</v>
      </c>
      <c r="B702" s="138"/>
      <c r="C702" s="139"/>
      <c r="D702" s="85" t="n">
        <v>0</v>
      </c>
      <c r="E702" s="86" t="n">
        <v>-19.183</v>
      </c>
      <c r="F702" s="87" t="n">
        <v>0</v>
      </c>
      <c r="G702" s="87" t="n">
        <v>0</v>
      </c>
      <c r="H702" s="87" t="n">
        <v>0</v>
      </c>
      <c r="I702" s="88" t="n">
        <f aca="false">SUM(E702:H702)</f>
        <v>-19.183</v>
      </c>
      <c r="J702" s="118" t="s">
        <v>18</v>
      </c>
      <c r="K702" s="74"/>
      <c r="L702" s="74"/>
      <c r="M702" s="119"/>
      <c r="N702" s="74"/>
      <c r="O702" s="74"/>
      <c r="P702" s="74"/>
      <c r="Q702" s="74"/>
      <c r="R702" s="74"/>
      <c r="S702" s="74"/>
      <c r="T702" s="65" t="str">
        <f aca="false">IF(D702&gt;0,(I702/D702),"")</f>
        <v/>
      </c>
      <c r="U702" s="74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74"/>
      <c r="AJ702" s="74"/>
      <c r="AK702" s="74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4"/>
      <c r="AZ702" s="74"/>
      <c r="BA702" s="74"/>
      <c r="BB702" s="74"/>
      <c r="BC702" s="74"/>
      <c r="BD702" s="74"/>
      <c r="BE702" s="74"/>
      <c r="BF702" s="74"/>
      <c r="BG702" s="74"/>
      <c r="BH702" s="74"/>
      <c r="BI702" s="74"/>
      <c r="BJ702" s="74"/>
      <c r="BK702" s="74"/>
      <c r="BL702" s="74"/>
      <c r="BM702" s="74"/>
      <c r="BN702" s="74"/>
      <c r="BO702" s="74"/>
      <c r="BP702" s="74"/>
      <c r="BQ702" s="74"/>
      <c r="BR702" s="74"/>
      <c r="BS702" s="74"/>
      <c r="BT702" s="74"/>
      <c r="BU702" s="74"/>
      <c r="BV702" s="74"/>
      <c r="BW702" s="74"/>
      <c r="BX702" s="74"/>
      <c r="BY702" s="74"/>
      <c r="BZ702" s="74"/>
      <c r="CA702" s="74"/>
      <c r="CB702" s="74"/>
      <c r="CC702" s="74"/>
      <c r="CD702" s="74"/>
      <c r="CE702" s="74"/>
      <c r="CF702" s="74"/>
      <c r="CG702" s="74"/>
      <c r="CH702" s="74"/>
      <c r="CI702" s="74"/>
      <c r="CJ702" s="74"/>
      <c r="CK702" s="74"/>
      <c r="CL702" s="74"/>
      <c r="CM702" s="74"/>
      <c r="CN702" s="74"/>
      <c r="CO702" s="74"/>
      <c r="CP702" s="74"/>
      <c r="CQ702" s="74"/>
      <c r="CR702" s="74"/>
      <c r="CS702" s="74"/>
      <c r="CT702" s="74"/>
      <c r="CU702" s="74"/>
      <c r="CV702" s="74"/>
      <c r="CW702" s="74"/>
      <c r="CX702" s="74"/>
      <c r="CY702" s="74"/>
      <c r="CZ702" s="74"/>
      <c r="DA702" s="74"/>
      <c r="DB702" s="74"/>
      <c r="DC702" s="74"/>
      <c r="DD702" s="74"/>
      <c r="DE702" s="74"/>
      <c r="DF702" s="74"/>
      <c r="DG702" s="74"/>
      <c r="DH702" s="74"/>
      <c r="DI702" s="74"/>
      <c r="DJ702" s="74"/>
      <c r="DK702" s="74"/>
      <c r="DL702" s="74"/>
      <c r="DM702" s="74"/>
      <c r="DN702" s="74"/>
      <c r="DO702" s="74"/>
      <c r="DP702" s="74"/>
      <c r="DQ702" s="74"/>
      <c r="DR702" s="74"/>
      <c r="DS702" s="74"/>
      <c r="DT702" s="74"/>
      <c r="DU702" s="74"/>
      <c r="DV702" s="74"/>
      <c r="DW702" s="74"/>
      <c r="DX702" s="74"/>
      <c r="DY702" s="74"/>
      <c r="DZ702" s="74"/>
      <c r="EA702" s="74"/>
      <c r="EB702" s="74"/>
      <c r="EC702" s="74"/>
      <c r="ED702" s="74"/>
      <c r="EE702" s="74"/>
      <c r="EF702" s="74"/>
      <c r="EG702" s="74"/>
      <c r="EH702" s="74"/>
      <c r="EI702" s="74"/>
      <c r="EJ702" s="74"/>
      <c r="EK702" s="74"/>
      <c r="EL702" s="74"/>
      <c r="EM702" s="74"/>
      <c r="EN702" s="74"/>
      <c r="EO702" s="74"/>
      <c r="EP702" s="74"/>
      <c r="EQ702" s="74"/>
      <c r="ER702" s="74"/>
      <c r="ES702" s="74"/>
      <c r="ET702" s="74"/>
      <c r="EU702" s="74"/>
      <c r="EV702" s="74"/>
      <c r="EW702" s="74"/>
      <c r="EX702" s="74"/>
      <c r="EY702" s="74"/>
      <c r="EZ702" s="74"/>
      <c r="FA702" s="74"/>
      <c r="FB702" s="74"/>
      <c r="FC702" s="74"/>
      <c r="FD702" s="74"/>
      <c r="FE702" s="74"/>
      <c r="FF702" s="74"/>
      <c r="FG702" s="74"/>
      <c r="FH702" s="74"/>
      <c r="FI702" s="74"/>
      <c r="FJ702" s="74"/>
      <c r="FK702" s="74"/>
      <c r="FL702" s="74"/>
      <c r="FM702" s="74"/>
      <c r="FN702" s="74"/>
      <c r="FO702" s="74"/>
      <c r="FP702" s="74"/>
      <c r="FQ702" s="74"/>
      <c r="FR702" s="74"/>
      <c r="FS702" s="74"/>
      <c r="FT702" s="74"/>
      <c r="FU702" s="74"/>
      <c r="FV702" s="74"/>
      <c r="FW702" s="74"/>
      <c r="FX702" s="74"/>
      <c r="FY702" s="74"/>
      <c r="FZ702" s="74"/>
      <c r="GA702" s="74"/>
      <c r="GB702" s="74"/>
      <c r="GC702" s="74"/>
      <c r="GD702" s="74"/>
      <c r="GE702" s="74"/>
      <c r="GF702" s="74"/>
      <c r="GG702" s="74"/>
      <c r="GH702" s="74"/>
      <c r="GI702" s="74"/>
      <c r="GJ702" s="74"/>
      <c r="GK702" s="74"/>
      <c r="GL702" s="74"/>
      <c r="GM702" s="74"/>
      <c r="GN702" s="74"/>
      <c r="GO702" s="74"/>
      <c r="GP702" s="74"/>
      <c r="GQ702" s="74"/>
      <c r="GR702" s="74"/>
      <c r="GS702" s="74"/>
      <c r="GT702" s="74"/>
      <c r="GU702" s="74"/>
      <c r="GV702" s="74"/>
      <c r="GW702" s="74"/>
      <c r="GX702" s="74"/>
      <c r="GY702" s="74"/>
      <c r="GZ702" s="74"/>
      <c r="HA702" s="74"/>
      <c r="HB702" s="74"/>
      <c r="HC702" s="74"/>
      <c r="HD702" s="74"/>
      <c r="HE702" s="74"/>
      <c r="HF702" s="74"/>
      <c r="HG702" s="74"/>
      <c r="HH702" s="74"/>
      <c r="HI702" s="74"/>
      <c r="HJ702" s="74"/>
      <c r="HK702" s="74"/>
      <c r="HL702" s="74"/>
      <c r="HM702" s="74"/>
      <c r="HN702" s="74"/>
      <c r="HO702" s="74"/>
      <c r="HP702" s="74"/>
      <c r="HQ702" s="74"/>
      <c r="HR702" s="74"/>
      <c r="HS702" s="74"/>
      <c r="HT702" s="74"/>
      <c r="HU702" s="74"/>
      <c r="HV702" s="74"/>
      <c r="HW702" s="74"/>
      <c r="HX702" s="74"/>
      <c r="HY702" s="74"/>
      <c r="HZ702" s="74"/>
      <c r="IA702" s="74"/>
      <c r="IB702" s="74"/>
      <c r="IC702" s="74"/>
      <c r="ID702" s="74"/>
      <c r="IE702" s="74"/>
      <c r="IF702" s="74"/>
      <c r="IG702" s="74"/>
      <c r="IH702" s="74"/>
      <c r="II702" s="74"/>
      <c r="IJ702" s="74"/>
      <c r="IK702" s="74"/>
      <c r="IL702" s="74"/>
      <c r="IM702" s="74"/>
      <c r="IN702" s="74"/>
      <c r="IO702" s="74"/>
      <c r="IP702" s="74"/>
      <c r="IQ702" s="74"/>
      <c r="IR702" s="74"/>
      <c r="IS702" s="74"/>
      <c r="IT702" s="74"/>
      <c r="IU702" s="74"/>
      <c r="IV702" s="74"/>
      <c r="IW702" s="74"/>
    </row>
    <row r="703" customFormat="false" ht="15.75" hidden="false" customHeight="false" outlineLevel="0" collapsed="false">
      <c r="A703" s="140" t="s">
        <v>670</v>
      </c>
      <c r="B703" s="138"/>
      <c r="C703" s="139"/>
      <c r="D703" s="85" t="n">
        <v>0</v>
      </c>
      <c r="E703" s="86" t="n">
        <v>-42.513</v>
      </c>
      <c r="F703" s="87" t="n">
        <v>0</v>
      </c>
      <c r="G703" s="87" t="n">
        <v>0</v>
      </c>
      <c r="H703" s="87" t="n">
        <v>0</v>
      </c>
      <c r="I703" s="88" t="n">
        <f aca="false">SUM(E703:H703)</f>
        <v>-42.513</v>
      </c>
      <c r="J703" s="118" t="s">
        <v>18</v>
      </c>
      <c r="K703" s="74"/>
      <c r="L703" s="74"/>
      <c r="M703" s="119"/>
      <c r="N703" s="74"/>
      <c r="O703" s="74"/>
      <c r="P703" s="74"/>
      <c r="Q703" s="74"/>
      <c r="R703" s="74"/>
      <c r="S703" s="74"/>
      <c r="T703" s="65" t="str">
        <f aca="false">IF(D703&gt;0,(I703/D703),"")</f>
        <v/>
      </c>
      <c r="U703" s="74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74"/>
      <c r="AJ703" s="74"/>
      <c r="AK703" s="74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4"/>
      <c r="AZ703" s="74"/>
      <c r="BA703" s="74"/>
      <c r="BB703" s="74"/>
      <c r="BC703" s="74"/>
      <c r="BD703" s="74"/>
      <c r="BE703" s="74"/>
      <c r="BF703" s="74"/>
      <c r="BG703" s="74"/>
      <c r="BH703" s="74"/>
      <c r="BI703" s="74"/>
      <c r="BJ703" s="74"/>
      <c r="BK703" s="74"/>
      <c r="BL703" s="74"/>
      <c r="BM703" s="74"/>
      <c r="BN703" s="74"/>
      <c r="BO703" s="74"/>
      <c r="BP703" s="74"/>
      <c r="BQ703" s="74"/>
      <c r="BR703" s="74"/>
      <c r="BS703" s="74"/>
      <c r="BT703" s="74"/>
      <c r="BU703" s="74"/>
      <c r="BV703" s="74"/>
      <c r="BW703" s="74"/>
      <c r="BX703" s="74"/>
      <c r="BY703" s="74"/>
      <c r="BZ703" s="74"/>
      <c r="CA703" s="74"/>
      <c r="CB703" s="74"/>
      <c r="CC703" s="74"/>
      <c r="CD703" s="74"/>
      <c r="CE703" s="74"/>
      <c r="CF703" s="74"/>
      <c r="CG703" s="74"/>
      <c r="CH703" s="74"/>
      <c r="CI703" s="74"/>
      <c r="CJ703" s="74"/>
      <c r="CK703" s="74"/>
      <c r="CL703" s="74"/>
      <c r="CM703" s="74"/>
      <c r="CN703" s="74"/>
      <c r="CO703" s="74"/>
      <c r="CP703" s="74"/>
      <c r="CQ703" s="74"/>
      <c r="CR703" s="74"/>
      <c r="CS703" s="74"/>
      <c r="CT703" s="74"/>
      <c r="CU703" s="74"/>
      <c r="CV703" s="74"/>
      <c r="CW703" s="74"/>
      <c r="CX703" s="74"/>
      <c r="CY703" s="74"/>
      <c r="CZ703" s="74"/>
      <c r="DA703" s="74"/>
      <c r="DB703" s="74"/>
      <c r="DC703" s="74"/>
      <c r="DD703" s="74"/>
      <c r="DE703" s="74"/>
      <c r="DF703" s="74"/>
      <c r="DG703" s="74"/>
      <c r="DH703" s="74"/>
      <c r="DI703" s="74"/>
      <c r="DJ703" s="74"/>
      <c r="DK703" s="74"/>
      <c r="DL703" s="74"/>
      <c r="DM703" s="74"/>
      <c r="DN703" s="74"/>
      <c r="DO703" s="74"/>
      <c r="DP703" s="74"/>
      <c r="DQ703" s="74"/>
      <c r="DR703" s="74"/>
      <c r="DS703" s="74"/>
      <c r="DT703" s="74"/>
      <c r="DU703" s="74"/>
      <c r="DV703" s="74"/>
      <c r="DW703" s="74"/>
      <c r="DX703" s="74"/>
      <c r="DY703" s="74"/>
      <c r="DZ703" s="74"/>
      <c r="EA703" s="74"/>
      <c r="EB703" s="74"/>
      <c r="EC703" s="74"/>
      <c r="ED703" s="74"/>
      <c r="EE703" s="74"/>
      <c r="EF703" s="74"/>
      <c r="EG703" s="74"/>
      <c r="EH703" s="74"/>
      <c r="EI703" s="74"/>
      <c r="EJ703" s="74"/>
      <c r="EK703" s="74"/>
      <c r="EL703" s="74"/>
      <c r="EM703" s="74"/>
      <c r="EN703" s="74"/>
      <c r="EO703" s="74"/>
      <c r="EP703" s="74"/>
      <c r="EQ703" s="74"/>
      <c r="ER703" s="74"/>
      <c r="ES703" s="74"/>
      <c r="ET703" s="74"/>
      <c r="EU703" s="74"/>
      <c r="EV703" s="74"/>
      <c r="EW703" s="74"/>
      <c r="EX703" s="74"/>
      <c r="EY703" s="74"/>
      <c r="EZ703" s="74"/>
      <c r="FA703" s="74"/>
      <c r="FB703" s="74"/>
      <c r="FC703" s="74"/>
      <c r="FD703" s="74"/>
      <c r="FE703" s="74"/>
      <c r="FF703" s="74"/>
      <c r="FG703" s="74"/>
      <c r="FH703" s="74"/>
      <c r="FI703" s="74"/>
      <c r="FJ703" s="74"/>
      <c r="FK703" s="74"/>
      <c r="FL703" s="74"/>
      <c r="FM703" s="74"/>
      <c r="FN703" s="74"/>
      <c r="FO703" s="74"/>
      <c r="FP703" s="74"/>
      <c r="FQ703" s="74"/>
      <c r="FR703" s="74"/>
      <c r="FS703" s="74"/>
      <c r="FT703" s="74"/>
      <c r="FU703" s="74"/>
      <c r="FV703" s="74"/>
      <c r="FW703" s="74"/>
      <c r="FX703" s="74"/>
      <c r="FY703" s="74"/>
      <c r="FZ703" s="74"/>
      <c r="GA703" s="74"/>
      <c r="GB703" s="74"/>
      <c r="GC703" s="74"/>
      <c r="GD703" s="74"/>
      <c r="GE703" s="74"/>
      <c r="GF703" s="74"/>
      <c r="GG703" s="74"/>
      <c r="GH703" s="74"/>
      <c r="GI703" s="74"/>
      <c r="GJ703" s="74"/>
      <c r="GK703" s="74"/>
      <c r="GL703" s="74"/>
      <c r="GM703" s="74"/>
      <c r="GN703" s="74"/>
      <c r="GO703" s="74"/>
      <c r="GP703" s="74"/>
      <c r="GQ703" s="74"/>
      <c r="GR703" s="74"/>
      <c r="GS703" s="74"/>
      <c r="GT703" s="74"/>
      <c r="GU703" s="74"/>
      <c r="GV703" s="74"/>
      <c r="GW703" s="74"/>
      <c r="GX703" s="74"/>
      <c r="GY703" s="74"/>
      <c r="GZ703" s="74"/>
      <c r="HA703" s="74"/>
      <c r="HB703" s="74"/>
      <c r="HC703" s="74"/>
      <c r="HD703" s="74"/>
      <c r="HE703" s="74"/>
      <c r="HF703" s="74"/>
      <c r="HG703" s="74"/>
      <c r="HH703" s="74"/>
      <c r="HI703" s="74"/>
      <c r="HJ703" s="74"/>
      <c r="HK703" s="74"/>
      <c r="HL703" s="74"/>
      <c r="HM703" s="74"/>
      <c r="HN703" s="74"/>
      <c r="HO703" s="74"/>
      <c r="HP703" s="74"/>
      <c r="HQ703" s="74"/>
      <c r="HR703" s="74"/>
      <c r="HS703" s="74"/>
      <c r="HT703" s="74"/>
      <c r="HU703" s="74"/>
      <c r="HV703" s="74"/>
      <c r="HW703" s="74"/>
      <c r="HX703" s="74"/>
      <c r="HY703" s="74"/>
      <c r="HZ703" s="74"/>
      <c r="IA703" s="74"/>
      <c r="IB703" s="74"/>
      <c r="IC703" s="74"/>
      <c r="ID703" s="74"/>
      <c r="IE703" s="74"/>
      <c r="IF703" s="74"/>
      <c r="IG703" s="74"/>
      <c r="IH703" s="74"/>
      <c r="II703" s="74"/>
      <c r="IJ703" s="74"/>
      <c r="IK703" s="74"/>
      <c r="IL703" s="74"/>
      <c r="IM703" s="74"/>
      <c r="IN703" s="74"/>
      <c r="IO703" s="74"/>
      <c r="IP703" s="74"/>
      <c r="IQ703" s="74"/>
      <c r="IR703" s="74"/>
      <c r="IS703" s="74"/>
      <c r="IT703" s="74"/>
      <c r="IU703" s="74"/>
      <c r="IV703" s="74"/>
      <c r="IW703" s="74"/>
    </row>
    <row r="704" customFormat="false" ht="15.75" hidden="false" customHeight="false" outlineLevel="0" collapsed="false">
      <c r="A704" s="140" t="s">
        <v>671</v>
      </c>
      <c r="B704" s="138"/>
      <c r="C704" s="139"/>
      <c r="D704" s="85" t="n">
        <v>0</v>
      </c>
      <c r="E704" s="86" t="n">
        <v>-17.0676</v>
      </c>
      <c r="F704" s="87" t="n">
        <v>0</v>
      </c>
      <c r="G704" s="87" t="n">
        <v>0</v>
      </c>
      <c r="H704" s="87" t="n">
        <v>0</v>
      </c>
      <c r="I704" s="88" t="n">
        <f aca="false">SUM(E704:H704)</f>
        <v>-17.0676</v>
      </c>
      <c r="J704" s="118" t="s">
        <v>18</v>
      </c>
      <c r="K704" s="74"/>
      <c r="L704" s="74"/>
      <c r="M704" s="119"/>
      <c r="N704" s="74"/>
      <c r="O704" s="74"/>
      <c r="P704" s="74"/>
      <c r="Q704" s="74"/>
      <c r="R704" s="74"/>
      <c r="S704" s="74"/>
      <c r="T704" s="65" t="str">
        <f aca="false">IF(D704&gt;0,(I704/D704),"")</f>
        <v/>
      </c>
      <c r="U704" s="74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74"/>
      <c r="AJ704" s="74"/>
      <c r="AK704" s="74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4"/>
      <c r="AZ704" s="74"/>
      <c r="BA704" s="74"/>
      <c r="BB704" s="74"/>
      <c r="BC704" s="74"/>
      <c r="BD704" s="74"/>
      <c r="BE704" s="74"/>
      <c r="BF704" s="74"/>
      <c r="BG704" s="74"/>
      <c r="BH704" s="74"/>
      <c r="BI704" s="74"/>
      <c r="BJ704" s="74"/>
      <c r="BK704" s="74"/>
      <c r="BL704" s="74"/>
      <c r="BM704" s="74"/>
      <c r="BN704" s="74"/>
      <c r="BO704" s="74"/>
      <c r="BP704" s="74"/>
      <c r="BQ704" s="74"/>
      <c r="BR704" s="74"/>
      <c r="BS704" s="74"/>
      <c r="BT704" s="74"/>
      <c r="BU704" s="74"/>
      <c r="BV704" s="74"/>
      <c r="BW704" s="74"/>
      <c r="BX704" s="74"/>
      <c r="BY704" s="74"/>
      <c r="BZ704" s="74"/>
      <c r="CA704" s="74"/>
      <c r="CB704" s="74"/>
      <c r="CC704" s="74"/>
      <c r="CD704" s="74"/>
      <c r="CE704" s="74"/>
      <c r="CF704" s="74"/>
      <c r="CG704" s="74"/>
      <c r="CH704" s="74"/>
      <c r="CI704" s="74"/>
      <c r="CJ704" s="74"/>
      <c r="CK704" s="74"/>
      <c r="CL704" s="74"/>
      <c r="CM704" s="74"/>
      <c r="CN704" s="74"/>
      <c r="CO704" s="74"/>
      <c r="CP704" s="74"/>
      <c r="CQ704" s="74"/>
      <c r="CR704" s="74"/>
      <c r="CS704" s="74"/>
      <c r="CT704" s="74"/>
      <c r="CU704" s="74"/>
      <c r="CV704" s="74"/>
      <c r="CW704" s="74"/>
      <c r="CX704" s="74"/>
      <c r="CY704" s="74"/>
      <c r="CZ704" s="74"/>
      <c r="DA704" s="74"/>
      <c r="DB704" s="74"/>
      <c r="DC704" s="74"/>
      <c r="DD704" s="74"/>
      <c r="DE704" s="74"/>
      <c r="DF704" s="74"/>
      <c r="DG704" s="74"/>
      <c r="DH704" s="74"/>
      <c r="DI704" s="74"/>
      <c r="DJ704" s="74"/>
      <c r="DK704" s="74"/>
      <c r="DL704" s="74"/>
      <c r="DM704" s="74"/>
      <c r="DN704" s="74"/>
      <c r="DO704" s="74"/>
      <c r="DP704" s="74"/>
      <c r="DQ704" s="74"/>
      <c r="DR704" s="74"/>
      <c r="DS704" s="74"/>
      <c r="DT704" s="74"/>
      <c r="DU704" s="74"/>
      <c r="DV704" s="74"/>
      <c r="DW704" s="74"/>
      <c r="DX704" s="74"/>
      <c r="DY704" s="74"/>
      <c r="DZ704" s="74"/>
      <c r="EA704" s="74"/>
      <c r="EB704" s="74"/>
      <c r="EC704" s="74"/>
      <c r="ED704" s="74"/>
      <c r="EE704" s="74"/>
      <c r="EF704" s="74"/>
      <c r="EG704" s="74"/>
      <c r="EH704" s="74"/>
      <c r="EI704" s="74"/>
      <c r="EJ704" s="74"/>
      <c r="EK704" s="74"/>
      <c r="EL704" s="74"/>
      <c r="EM704" s="74"/>
      <c r="EN704" s="74"/>
      <c r="EO704" s="74"/>
      <c r="EP704" s="74"/>
      <c r="EQ704" s="74"/>
      <c r="ER704" s="74"/>
      <c r="ES704" s="74"/>
      <c r="ET704" s="74"/>
      <c r="EU704" s="74"/>
      <c r="EV704" s="74"/>
      <c r="EW704" s="74"/>
      <c r="EX704" s="74"/>
      <c r="EY704" s="74"/>
      <c r="EZ704" s="74"/>
      <c r="FA704" s="74"/>
      <c r="FB704" s="74"/>
      <c r="FC704" s="74"/>
      <c r="FD704" s="74"/>
      <c r="FE704" s="74"/>
      <c r="FF704" s="74"/>
      <c r="FG704" s="74"/>
      <c r="FH704" s="74"/>
      <c r="FI704" s="74"/>
      <c r="FJ704" s="74"/>
      <c r="FK704" s="74"/>
      <c r="FL704" s="74"/>
      <c r="FM704" s="74"/>
      <c r="FN704" s="74"/>
      <c r="FO704" s="74"/>
      <c r="FP704" s="74"/>
      <c r="FQ704" s="74"/>
      <c r="FR704" s="74"/>
      <c r="FS704" s="74"/>
      <c r="FT704" s="74"/>
      <c r="FU704" s="74"/>
      <c r="FV704" s="74"/>
      <c r="FW704" s="74"/>
      <c r="FX704" s="74"/>
      <c r="FY704" s="74"/>
      <c r="FZ704" s="74"/>
      <c r="GA704" s="74"/>
      <c r="GB704" s="74"/>
      <c r="GC704" s="74"/>
      <c r="GD704" s="74"/>
      <c r="GE704" s="74"/>
      <c r="GF704" s="74"/>
      <c r="GG704" s="74"/>
      <c r="GH704" s="74"/>
      <c r="GI704" s="74"/>
      <c r="GJ704" s="74"/>
      <c r="GK704" s="74"/>
      <c r="GL704" s="74"/>
      <c r="GM704" s="74"/>
      <c r="GN704" s="74"/>
      <c r="GO704" s="74"/>
      <c r="GP704" s="74"/>
      <c r="GQ704" s="74"/>
      <c r="GR704" s="74"/>
      <c r="GS704" s="74"/>
      <c r="GT704" s="74"/>
      <c r="GU704" s="74"/>
      <c r="GV704" s="74"/>
      <c r="GW704" s="74"/>
      <c r="GX704" s="74"/>
      <c r="GY704" s="74"/>
      <c r="GZ704" s="74"/>
      <c r="HA704" s="74"/>
      <c r="HB704" s="74"/>
      <c r="HC704" s="74"/>
      <c r="HD704" s="74"/>
      <c r="HE704" s="74"/>
      <c r="HF704" s="74"/>
      <c r="HG704" s="74"/>
      <c r="HH704" s="74"/>
      <c r="HI704" s="74"/>
      <c r="HJ704" s="74"/>
      <c r="HK704" s="74"/>
      <c r="HL704" s="74"/>
      <c r="HM704" s="74"/>
      <c r="HN704" s="74"/>
      <c r="HO704" s="74"/>
      <c r="HP704" s="74"/>
      <c r="HQ704" s="74"/>
      <c r="HR704" s="74"/>
      <c r="HS704" s="74"/>
      <c r="HT704" s="74"/>
      <c r="HU704" s="74"/>
      <c r="HV704" s="74"/>
      <c r="HW704" s="74"/>
      <c r="HX704" s="74"/>
      <c r="HY704" s="74"/>
      <c r="HZ704" s="74"/>
      <c r="IA704" s="74"/>
      <c r="IB704" s="74"/>
      <c r="IC704" s="74"/>
      <c r="ID704" s="74"/>
      <c r="IE704" s="74"/>
      <c r="IF704" s="74"/>
      <c r="IG704" s="74"/>
      <c r="IH704" s="74"/>
      <c r="II704" s="74"/>
      <c r="IJ704" s="74"/>
      <c r="IK704" s="74"/>
      <c r="IL704" s="74"/>
      <c r="IM704" s="74"/>
      <c r="IN704" s="74"/>
      <c r="IO704" s="74"/>
      <c r="IP704" s="74"/>
      <c r="IQ704" s="74"/>
      <c r="IR704" s="74"/>
      <c r="IS704" s="74"/>
      <c r="IT704" s="74"/>
      <c r="IU704" s="74"/>
      <c r="IV704" s="74"/>
      <c r="IW704" s="74"/>
    </row>
    <row r="705" customFormat="false" ht="15.75" hidden="false" customHeight="false" outlineLevel="0" collapsed="false">
      <c r="A705" s="140" t="s">
        <v>672</v>
      </c>
      <c r="B705" s="138"/>
      <c r="C705" s="139"/>
      <c r="D705" s="85" t="n">
        <v>0</v>
      </c>
      <c r="E705" s="86" t="n">
        <v>-27.4821</v>
      </c>
      <c r="F705" s="87" t="n">
        <v>0</v>
      </c>
      <c r="G705" s="87" t="n">
        <v>0</v>
      </c>
      <c r="H705" s="87" t="n">
        <v>0</v>
      </c>
      <c r="I705" s="88" t="n">
        <f aca="false">SUM(E705:H705)</f>
        <v>-27.4821</v>
      </c>
      <c r="J705" s="118" t="s">
        <v>18</v>
      </c>
      <c r="K705" s="74"/>
      <c r="L705" s="74"/>
      <c r="M705" s="119"/>
      <c r="N705" s="74"/>
      <c r="O705" s="74"/>
      <c r="P705" s="74"/>
      <c r="Q705" s="74"/>
      <c r="R705" s="74"/>
      <c r="S705" s="74"/>
      <c r="T705" s="65" t="str">
        <f aca="false">IF(D705&gt;0,(I705/D705),"")</f>
        <v/>
      </c>
      <c r="U705" s="74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74"/>
      <c r="AJ705" s="74"/>
      <c r="AK705" s="74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4"/>
      <c r="AZ705" s="74"/>
      <c r="BA705" s="74"/>
      <c r="BB705" s="74"/>
      <c r="BC705" s="74"/>
      <c r="BD705" s="74"/>
      <c r="BE705" s="74"/>
      <c r="BF705" s="74"/>
      <c r="BG705" s="74"/>
      <c r="BH705" s="74"/>
      <c r="BI705" s="74"/>
      <c r="BJ705" s="74"/>
      <c r="BK705" s="74"/>
      <c r="BL705" s="74"/>
      <c r="BM705" s="74"/>
      <c r="BN705" s="74"/>
      <c r="BO705" s="74"/>
      <c r="BP705" s="74"/>
      <c r="BQ705" s="74"/>
      <c r="BR705" s="74"/>
      <c r="BS705" s="74"/>
      <c r="BT705" s="74"/>
      <c r="BU705" s="74"/>
      <c r="BV705" s="74"/>
      <c r="BW705" s="74"/>
      <c r="BX705" s="74"/>
      <c r="BY705" s="74"/>
      <c r="BZ705" s="74"/>
      <c r="CA705" s="74"/>
      <c r="CB705" s="74"/>
      <c r="CC705" s="74"/>
      <c r="CD705" s="74"/>
      <c r="CE705" s="74"/>
      <c r="CF705" s="74"/>
      <c r="CG705" s="74"/>
      <c r="CH705" s="74"/>
      <c r="CI705" s="74"/>
      <c r="CJ705" s="74"/>
      <c r="CK705" s="74"/>
      <c r="CL705" s="74"/>
      <c r="CM705" s="74"/>
      <c r="CN705" s="74"/>
      <c r="CO705" s="74"/>
      <c r="CP705" s="74"/>
      <c r="CQ705" s="74"/>
      <c r="CR705" s="74"/>
      <c r="CS705" s="74"/>
      <c r="CT705" s="74"/>
      <c r="CU705" s="74"/>
      <c r="CV705" s="74"/>
      <c r="CW705" s="74"/>
      <c r="CX705" s="74"/>
      <c r="CY705" s="74"/>
      <c r="CZ705" s="74"/>
      <c r="DA705" s="74"/>
      <c r="DB705" s="74"/>
      <c r="DC705" s="74"/>
      <c r="DD705" s="74"/>
      <c r="DE705" s="74"/>
      <c r="DF705" s="74"/>
      <c r="DG705" s="74"/>
      <c r="DH705" s="74"/>
      <c r="DI705" s="74"/>
      <c r="DJ705" s="74"/>
      <c r="DK705" s="74"/>
      <c r="DL705" s="74"/>
      <c r="DM705" s="74"/>
      <c r="DN705" s="74"/>
      <c r="DO705" s="74"/>
      <c r="DP705" s="74"/>
      <c r="DQ705" s="74"/>
      <c r="DR705" s="74"/>
      <c r="DS705" s="74"/>
      <c r="DT705" s="74"/>
      <c r="DU705" s="74"/>
      <c r="DV705" s="74"/>
      <c r="DW705" s="74"/>
      <c r="DX705" s="74"/>
      <c r="DY705" s="74"/>
      <c r="DZ705" s="74"/>
      <c r="EA705" s="74"/>
      <c r="EB705" s="74"/>
      <c r="EC705" s="74"/>
      <c r="ED705" s="74"/>
      <c r="EE705" s="74"/>
      <c r="EF705" s="74"/>
      <c r="EG705" s="74"/>
      <c r="EH705" s="74"/>
      <c r="EI705" s="74"/>
      <c r="EJ705" s="74"/>
      <c r="EK705" s="74"/>
      <c r="EL705" s="74"/>
      <c r="EM705" s="74"/>
      <c r="EN705" s="74"/>
      <c r="EO705" s="74"/>
      <c r="EP705" s="74"/>
      <c r="EQ705" s="74"/>
      <c r="ER705" s="74"/>
      <c r="ES705" s="74"/>
      <c r="ET705" s="74"/>
      <c r="EU705" s="74"/>
      <c r="EV705" s="74"/>
      <c r="EW705" s="74"/>
      <c r="EX705" s="74"/>
      <c r="EY705" s="74"/>
      <c r="EZ705" s="74"/>
      <c r="FA705" s="74"/>
      <c r="FB705" s="74"/>
      <c r="FC705" s="74"/>
      <c r="FD705" s="74"/>
      <c r="FE705" s="74"/>
      <c r="FF705" s="74"/>
      <c r="FG705" s="74"/>
      <c r="FH705" s="74"/>
      <c r="FI705" s="74"/>
      <c r="FJ705" s="74"/>
      <c r="FK705" s="74"/>
      <c r="FL705" s="74"/>
      <c r="FM705" s="74"/>
      <c r="FN705" s="74"/>
      <c r="FO705" s="74"/>
      <c r="FP705" s="74"/>
      <c r="FQ705" s="74"/>
      <c r="FR705" s="74"/>
      <c r="FS705" s="74"/>
      <c r="FT705" s="74"/>
      <c r="FU705" s="74"/>
      <c r="FV705" s="74"/>
      <c r="FW705" s="74"/>
      <c r="FX705" s="74"/>
      <c r="FY705" s="74"/>
      <c r="FZ705" s="74"/>
      <c r="GA705" s="74"/>
      <c r="GB705" s="74"/>
      <c r="GC705" s="74"/>
      <c r="GD705" s="74"/>
      <c r="GE705" s="74"/>
      <c r="GF705" s="74"/>
      <c r="GG705" s="74"/>
      <c r="GH705" s="74"/>
      <c r="GI705" s="74"/>
      <c r="GJ705" s="74"/>
      <c r="GK705" s="74"/>
      <c r="GL705" s="74"/>
      <c r="GM705" s="74"/>
      <c r="GN705" s="74"/>
      <c r="GO705" s="74"/>
      <c r="GP705" s="74"/>
      <c r="GQ705" s="74"/>
      <c r="GR705" s="74"/>
      <c r="GS705" s="74"/>
      <c r="GT705" s="74"/>
      <c r="GU705" s="74"/>
      <c r="GV705" s="74"/>
      <c r="GW705" s="74"/>
      <c r="GX705" s="74"/>
      <c r="GY705" s="74"/>
      <c r="GZ705" s="74"/>
      <c r="HA705" s="74"/>
      <c r="HB705" s="74"/>
      <c r="HC705" s="74"/>
      <c r="HD705" s="74"/>
      <c r="HE705" s="74"/>
      <c r="HF705" s="74"/>
      <c r="HG705" s="74"/>
      <c r="HH705" s="74"/>
      <c r="HI705" s="74"/>
      <c r="HJ705" s="74"/>
      <c r="HK705" s="74"/>
      <c r="HL705" s="74"/>
      <c r="HM705" s="74"/>
      <c r="HN705" s="74"/>
      <c r="HO705" s="74"/>
      <c r="HP705" s="74"/>
      <c r="HQ705" s="74"/>
      <c r="HR705" s="74"/>
      <c r="HS705" s="74"/>
      <c r="HT705" s="74"/>
      <c r="HU705" s="74"/>
      <c r="HV705" s="74"/>
      <c r="HW705" s="74"/>
      <c r="HX705" s="74"/>
      <c r="HY705" s="74"/>
      <c r="HZ705" s="74"/>
      <c r="IA705" s="74"/>
      <c r="IB705" s="74"/>
      <c r="IC705" s="74"/>
      <c r="ID705" s="74"/>
      <c r="IE705" s="74"/>
      <c r="IF705" s="74"/>
      <c r="IG705" s="74"/>
      <c r="IH705" s="74"/>
      <c r="II705" s="74"/>
      <c r="IJ705" s="74"/>
      <c r="IK705" s="74"/>
      <c r="IL705" s="74"/>
      <c r="IM705" s="74"/>
      <c r="IN705" s="74"/>
      <c r="IO705" s="74"/>
      <c r="IP705" s="74"/>
      <c r="IQ705" s="74"/>
      <c r="IR705" s="74"/>
      <c r="IS705" s="74"/>
      <c r="IT705" s="74"/>
      <c r="IU705" s="74"/>
      <c r="IV705" s="74"/>
      <c r="IW705" s="74"/>
    </row>
    <row r="706" customFormat="false" ht="15.75" hidden="false" customHeight="false" outlineLevel="0" collapsed="false">
      <c r="A706" s="140" t="s">
        <v>673</v>
      </c>
      <c r="B706" s="138"/>
      <c r="C706" s="139"/>
      <c r="D706" s="85" t="n">
        <v>0</v>
      </c>
      <c r="E706" s="86" t="n">
        <f aca="false">214.107-213.511</f>
        <v>0.596000000000004</v>
      </c>
      <c r="F706" s="87" t="n">
        <v>0</v>
      </c>
      <c r="G706" s="87" t="n">
        <v>0</v>
      </c>
      <c r="H706" s="87" t="n">
        <v>0</v>
      </c>
      <c r="I706" s="88" t="n">
        <f aca="false">SUM(E706:H706)</f>
        <v>0.596000000000004</v>
      </c>
      <c r="J706" s="118" t="s">
        <v>18</v>
      </c>
      <c r="K706" s="74"/>
      <c r="L706" s="74"/>
      <c r="M706" s="119"/>
      <c r="N706" s="74"/>
      <c r="O706" s="74"/>
      <c r="P706" s="74"/>
      <c r="Q706" s="74"/>
      <c r="R706" s="74"/>
      <c r="S706" s="74"/>
      <c r="T706" s="65" t="str">
        <f aca="false">IF(D706&gt;0,(I706/D706),"")</f>
        <v/>
      </c>
      <c r="U706" s="74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74"/>
      <c r="AJ706" s="74"/>
      <c r="AK706" s="74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4"/>
      <c r="AZ706" s="74"/>
      <c r="BA706" s="74"/>
      <c r="BB706" s="74"/>
      <c r="BC706" s="74"/>
      <c r="BD706" s="74"/>
      <c r="BE706" s="74"/>
      <c r="BF706" s="74"/>
      <c r="BG706" s="74"/>
      <c r="BH706" s="74"/>
      <c r="BI706" s="74"/>
      <c r="BJ706" s="74"/>
      <c r="BK706" s="74"/>
      <c r="BL706" s="74"/>
      <c r="BM706" s="74"/>
      <c r="BN706" s="74"/>
      <c r="BO706" s="74"/>
      <c r="BP706" s="74"/>
      <c r="BQ706" s="74"/>
      <c r="BR706" s="74"/>
      <c r="BS706" s="74"/>
      <c r="BT706" s="74"/>
      <c r="BU706" s="74"/>
      <c r="BV706" s="74"/>
      <c r="BW706" s="74"/>
      <c r="BX706" s="74"/>
      <c r="BY706" s="74"/>
      <c r="BZ706" s="74"/>
      <c r="CA706" s="74"/>
      <c r="CB706" s="74"/>
      <c r="CC706" s="74"/>
      <c r="CD706" s="74"/>
      <c r="CE706" s="74"/>
      <c r="CF706" s="74"/>
      <c r="CG706" s="74"/>
      <c r="CH706" s="74"/>
      <c r="CI706" s="74"/>
      <c r="CJ706" s="74"/>
      <c r="CK706" s="74"/>
      <c r="CL706" s="74"/>
      <c r="CM706" s="74"/>
      <c r="CN706" s="74"/>
      <c r="CO706" s="74"/>
      <c r="CP706" s="74"/>
      <c r="CQ706" s="74"/>
      <c r="CR706" s="74"/>
      <c r="CS706" s="74"/>
      <c r="CT706" s="74"/>
      <c r="CU706" s="74"/>
      <c r="CV706" s="74"/>
      <c r="CW706" s="74"/>
      <c r="CX706" s="74"/>
      <c r="CY706" s="74"/>
      <c r="CZ706" s="74"/>
      <c r="DA706" s="74"/>
      <c r="DB706" s="74"/>
      <c r="DC706" s="74"/>
      <c r="DD706" s="74"/>
      <c r="DE706" s="74"/>
      <c r="DF706" s="74"/>
      <c r="DG706" s="74"/>
      <c r="DH706" s="74"/>
      <c r="DI706" s="74"/>
      <c r="DJ706" s="74"/>
      <c r="DK706" s="74"/>
      <c r="DL706" s="74"/>
      <c r="DM706" s="74"/>
      <c r="DN706" s="74"/>
      <c r="DO706" s="74"/>
      <c r="DP706" s="74"/>
      <c r="DQ706" s="74"/>
      <c r="DR706" s="74"/>
      <c r="DS706" s="74"/>
      <c r="DT706" s="74"/>
      <c r="DU706" s="74"/>
      <c r="DV706" s="74"/>
      <c r="DW706" s="74"/>
      <c r="DX706" s="74"/>
      <c r="DY706" s="74"/>
      <c r="DZ706" s="74"/>
      <c r="EA706" s="74"/>
      <c r="EB706" s="74"/>
      <c r="EC706" s="74"/>
      <c r="ED706" s="74"/>
      <c r="EE706" s="74"/>
      <c r="EF706" s="74"/>
      <c r="EG706" s="74"/>
      <c r="EH706" s="74"/>
      <c r="EI706" s="74"/>
      <c r="EJ706" s="74"/>
      <c r="EK706" s="74"/>
      <c r="EL706" s="74"/>
      <c r="EM706" s="74"/>
      <c r="EN706" s="74"/>
      <c r="EO706" s="74"/>
      <c r="EP706" s="74"/>
      <c r="EQ706" s="74"/>
      <c r="ER706" s="74"/>
      <c r="ES706" s="74"/>
      <c r="ET706" s="74"/>
      <c r="EU706" s="74"/>
      <c r="EV706" s="74"/>
      <c r="EW706" s="74"/>
      <c r="EX706" s="74"/>
      <c r="EY706" s="74"/>
      <c r="EZ706" s="74"/>
      <c r="FA706" s="74"/>
      <c r="FB706" s="74"/>
      <c r="FC706" s="74"/>
      <c r="FD706" s="74"/>
      <c r="FE706" s="74"/>
      <c r="FF706" s="74"/>
      <c r="FG706" s="74"/>
      <c r="FH706" s="74"/>
      <c r="FI706" s="74"/>
      <c r="FJ706" s="74"/>
      <c r="FK706" s="74"/>
      <c r="FL706" s="74"/>
      <c r="FM706" s="74"/>
      <c r="FN706" s="74"/>
      <c r="FO706" s="74"/>
      <c r="FP706" s="74"/>
      <c r="FQ706" s="74"/>
      <c r="FR706" s="74"/>
      <c r="FS706" s="74"/>
      <c r="FT706" s="74"/>
      <c r="FU706" s="74"/>
      <c r="FV706" s="74"/>
      <c r="FW706" s="74"/>
      <c r="FX706" s="74"/>
      <c r="FY706" s="74"/>
      <c r="FZ706" s="74"/>
      <c r="GA706" s="74"/>
      <c r="GB706" s="74"/>
      <c r="GC706" s="74"/>
      <c r="GD706" s="74"/>
      <c r="GE706" s="74"/>
      <c r="GF706" s="74"/>
      <c r="GG706" s="74"/>
      <c r="GH706" s="74"/>
      <c r="GI706" s="74"/>
      <c r="GJ706" s="74"/>
      <c r="GK706" s="74"/>
      <c r="GL706" s="74"/>
      <c r="GM706" s="74"/>
      <c r="GN706" s="74"/>
      <c r="GO706" s="74"/>
      <c r="GP706" s="74"/>
      <c r="GQ706" s="74"/>
      <c r="GR706" s="74"/>
      <c r="GS706" s="74"/>
      <c r="GT706" s="74"/>
      <c r="GU706" s="74"/>
      <c r="GV706" s="74"/>
      <c r="GW706" s="74"/>
      <c r="GX706" s="74"/>
      <c r="GY706" s="74"/>
      <c r="GZ706" s="74"/>
      <c r="HA706" s="74"/>
      <c r="HB706" s="74"/>
      <c r="HC706" s="74"/>
      <c r="HD706" s="74"/>
      <c r="HE706" s="74"/>
      <c r="HF706" s="74"/>
      <c r="HG706" s="74"/>
      <c r="HH706" s="74"/>
      <c r="HI706" s="74"/>
      <c r="HJ706" s="74"/>
      <c r="HK706" s="74"/>
      <c r="HL706" s="74"/>
      <c r="HM706" s="74"/>
      <c r="HN706" s="74"/>
      <c r="HO706" s="74"/>
      <c r="HP706" s="74"/>
      <c r="HQ706" s="74"/>
      <c r="HR706" s="74"/>
      <c r="HS706" s="74"/>
      <c r="HT706" s="74"/>
      <c r="HU706" s="74"/>
      <c r="HV706" s="74"/>
      <c r="HW706" s="74"/>
      <c r="HX706" s="74"/>
      <c r="HY706" s="74"/>
      <c r="HZ706" s="74"/>
      <c r="IA706" s="74"/>
      <c r="IB706" s="74"/>
      <c r="IC706" s="74"/>
      <c r="ID706" s="74"/>
      <c r="IE706" s="74"/>
      <c r="IF706" s="74"/>
      <c r="IG706" s="74"/>
      <c r="IH706" s="74"/>
      <c r="II706" s="74"/>
      <c r="IJ706" s="74"/>
      <c r="IK706" s="74"/>
      <c r="IL706" s="74"/>
      <c r="IM706" s="74"/>
      <c r="IN706" s="74"/>
      <c r="IO706" s="74"/>
      <c r="IP706" s="74"/>
      <c r="IQ706" s="74"/>
      <c r="IR706" s="74"/>
      <c r="IS706" s="74"/>
      <c r="IT706" s="74"/>
      <c r="IU706" s="74"/>
      <c r="IV706" s="74"/>
      <c r="IW706" s="74"/>
    </row>
    <row r="707" customFormat="false" ht="15.75" hidden="false" customHeight="false" outlineLevel="0" collapsed="false">
      <c r="A707" s="140" t="s">
        <v>674</v>
      </c>
      <c r="B707" s="138"/>
      <c r="C707" s="139"/>
      <c r="D707" s="85" t="n">
        <v>0</v>
      </c>
      <c r="E707" s="86" t="n">
        <v>-15.3261</v>
      </c>
      <c r="F707" s="87" t="n">
        <v>0</v>
      </c>
      <c r="G707" s="87" t="n">
        <v>0</v>
      </c>
      <c r="H707" s="87" t="n">
        <v>0</v>
      </c>
      <c r="I707" s="88" t="n">
        <f aca="false">SUM(E707:H707)</f>
        <v>-15.3261</v>
      </c>
      <c r="J707" s="118" t="s">
        <v>18</v>
      </c>
      <c r="K707" s="74"/>
      <c r="L707" s="74"/>
      <c r="M707" s="119"/>
      <c r="N707" s="74"/>
      <c r="O707" s="74"/>
      <c r="P707" s="74"/>
      <c r="Q707" s="74"/>
      <c r="R707" s="74"/>
      <c r="S707" s="74"/>
      <c r="T707" s="65" t="str">
        <f aca="false">IF(D707&gt;0,(I707/D707),"")</f>
        <v/>
      </c>
      <c r="U707" s="74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74"/>
      <c r="AJ707" s="74"/>
      <c r="AK707" s="74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4"/>
      <c r="AZ707" s="74"/>
      <c r="BA707" s="74"/>
      <c r="BB707" s="74"/>
      <c r="BC707" s="74"/>
      <c r="BD707" s="74"/>
      <c r="BE707" s="74"/>
      <c r="BF707" s="74"/>
      <c r="BG707" s="74"/>
      <c r="BH707" s="74"/>
      <c r="BI707" s="74"/>
      <c r="BJ707" s="74"/>
      <c r="BK707" s="74"/>
      <c r="BL707" s="74"/>
      <c r="BM707" s="74"/>
      <c r="BN707" s="74"/>
      <c r="BO707" s="74"/>
      <c r="BP707" s="74"/>
      <c r="BQ707" s="74"/>
      <c r="BR707" s="74"/>
      <c r="BS707" s="74"/>
      <c r="BT707" s="74"/>
      <c r="BU707" s="74"/>
      <c r="BV707" s="74"/>
      <c r="BW707" s="74"/>
      <c r="BX707" s="74"/>
      <c r="BY707" s="74"/>
      <c r="BZ707" s="74"/>
      <c r="CA707" s="74"/>
      <c r="CB707" s="74"/>
      <c r="CC707" s="74"/>
      <c r="CD707" s="74"/>
      <c r="CE707" s="74"/>
      <c r="CF707" s="74"/>
      <c r="CG707" s="74"/>
      <c r="CH707" s="74"/>
      <c r="CI707" s="74"/>
      <c r="CJ707" s="74"/>
      <c r="CK707" s="74"/>
      <c r="CL707" s="74"/>
      <c r="CM707" s="74"/>
      <c r="CN707" s="74"/>
      <c r="CO707" s="74"/>
      <c r="CP707" s="74"/>
      <c r="CQ707" s="74"/>
      <c r="CR707" s="74"/>
      <c r="CS707" s="74"/>
      <c r="CT707" s="74"/>
      <c r="CU707" s="74"/>
      <c r="CV707" s="74"/>
      <c r="CW707" s="74"/>
      <c r="CX707" s="74"/>
      <c r="CY707" s="74"/>
      <c r="CZ707" s="74"/>
      <c r="DA707" s="74"/>
      <c r="DB707" s="74"/>
      <c r="DC707" s="74"/>
      <c r="DD707" s="74"/>
      <c r="DE707" s="74"/>
      <c r="DF707" s="74"/>
      <c r="DG707" s="74"/>
      <c r="DH707" s="74"/>
      <c r="DI707" s="74"/>
      <c r="DJ707" s="74"/>
      <c r="DK707" s="74"/>
      <c r="DL707" s="74"/>
      <c r="DM707" s="74"/>
      <c r="DN707" s="74"/>
      <c r="DO707" s="74"/>
      <c r="DP707" s="74"/>
      <c r="DQ707" s="74"/>
      <c r="DR707" s="74"/>
      <c r="DS707" s="74"/>
      <c r="DT707" s="74"/>
      <c r="DU707" s="74"/>
      <c r="DV707" s="74"/>
      <c r="DW707" s="74"/>
      <c r="DX707" s="74"/>
      <c r="DY707" s="74"/>
      <c r="DZ707" s="74"/>
      <c r="EA707" s="74"/>
      <c r="EB707" s="74"/>
      <c r="EC707" s="74"/>
      <c r="ED707" s="74"/>
      <c r="EE707" s="74"/>
      <c r="EF707" s="74"/>
      <c r="EG707" s="74"/>
      <c r="EH707" s="74"/>
      <c r="EI707" s="74"/>
      <c r="EJ707" s="74"/>
      <c r="EK707" s="74"/>
      <c r="EL707" s="74"/>
      <c r="EM707" s="74"/>
      <c r="EN707" s="74"/>
      <c r="EO707" s="74"/>
      <c r="EP707" s="74"/>
      <c r="EQ707" s="74"/>
      <c r="ER707" s="74"/>
      <c r="ES707" s="74"/>
      <c r="ET707" s="74"/>
      <c r="EU707" s="74"/>
      <c r="EV707" s="74"/>
      <c r="EW707" s="74"/>
      <c r="EX707" s="74"/>
      <c r="EY707" s="74"/>
      <c r="EZ707" s="74"/>
      <c r="FA707" s="74"/>
      <c r="FB707" s="74"/>
      <c r="FC707" s="74"/>
      <c r="FD707" s="74"/>
      <c r="FE707" s="74"/>
      <c r="FF707" s="74"/>
      <c r="FG707" s="74"/>
      <c r="FH707" s="74"/>
      <c r="FI707" s="74"/>
      <c r="FJ707" s="74"/>
      <c r="FK707" s="74"/>
      <c r="FL707" s="74"/>
      <c r="FM707" s="74"/>
      <c r="FN707" s="74"/>
      <c r="FO707" s="74"/>
      <c r="FP707" s="74"/>
      <c r="FQ707" s="74"/>
      <c r="FR707" s="74"/>
      <c r="FS707" s="74"/>
      <c r="FT707" s="74"/>
      <c r="FU707" s="74"/>
      <c r="FV707" s="74"/>
      <c r="FW707" s="74"/>
      <c r="FX707" s="74"/>
      <c r="FY707" s="74"/>
      <c r="FZ707" s="74"/>
      <c r="GA707" s="74"/>
      <c r="GB707" s="74"/>
      <c r="GC707" s="74"/>
      <c r="GD707" s="74"/>
      <c r="GE707" s="74"/>
      <c r="GF707" s="74"/>
      <c r="GG707" s="74"/>
      <c r="GH707" s="74"/>
      <c r="GI707" s="74"/>
      <c r="GJ707" s="74"/>
      <c r="GK707" s="74"/>
      <c r="GL707" s="74"/>
      <c r="GM707" s="74"/>
      <c r="GN707" s="74"/>
      <c r="GO707" s="74"/>
      <c r="GP707" s="74"/>
      <c r="GQ707" s="74"/>
      <c r="GR707" s="74"/>
      <c r="GS707" s="74"/>
      <c r="GT707" s="74"/>
      <c r="GU707" s="74"/>
      <c r="GV707" s="74"/>
      <c r="GW707" s="74"/>
      <c r="GX707" s="74"/>
      <c r="GY707" s="74"/>
      <c r="GZ707" s="74"/>
      <c r="HA707" s="74"/>
      <c r="HB707" s="74"/>
      <c r="HC707" s="74"/>
      <c r="HD707" s="74"/>
      <c r="HE707" s="74"/>
      <c r="HF707" s="74"/>
      <c r="HG707" s="74"/>
      <c r="HH707" s="74"/>
      <c r="HI707" s="74"/>
      <c r="HJ707" s="74"/>
      <c r="HK707" s="74"/>
      <c r="HL707" s="74"/>
      <c r="HM707" s="74"/>
      <c r="HN707" s="74"/>
      <c r="HO707" s="74"/>
      <c r="HP707" s="74"/>
      <c r="HQ707" s="74"/>
      <c r="HR707" s="74"/>
      <c r="HS707" s="74"/>
      <c r="HT707" s="74"/>
      <c r="HU707" s="74"/>
      <c r="HV707" s="74"/>
      <c r="HW707" s="74"/>
      <c r="HX707" s="74"/>
      <c r="HY707" s="74"/>
      <c r="HZ707" s="74"/>
      <c r="IA707" s="74"/>
      <c r="IB707" s="74"/>
      <c r="IC707" s="74"/>
      <c r="ID707" s="74"/>
      <c r="IE707" s="74"/>
      <c r="IF707" s="74"/>
      <c r="IG707" s="74"/>
      <c r="IH707" s="74"/>
      <c r="II707" s="74"/>
      <c r="IJ707" s="74"/>
      <c r="IK707" s="74"/>
      <c r="IL707" s="74"/>
      <c r="IM707" s="74"/>
      <c r="IN707" s="74"/>
      <c r="IO707" s="74"/>
      <c r="IP707" s="74"/>
      <c r="IQ707" s="74"/>
      <c r="IR707" s="74"/>
      <c r="IS707" s="74"/>
      <c r="IT707" s="74"/>
      <c r="IU707" s="74"/>
      <c r="IV707" s="74"/>
      <c r="IW707" s="74"/>
    </row>
    <row r="708" customFormat="false" ht="18.75" hidden="false" customHeight="false" outlineLevel="0" collapsed="false">
      <c r="A708" s="181"/>
      <c r="B708" s="260"/>
      <c r="C708" s="183"/>
      <c r="D708" s="261"/>
      <c r="E708" s="262"/>
      <c r="F708" s="263"/>
      <c r="G708" s="263"/>
      <c r="H708" s="263"/>
      <c r="I708" s="264"/>
      <c r="J708" s="156"/>
      <c r="K708" s="157"/>
      <c r="L708" s="157"/>
      <c r="M708" s="157"/>
      <c r="N708" s="157"/>
      <c r="O708" s="157"/>
      <c r="P708" s="157"/>
      <c r="Q708" s="157"/>
      <c r="R708" s="157"/>
      <c r="S708" s="157"/>
      <c r="T708" s="265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  <c r="CE708" s="157"/>
      <c r="CF708" s="157"/>
      <c r="CG708" s="157"/>
      <c r="CH708" s="157"/>
      <c r="CI708" s="157"/>
      <c r="CJ708" s="157"/>
      <c r="CK708" s="157"/>
      <c r="CL708" s="157"/>
      <c r="CM708" s="157"/>
      <c r="CN708" s="157"/>
      <c r="CO708" s="157"/>
      <c r="CP708" s="157"/>
      <c r="CQ708" s="157"/>
      <c r="CR708" s="157"/>
      <c r="CS708" s="157"/>
      <c r="CT708" s="157"/>
      <c r="CU708" s="157"/>
      <c r="CV708" s="157"/>
      <c r="CW708" s="157"/>
      <c r="CX708" s="157"/>
      <c r="CY708" s="157"/>
      <c r="CZ708" s="157"/>
      <c r="DA708" s="157"/>
      <c r="DB708" s="157"/>
      <c r="DC708" s="157"/>
      <c r="DD708" s="157"/>
      <c r="DE708" s="157"/>
      <c r="DF708" s="157"/>
      <c r="DG708" s="157"/>
      <c r="DH708" s="157"/>
      <c r="DI708" s="157"/>
      <c r="DJ708" s="157"/>
      <c r="DK708" s="157"/>
      <c r="DL708" s="157"/>
      <c r="DM708" s="157"/>
      <c r="DN708" s="157"/>
      <c r="DO708" s="157"/>
      <c r="DP708" s="157"/>
      <c r="DQ708" s="157"/>
      <c r="DR708" s="157"/>
      <c r="DS708" s="157"/>
      <c r="DT708" s="157"/>
      <c r="DU708" s="157"/>
      <c r="DV708" s="157"/>
      <c r="DW708" s="157"/>
      <c r="DX708" s="157"/>
      <c r="DY708" s="157"/>
      <c r="DZ708" s="157"/>
      <c r="EA708" s="157"/>
      <c r="EB708" s="157"/>
      <c r="EC708" s="157"/>
      <c r="ED708" s="157"/>
      <c r="EE708" s="157"/>
      <c r="EF708" s="157"/>
      <c r="EG708" s="157"/>
      <c r="EH708" s="157"/>
      <c r="EI708" s="157"/>
      <c r="EJ708" s="157"/>
      <c r="EK708" s="157"/>
      <c r="EL708" s="157"/>
      <c r="EM708" s="157"/>
      <c r="EN708" s="157"/>
      <c r="EO708" s="157"/>
      <c r="EP708" s="157"/>
      <c r="EQ708" s="157"/>
      <c r="ER708" s="157"/>
      <c r="ES708" s="157"/>
      <c r="ET708" s="157"/>
      <c r="EU708" s="157"/>
      <c r="EV708" s="157"/>
      <c r="EW708" s="157"/>
      <c r="EX708" s="157"/>
      <c r="EY708" s="157"/>
      <c r="EZ708" s="157"/>
      <c r="FA708" s="157"/>
      <c r="FB708" s="157"/>
      <c r="FC708" s="157"/>
      <c r="FD708" s="157"/>
      <c r="FE708" s="157"/>
      <c r="FF708" s="157"/>
      <c r="FG708" s="157"/>
      <c r="FH708" s="157"/>
      <c r="FI708" s="157"/>
      <c r="FJ708" s="157"/>
      <c r="FK708" s="157"/>
      <c r="FL708" s="157"/>
      <c r="FM708" s="157"/>
      <c r="FN708" s="157"/>
      <c r="FO708" s="157"/>
      <c r="FP708" s="157"/>
      <c r="FQ708" s="157"/>
      <c r="FR708" s="157"/>
      <c r="FS708" s="157"/>
      <c r="FT708" s="157"/>
      <c r="FU708" s="157"/>
      <c r="FV708" s="157"/>
      <c r="FW708" s="157"/>
      <c r="FX708" s="157"/>
      <c r="FY708" s="157"/>
      <c r="FZ708" s="157"/>
      <c r="GA708" s="157"/>
      <c r="GB708" s="157"/>
      <c r="GC708" s="157"/>
      <c r="GD708" s="157"/>
      <c r="GE708" s="157"/>
      <c r="GF708" s="157"/>
      <c r="GG708" s="157"/>
      <c r="GH708" s="157"/>
      <c r="GI708" s="157"/>
      <c r="GJ708" s="157"/>
      <c r="GK708" s="157"/>
      <c r="GL708" s="157"/>
      <c r="GM708" s="157"/>
      <c r="GN708" s="157"/>
      <c r="GO708" s="157"/>
      <c r="GP708" s="157"/>
      <c r="GQ708" s="157"/>
      <c r="GR708" s="157"/>
      <c r="GS708" s="157"/>
      <c r="GT708" s="157"/>
      <c r="GU708" s="157"/>
      <c r="GV708" s="157"/>
      <c r="GW708" s="157"/>
      <c r="GX708" s="157"/>
      <c r="GY708" s="157"/>
      <c r="GZ708" s="157"/>
      <c r="HA708" s="157"/>
      <c r="HB708" s="157"/>
      <c r="HC708" s="157"/>
      <c r="HD708" s="157"/>
      <c r="HE708" s="157"/>
      <c r="HF708" s="157"/>
      <c r="HG708" s="157"/>
      <c r="HH708" s="157"/>
      <c r="HI708" s="157"/>
      <c r="HJ708" s="157"/>
      <c r="HK708" s="157"/>
      <c r="HL708" s="157"/>
      <c r="HM708" s="157"/>
      <c r="HN708" s="157"/>
      <c r="HO708" s="157"/>
      <c r="HP708" s="157"/>
      <c r="HQ708" s="157"/>
      <c r="HR708" s="157"/>
      <c r="HS708" s="157"/>
      <c r="HT708" s="157"/>
      <c r="HU708" s="157"/>
      <c r="HV708" s="157"/>
      <c r="HW708" s="157"/>
      <c r="HX708" s="157"/>
      <c r="HY708" s="157"/>
      <c r="HZ708" s="157"/>
      <c r="IA708" s="157"/>
      <c r="IB708" s="157"/>
      <c r="IC708" s="157"/>
      <c r="ID708" s="157"/>
      <c r="IE708" s="157"/>
      <c r="IF708" s="157"/>
      <c r="IG708" s="157"/>
      <c r="IH708" s="157"/>
      <c r="II708" s="157"/>
      <c r="IJ708" s="157"/>
      <c r="IK708" s="157"/>
      <c r="IL708" s="157"/>
      <c r="IM708" s="157"/>
      <c r="IN708" s="157"/>
      <c r="IO708" s="157"/>
      <c r="IP708" s="157"/>
      <c r="IQ708" s="157"/>
      <c r="IR708" s="157"/>
      <c r="IS708" s="157"/>
      <c r="IT708" s="157"/>
      <c r="IU708" s="157"/>
      <c r="IV708" s="157"/>
      <c r="IW708" s="157"/>
    </row>
    <row r="709" customFormat="false" ht="18" hidden="false" customHeight="false" outlineLevel="0" collapsed="false">
      <c r="A709" s="266" t="s">
        <v>675</v>
      </c>
      <c r="B709" s="267"/>
      <c r="C709" s="268"/>
      <c r="D709" s="269" t="n">
        <f aca="false">D222+D263+D681+D418+D428+D688+D693+D696+D697+D698+D699+D700+D701+D702+D703+D704+D705+D706+D707</f>
        <v>907090.210087218</v>
      </c>
      <c r="E709" s="153" t="n">
        <f aca="false">E222+E263+E681+E418+E428+E688+E693+E696+E697+E698+E699+E700+E701+E702+E703+E704+E705+E706+E707</f>
        <v>38091.9882</v>
      </c>
      <c r="F709" s="154" t="n">
        <f aca="false">F222+F263+F681+F418+F428+F688+F693+F696+F697+F698+F699+F700+F701+F702+F703+F704+F705+F706+F707</f>
        <v>-9112.415</v>
      </c>
      <c r="G709" s="154" t="n">
        <f aca="false">G222+G263+G681+G418+G428+G688+G693+G696+G697+G698+G699+G700+G701+G702+G703+G704+G705+G706+G707</f>
        <v>0</v>
      </c>
      <c r="H709" s="154" t="n">
        <f aca="false">H222+H263+H681+H418+H428+H688+H693+H696+H697+H698+H699+H700+H701+H702+H703+H704+H705+H706+H707</f>
        <v>0</v>
      </c>
      <c r="I709" s="155" t="n">
        <f aca="false">I222+I263+I681+I418+I428+I688+I693+I696+I697+I698+I699+I700+I701+I702+I703+I704+I705+I706+I707</f>
        <v>28979.5732</v>
      </c>
      <c r="J709" s="156"/>
      <c r="K709" s="157"/>
      <c r="L709" s="157"/>
      <c r="M709" s="157"/>
      <c r="N709" s="157"/>
      <c r="O709" s="157"/>
      <c r="P709" s="157"/>
      <c r="Q709" s="157"/>
      <c r="R709" s="157"/>
      <c r="S709" s="157"/>
      <c r="T709" s="265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  <c r="CE709" s="157"/>
      <c r="CF709" s="157"/>
      <c r="CG709" s="157"/>
      <c r="CH709" s="157"/>
      <c r="CI709" s="157"/>
      <c r="CJ709" s="157"/>
      <c r="CK709" s="157"/>
      <c r="CL709" s="157"/>
      <c r="CM709" s="157"/>
      <c r="CN709" s="157"/>
      <c r="CO709" s="157"/>
      <c r="CP709" s="157"/>
      <c r="CQ709" s="157"/>
      <c r="CR709" s="157"/>
      <c r="CS709" s="157"/>
      <c r="CT709" s="157"/>
      <c r="CU709" s="157"/>
      <c r="CV709" s="157"/>
      <c r="CW709" s="157"/>
      <c r="CX709" s="157"/>
      <c r="CY709" s="157"/>
      <c r="CZ709" s="157"/>
      <c r="DA709" s="157"/>
      <c r="DB709" s="157"/>
      <c r="DC709" s="157"/>
      <c r="DD709" s="157"/>
      <c r="DE709" s="157"/>
      <c r="DF709" s="157"/>
      <c r="DG709" s="157"/>
      <c r="DH709" s="157"/>
      <c r="DI709" s="157"/>
      <c r="DJ709" s="157"/>
      <c r="DK709" s="157"/>
      <c r="DL709" s="157"/>
      <c r="DM709" s="157"/>
      <c r="DN709" s="157"/>
      <c r="DO709" s="157"/>
      <c r="DP709" s="157"/>
      <c r="DQ709" s="157"/>
      <c r="DR709" s="157"/>
      <c r="DS709" s="157"/>
      <c r="DT709" s="157"/>
      <c r="DU709" s="157"/>
      <c r="DV709" s="157"/>
      <c r="DW709" s="157"/>
      <c r="DX709" s="157"/>
      <c r="DY709" s="157"/>
      <c r="DZ709" s="157"/>
      <c r="EA709" s="157"/>
      <c r="EB709" s="157"/>
      <c r="EC709" s="157"/>
      <c r="ED709" s="157"/>
      <c r="EE709" s="157"/>
      <c r="EF709" s="157"/>
      <c r="EG709" s="157"/>
      <c r="EH709" s="157"/>
      <c r="EI709" s="157"/>
      <c r="EJ709" s="157"/>
      <c r="EK709" s="157"/>
      <c r="EL709" s="157"/>
      <c r="EM709" s="157"/>
      <c r="EN709" s="157"/>
      <c r="EO709" s="157"/>
      <c r="EP709" s="157"/>
      <c r="EQ709" s="157"/>
      <c r="ER709" s="157"/>
      <c r="ES709" s="157"/>
      <c r="ET709" s="157"/>
      <c r="EU709" s="157"/>
      <c r="EV709" s="157"/>
      <c r="EW709" s="157"/>
      <c r="EX709" s="157"/>
      <c r="EY709" s="157"/>
      <c r="EZ709" s="157"/>
      <c r="FA709" s="157"/>
      <c r="FB709" s="157"/>
      <c r="FC709" s="157"/>
      <c r="FD709" s="157"/>
      <c r="FE709" s="157"/>
      <c r="FF709" s="157"/>
      <c r="FG709" s="157"/>
      <c r="FH709" s="157"/>
      <c r="FI709" s="157"/>
      <c r="FJ709" s="157"/>
      <c r="FK709" s="157"/>
      <c r="FL709" s="157"/>
      <c r="FM709" s="157"/>
      <c r="FN709" s="157"/>
      <c r="FO709" s="157"/>
      <c r="FP709" s="157"/>
      <c r="FQ709" s="157"/>
      <c r="FR709" s="157"/>
      <c r="FS709" s="157"/>
      <c r="FT709" s="157"/>
      <c r="FU709" s="157"/>
      <c r="FV709" s="157"/>
      <c r="FW709" s="157"/>
      <c r="FX709" s="157"/>
      <c r="FY709" s="157"/>
      <c r="FZ709" s="157"/>
      <c r="GA709" s="157"/>
      <c r="GB709" s="157"/>
      <c r="GC709" s="157"/>
      <c r="GD709" s="157"/>
      <c r="GE709" s="157"/>
      <c r="GF709" s="157"/>
      <c r="GG709" s="157"/>
      <c r="GH709" s="157"/>
      <c r="GI709" s="157"/>
      <c r="GJ709" s="157"/>
      <c r="GK709" s="157"/>
      <c r="GL709" s="157"/>
      <c r="GM709" s="157"/>
      <c r="GN709" s="157"/>
      <c r="GO709" s="157"/>
      <c r="GP709" s="157"/>
      <c r="GQ709" s="157"/>
      <c r="GR709" s="157"/>
      <c r="GS709" s="157"/>
      <c r="GT709" s="157"/>
      <c r="GU709" s="157"/>
      <c r="GV709" s="157"/>
      <c r="GW709" s="157"/>
      <c r="GX709" s="157"/>
      <c r="GY709" s="157"/>
      <c r="GZ709" s="157"/>
      <c r="HA709" s="157"/>
      <c r="HB709" s="157"/>
      <c r="HC709" s="157"/>
      <c r="HD709" s="157"/>
      <c r="HE709" s="157"/>
      <c r="HF709" s="157"/>
      <c r="HG709" s="157"/>
      <c r="HH709" s="157"/>
      <c r="HI709" s="157"/>
      <c r="HJ709" s="157"/>
      <c r="HK709" s="157"/>
      <c r="HL709" s="157"/>
      <c r="HM709" s="157"/>
      <c r="HN709" s="157"/>
      <c r="HO709" s="157"/>
      <c r="HP709" s="157"/>
      <c r="HQ709" s="157"/>
      <c r="HR709" s="157"/>
      <c r="HS709" s="157"/>
      <c r="HT709" s="157"/>
      <c r="HU709" s="157"/>
      <c r="HV709" s="157"/>
      <c r="HW709" s="157"/>
      <c r="HX709" s="157"/>
      <c r="HY709" s="157"/>
      <c r="HZ709" s="157"/>
      <c r="IA709" s="157"/>
      <c r="IB709" s="157"/>
      <c r="IC709" s="157"/>
      <c r="ID709" s="157"/>
      <c r="IE709" s="157"/>
      <c r="IF709" s="157"/>
      <c r="IG709" s="157"/>
      <c r="IH709" s="157"/>
      <c r="II709" s="157"/>
      <c r="IJ709" s="157"/>
      <c r="IK709" s="157"/>
      <c r="IL709" s="157"/>
      <c r="IM709" s="157"/>
      <c r="IN709" s="157"/>
      <c r="IO709" s="157"/>
      <c r="IP709" s="157"/>
      <c r="IQ709" s="157"/>
      <c r="IR709" s="157"/>
      <c r="IS709" s="157"/>
      <c r="IT709" s="157"/>
      <c r="IU709" s="157"/>
      <c r="IV709" s="157"/>
      <c r="IW709" s="157"/>
    </row>
    <row r="710" customFormat="false" ht="18" hidden="false" customHeight="false" outlineLevel="0" collapsed="false">
      <c r="A710" s="181"/>
      <c r="B710" s="267"/>
      <c r="C710" s="268"/>
      <c r="D710" s="152"/>
      <c r="E710" s="153"/>
      <c r="F710" s="154"/>
      <c r="G710" s="154"/>
      <c r="H710" s="154"/>
      <c r="I710" s="155"/>
      <c r="J710" s="156"/>
      <c r="K710" s="270"/>
      <c r="L710" s="157"/>
      <c r="M710" s="270"/>
      <c r="N710" s="270"/>
      <c r="O710" s="270"/>
      <c r="P710" s="270"/>
      <c r="Q710" s="270"/>
      <c r="R710" s="157"/>
      <c r="S710" s="157"/>
      <c r="T710" s="271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  <c r="CE710" s="157"/>
      <c r="CF710" s="157"/>
      <c r="CG710" s="157"/>
      <c r="CH710" s="157"/>
      <c r="CI710" s="157"/>
      <c r="CJ710" s="157"/>
      <c r="CK710" s="157"/>
      <c r="CL710" s="157"/>
      <c r="CM710" s="157"/>
      <c r="CN710" s="157"/>
      <c r="CO710" s="157"/>
      <c r="CP710" s="157"/>
      <c r="CQ710" s="157"/>
      <c r="CR710" s="157"/>
      <c r="CS710" s="157"/>
      <c r="CT710" s="157"/>
      <c r="CU710" s="157"/>
      <c r="CV710" s="157"/>
      <c r="CW710" s="157"/>
      <c r="CX710" s="157"/>
      <c r="CY710" s="157"/>
      <c r="CZ710" s="157"/>
      <c r="DA710" s="157"/>
      <c r="DB710" s="157"/>
      <c r="DC710" s="157"/>
      <c r="DD710" s="157"/>
      <c r="DE710" s="157"/>
      <c r="DF710" s="157"/>
      <c r="DG710" s="157"/>
      <c r="DH710" s="157"/>
      <c r="DI710" s="157"/>
      <c r="DJ710" s="157"/>
      <c r="DK710" s="157"/>
      <c r="DL710" s="157"/>
      <c r="DM710" s="157"/>
      <c r="DN710" s="157"/>
      <c r="DO710" s="157"/>
      <c r="DP710" s="157"/>
      <c r="DQ710" s="157"/>
      <c r="DR710" s="157"/>
      <c r="DS710" s="157"/>
      <c r="DT710" s="157"/>
      <c r="DU710" s="157"/>
      <c r="DV710" s="157"/>
      <c r="DW710" s="157"/>
      <c r="DX710" s="157"/>
      <c r="DY710" s="157"/>
      <c r="DZ710" s="157"/>
      <c r="EA710" s="157"/>
      <c r="EB710" s="157"/>
      <c r="EC710" s="157"/>
      <c r="ED710" s="157"/>
      <c r="EE710" s="157"/>
      <c r="EF710" s="157"/>
      <c r="EG710" s="157"/>
      <c r="EH710" s="157"/>
      <c r="EI710" s="157"/>
      <c r="EJ710" s="157"/>
      <c r="EK710" s="157"/>
      <c r="EL710" s="157"/>
      <c r="EM710" s="157"/>
      <c r="EN710" s="157"/>
      <c r="EO710" s="157"/>
      <c r="EP710" s="157"/>
      <c r="EQ710" s="157"/>
      <c r="ER710" s="157"/>
      <c r="ES710" s="157"/>
      <c r="ET710" s="157"/>
      <c r="EU710" s="157"/>
      <c r="EV710" s="157"/>
      <c r="EW710" s="157"/>
      <c r="EX710" s="157"/>
      <c r="EY710" s="157"/>
      <c r="EZ710" s="157"/>
      <c r="FA710" s="157"/>
      <c r="FB710" s="157"/>
      <c r="FC710" s="157"/>
      <c r="FD710" s="157"/>
      <c r="FE710" s="157"/>
      <c r="FF710" s="157"/>
      <c r="FG710" s="157"/>
      <c r="FH710" s="157"/>
      <c r="FI710" s="157"/>
      <c r="FJ710" s="157"/>
      <c r="FK710" s="157"/>
      <c r="FL710" s="157"/>
      <c r="FM710" s="157"/>
      <c r="FN710" s="157"/>
      <c r="FO710" s="157"/>
      <c r="FP710" s="157"/>
      <c r="FQ710" s="157"/>
      <c r="FR710" s="157"/>
      <c r="FS710" s="157"/>
      <c r="FT710" s="157"/>
      <c r="FU710" s="157"/>
      <c r="FV710" s="157"/>
      <c r="FW710" s="157"/>
      <c r="FX710" s="157"/>
      <c r="FY710" s="157"/>
      <c r="FZ710" s="157"/>
      <c r="GA710" s="157"/>
      <c r="GB710" s="157"/>
      <c r="GC710" s="157"/>
      <c r="GD710" s="157"/>
      <c r="GE710" s="157"/>
      <c r="GF710" s="157"/>
      <c r="GG710" s="157"/>
      <c r="GH710" s="157"/>
      <c r="GI710" s="157"/>
      <c r="GJ710" s="157"/>
      <c r="GK710" s="157"/>
      <c r="GL710" s="157"/>
      <c r="GM710" s="157"/>
      <c r="GN710" s="157"/>
      <c r="GO710" s="157"/>
      <c r="GP710" s="157"/>
      <c r="GQ710" s="157"/>
      <c r="GR710" s="157"/>
      <c r="GS710" s="157"/>
      <c r="GT710" s="157"/>
      <c r="GU710" s="157"/>
      <c r="GV710" s="157"/>
      <c r="GW710" s="157"/>
      <c r="GX710" s="157"/>
      <c r="GY710" s="157"/>
      <c r="GZ710" s="157"/>
      <c r="HA710" s="157"/>
      <c r="HB710" s="157"/>
      <c r="HC710" s="157"/>
      <c r="HD710" s="157"/>
      <c r="HE710" s="157"/>
      <c r="HF710" s="157"/>
      <c r="HG710" s="157"/>
      <c r="HH710" s="157"/>
      <c r="HI710" s="157"/>
      <c r="HJ710" s="157"/>
      <c r="HK710" s="157"/>
      <c r="HL710" s="157"/>
      <c r="HM710" s="157"/>
      <c r="HN710" s="157"/>
      <c r="HO710" s="157"/>
      <c r="HP710" s="157"/>
      <c r="HQ710" s="157"/>
      <c r="HR710" s="157"/>
      <c r="HS710" s="157"/>
      <c r="HT710" s="157"/>
      <c r="HU710" s="157"/>
      <c r="HV710" s="157"/>
      <c r="HW710" s="157"/>
      <c r="HX710" s="157"/>
      <c r="HY710" s="157"/>
      <c r="HZ710" s="157"/>
      <c r="IA710" s="157"/>
      <c r="IB710" s="157"/>
      <c r="IC710" s="157"/>
      <c r="ID710" s="157"/>
      <c r="IE710" s="157"/>
      <c r="IF710" s="157"/>
      <c r="IG710" s="157"/>
      <c r="IH710" s="157"/>
      <c r="II710" s="157"/>
      <c r="IJ710" s="157"/>
      <c r="IK710" s="157"/>
      <c r="IL710" s="157"/>
      <c r="IM710" s="157"/>
      <c r="IN710" s="157"/>
      <c r="IO710" s="157"/>
      <c r="IP710" s="157"/>
      <c r="IQ710" s="157"/>
      <c r="IR710" s="157"/>
      <c r="IS710" s="157"/>
      <c r="IT710" s="157"/>
      <c r="IU710" s="157"/>
      <c r="IV710" s="157"/>
      <c r="IW710" s="157"/>
    </row>
    <row r="711" customFormat="false" ht="18" hidden="false" customHeight="false" outlineLevel="0" collapsed="false">
      <c r="A711" s="181"/>
      <c r="B711" s="211"/>
      <c r="C711" s="268"/>
      <c r="D711" s="152"/>
      <c r="E711" s="153"/>
      <c r="F711" s="154"/>
      <c r="G711" s="154"/>
      <c r="H711" s="154"/>
      <c r="I711" s="155"/>
      <c r="J711" s="156"/>
      <c r="K711" s="270"/>
      <c r="L711" s="157"/>
      <c r="M711" s="270"/>
      <c r="N711" s="270"/>
      <c r="O711" s="270"/>
      <c r="P711" s="270"/>
      <c r="Q711" s="270"/>
      <c r="R711" s="157"/>
      <c r="S711" s="157"/>
      <c r="T711" s="271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  <c r="CE711" s="157"/>
      <c r="CF711" s="157"/>
      <c r="CG711" s="157"/>
      <c r="CH711" s="157"/>
      <c r="CI711" s="157"/>
      <c r="CJ711" s="157"/>
      <c r="CK711" s="157"/>
      <c r="CL711" s="157"/>
      <c r="CM711" s="157"/>
      <c r="CN711" s="157"/>
      <c r="CO711" s="157"/>
      <c r="CP711" s="157"/>
      <c r="CQ711" s="157"/>
      <c r="CR711" s="157"/>
      <c r="CS711" s="157"/>
      <c r="CT711" s="157"/>
      <c r="CU711" s="157"/>
      <c r="CV711" s="157"/>
      <c r="CW711" s="157"/>
      <c r="CX711" s="157"/>
      <c r="CY711" s="157"/>
      <c r="CZ711" s="157"/>
      <c r="DA711" s="157"/>
      <c r="DB711" s="157"/>
      <c r="DC711" s="157"/>
      <c r="DD711" s="157"/>
      <c r="DE711" s="157"/>
      <c r="DF711" s="157"/>
      <c r="DG711" s="157"/>
      <c r="DH711" s="157"/>
      <c r="DI711" s="157"/>
      <c r="DJ711" s="157"/>
      <c r="DK711" s="157"/>
      <c r="DL711" s="157"/>
      <c r="DM711" s="157"/>
      <c r="DN711" s="157"/>
      <c r="DO711" s="157"/>
      <c r="DP711" s="157"/>
      <c r="DQ711" s="157"/>
      <c r="DR711" s="157"/>
      <c r="DS711" s="157"/>
      <c r="DT711" s="157"/>
      <c r="DU711" s="157"/>
      <c r="DV711" s="157"/>
      <c r="DW711" s="157"/>
      <c r="DX711" s="157"/>
      <c r="DY711" s="157"/>
      <c r="DZ711" s="157"/>
      <c r="EA711" s="157"/>
      <c r="EB711" s="157"/>
      <c r="EC711" s="157"/>
      <c r="ED711" s="157"/>
      <c r="EE711" s="157"/>
      <c r="EF711" s="157"/>
      <c r="EG711" s="157"/>
      <c r="EH711" s="157"/>
      <c r="EI711" s="157"/>
      <c r="EJ711" s="157"/>
      <c r="EK711" s="157"/>
      <c r="EL711" s="157"/>
      <c r="EM711" s="157"/>
      <c r="EN711" s="157"/>
      <c r="EO711" s="157"/>
      <c r="EP711" s="157"/>
      <c r="EQ711" s="157"/>
      <c r="ER711" s="157"/>
      <c r="ES711" s="157"/>
      <c r="ET711" s="157"/>
      <c r="EU711" s="157"/>
      <c r="EV711" s="157"/>
      <c r="EW711" s="157"/>
      <c r="EX711" s="157"/>
      <c r="EY711" s="157"/>
      <c r="EZ711" s="157"/>
      <c r="FA711" s="157"/>
      <c r="FB711" s="157"/>
      <c r="FC711" s="157"/>
      <c r="FD711" s="157"/>
      <c r="FE711" s="157"/>
      <c r="FF711" s="157"/>
      <c r="FG711" s="157"/>
      <c r="FH711" s="157"/>
      <c r="FI711" s="157"/>
      <c r="FJ711" s="157"/>
      <c r="FK711" s="157"/>
      <c r="FL711" s="157"/>
      <c r="FM711" s="157"/>
      <c r="FN711" s="157"/>
      <c r="FO711" s="157"/>
      <c r="FP711" s="157"/>
      <c r="FQ711" s="157"/>
      <c r="FR711" s="157"/>
      <c r="FS711" s="157"/>
      <c r="FT711" s="157"/>
      <c r="FU711" s="157"/>
      <c r="FV711" s="157"/>
      <c r="FW711" s="157"/>
      <c r="FX711" s="157"/>
      <c r="FY711" s="157"/>
      <c r="FZ711" s="157"/>
      <c r="GA711" s="157"/>
      <c r="GB711" s="157"/>
      <c r="GC711" s="157"/>
      <c r="GD711" s="157"/>
      <c r="GE711" s="157"/>
      <c r="GF711" s="157"/>
      <c r="GG711" s="157"/>
      <c r="GH711" s="157"/>
      <c r="GI711" s="157"/>
      <c r="GJ711" s="157"/>
      <c r="GK711" s="157"/>
      <c r="GL711" s="157"/>
      <c r="GM711" s="157"/>
      <c r="GN711" s="157"/>
      <c r="GO711" s="157"/>
      <c r="GP711" s="157"/>
      <c r="GQ711" s="157"/>
      <c r="GR711" s="157"/>
      <c r="GS711" s="157"/>
      <c r="GT711" s="157"/>
      <c r="GU711" s="157"/>
      <c r="GV711" s="157"/>
      <c r="GW711" s="157"/>
      <c r="GX711" s="157"/>
      <c r="GY711" s="157"/>
      <c r="GZ711" s="157"/>
      <c r="HA711" s="157"/>
      <c r="HB711" s="157"/>
      <c r="HC711" s="157"/>
      <c r="HD711" s="157"/>
      <c r="HE711" s="157"/>
      <c r="HF711" s="157"/>
      <c r="HG711" s="157"/>
      <c r="HH711" s="157"/>
      <c r="HI711" s="157"/>
      <c r="HJ711" s="157"/>
      <c r="HK711" s="157"/>
      <c r="HL711" s="157"/>
      <c r="HM711" s="157"/>
      <c r="HN711" s="157"/>
      <c r="HO711" s="157"/>
      <c r="HP711" s="157"/>
      <c r="HQ711" s="157"/>
      <c r="HR711" s="157"/>
      <c r="HS711" s="157"/>
      <c r="HT711" s="157"/>
      <c r="HU711" s="157"/>
      <c r="HV711" s="157"/>
      <c r="HW711" s="157"/>
      <c r="HX711" s="157"/>
      <c r="HY711" s="157"/>
      <c r="HZ711" s="157"/>
      <c r="IA711" s="157"/>
      <c r="IB711" s="157"/>
      <c r="IC711" s="157"/>
      <c r="ID711" s="157"/>
      <c r="IE711" s="157"/>
      <c r="IF711" s="157"/>
      <c r="IG711" s="157"/>
      <c r="IH711" s="157"/>
      <c r="II711" s="157"/>
      <c r="IJ711" s="157"/>
      <c r="IK711" s="157"/>
      <c r="IL711" s="157"/>
      <c r="IM711" s="157"/>
      <c r="IN711" s="157"/>
      <c r="IO711" s="157"/>
      <c r="IP711" s="157"/>
      <c r="IQ711" s="157"/>
      <c r="IR711" s="157"/>
      <c r="IS711" s="157"/>
      <c r="IT711" s="157"/>
      <c r="IU711" s="157"/>
      <c r="IV711" s="157"/>
      <c r="IW711" s="157"/>
    </row>
    <row r="712" customFormat="false" ht="18" hidden="false" customHeight="false" outlineLevel="0" collapsed="false">
      <c r="A712" s="181"/>
      <c r="B712" s="251"/>
      <c r="C712" s="268"/>
      <c r="D712" s="92"/>
      <c r="E712" s="189"/>
      <c r="F712" s="272"/>
      <c r="G712" s="272"/>
      <c r="H712" s="272"/>
      <c r="I712" s="273"/>
      <c r="J712" s="118"/>
      <c r="K712" s="74"/>
      <c r="L712" s="74"/>
      <c r="M712" s="74"/>
      <c r="N712" s="74"/>
      <c r="O712" s="74"/>
      <c r="P712" s="74"/>
      <c r="Q712" s="74"/>
      <c r="R712" s="74"/>
      <c r="S712" s="74"/>
      <c r="T712" s="274"/>
      <c r="U712" s="74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74"/>
      <c r="AJ712" s="74"/>
      <c r="AK712" s="74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4"/>
      <c r="AZ712" s="74"/>
      <c r="BA712" s="74"/>
      <c r="BB712" s="74"/>
      <c r="BC712" s="74"/>
      <c r="BD712" s="74"/>
      <c r="BE712" s="74"/>
      <c r="BF712" s="74"/>
      <c r="BG712" s="74"/>
      <c r="BH712" s="74"/>
      <c r="BI712" s="74"/>
      <c r="BJ712" s="74"/>
      <c r="BK712" s="74"/>
      <c r="BL712" s="74"/>
      <c r="BM712" s="74"/>
      <c r="BN712" s="74"/>
      <c r="BO712" s="74"/>
      <c r="BP712" s="74"/>
      <c r="BQ712" s="74"/>
      <c r="BR712" s="74"/>
      <c r="BS712" s="74"/>
      <c r="BT712" s="74"/>
      <c r="BU712" s="74"/>
      <c r="BV712" s="74"/>
      <c r="BW712" s="74"/>
      <c r="BX712" s="74"/>
      <c r="BY712" s="74"/>
      <c r="BZ712" s="74"/>
      <c r="CA712" s="74"/>
      <c r="CB712" s="74"/>
      <c r="CC712" s="74"/>
      <c r="CD712" s="74"/>
      <c r="CE712" s="74"/>
      <c r="CF712" s="74"/>
      <c r="CG712" s="74"/>
      <c r="CH712" s="74"/>
      <c r="CI712" s="74"/>
      <c r="CJ712" s="74"/>
      <c r="CK712" s="74"/>
      <c r="CL712" s="74"/>
      <c r="CM712" s="74"/>
      <c r="CN712" s="74"/>
      <c r="CO712" s="74"/>
      <c r="CP712" s="74"/>
      <c r="CQ712" s="74"/>
      <c r="CR712" s="74"/>
      <c r="CS712" s="74"/>
      <c r="CT712" s="74"/>
      <c r="CU712" s="74"/>
      <c r="CV712" s="74"/>
      <c r="CW712" s="74"/>
      <c r="CX712" s="74"/>
      <c r="CY712" s="74"/>
      <c r="CZ712" s="74"/>
      <c r="DA712" s="74"/>
      <c r="DB712" s="74"/>
      <c r="DC712" s="74"/>
      <c r="DD712" s="74"/>
      <c r="DE712" s="74"/>
      <c r="DF712" s="74"/>
      <c r="DG712" s="74"/>
      <c r="DH712" s="74"/>
      <c r="DI712" s="74"/>
      <c r="DJ712" s="74"/>
      <c r="DK712" s="74"/>
      <c r="DL712" s="74"/>
      <c r="DM712" s="74"/>
      <c r="DN712" s="74"/>
      <c r="DO712" s="74"/>
      <c r="DP712" s="74"/>
      <c r="DQ712" s="74"/>
      <c r="DR712" s="74"/>
      <c r="DS712" s="74"/>
      <c r="DT712" s="74"/>
      <c r="DU712" s="74"/>
      <c r="DV712" s="74"/>
      <c r="DW712" s="74"/>
      <c r="DX712" s="74"/>
      <c r="DY712" s="74"/>
      <c r="DZ712" s="74"/>
      <c r="EA712" s="74"/>
      <c r="EB712" s="74"/>
      <c r="EC712" s="74"/>
      <c r="ED712" s="74"/>
      <c r="EE712" s="74"/>
      <c r="EF712" s="74"/>
      <c r="EG712" s="74"/>
      <c r="EH712" s="74"/>
      <c r="EI712" s="74"/>
      <c r="EJ712" s="74"/>
      <c r="EK712" s="74"/>
      <c r="EL712" s="74"/>
      <c r="EM712" s="74"/>
      <c r="EN712" s="74"/>
      <c r="EO712" s="74"/>
      <c r="EP712" s="74"/>
      <c r="EQ712" s="74"/>
      <c r="ER712" s="74"/>
      <c r="ES712" s="74"/>
      <c r="ET712" s="74"/>
      <c r="EU712" s="74"/>
      <c r="EV712" s="74"/>
      <c r="EW712" s="74"/>
      <c r="EX712" s="74"/>
      <c r="EY712" s="74"/>
      <c r="EZ712" s="74"/>
      <c r="FA712" s="74"/>
      <c r="FB712" s="74"/>
      <c r="FC712" s="74"/>
      <c r="FD712" s="74"/>
      <c r="FE712" s="74"/>
      <c r="FF712" s="74"/>
      <c r="FG712" s="74"/>
      <c r="FH712" s="74"/>
      <c r="FI712" s="74"/>
      <c r="FJ712" s="74"/>
      <c r="FK712" s="74"/>
      <c r="FL712" s="74"/>
      <c r="FM712" s="74"/>
      <c r="FN712" s="74"/>
      <c r="FO712" s="74"/>
      <c r="FP712" s="74"/>
      <c r="FQ712" s="74"/>
      <c r="FR712" s="74"/>
      <c r="FS712" s="74"/>
      <c r="FT712" s="74"/>
      <c r="FU712" s="74"/>
      <c r="FV712" s="74"/>
      <c r="FW712" s="74"/>
      <c r="FX712" s="74"/>
      <c r="FY712" s="74"/>
      <c r="FZ712" s="74"/>
      <c r="GA712" s="74"/>
      <c r="GB712" s="74"/>
      <c r="GC712" s="74"/>
      <c r="GD712" s="74"/>
      <c r="GE712" s="74"/>
      <c r="GF712" s="74"/>
      <c r="GG712" s="74"/>
      <c r="GH712" s="74"/>
      <c r="GI712" s="74"/>
      <c r="GJ712" s="74"/>
      <c r="GK712" s="74"/>
      <c r="GL712" s="74"/>
      <c r="GM712" s="74"/>
      <c r="GN712" s="74"/>
      <c r="GO712" s="74"/>
      <c r="GP712" s="74"/>
      <c r="GQ712" s="74"/>
      <c r="GR712" s="74"/>
      <c r="GS712" s="74"/>
      <c r="GT712" s="74"/>
      <c r="GU712" s="74"/>
      <c r="GV712" s="74"/>
      <c r="GW712" s="74"/>
      <c r="GX712" s="74"/>
      <c r="GY712" s="74"/>
      <c r="GZ712" s="74"/>
      <c r="HA712" s="74"/>
      <c r="HB712" s="74"/>
      <c r="HC712" s="74"/>
      <c r="HD712" s="74"/>
      <c r="HE712" s="74"/>
      <c r="HF712" s="74"/>
      <c r="HG712" s="74"/>
      <c r="HH712" s="74"/>
      <c r="HI712" s="74"/>
      <c r="HJ712" s="74"/>
      <c r="HK712" s="74"/>
      <c r="HL712" s="74"/>
      <c r="HM712" s="74"/>
      <c r="HN712" s="74"/>
      <c r="HO712" s="74"/>
      <c r="HP712" s="74"/>
      <c r="HQ712" s="74"/>
      <c r="HR712" s="74"/>
      <c r="HS712" s="74"/>
      <c r="HT712" s="74"/>
      <c r="HU712" s="74"/>
      <c r="HV712" s="74"/>
      <c r="HW712" s="74"/>
      <c r="HX712" s="74"/>
      <c r="HY712" s="74"/>
      <c r="HZ712" s="74"/>
      <c r="IA712" s="74"/>
      <c r="IB712" s="74"/>
      <c r="IC712" s="74"/>
      <c r="ID712" s="74"/>
      <c r="IE712" s="74"/>
      <c r="IF712" s="74"/>
      <c r="IG712" s="74"/>
      <c r="IH712" s="74"/>
      <c r="II712" s="74"/>
      <c r="IJ712" s="74"/>
      <c r="IK712" s="74"/>
      <c r="IL712" s="74"/>
      <c r="IM712" s="74"/>
      <c r="IN712" s="74"/>
      <c r="IO712" s="74"/>
      <c r="IP712" s="74"/>
      <c r="IQ712" s="74"/>
      <c r="IR712" s="74"/>
      <c r="IS712" s="74"/>
      <c r="IT712" s="74"/>
      <c r="IU712" s="74"/>
      <c r="IV712" s="74"/>
      <c r="IW712" s="74"/>
    </row>
    <row r="713" customFormat="false" ht="18" hidden="false" customHeight="false" outlineLevel="0" collapsed="false">
      <c r="A713" s="275"/>
      <c r="B713" s="251"/>
      <c r="C713" s="268"/>
      <c r="D713" s="92"/>
      <c r="E713" s="189"/>
      <c r="F713" s="272"/>
      <c r="G713" s="272"/>
      <c r="H713" s="272"/>
      <c r="I713" s="273"/>
      <c r="J713" s="118"/>
      <c r="K713" s="74"/>
      <c r="L713" s="74"/>
      <c r="M713" s="74"/>
      <c r="N713" s="74"/>
      <c r="O713" s="74"/>
      <c r="P713" s="74"/>
      <c r="Q713" s="74"/>
      <c r="R713" s="74"/>
      <c r="S713" s="74"/>
      <c r="T713" s="274"/>
      <c r="U713" s="74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74"/>
      <c r="AJ713" s="74"/>
      <c r="AK713" s="74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4"/>
      <c r="AZ713" s="74"/>
      <c r="BA713" s="74"/>
      <c r="BB713" s="74"/>
      <c r="BC713" s="74"/>
      <c r="BD713" s="74"/>
      <c r="BE713" s="74"/>
      <c r="BF713" s="74"/>
      <c r="BG713" s="74"/>
      <c r="BH713" s="74"/>
      <c r="BI713" s="74"/>
      <c r="BJ713" s="74"/>
      <c r="BK713" s="74"/>
      <c r="BL713" s="74"/>
      <c r="BM713" s="74"/>
      <c r="BN713" s="74"/>
      <c r="BO713" s="74"/>
      <c r="BP713" s="74"/>
      <c r="BQ713" s="74"/>
      <c r="BR713" s="74"/>
      <c r="BS713" s="74"/>
      <c r="BT713" s="74"/>
      <c r="BU713" s="74"/>
      <c r="BV713" s="74"/>
      <c r="BW713" s="74"/>
      <c r="BX713" s="74"/>
      <c r="BY713" s="74"/>
      <c r="BZ713" s="74"/>
      <c r="CA713" s="74"/>
      <c r="CB713" s="74"/>
      <c r="CC713" s="74"/>
      <c r="CD713" s="74"/>
      <c r="CE713" s="74"/>
      <c r="CF713" s="74"/>
      <c r="CG713" s="74"/>
      <c r="CH713" s="74"/>
      <c r="CI713" s="74"/>
      <c r="CJ713" s="74"/>
      <c r="CK713" s="74"/>
      <c r="CL713" s="74"/>
      <c r="CM713" s="74"/>
      <c r="CN713" s="74"/>
      <c r="CO713" s="74"/>
      <c r="CP713" s="74"/>
      <c r="CQ713" s="74"/>
      <c r="CR713" s="74"/>
      <c r="CS713" s="74"/>
      <c r="CT713" s="74"/>
      <c r="CU713" s="74"/>
      <c r="CV713" s="74"/>
      <c r="CW713" s="74"/>
      <c r="CX713" s="74"/>
      <c r="CY713" s="74"/>
      <c r="CZ713" s="74"/>
      <c r="DA713" s="74"/>
      <c r="DB713" s="74"/>
      <c r="DC713" s="74"/>
      <c r="DD713" s="74"/>
      <c r="DE713" s="74"/>
      <c r="DF713" s="74"/>
      <c r="DG713" s="74"/>
      <c r="DH713" s="74"/>
      <c r="DI713" s="74"/>
      <c r="DJ713" s="74"/>
      <c r="DK713" s="74"/>
      <c r="DL713" s="74"/>
      <c r="DM713" s="74"/>
      <c r="DN713" s="74"/>
      <c r="DO713" s="74"/>
      <c r="DP713" s="74"/>
      <c r="DQ713" s="74"/>
      <c r="DR713" s="74"/>
      <c r="DS713" s="74"/>
      <c r="DT713" s="74"/>
      <c r="DU713" s="74"/>
      <c r="DV713" s="74"/>
      <c r="DW713" s="74"/>
      <c r="DX713" s="74"/>
      <c r="DY713" s="74"/>
      <c r="DZ713" s="74"/>
      <c r="EA713" s="74"/>
      <c r="EB713" s="74"/>
      <c r="EC713" s="74"/>
      <c r="ED713" s="74"/>
      <c r="EE713" s="74"/>
      <c r="EF713" s="74"/>
      <c r="EG713" s="74"/>
      <c r="EH713" s="74"/>
      <c r="EI713" s="74"/>
      <c r="EJ713" s="74"/>
      <c r="EK713" s="74"/>
      <c r="EL713" s="74"/>
      <c r="EM713" s="74"/>
      <c r="EN713" s="74"/>
      <c r="EO713" s="74"/>
      <c r="EP713" s="74"/>
      <c r="EQ713" s="74"/>
      <c r="ER713" s="74"/>
      <c r="ES713" s="74"/>
      <c r="ET713" s="74"/>
      <c r="EU713" s="74"/>
      <c r="EV713" s="74"/>
      <c r="EW713" s="74"/>
      <c r="EX713" s="74"/>
      <c r="EY713" s="74"/>
      <c r="EZ713" s="74"/>
      <c r="FA713" s="74"/>
      <c r="FB713" s="74"/>
      <c r="FC713" s="74"/>
      <c r="FD713" s="74"/>
      <c r="FE713" s="74"/>
      <c r="FF713" s="74"/>
      <c r="FG713" s="74"/>
      <c r="FH713" s="74"/>
      <c r="FI713" s="74"/>
      <c r="FJ713" s="74"/>
      <c r="FK713" s="74"/>
      <c r="FL713" s="74"/>
      <c r="FM713" s="74"/>
      <c r="FN713" s="74"/>
      <c r="FO713" s="74"/>
      <c r="FP713" s="74"/>
      <c r="FQ713" s="74"/>
      <c r="FR713" s="74"/>
      <c r="FS713" s="74"/>
      <c r="FT713" s="74"/>
      <c r="FU713" s="74"/>
      <c r="FV713" s="74"/>
      <c r="FW713" s="74"/>
      <c r="FX713" s="74"/>
      <c r="FY713" s="74"/>
      <c r="FZ713" s="74"/>
      <c r="GA713" s="74"/>
      <c r="GB713" s="74"/>
      <c r="GC713" s="74"/>
      <c r="GD713" s="74"/>
      <c r="GE713" s="74"/>
      <c r="GF713" s="74"/>
      <c r="GG713" s="74"/>
      <c r="GH713" s="74"/>
      <c r="GI713" s="74"/>
      <c r="GJ713" s="74"/>
      <c r="GK713" s="74"/>
      <c r="GL713" s="74"/>
      <c r="GM713" s="74"/>
      <c r="GN713" s="74"/>
      <c r="GO713" s="74"/>
      <c r="GP713" s="74"/>
      <c r="GQ713" s="74"/>
      <c r="GR713" s="74"/>
      <c r="GS713" s="74"/>
      <c r="GT713" s="74"/>
      <c r="GU713" s="74"/>
      <c r="GV713" s="74"/>
      <c r="GW713" s="74"/>
      <c r="GX713" s="74"/>
      <c r="GY713" s="74"/>
      <c r="GZ713" s="74"/>
      <c r="HA713" s="74"/>
      <c r="HB713" s="74"/>
      <c r="HC713" s="74"/>
      <c r="HD713" s="74"/>
      <c r="HE713" s="74"/>
      <c r="HF713" s="74"/>
      <c r="HG713" s="74"/>
      <c r="HH713" s="74"/>
      <c r="HI713" s="74"/>
      <c r="HJ713" s="74"/>
      <c r="HK713" s="74"/>
      <c r="HL713" s="74"/>
      <c r="HM713" s="74"/>
      <c r="HN713" s="74"/>
      <c r="HO713" s="74"/>
      <c r="HP713" s="74"/>
      <c r="HQ713" s="74"/>
      <c r="HR713" s="74"/>
      <c r="HS713" s="74"/>
      <c r="HT713" s="74"/>
      <c r="HU713" s="74"/>
      <c r="HV713" s="74"/>
      <c r="HW713" s="74"/>
      <c r="HX713" s="74"/>
      <c r="HY713" s="74"/>
      <c r="HZ713" s="74"/>
      <c r="IA713" s="74"/>
      <c r="IB713" s="74"/>
      <c r="IC713" s="74"/>
      <c r="ID713" s="74"/>
      <c r="IE713" s="74"/>
      <c r="IF713" s="74"/>
      <c r="IG713" s="74"/>
      <c r="IH713" s="74"/>
      <c r="II713" s="74"/>
      <c r="IJ713" s="74"/>
      <c r="IK713" s="74"/>
      <c r="IL713" s="74"/>
      <c r="IM713" s="74"/>
      <c r="IN713" s="74"/>
      <c r="IO713" s="74"/>
      <c r="IP713" s="74"/>
      <c r="IQ713" s="74"/>
      <c r="IR713" s="74"/>
      <c r="IS713" s="74"/>
      <c r="IT713" s="74"/>
      <c r="IU713" s="74"/>
      <c r="IV713" s="74"/>
      <c r="IW713" s="74"/>
    </row>
    <row r="714" customFormat="false" ht="18" hidden="false" customHeight="false" outlineLevel="0" collapsed="false">
      <c r="A714" s="196" t="s">
        <v>676</v>
      </c>
      <c r="B714" s="195"/>
      <c r="C714" s="183"/>
      <c r="D714" s="276" t="n">
        <f aca="false">SUM(D712)</f>
        <v>0</v>
      </c>
      <c r="E714" s="245" t="n">
        <f aca="false">SUM(E712:E713)</f>
        <v>0</v>
      </c>
      <c r="F714" s="246" t="n">
        <f aca="false">SUM(F712:F713)</f>
        <v>0</v>
      </c>
      <c r="G714" s="246" t="n">
        <f aca="false">SUM(G712:G713)</f>
        <v>0</v>
      </c>
      <c r="H714" s="246" t="n">
        <f aca="false">SUM(H712:H713)</f>
        <v>0</v>
      </c>
      <c r="I714" s="207" t="n">
        <f aca="false">SUM(I712:I713)</f>
        <v>0</v>
      </c>
      <c r="J714" s="156"/>
      <c r="K714" s="74"/>
      <c r="L714" s="74"/>
      <c r="M714" s="74"/>
      <c r="N714" s="74"/>
      <c r="O714" s="74"/>
      <c r="P714" s="74"/>
      <c r="Q714" s="74"/>
      <c r="R714" s="74"/>
      <c r="S714" s="74"/>
      <c r="T714" s="274"/>
      <c r="U714" s="74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74"/>
      <c r="AJ714" s="74"/>
      <c r="AK714" s="74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4"/>
      <c r="AZ714" s="74"/>
      <c r="BA714" s="74"/>
      <c r="BB714" s="74"/>
      <c r="BC714" s="74"/>
      <c r="BD714" s="74"/>
      <c r="BE714" s="74"/>
      <c r="BF714" s="74"/>
      <c r="BG714" s="74"/>
      <c r="BH714" s="74"/>
      <c r="BI714" s="74"/>
      <c r="BJ714" s="74"/>
      <c r="BK714" s="74"/>
      <c r="BL714" s="74"/>
      <c r="BM714" s="74"/>
      <c r="BN714" s="74"/>
      <c r="BO714" s="74"/>
      <c r="BP714" s="74"/>
      <c r="BQ714" s="74"/>
      <c r="BR714" s="74"/>
      <c r="BS714" s="74"/>
      <c r="BT714" s="74"/>
      <c r="BU714" s="74"/>
      <c r="BV714" s="74"/>
      <c r="BW714" s="74"/>
      <c r="BX714" s="74"/>
      <c r="BY714" s="74"/>
      <c r="BZ714" s="74"/>
      <c r="CA714" s="74"/>
      <c r="CB714" s="74"/>
      <c r="CC714" s="74"/>
      <c r="CD714" s="74"/>
      <c r="CE714" s="74"/>
      <c r="CF714" s="74"/>
      <c r="CG714" s="74"/>
      <c r="CH714" s="74"/>
      <c r="CI714" s="74"/>
      <c r="CJ714" s="74"/>
      <c r="CK714" s="74"/>
      <c r="CL714" s="74"/>
      <c r="CM714" s="74"/>
      <c r="CN714" s="74"/>
      <c r="CO714" s="74"/>
      <c r="CP714" s="74"/>
      <c r="CQ714" s="74"/>
      <c r="CR714" s="74"/>
      <c r="CS714" s="74"/>
      <c r="CT714" s="74"/>
      <c r="CU714" s="74"/>
      <c r="CV714" s="74"/>
      <c r="CW714" s="74"/>
      <c r="CX714" s="74"/>
      <c r="CY714" s="74"/>
      <c r="CZ714" s="74"/>
      <c r="DA714" s="74"/>
      <c r="DB714" s="74"/>
      <c r="DC714" s="74"/>
      <c r="DD714" s="74"/>
      <c r="DE714" s="74"/>
      <c r="DF714" s="74"/>
      <c r="DG714" s="74"/>
      <c r="DH714" s="74"/>
      <c r="DI714" s="74"/>
      <c r="DJ714" s="74"/>
      <c r="DK714" s="74"/>
      <c r="DL714" s="74"/>
      <c r="DM714" s="74"/>
      <c r="DN714" s="74"/>
      <c r="DO714" s="74"/>
      <c r="DP714" s="74"/>
      <c r="DQ714" s="74"/>
      <c r="DR714" s="74"/>
      <c r="DS714" s="74"/>
      <c r="DT714" s="74"/>
      <c r="DU714" s="74"/>
      <c r="DV714" s="74"/>
      <c r="DW714" s="74"/>
      <c r="DX714" s="74"/>
      <c r="DY714" s="74"/>
      <c r="DZ714" s="74"/>
      <c r="EA714" s="74"/>
      <c r="EB714" s="74"/>
      <c r="EC714" s="74"/>
      <c r="ED714" s="74"/>
      <c r="EE714" s="74"/>
      <c r="EF714" s="74"/>
      <c r="EG714" s="74"/>
      <c r="EH714" s="74"/>
      <c r="EI714" s="74"/>
      <c r="EJ714" s="74"/>
      <c r="EK714" s="74"/>
      <c r="EL714" s="74"/>
      <c r="EM714" s="74"/>
      <c r="EN714" s="74"/>
      <c r="EO714" s="74"/>
      <c r="EP714" s="74"/>
      <c r="EQ714" s="74"/>
      <c r="ER714" s="74"/>
      <c r="ES714" s="74"/>
      <c r="ET714" s="74"/>
      <c r="EU714" s="74"/>
      <c r="EV714" s="74"/>
      <c r="EW714" s="74"/>
      <c r="EX714" s="74"/>
      <c r="EY714" s="74"/>
      <c r="EZ714" s="74"/>
      <c r="FA714" s="74"/>
      <c r="FB714" s="74"/>
      <c r="FC714" s="74"/>
      <c r="FD714" s="74"/>
      <c r="FE714" s="74"/>
      <c r="FF714" s="74"/>
      <c r="FG714" s="74"/>
      <c r="FH714" s="74"/>
      <c r="FI714" s="74"/>
      <c r="FJ714" s="74"/>
      <c r="FK714" s="74"/>
      <c r="FL714" s="74"/>
      <c r="FM714" s="74"/>
      <c r="FN714" s="74"/>
      <c r="FO714" s="74"/>
      <c r="FP714" s="74"/>
      <c r="FQ714" s="74"/>
      <c r="FR714" s="74"/>
      <c r="FS714" s="74"/>
      <c r="FT714" s="74"/>
      <c r="FU714" s="74"/>
      <c r="FV714" s="74"/>
      <c r="FW714" s="74"/>
      <c r="FX714" s="74"/>
      <c r="FY714" s="74"/>
      <c r="FZ714" s="74"/>
      <c r="GA714" s="74"/>
      <c r="GB714" s="74"/>
      <c r="GC714" s="74"/>
      <c r="GD714" s="74"/>
      <c r="GE714" s="74"/>
      <c r="GF714" s="74"/>
      <c r="GG714" s="74"/>
      <c r="GH714" s="74"/>
      <c r="GI714" s="74"/>
      <c r="GJ714" s="74"/>
      <c r="GK714" s="74"/>
      <c r="GL714" s="74"/>
      <c r="GM714" s="74"/>
      <c r="GN714" s="74"/>
      <c r="GO714" s="74"/>
      <c r="GP714" s="74"/>
      <c r="GQ714" s="74"/>
      <c r="GR714" s="74"/>
      <c r="GS714" s="74"/>
      <c r="GT714" s="74"/>
      <c r="GU714" s="74"/>
      <c r="GV714" s="74"/>
      <c r="GW714" s="74"/>
      <c r="GX714" s="74"/>
      <c r="GY714" s="74"/>
      <c r="GZ714" s="74"/>
      <c r="HA714" s="74"/>
      <c r="HB714" s="74"/>
      <c r="HC714" s="74"/>
      <c r="HD714" s="74"/>
      <c r="HE714" s="74"/>
      <c r="HF714" s="74"/>
      <c r="HG714" s="74"/>
      <c r="HH714" s="74"/>
      <c r="HI714" s="74"/>
      <c r="HJ714" s="74"/>
      <c r="HK714" s="74"/>
      <c r="HL714" s="74"/>
      <c r="HM714" s="74"/>
      <c r="HN714" s="74"/>
      <c r="HO714" s="74"/>
      <c r="HP714" s="74"/>
      <c r="HQ714" s="74"/>
      <c r="HR714" s="74"/>
      <c r="HS714" s="74"/>
      <c r="HT714" s="74"/>
      <c r="HU714" s="74"/>
      <c r="HV714" s="74"/>
      <c r="HW714" s="74"/>
      <c r="HX714" s="74"/>
      <c r="HY714" s="74"/>
      <c r="HZ714" s="74"/>
      <c r="IA714" s="74"/>
      <c r="IB714" s="74"/>
      <c r="IC714" s="74"/>
      <c r="ID714" s="74"/>
      <c r="IE714" s="74"/>
      <c r="IF714" s="74"/>
      <c r="IG714" s="74"/>
      <c r="IH714" s="74"/>
      <c r="II714" s="74"/>
      <c r="IJ714" s="74"/>
      <c r="IK714" s="74"/>
      <c r="IL714" s="74"/>
      <c r="IM714" s="74"/>
      <c r="IN714" s="74"/>
      <c r="IO714" s="74"/>
      <c r="IP714" s="74"/>
      <c r="IQ714" s="74"/>
      <c r="IR714" s="74"/>
      <c r="IS714" s="74"/>
      <c r="IT714" s="74"/>
      <c r="IU714" s="74"/>
      <c r="IV714" s="74"/>
      <c r="IW714" s="74"/>
    </row>
    <row r="715" customFormat="false" ht="15.75" hidden="false" customHeight="false" outlineLevel="0" collapsed="false">
      <c r="A715" s="196"/>
      <c r="B715" s="195"/>
      <c r="C715" s="183"/>
      <c r="D715" s="92"/>
      <c r="E715" s="93"/>
      <c r="F715" s="81"/>
      <c r="G715" s="81"/>
      <c r="H715" s="81"/>
      <c r="I715" s="94"/>
      <c r="J715" s="118"/>
      <c r="K715" s="74"/>
      <c r="L715" s="74"/>
      <c r="M715" s="74"/>
      <c r="N715" s="74"/>
      <c r="O715" s="74"/>
      <c r="P715" s="74"/>
      <c r="Q715" s="74"/>
      <c r="R715" s="74"/>
      <c r="S715" s="74"/>
      <c r="T715" s="274"/>
      <c r="U715" s="74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74"/>
      <c r="AJ715" s="74"/>
      <c r="AK715" s="74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4"/>
      <c r="AZ715" s="74"/>
      <c r="BA715" s="74"/>
      <c r="BB715" s="74"/>
      <c r="BC715" s="74"/>
      <c r="BD715" s="74"/>
      <c r="BE715" s="74"/>
      <c r="BF715" s="74"/>
      <c r="BG715" s="74"/>
      <c r="BH715" s="74"/>
      <c r="BI715" s="74"/>
      <c r="BJ715" s="74"/>
      <c r="BK715" s="74"/>
      <c r="BL715" s="74"/>
      <c r="BM715" s="74"/>
      <c r="BN715" s="74"/>
      <c r="BO715" s="74"/>
      <c r="BP715" s="74"/>
      <c r="BQ715" s="74"/>
      <c r="BR715" s="74"/>
      <c r="BS715" s="74"/>
      <c r="BT715" s="74"/>
      <c r="BU715" s="74"/>
      <c r="BV715" s="74"/>
      <c r="BW715" s="74"/>
      <c r="BX715" s="74"/>
      <c r="BY715" s="74"/>
      <c r="BZ715" s="74"/>
      <c r="CA715" s="74"/>
      <c r="CB715" s="74"/>
      <c r="CC715" s="74"/>
      <c r="CD715" s="74"/>
      <c r="CE715" s="74"/>
      <c r="CF715" s="74"/>
      <c r="CG715" s="74"/>
      <c r="CH715" s="74"/>
      <c r="CI715" s="74"/>
      <c r="CJ715" s="74"/>
      <c r="CK715" s="74"/>
      <c r="CL715" s="74"/>
      <c r="CM715" s="74"/>
      <c r="CN715" s="74"/>
      <c r="CO715" s="74"/>
      <c r="CP715" s="74"/>
      <c r="CQ715" s="74"/>
      <c r="CR715" s="74"/>
      <c r="CS715" s="74"/>
      <c r="CT715" s="74"/>
      <c r="CU715" s="74"/>
      <c r="CV715" s="74"/>
      <c r="CW715" s="74"/>
      <c r="CX715" s="74"/>
      <c r="CY715" s="74"/>
      <c r="CZ715" s="74"/>
      <c r="DA715" s="74"/>
      <c r="DB715" s="74"/>
      <c r="DC715" s="74"/>
      <c r="DD715" s="74"/>
      <c r="DE715" s="74"/>
      <c r="DF715" s="74"/>
      <c r="DG715" s="74"/>
      <c r="DH715" s="74"/>
      <c r="DI715" s="74"/>
      <c r="DJ715" s="74"/>
      <c r="DK715" s="74"/>
      <c r="DL715" s="74"/>
      <c r="DM715" s="74"/>
      <c r="DN715" s="74"/>
      <c r="DO715" s="74"/>
      <c r="DP715" s="74"/>
      <c r="DQ715" s="74"/>
      <c r="DR715" s="74"/>
      <c r="DS715" s="74"/>
      <c r="DT715" s="74"/>
      <c r="DU715" s="74"/>
      <c r="DV715" s="74"/>
      <c r="DW715" s="74"/>
      <c r="DX715" s="74"/>
      <c r="DY715" s="74"/>
      <c r="DZ715" s="74"/>
      <c r="EA715" s="74"/>
      <c r="EB715" s="74"/>
      <c r="EC715" s="74"/>
      <c r="ED715" s="74"/>
      <c r="EE715" s="74"/>
      <c r="EF715" s="74"/>
      <c r="EG715" s="74"/>
      <c r="EH715" s="74"/>
      <c r="EI715" s="74"/>
      <c r="EJ715" s="74"/>
      <c r="EK715" s="74"/>
      <c r="EL715" s="74"/>
      <c r="EM715" s="74"/>
      <c r="EN715" s="74"/>
      <c r="EO715" s="74"/>
      <c r="EP715" s="74"/>
      <c r="EQ715" s="74"/>
      <c r="ER715" s="74"/>
      <c r="ES715" s="74"/>
      <c r="ET715" s="74"/>
      <c r="EU715" s="74"/>
      <c r="EV715" s="74"/>
      <c r="EW715" s="74"/>
      <c r="EX715" s="74"/>
      <c r="EY715" s="74"/>
      <c r="EZ715" s="74"/>
      <c r="FA715" s="74"/>
      <c r="FB715" s="74"/>
      <c r="FC715" s="74"/>
      <c r="FD715" s="74"/>
      <c r="FE715" s="74"/>
      <c r="FF715" s="74"/>
      <c r="FG715" s="74"/>
      <c r="FH715" s="74"/>
      <c r="FI715" s="74"/>
      <c r="FJ715" s="74"/>
      <c r="FK715" s="74"/>
      <c r="FL715" s="74"/>
      <c r="FM715" s="74"/>
      <c r="FN715" s="74"/>
      <c r="FO715" s="74"/>
      <c r="FP715" s="74"/>
      <c r="FQ715" s="74"/>
      <c r="FR715" s="74"/>
      <c r="FS715" s="74"/>
      <c r="FT715" s="74"/>
      <c r="FU715" s="74"/>
      <c r="FV715" s="74"/>
      <c r="FW715" s="74"/>
      <c r="FX715" s="74"/>
      <c r="FY715" s="74"/>
      <c r="FZ715" s="74"/>
      <c r="GA715" s="74"/>
      <c r="GB715" s="74"/>
      <c r="GC715" s="74"/>
      <c r="GD715" s="74"/>
      <c r="GE715" s="74"/>
      <c r="GF715" s="74"/>
      <c r="GG715" s="74"/>
      <c r="GH715" s="74"/>
      <c r="GI715" s="74"/>
      <c r="GJ715" s="74"/>
      <c r="GK715" s="74"/>
      <c r="GL715" s="74"/>
      <c r="GM715" s="74"/>
      <c r="GN715" s="74"/>
      <c r="GO715" s="74"/>
      <c r="GP715" s="74"/>
      <c r="GQ715" s="74"/>
      <c r="GR715" s="74"/>
      <c r="GS715" s="74"/>
      <c r="GT715" s="74"/>
      <c r="GU715" s="74"/>
      <c r="GV715" s="74"/>
      <c r="GW715" s="74"/>
      <c r="GX715" s="74"/>
      <c r="GY715" s="74"/>
      <c r="GZ715" s="74"/>
      <c r="HA715" s="74"/>
      <c r="HB715" s="74"/>
      <c r="HC715" s="74"/>
      <c r="HD715" s="74"/>
      <c r="HE715" s="74"/>
      <c r="HF715" s="74"/>
      <c r="HG715" s="74"/>
      <c r="HH715" s="74"/>
      <c r="HI715" s="74"/>
      <c r="HJ715" s="74"/>
      <c r="HK715" s="74"/>
      <c r="HL715" s="74"/>
      <c r="HM715" s="74"/>
      <c r="HN715" s="74"/>
      <c r="HO715" s="74"/>
      <c r="HP715" s="74"/>
      <c r="HQ715" s="74"/>
      <c r="HR715" s="74"/>
      <c r="HS715" s="74"/>
      <c r="HT715" s="74"/>
      <c r="HU715" s="74"/>
      <c r="HV715" s="74"/>
      <c r="HW715" s="74"/>
      <c r="HX715" s="74"/>
      <c r="HY715" s="74"/>
      <c r="HZ715" s="74"/>
      <c r="IA715" s="74"/>
      <c r="IB715" s="74"/>
      <c r="IC715" s="74"/>
      <c r="ID715" s="74"/>
      <c r="IE715" s="74"/>
      <c r="IF715" s="74"/>
      <c r="IG715" s="74"/>
      <c r="IH715" s="74"/>
      <c r="II715" s="74"/>
      <c r="IJ715" s="74"/>
      <c r="IK715" s="74"/>
      <c r="IL715" s="74"/>
      <c r="IM715" s="74"/>
      <c r="IN715" s="74"/>
      <c r="IO715" s="74"/>
      <c r="IP715" s="74"/>
      <c r="IQ715" s="74"/>
      <c r="IR715" s="74"/>
      <c r="IS715" s="74"/>
      <c r="IT715" s="74"/>
      <c r="IU715" s="74"/>
      <c r="IV715" s="74"/>
      <c r="IW715" s="74"/>
    </row>
    <row r="716" customFormat="false" ht="18" hidden="false" customHeight="false" outlineLevel="0" collapsed="false">
      <c r="A716" s="268" t="s">
        <v>677</v>
      </c>
      <c r="B716" s="182"/>
      <c r="C716" s="183"/>
      <c r="D716" s="92"/>
      <c r="E716" s="93"/>
      <c r="F716" s="81"/>
      <c r="G716" s="81"/>
      <c r="H716" s="81"/>
      <c r="I716" s="94"/>
      <c r="J716" s="118"/>
      <c r="K716" s="74"/>
      <c r="L716" s="74"/>
      <c r="M716" s="74"/>
      <c r="N716" s="74"/>
      <c r="O716" s="74"/>
      <c r="P716" s="74"/>
      <c r="Q716" s="74"/>
      <c r="R716" s="74"/>
      <c r="S716" s="74"/>
      <c r="T716" s="274"/>
      <c r="U716" s="74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74"/>
      <c r="AJ716" s="74"/>
      <c r="AK716" s="74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4"/>
      <c r="AZ716" s="74"/>
      <c r="BA716" s="74"/>
      <c r="BB716" s="74"/>
      <c r="BC716" s="74"/>
      <c r="BD716" s="74"/>
      <c r="BE716" s="74"/>
      <c r="BF716" s="74"/>
      <c r="BG716" s="74"/>
      <c r="BH716" s="74"/>
      <c r="BI716" s="74"/>
      <c r="BJ716" s="74"/>
      <c r="BK716" s="74"/>
      <c r="BL716" s="74"/>
      <c r="BM716" s="74"/>
      <c r="BN716" s="74"/>
      <c r="BO716" s="74"/>
      <c r="BP716" s="74"/>
      <c r="BQ716" s="74"/>
      <c r="BR716" s="74"/>
      <c r="BS716" s="74"/>
      <c r="BT716" s="74"/>
      <c r="BU716" s="74"/>
      <c r="BV716" s="74"/>
      <c r="BW716" s="74"/>
      <c r="BX716" s="74"/>
      <c r="BY716" s="74"/>
      <c r="BZ716" s="74"/>
      <c r="CA716" s="74"/>
      <c r="CB716" s="74"/>
      <c r="CC716" s="74"/>
      <c r="CD716" s="74"/>
      <c r="CE716" s="74"/>
      <c r="CF716" s="74"/>
      <c r="CG716" s="74"/>
      <c r="CH716" s="74"/>
      <c r="CI716" s="74"/>
      <c r="CJ716" s="74"/>
      <c r="CK716" s="74"/>
      <c r="CL716" s="74"/>
      <c r="CM716" s="74"/>
      <c r="CN716" s="74"/>
      <c r="CO716" s="74"/>
      <c r="CP716" s="74"/>
      <c r="CQ716" s="74"/>
      <c r="CR716" s="74"/>
      <c r="CS716" s="74"/>
      <c r="CT716" s="74"/>
      <c r="CU716" s="74"/>
      <c r="CV716" s="74"/>
      <c r="CW716" s="74"/>
      <c r="CX716" s="74"/>
      <c r="CY716" s="74"/>
      <c r="CZ716" s="74"/>
      <c r="DA716" s="74"/>
      <c r="DB716" s="74"/>
      <c r="DC716" s="74"/>
      <c r="DD716" s="74"/>
      <c r="DE716" s="74"/>
      <c r="DF716" s="74"/>
      <c r="DG716" s="74"/>
      <c r="DH716" s="74"/>
      <c r="DI716" s="74"/>
      <c r="DJ716" s="74"/>
      <c r="DK716" s="74"/>
      <c r="DL716" s="74"/>
      <c r="DM716" s="74"/>
      <c r="DN716" s="74"/>
      <c r="DO716" s="74"/>
      <c r="DP716" s="74"/>
      <c r="DQ716" s="74"/>
      <c r="DR716" s="74"/>
      <c r="DS716" s="74"/>
      <c r="DT716" s="74"/>
      <c r="DU716" s="74"/>
      <c r="DV716" s="74"/>
      <c r="DW716" s="74"/>
      <c r="DX716" s="74"/>
      <c r="DY716" s="74"/>
      <c r="DZ716" s="74"/>
      <c r="EA716" s="74"/>
      <c r="EB716" s="74"/>
      <c r="EC716" s="74"/>
      <c r="ED716" s="74"/>
      <c r="EE716" s="74"/>
      <c r="EF716" s="74"/>
      <c r="EG716" s="74"/>
      <c r="EH716" s="74"/>
      <c r="EI716" s="74"/>
      <c r="EJ716" s="74"/>
      <c r="EK716" s="74"/>
      <c r="EL716" s="74"/>
      <c r="EM716" s="74"/>
      <c r="EN716" s="74"/>
      <c r="EO716" s="74"/>
      <c r="EP716" s="74"/>
      <c r="EQ716" s="74"/>
      <c r="ER716" s="74"/>
      <c r="ES716" s="74"/>
      <c r="ET716" s="74"/>
      <c r="EU716" s="74"/>
      <c r="EV716" s="74"/>
      <c r="EW716" s="74"/>
      <c r="EX716" s="74"/>
      <c r="EY716" s="74"/>
      <c r="EZ716" s="74"/>
      <c r="FA716" s="74"/>
      <c r="FB716" s="74"/>
      <c r="FC716" s="74"/>
      <c r="FD716" s="74"/>
      <c r="FE716" s="74"/>
      <c r="FF716" s="74"/>
      <c r="FG716" s="74"/>
      <c r="FH716" s="74"/>
      <c r="FI716" s="74"/>
      <c r="FJ716" s="74"/>
      <c r="FK716" s="74"/>
      <c r="FL716" s="74"/>
      <c r="FM716" s="74"/>
      <c r="FN716" s="74"/>
      <c r="FO716" s="74"/>
      <c r="FP716" s="74"/>
      <c r="FQ716" s="74"/>
      <c r="FR716" s="74"/>
      <c r="FS716" s="74"/>
      <c r="FT716" s="74"/>
      <c r="FU716" s="74"/>
      <c r="FV716" s="74"/>
      <c r="FW716" s="74"/>
      <c r="FX716" s="74"/>
      <c r="FY716" s="74"/>
      <c r="FZ716" s="74"/>
      <c r="GA716" s="74"/>
      <c r="GB716" s="74"/>
      <c r="GC716" s="74"/>
      <c r="GD716" s="74"/>
      <c r="GE716" s="74"/>
      <c r="GF716" s="74"/>
      <c r="GG716" s="74"/>
      <c r="GH716" s="74"/>
      <c r="GI716" s="74"/>
      <c r="GJ716" s="74"/>
      <c r="GK716" s="74"/>
      <c r="GL716" s="74"/>
      <c r="GM716" s="74"/>
      <c r="GN716" s="74"/>
      <c r="GO716" s="74"/>
      <c r="GP716" s="74"/>
      <c r="GQ716" s="74"/>
      <c r="GR716" s="74"/>
      <c r="GS716" s="74"/>
      <c r="GT716" s="74"/>
      <c r="GU716" s="74"/>
      <c r="GV716" s="74"/>
      <c r="GW716" s="74"/>
      <c r="GX716" s="74"/>
      <c r="GY716" s="74"/>
      <c r="GZ716" s="74"/>
      <c r="HA716" s="74"/>
      <c r="HB716" s="74"/>
      <c r="HC716" s="74"/>
      <c r="HD716" s="74"/>
      <c r="HE716" s="74"/>
      <c r="HF716" s="74"/>
      <c r="HG716" s="74"/>
      <c r="HH716" s="74"/>
      <c r="HI716" s="74"/>
      <c r="HJ716" s="74"/>
      <c r="HK716" s="74"/>
      <c r="HL716" s="74"/>
      <c r="HM716" s="74"/>
      <c r="HN716" s="74"/>
      <c r="HO716" s="74"/>
      <c r="HP716" s="74"/>
      <c r="HQ716" s="74"/>
      <c r="HR716" s="74"/>
      <c r="HS716" s="74"/>
      <c r="HT716" s="74"/>
      <c r="HU716" s="74"/>
      <c r="HV716" s="74"/>
      <c r="HW716" s="74"/>
      <c r="HX716" s="74"/>
      <c r="HY716" s="74"/>
      <c r="HZ716" s="74"/>
      <c r="IA716" s="74"/>
      <c r="IB716" s="74"/>
      <c r="IC716" s="74"/>
      <c r="ID716" s="74"/>
      <c r="IE716" s="74"/>
      <c r="IF716" s="74"/>
      <c r="IG716" s="74"/>
      <c r="IH716" s="74"/>
      <c r="II716" s="74"/>
      <c r="IJ716" s="74"/>
      <c r="IK716" s="74"/>
      <c r="IL716" s="74"/>
      <c r="IM716" s="74"/>
      <c r="IN716" s="74"/>
      <c r="IO716" s="74"/>
      <c r="IP716" s="74"/>
      <c r="IQ716" s="74"/>
      <c r="IR716" s="74"/>
      <c r="IS716" s="74"/>
      <c r="IT716" s="74"/>
      <c r="IU716" s="74"/>
      <c r="IV716" s="74"/>
      <c r="IW716" s="74"/>
    </row>
    <row r="717" customFormat="false" ht="6.75" hidden="false" customHeight="true" outlineLevel="0" collapsed="false">
      <c r="A717" s="268"/>
      <c r="B717" s="182"/>
      <c r="C717" s="183"/>
      <c r="D717" s="92"/>
      <c r="E717" s="93"/>
      <c r="F717" s="81"/>
      <c r="G717" s="81"/>
      <c r="H717" s="81"/>
      <c r="I717" s="94"/>
      <c r="J717" s="118"/>
      <c r="K717" s="74"/>
      <c r="L717" s="74"/>
      <c r="M717" s="74"/>
      <c r="N717" s="74"/>
      <c r="O717" s="74"/>
      <c r="P717" s="74"/>
      <c r="Q717" s="74"/>
      <c r="R717" s="74"/>
      <c r="S717" s="74"/>
      <c r="T717" s="274"/>
      <c r="U717" s="74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74"/>
      <c r="AJ717" s="74"/>
      <c r="AK717" s="74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4"/>
      <c r="AZ717" s="74"/>
      <c r="BA717" s="74"/>
      <c r="BB717" s="74"/>
      <c r="BC717" s="74"/>
      <c r="BD717" s="74"/>
      <c r="BE717" s="74"/>
      <c r="BF717" s="74"/>
      <c r="BG717" s="74"/>
      <c r="BH717" s="74"/>
      <c r="BI717" s="74"/>
      <c r="BJ717" s="74"/>
      <c r="BK717" s="74"/>
      <c r="BL717" s="74"/>
      <c r="BM717" s="74"/>
      <c r="BN717" s="74"/>
      <c r="BO717" s="74"/>
      <c r="BP717" s="74"/>
      <c r="BQ717" s="74"/>
      <c r="BR717" s="74"/>
      <c r="BS717" s="74"/>
      <c r="BT717" s="74"/>
      <c r="BU717" s="74"/>
      <c r="BV717" s="74"/>
      <c r="BW717" s="74"/>
      <c r="BX717" s="74"/>
      <c r="BY717" s="74"/>
      <c r="BZ717" s="74"/>
      <c r="CA717" s="74"/>
      <c r="CB717" s="74"/>
      <c r="CC717" s="74"/>
      <c r="CD717" s="74"/>
      <c r="CE717" s="74"/>
      <c r="CF717" s="74"/>
      <c r="CG717" s="74"/>
      <c r="CH717" s="74"/>
      <c r="CI717" s="74"/>
      <c r="CJ717" s="74"/>
      <c r="CK717" s="74"/>
      <c r="CL717" s="74"/>
      <c r="CM717" s="74"/>
      <c r="CN717" s="74"/>
      <c r="CO717" s="74"/>
      <c r="CP717" s="74"/>
      <c r="CQ717" s="74"/>
      <c r="CR717" s="74"/>
      <c r="CS717" s="74"/>
      <c r="CT717" s="74"/>
      <c r="CU717" s="74"/>
      <c r="CV717" s="74"/>
      <c r="CW717" s="74"/>
      <c r="CX717" s="74"/>
      <c r="CY717" s="74"/>
      <c r="CZ717" s="74"/>
      <c r="DA717" s="74"/>
      <c r="DB717" s="74"/>
      <c r="DC717" s="74"/>
      <c r="DD717" s="74"/>
      <c r="DE717" s="74"/>
      <c r="DF717" s="74"/>
      <c r="DG717" s="74"/>
      <c r="DH717" s="74"/>
      <c r="DI717" s="74"/>
      <c r="DJ717" s="74"/>
      <c r="DK717" s="74"/>
      <c r="DL717" s="74"/>
      <c r="DM717" s="74"/>
      <c r="DN717" s="74"/>
      <c r="DO717" s="74"/>
      <c r="DP717" s="74"/>
      <c r="DQ717" s="74"/>
      <c r="DR717" s="74"/>
      <c r="DS717" s="74"/>
      <c r="DT717" s="74"/>
      <c r="DU717" s="74"/>
      <c r="DV717" s="74"/>
      <c r="DW717" s="74"/>
      <c r="DX717" s="74"/>
      <c r="DY717" s="74"/>
      <c r="DZ717" s="74"/>
      <c r="EA717" s="74"/>
      <c r="EB717" s="74"/>
      <c r="EC717" s="74"/>
      <c r="ED717" s="74"/>
      <c r="EE717" s="74"/>
      <c r="EF717" s="74"/>
      <c r="EG717" s="74"/>
      <c r="EH717" s="74"/>
      <c r="EI717" s="74"/>
      <c r="EJ717" s="74"/>
      <c r="EK717" s="74"/>
      <c r="EL717" s="74"/>
      <c r="EM717" s="74"/>
      <c r="EN717" s="74"/>
      <c r="EO717" s="74"/>
      <c r="EP717" s="74"/>
      <c r="EQ717" s="74"/>
      <c r="ER717" s="74"/>
      <c r="ES717" s="74"/>
      <c r="ET717" s="74"/>
      <c r="EU717" s="74"/>
      <c r="EV717" s="74"/>
      <c r="EW717" s="74"/>
      <c r="EX717" s="74"/>
      <c r="EY717" s="74"/>
      <c r="EZ717" s="74"/>
      <c r="FA717" s="74"/>
      <c r="FB717" s="74"/>
      <c r="FC717" s="74"/>
      <c r="FD717" s="74"/>
      <c r="FE717" s="74"/>
      <c r="FF717" s="74"/>
      <c r="FG717" s="74"/>
      <c r="FH717" s="74"/>
      <c r="FI717" s="74"/>
      <c r="FJ717" s="74"/>
      <c r="FK717" s="74"/>
      <c r="FL717" s="74"/>
      <c r="FM717" s="74"/>
      <c r="FN717" s="74"/>
      <c r="FO717" s="74"/>
      <c r="FP717" s="74"/>
      <c r="FQ717" s="74"/>
      <c r="FR717" s="74"/>
      <c r="FS717" s="74"/>
      <c r="FT717" s="74"/>
      <c r="FU717" s="74"/>
      <c r="FV717" s="74"/>
      <c r="FW717" s="74"/>
      <c r="FX717" s="74"/>
      <c r="FY717" s="74"/>
      <c r="FZ717" s="74"/>
      <c r="GA717" s="74"/>
      <c r="GB717" s="74"/>
      <c r="GC717" s="74"/>
      <c r="GD717" s="74"/>
      <c r="GE717" s="74"/>
      <c r="GF717" s="74"/>
      <c r="GG717" s="74"/>
      <c r="GH717" s="74"/>
      <c r="GI717" s="74"/>
      <c r="GJ717" s="74"/>
      <c r="GK717" s="74"/>
      <c r="GL717" s="74"/>
      <c r="GM717" s="74"/>
      <c r="GN717" s="74"/>
      <c r="GO717" s="74"/>
      <c r="GP717" s="74"/>
      <c r="GQ717" s="74"/>
      <c r="GR717" s="74"/>
      <c r="GS717" s="74"/>
      <c r="GT717" s="74"/>
      <c r="GU717" s="74"/>
      <c r="GV717" s="74"/>
      <c r="GW717" s="74"/>
      <c r="GX717" s="74"/>
      <c r="GY717" s="74"/>
      <c r="GZ717" s="74"/>
      <c r="HA717" s="74"/>
      <c r="HB717" s="74"/>
      <c r="HC717" s="74"/>
      <c r="HD717" s="74"/>
      <c r="HE717" s="74"/>
      <c r="HF717" s="74"/>
      <c r="HG717" s="74"/>
      <c r="HH717" s="74"/>
      <c r="HI717" s="74"/>
      <c r="HJ717" s="74"/>
      <c r="HK717" s="74"/>
      <c r="HL717" s="74"/>
      <c r="HM717" s="74"/>
      <c r="HN717" s="74"/>
      <c r="HO717" s="74"/>
      <c r="HP717" s="74"/>
      <c r="HQ717" s="74"/>
      <c r="HR717" s="74"/>
      <c r="HS717" s="74"/>
      <c r="HT717" s="74"/>
      <c r="HU717" s="74"/>
      <c r="HV717" s="74"/>
      <c r="HW717" s="74"/>
      <c r="HX717" s="74"/>
      <c r="HY717" s="74"/>
      <c r="HZ717" s="74"/>
      <c r="IA717" s="74"/>
      <c r="IB717" s="74"/>
      <c r="IC717" s="74"/>
      <c r="ID717" s="74"/>
      <c r="IE717" s="74"/>
      <c r="IF717" s="74"/>
      <c r="IG717" s="74"/>
      <c r="IH717" s="74"/>
      <c r="II717" s="74"/>
      <c r="IJ717" s="74"/>
      <c r="IK717" s="74"/>
      <c r="IL717" s="74"/>
      <c r="IM717" s="74"/>
      <c r="IN717" s="74"/>
      <c r="IO717" s="74"/>
      <c r="IP717" s="74"/>
      <c r="IQ717" s="74"/>
      <c r="IR717" s="74"/>
      <c r="IS717" s="74"/>
      <c r="IT717" s="74"/>
      <c r="IU717" s="74"/>
      <c r="IV717" s="74"/>
      <c r="IW717" s="74"/>
    </row>
    <row r="718" customFormat="false" ht="15.75" hidden="false" customHeight="false" outlineLevel="0" collapsed="false">
      <c r="A718" s="212" t="s">
        <v>678</v>
      </c>
      <c r="B718" s="211"/>
      <c r="C718" s="183"/>
      <c r="D718" s="92"/>
      <c r="E718" s="93"/>
      <c r="F718" s="81"/>
      <c r="G718" s="81"/>
      <c r="H718" s="81"/>
      <c r="I718" s="94"/>
      <c r="J718" s="118"/>
      <c r="K718" s="74"/>
      <c r="L718" s="74"/>
      <c r="M718" s="74"/>
      <c r="N718" s="74"/>
      <c r="O718" s="74"/>
      <c r="P718" s="74"/>
      <c r="Q718" s="74"/>
      <c r="R718" s="74"/>
      <c r="S718" s="74"/>
      <c r="T718" s="274"/>
      <c r="U718" s="74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74"/>
      <c r="AK718" s="74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74"/>
      <c r="BI718" s="74"/>
      <c r="BJ718" s="74"/>
      <c r="BK718" s="74"/>
      <c r="BL718" s="74"/>
      <c r="BM718" s="74"/>
      <c r="BN718" s="74"/>
      <c r="BO718" s="74"/>
      <c r="BP718" s="74"/>
      <c r="BQ718" s="74"/>
      <c r="BR718" s="74"/>
      <c r="BS718" s="74"/>
      <c r="BT718" s="74"/>
      <c r="BU718" s="74"/>
      <c r="BV718" s="74"/>
      <c r="BW718" s="74"/>
      <c r="BX718" s="74"/>
      <c r="BY718" s="74"/>
      <c r="BZ718" s="74"/>
      <c r="CA718" s="74"/>
      <c r="CB718" s="74"/>
      <c r="CC718" s="74"/>
      <c r="CD718" s="74"/>
      <c r="CE718" s="74"/>
      <c r="CF718" s="74"/>
      <c r="CG718" s="74"/>
      <c r="CH718" s="74"/>
      <c r="CI718" s="74"/>
      <c r="CJ718" s="74"/>
      <c r="CK718" s="74"/>
      <c r="CL718" s="74"/>
      <c r="CM718" s="74"/>
      <c r="CN718" s="74"/>
      <c r="CO718" s="74"/>
      <c r="CP718" s="74"/>
      <c r="CQ718" s="74"/>
      <c r="CR718" s="74"/>
      <c r="CS718" s="74"/>
      <c r="CT718" s="74"/>
      <c r="CU718" s="74"/>
      <c r="CV718" s="74"/>
      <c r="CW718" s="74"/>
      <c r="CX718" s="74"/>
      <c r="CY718" s="74"/>
      <c r="CZ718" s="74"/>
      <c r="DA718" s="74"/>
      <c r="DB718" s="74"/>
      <c r="DC718" s="74"/>
      <c r="DD718" s="74"/>
      <c r="DE718" s="74"/>
      <c r="DF718" s="74"/>
      <c r="DG718" s="74"/>
      <c r="DH718" s="74"/>
      <c r="DI718" s="74"/>
      <c r="DJ718" s="74"/>
      <c r="DK718" s="74"/>
      <c r="DL718" s="74"/>
      <c r="DM718" s="74"/>
      <c r="DN718" s="74"/>
      <c r="DO718" s="74"/>
      <c r="DP718" s="74"/>
      <c r="DQ718" s="74"/>
      <c r="DR718" s="74"/>
      <c r="DS718" s="74"/>
      <c r="DT718" s="74"/>
      <c r="DU718" s="74"/>
      <c r="DV718" s="74"/>
      <c r="DW718" s="74"/>
      <c r="DX718" s="74"/>
      <c r="DY718" s="74"/>
      <c r="DZ718" s="74"/>
      <c r="EA718" s="74"/>
      <c r="EB718" s="74"/>
      <c r="EC718" s="74"/>
      <c r="ED718" s="74"/>
      <c r="EE718" s="74"/>
      <c r="EF718" s="74"/>
      <c r="EG718" s="74"/>
      <c r="EH718" s="74"/>
      <c r="EI718" s="74"/>
      <c r="EJ718" s="74"/>
      <c r="EK718" s="74"/>
      <c r="EL718" s="74"/>
      <c r="EM718" s="74"/>
      <c r="EN718" s="74"/>
      <c r="EO718" s="74"/>
      <c r="EP718" s="74"/>
      <c r="EQ718" s="74"/>
      <c r="ER718" s="74"/>
      <c r="ES718" s="74"/>
      <c r="ET718" s="74"/>
      <c r="EU718" s="74"/>
      <c r="EV718" s="74"/>
      <c r="EW718" s="74"/>
      <c r="EX718" s="74"/>
      <c r="EY718" s="74"/>
      <c r="EZ718" s="74"/>
      <c r="FA718" s="74"/>
      <c r="FB718" s="74"/>
      <c r="FC718" s="74"/>
      <c r="FD718" s="74"/>
      <c r="FE718" s="74"/>
      <c r="FF718" s="74"/>
      <c r="FG718" s="74"/>
      <c r="FH718" s="74"/>
      <c r="FI718" s="74"/>
      <c r="FJ718" s="74"/>
      <c r="FK718" s="74"/>
      <c r="FL718" s="74"/>
      <c r="FM718" s="74"/>
      <c r="FN718" s="74"/>
      <c r="FO718" s="74"/>
      <c r="FP718" s="74"/>
      <c r="FQ718" s="74"/>
      <c r="FR718" s="74"/>
      <c r="FS718" s="74"/>
      <c r="FT718" s="74"/>
      <c r="FU718" s="74"/>
      <c r="FV718" s="74"/>
      <c r="FW718" s="74"/>
      <c r="FX718" s="74"/>
      <c r="FY718" s="74"/>
      <c r="FZ718" s="74"/>
      <c r="GA718" s="74"/>
      <c r="GB718" s="74"/>
      <c r="GC718" s="74"/>
      <c r="GD718" s="74"/>
      <c r="GE718" s="74"/>
      <c r="GF718" s="74"/>
      <c r="GG718" s="74"/>
      <c r="GH718" s="74"/>
      <c r="GI718" s="74"/>
      <c r="GJ718" s="74"/>
      <c r="GK718" s="74"/>
      <c r="GL718" s="74"/>
      <c r="GM718" s="74"/>
      <c r="GN718" s="74"/>
      <c r="GO718" s="74"/>
      <c r="GP718" s="74"/>
      <c r="GQ718" s="74"/>
      <c r="GR718" s="74"/>
      <c r="GS718" s="74"/>
      <c r="GT718" s="74"/>
      <c r="GU718" s="74"/>
      <c r="GV718" s="74"/>
      <c r="GW718" s="74"/>
      <c r="GX718" s="74"/>
      <c r="GY718" s="74"/>
      <c r="GZ718" s="74"/>
      <c r="HA718" s="74"/>
      <c r="HB718" s="74"/>
      <c r="HC718" s="74"/>
      <c r="HD718" s="74"/>
      <c r="HE718" s="74"/>
      <c r="HF718" s="74"/>
      <c r="HG718" s="74"/>
      <c r="HH718" s="74"/>
      <c r="HI718" s="74"/>
      <c r="HJ718" s="74"/>
      <c r="HK718" s="74"/>
      <c r="HL718" s="74"/>
      <c r="HM718" s="74"/>
      <c r="HN718" s="74"/>
      <c r="HO718" s="74"/>
      <c r="HP718" s="74"/>
      <c r="HQ718" s="74"/>
      <c r="HR718" s="74"/>
      <c r="HS718" s="74"/>
      <c r="HT718" s="74"/>
      <c r="HU718" s="74"/>
      <c r="HV718" s="74"/>
      <c r="HW718" s="74"/>
      <c r="HX718" s="74"/>
      <c r="HY718" s="74"/>
      <c r="HZ718" s="74"/>
      <c r="IA718" s="74"/>
      <c r="IB718" s="74"/>
      <c r="IC718" s="74"/>
      <c r="ID718" s="74"/>
      <c r="IE718" s="74"/>
      <c r="IF718" s="74"/>
      <c r="IG718" s="74"/>
      <c r="IH718" s="74"/>
      <c r="II718" s="74"/>
      <c r="IJ718" s="74"/>
      <c r="IK718" s="74"/>
      <c r="IL718" s="74"/>
      <c r="IM718" s="74"/>
      <c r="IN718" s="74"/>
      <c r="IO718" s="74"/>
      <c r="IP718" s="74"/>
      <c r="IQ718" s="74"/>
      <c r="IR718" s="74"/>
      <c r="IS718" s="74"/>
      <c r="IT718" s="74"/>
      <c r="IU718" s="74"/>
      <c r="IV718" s="74"/>
      <c r="IW718" s="74"/>
    </row>
    <row r="719" customFormat="false" ht="15.75" hidden="false" customHeight="false" outlineLevel="0" collapsed="false">
      <c r="A719" s="212"/>
      <c r="B719" s="211"/>
      <c r="C719" s="183"/>
      <c r="D719" s="92"/>
      <c r="E719" s="93"/>
      <c r="F719" s="81"/>
      <c r="G719" s="81"/>
      <c r="H719" s="81"/>
      <c r="I719" s="94"/>
      <c r="J719" s="118"/>
      <c r="K719" s="74"/>
      <c r="L719" s="74"/>
      <c r="M719" s="74"/>
      <c r="N719" s="74"/>
      <c r="O719" s="74"/>
      <c r="P719" s="74"/>
      <c r="Q719" s="74"/>
      <c r="R719" s="74"/>
      <c r="S719" s="74"/>
      <c r="T719" s="274"/>
      <c r="U719" s="74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74"/>
      <c r="AJ719" s="74"/>
      <c r="AK719" s="74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4"/>
      <c r="AZ719" s="74"/>
      <c r="BA719" s="74"/>
      <c r="BB719" s="74"/>
      <c r="BC719" s="74"/>
      <c r="BD719" s="74"/>
      <c r="BE719" s="74"/>
      <c r="BF719" s="74"/>
      <c r="BG719" s="74"/>
      <c r="BH719" s="74"/>
      <c r="BI719" s="74"/>
      <c r="BJ719" s="74"/>
      <c r="BK719" s="74"/>
      <c r="BL719" s="74"/>
      <c r="BM719" s="74"/>
      <c r="BN719" s="74"/>
      <c r="BO719" s="74"/>
      <c r="BP719" s="74"/>
      <c r="BQ719" s="74"/>
      <c r="BR719" s="74"/>
      <c r="BS719" s="74"/>
      <c r="BT719" s="74"/>
      <c r="BU719" s="74"/>
      <c r="BV719" s="74"/>
      <c r="BW719" s="74"/>
      <c r="BX719" s="74"/>
      <c r="BY719" s="74"/>
      <c r="BZ719" s="74"/>
      <c r="CA719" s="74"/>
      <c r="CB719" s="74"/>
      <c r="CC719" s="74"/>
      <c r="CD719" s="74"/>
      <c r="CE719" s="74"/>
      <c r="CF719" s="74"/>
      <c r="CG719" s="74"/>
      <c r="CH719" s="74"/>
      <c r="CI719" s="74"/>
      <c r="CJ719" s="74"/>
      <c r="CK719" s="74"/>
      <c r="CL719" s="74"/>
      <c r="CM719" s="74"/>
      <c r="CN719" s="74"/>
      <c r="CO719" s="74"/>
      <c r="CP719" s="74"/>
      <c r="CQ719" s="74"/>
      <c r="CR719" s="74"/>
      <c r="CS719" s="74"/>
      <c r="CT719" s="74"/>
      <c r="CU719" s="74"/>
      <c r="CV719" s="74"/>
      <c r="CW719" s="74"/>
      <c r="CX719" s="74"/>
      <c r="CY719" s="74"/>
      <c r="CZ719" s="74"/>
      <c r="DA719" s="74"/>
      <c r="DB719" s="74"/>
      <c r="DC719" s="74"/>
      <c r="DD719" s="74"/>
      <c r="DE719" s="74"/>
      <c r="DF719" s="74"/>
      <c r="DG719" s="74"/>
      <c r="DH719" s="74"/>
      <c r="DI719" s="74"/>
      <c r="DJ719" s="74"/>
      <c r="DK719" s="74"/>
      <c r="DL719" s="74"/>
      <c r="DM719" s="74"/>
      <c r="DN719" s="74"/>
      <c r="DO719" s="74"/>
      <c r="DP719" s="74"/>
      <c r="DQ719" s="74"/>
      <c r="DR719" s="74"/>
      <c r="DS719" s="74"/>
      <c r="DT719" s="74"/>
      <c r="DU719" s="74"/>
      <c r="DV719" s="74"/>
      <c r="DW719" s="74"/>
      <c r="DX719" s="74"/>
      <c r="DY719" s="74"/>
      <c r="DZ719" s="74"/>
      <c r="EA719" s="74"/>
      <c r="EB719" s="74"/>
      <c r="EC719" s="74"/>
      <c r="ED719" s="74"/>
      <c r="EE719" s="74"/>
      <c r="EF719" s="74"/>
      <c r="EG719" s="74"/>
      <c r="EH719" s="74"/>
      <c r="EI719" s="74"/>
      <c r="EJ719" s="74"/>
      <c r="EK719" s="74"/>
      <c r="EL719" s="74"/>
      <c r="EM719" s="74"/>
      <c r="EN719" s="74"/>
      <c r="EO719" s="74"/>
      <c r="EP719" s="74"/>
      <c r="EQ719" s="74"/>
      <c r="ER719" s="74"/>
      <c r="ES719" s="74"/>
      <c r="ET719" s="74"/>
      <c r="EU719" s="74"/>
      <c r="EV719" s="74"/>
      <c r="EW719" s="74"/>
      <c r="EX719" s="74"/>
      <c r="EY719" s="74"/>
      <c r="EZ719" s="74"/>
      <c r="FA719" s="74"/>
      <c r="FB719" s="74"/>
      <c r="FC719" s="74"/>
      <c r="FD719" s="74"/>
      <c r="FE719" s="74"/>
      <c r="FF719" s="74"/>
      <c r="FG719" s="74"/>
      <c r="FH719" s="74"/>
      <c r="FI719" s="74"/>
      <c r="FJ719" s="74"/>
      <c r="FK719" s="74"/>
      <c r="FL719" s="74"/>
      <c r="FM719" s="74"/>
      <c r="FN719" s="74"/>
      <c r="FO719" s="74"/>
      <c r="FP719" s="74"/>
      <c r="FQ719" s="74"/>
      <c r="FR719" s="74"/>
      <c r="FS719" s="74"/>
      <c r="FT719" s="74"/>
      <c r="FU719" s="74"/>
      <c r="FV719" s="74"/>
      <c r="FW719" s="74"/>
      <c r="FX719" s="74"/>
      <c r="FY719" s="74"/>
      <c r="FZ719" s="74"/>
      <c r="GA719" s="74"/>
      <c r="GB719" s="74"/>
      <c r="GC719" s="74"/>
      <c r="GD719" s="74"/>
      <c r="GE719" s="74"/>
      <c r="GF719" s="74"/>
      <c r="GG719" s="74"/>
      <c r="GH719" s="74"/>
      <c r="GI719" s="74"/>
      <c r="GJ719" s="74"/>
      <c r="GK719" s="74"/>
      <c r="GL719" s="74"/>
      <c r="GM719" s="74"/>
      <c r="GN719" s="74"/>
      <c r="GO719" s="74"/>
      <c r="GP719" s="74"/>
      <c r="GQ719" s="74"/>
      <c r="GR719" s="74"/>
      <c r="GS719" s="74"/>
      <c r="GT719" s="74"/>
      <c r="GU719" s="74"/>
      <c r="GV719" s="74"/>
      <c r="GW719" s="74"/>
      <c r="GX719" s="74"/>
      <c r="GY719" s="74"/>
      <c r="GZ719" s="74"/>
      <c r="HA719" s="74"/>
      <c r="HB719" s="74"/>
      <c r="HC719" s="74"/>
      <c r="HD719" s="74"/>
      <c r="HE719" s="74"/>
      <c r="HF719" s="74"/>
      <c r="HG719" s="74"/>
      <c r="HH719" s="74"/>
      <c r="HI719" s="74"/>
      <c r="HJ719" s="74"/>
      <c r="HK719" s="74"/>
      <c r="HL719" s="74"/>
      <c r="HM719" s="74"/>
      <c r="HN719" s="74"/>
      <c r="HO719" s="74"/>
      <c r="HP719" s="74"/>
      <c r="HQ719" s="74"/>
      <c r="HR719" s="74"/>
      <c r="HS719" s="74"/>
      <c r="HT719" s="74"/>
      <c r="HU719" s="74"/>
      <c r="HV719" s="74"/>
      <c r="HW719" s="74"/>
      <c r="HX719" s="74"/>
      <c r="HY719" s="74"/>
      <c r="HZ719" s="74"/>
      <c r="IA719" s="74"/>
      <c r="IB719" s="74"/>
      <c r="IC719" s="74"/>
      <c r="ID719" s="74"/>
      <c r="IE719" s="74"/>
      <c r="IF719" s="74"/>
      <c r="IG719" s="74"/>
      <c r="IH719" s="74"/>
      <c r="II719" s="74"/>
      <c r="IJ719" s="74"/>
      <c r="IK719" s="74"/>
      <c r="IL719" s="74"/>
      <c r="IM719" s="74"/>
      <c r="IN719" s="74"/>
      <c r="IO719" s="74"/>
      <c r="IP719" s="74"/>
      <c r="IQ719" s="74"/>
      <c r="IR719" s="74"/>
      <c r="IS719" s="74"/>
      <c r="IT719" s="74"/>
      <c r="IU719" s="74"/>
      <c r="IV719" s="74"/>
      <c r="IW719" s="74"/>
    </row>
    <row r="720" customFormat="false" ht="15.75" hidden="false" customHeight="false" outlineLevel="0" collapsed="false">
      <c r="A720" s="196" t="s">
        <v>679</v>
      </c>
      <c r="B720" s="195"/>
      <c r="C720" s="183"/>
      <c r="D720" s="92" t="n">
        <f aca="false">SUM(D141)</f>
        <v>0</v>
      </c>
      <c r="E720" s="93" t="n">
        <v>0</v>
      </c>
      <c r="F720" s="81" t="n">
        <f aca="false">SUM(F141)</f>
        <v>0</v>
      </c>
      <c r="G720" s="81" t="n">
        <f aca="false">SUM(G141)</f>
        <v>0</v>
      </c>
      <c r="H720" s="81" t="n">
        <f aca="false">SUM(H141)</f>
        <v>0</v>
      </c>
      <c r="I720" s="94" t="n">
        <v>0</v>
      </c>
      <c r="J720" s="118"/>
      <c r="K720" s="74"/>
      <c r="L720" s="74"/>
      <c r="M720" s="74"/>
      <c r="N720" s="74"/>
      <c r="O720" s="74"/>
      <c r="P720" s="74"/>
      <c r="Q720" s="74"/>
      <c r="R720" s="74"/>
      <c r="S720" s="74"/>
      <c r="T720" s="274"/>
      <c r="U720" s="74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74"/>
      <c r="AJ720" s="74"/>
      <c r="AK720" s="74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4"/>
      <c r="AZ720" s="74"/>
      <c r="BA720" s="74"/>
      <c r="BB720" s="74"/>
      <c r="BC720" s="74"/>
      <c r="BD720" s="74"/>
      <c r="BE720" s="74"/>
      <c r="BF720" s="74"/>
      <c r="BG720" s="74"/>
      <c r="BH720" s="74"/>
      <c r="BI720" s="74"/>
      <c r="BJ720" s="74"/>
      <c r="BK720" s="74"/>
      <c r="BL720" s="74"/>
      <c r="BM720" s="74"/>
      <c r="BN720" s="74"/>
      <c r="BO720" s="74"/>
      <c r="BP720" s="74"/>
      <c r="BQ720" s="74"/>
      <c r="BR720" s="74"/>
      <c r="BS720" s="74"/>
      <c r="BT720" s="74"/>
      <c r="BU720" s="74"/>
      <c r="BV720" s="74"/>
      <c r="BW720" s="74"/>
      <c r="BX720" s="74"/>
      <c r="BY720" s="74"/>
      <c r="BZ720" s="74"/>
      <c r="CA720" s="74"/>
      <c r="CB720" s="74"/>
      <c r="CC720" s="74"/>
      <c r="CD720" s="74"/>
      <c r="CE720" s="74"/>
      <c r="CF720" s="74"/>
      <c r="CG720" s="74"/>
      <c r="CH720" s="74"/>
      <c r="CI720" s="74"/>
      <c r="CJ720" s="74"/>
      <c r="CK720" s="74"/>
      <c r="CL720" s="74"/>
      <c r="CM720" s="74"/>
      <c r="CN720" s="74"/>
      <c r="CO720" s="74"/>
      <c r="CP720" s="74"/>
      <c r="CQ720" s="74"/>
      <c r="CR720" s="74"/>
      <c r="CS720" s="74"/>
      <c r="CT720" s="74"/>
      <c r="CU720" s="74"/>
      <c r="CV720" s="74"/>
      <c r="CW720" s="74"/>
      <c r="CX720" s="74"/>
      <c r="CY720" s="74"/>
      <c r="CZ720" s="74"/>
      <c r="DA720" s="74"/>
      <c r="DB720" s="74"/>
      <c r="DC720" s="74"/>
      <c r="DD720" s="74"/>
      <c r="DE720" s="74"/>
      <c r="DF720" s="74"/>
      <c r="DG720" s="74"/>
      <c r="DH720" s="74"/>
      <c r="DI720" s="74"/>
      <c r="DJ720" s="74"/>
      <c r="DK720" s="74"/>
      <c r="DL720" s="74"/>
      <c r="DM720" s="74"/>
      <c r="DN720" s="74"/>
      <c r="DO720" s="74"/>
      <c r="DP720" s="74"/>
      <c r="DQ720" s="74"/>
      <c r="DR720" s="74"/>
      <c r="DS720" s="74"/>
      <c r="DT720" s="74"/>
      <c r="DU720" s="74"/>
      <c r="DV720" s="74"/>
      <c r="DW720" s="74"/>
      <c r="DX720" s="74"/>
      <c r="DY720" s="74"/>
      <c r="DZ720" s="74"/>
      <c r="EA720" s="74"/>
      <c r="EB720" s="74"/>
      <c r="EC720" s="74"/>
      <c r="ED720" s="74"/>
      <c r="EE720" s="74"/>
      <c r="EF720" s="74"/>
      <c r="EG720" s="74"/>
      <c r="EH720" s="74"/>
      <c r="EI720" s="74"/>
      <c r="EJ720" s="74"/>
      <c r="EK720" s="74"/>
      <c r="EL720" s="74"/>
      <c r="EM720" s="74"/>
      <c r="EN720" s="74"/>
      <c r="EO720" s="74"/>
      <c r="EP720" s="74"/>
      <c r="EQ720" s="74"/>
      <c r="ER720" s="74"/>
      <c r="ES720" s="74"/>
      <c r="ET720" s="74"/>
      <c r="EU720" s="74"/>
      <c r="EV720" s="74"/>
      <c r="EW720" s="74"/>
      <c r="EX720" s="74"/>
      <c r="EY720" s="74"/>
      <c r="EZ720" s="74"/>
      <c r="FA720" s="74"/>
      <c r="FB720" s="74"/>
      <c r="FC720" s="74"/>
      <c r="FD720" s="74"/>
      <c r="FE720" s="74"/>
      <c r="FF720" s="74"/>
      <c r="FG720" s="74"/>
      <c r="FH720" s="74"/>
      <c r="FI720" s="74"/>
      <c r="FJ720" s="74"/>
      <c r="FK720" s="74"/>
      <c r="FL720" s="74"/>
      <c r="FM720" s="74"/>
      <c r="FN720" s="74"/>
      <c r="FO720" s="74"/>
      <c r="FP720" s="74"/>
      <c r="FQ720" s="74"/>
      <c r="FR720" s="74"/>
      <c r="FS720" s="74"/>
      <c r="FT720" s="74"/>
      <c r="FU720" s="74"/>
      <c r="FV720" s="74"/>
      <c r="FW720" s="74"/>
      <c r="FX720" s="74"/>
      <c r="FY720" s="74"/>
      <c r="FZ720" s="74"/>
      <c r="GA720" s="74"/>
      <c r="GB720" s="74"/>
      <c r="GC720" s="74"/>
      <c r="GD720" s="74"/>
      <c r="GE720" s="74"/>
      <c r="GF720" s="74"/>
      <c r="GG720" s="74"/>
      <c r="GH720" s="74"/>
      <c r="GI720" s="74"/>
      <c r="GJ720" s="74"/>
      <c r="GK720" s="74"/>
      <c r="GL720" s="74"/>
      <c r="GM720" s="74"/>
      <c r="GN720" s="74"/>
      <c r="GO720" s="74"/>
      <c r="GP720" s="74"/>
      <c r="GQ720" s="74"/>
      <c r="GR720" s="74"/>
      <c r="GS720" s="74"/>
      <c r="GT720" s="74"/>
      <c r="GU720" s="74"/>
      <c r="GV720" s="74"/>
      <c r="GW720" s="74"/>
      <c r="GX720" s="74"/>
      <c r="GY720" s="74"/>
      <c r="GZ720" s="74"/>
      <c r="HA720" s="74"/>
      <c r="HB720" s="74"/>
      <c r="HC720" s="74"/>
      <c r="HD720" s="74"/>
      <c r="HE720" s="74"/>
      <c r="HF720" s="74"/>
      <c r="HG720" s="74"/>
      <c r="HH720" s="74"/>
      <c r="HI720" s="74"/>
      <c r="HJ720" s="74"/>
      <c r="HK720" s="74"/>
      <c r="HL720" s="74"/>
      <c r="HM720" s="74"/>
      <c r="HN720" s="74"/>
      <c r="HO720" s="74"/>
      <c r="HP720" s="74"/>
      <c r="HQ720" s="74"/>
      <c r="HR720" s="74"/>
      <c r="HS720" s="74"/>
      <c r="HT720" s="74"/>
      <c r="HU720" s="74"/>
      <c r="HV720" s="74"/>
      <c r="HW720" s="74"/>
      <c r="HX720" s="74"/>
      <c r="HY720" s="74"/>
      <c r="HZ720" s="74"/>
      <c r="IA720" s="74"/>
      <c r="IB720" s="74"/>
      <c r="IC720" s="74"/>
      <c r="ID720" s="74"/>
      <c r="IE720" s="74"/>
      <c r="IF720" s="74"/>
      <c r="IG720" s="74"/>
      <c r="IH720" s="74"/>
      <c r="II720" s="74"/>
      <c r="IJ720" s="74"/>
      <c r="IK720" s="74"/>
      <c r="IL720" s="74"/>
      <c r="IM720" s="74"/>
      <c r="IN720" s="74"/>
      <c r="IO720" s="74"/>
      <c r="IP720" s="74"/>
      <c r="IQ720" s="74"/>
      <c r="IR720" s="74"/>
      <c r="IS720" s="74"/>
      <c r="IT720" s="74"/>
      <c r="IU720" s="74"/>
      <c r="IV720" s="74"/>
      <c r="IW720" s="74"/>
    </row>
    <row r="721" customFormat="false" ht="7.5" hidden="false" customHeight="true" outlineLevel="0" collapsed="false">
      <c r="A721" s="196"/>
      <c r="B721" s="195"/>
      <c r="C721" s="183"/>
      <c r="D721" s="92"/>
      <c r="E721" s="93"/>
      <c r="F721" s="81"/>
      <c r="G721" s="81"/>
      <c r="H721" s="81"/>
      <c r="I721" s="94"/>
      <c r="J721" s="118"/>
      <c r="K721" s="74"/>
      <c r="L721" s="74"/>
      <c r="M721" s="74"/>
      <c r="N721" s="74"/>
      <c r="O721" s="74"/>
      <c r="P721" s="74"/>
      <c r="Q721" s="74"/>
      <c r="R721" s="74"/>
      <c r="S721" s="74"/>
      <c r="T721" s="274"/>
      <c r="U721" s="74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74"/>
      <c r="AJ721" s="74"/>
      <c r="AK721" s="74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4"/>
      <c r="AZ721" s="74"/>
      <c r="BA721" s="74"/>
      <c r="BB721" s="74"/>
      <c r="BC721" s="74"/>
      <c r="BD721" s="74"/>
      <c r="BE721" s="74"/>
      <c r="BF721" s="74"/>
      <c r="BG721" s="74"/>
      <c r="BH721" s="74"/>
      <c r="BI721" s="74"/>
      <c r="BJ721" s="74"/>
      <c r="BK721" s="74"/>
      <c r="BL721" s="74"/>
      <c r="BM721" s="74"/>
      <c r="BN721" s="74"/>
      <c r="BO721" s="74"/>
      <c r="BP721" s="74"/>
      <c r="BQ721" s="74"/>
      <c r="BR721" s="74"/>
      <c r="BS721" s="74"/>
      <c r="BT721" s="74"/>
      <c r="BU721" s="74"/>
      <c r="BV721" s="74"/>
      <c r="BW721" s="74"/>
      <c r="BX721" s="74"/>
      <c r="BY721" s="74"/>
      <c r="BZ721" s="74"/>
      <c r="CA721" s="74"/>
      <c r="CB721" s="74"/>
      <c r="CC721" s="74"/>
      <c r="CD721" s="74"/>
      <c r="CE721" s="74"/>
      <c r="CF721" s="74"/>
      <c r="CG721" s="74"/>
      <c r="CH721" s="74"/>
      <c r="CI721" s="74"/>
      <c r="CJ721" s="74"/>
      <c r="CK721" s="74"/>
      <c r="CL721" s="74"/>
      <c r="CM721" s="74"/>
      <c r="CN721" s="74"/>
      <c r="CO721" s="74"/>
      <c r="CP721" s="74"/>
      <c r="CQ721" s="74"/>
      <c r="CR721" s="74"/>
      <c r="CS721" s="74"/>
      <c r="CT721" s="74"/>
      <c r="CU721" s="74"/>
      <c r="CV721" s="74"/>
      <c r="CW721" s="74"/>
      <c r="CX721" s="74"/>
      <c r="CY721" s="74"/>
      <c r="CZ721" s="74"/>
      <c r="DA721" s="74"/>
      <c r="DB721" s="74"/>
      <c r="DC721" s="74"/>
      <c r="DD721" s="74"/>
      <c r="DE721" s="74"/>
      <c r="DF721" s="74"/>
      <c r="DG721" s="74"/>
      <c r="DH721" s="74"/>
      <c r="DI721" s="74"/>
      <c r="DJ721" s="74"/>
      <c r="DK721" s="74"/>
      <c r="DL721" s="74"/>
      <c r="DM721" s="74"/>
      <c r="DN721" s="74"/>
      <c r="DO721" s="74"/>
      <c r="DP721" s="74"/>
      <c r="DQ721" s="74"/>
      <c r="DR721" s="74"/>
      <c r="DS721" s="74"/>
      <c r="DT721" s="74"/>
      <c r="DU721" s="74"/>
      <c r="DV721" s="74"/>
      <c r="DW721" s="74"/>
      <c r="DX721" s="74"/>
      <c r="DY721" s="74"/>
      <c r="DZ721" s="74"/>
      <c r="EA721" s="74"/>
      <c r="EB721" s="74"/>
      <c r="EC721" s="74"/>
      <c r="ED721" s="74"/>
      <c r="EE721" s="74"/>
      <c r="EF721" s="74"/>
      <c r="EG721" s="74"/>
      <c r="EH721" s="74"/>
      <c r="EI721" s="74"/>
      <c r="EJ721" s="74"/>
      <c r="EK721" s="74"/>
      <c r="EL721" s="74"/>
      <c r="EM721" s="74"/>
      <c r="EN721" s="74"/>
      <c r="EO721" s="74"/>
      <c r="EP721" s="74"/>
      <c r="EQ721" s="74"/>
      <c r="ER721" s="74"/>
      <c r="ES721" s="74"/>
      <c r="ET721" s="74"/>
      <c r="EU721" s="74"/>
      <c r="EV721" s="74"/>
      <c r="EW721" s="74"/>
      <c r="EX721" s="74"/>
      <c r="EY721" s="74"/>
      <c r="EZ721" s="74"/>
      <c r="FA721" s="74"/>
      <c r="FB721" s="74"/>
      <c r="FC721" s="74"/>
      <c r="FD721" s="74"/>
      <c r="FE721" s="74"/>
      <c r="FF721" s="74"/>
      <c r="FG721" s="74"/>
      <c r="FH721" s="74"/>
      <c r="FI721" s="74"/>
      <c r="FJ721" s="74"/>
      <c r="FK721" s="74"/>
      <c r="FL721" s="74"/>
      <c r="FM721" s="74"/>
      <c r="FN721" s="74"/>
      <c r="FO721" s="74"/>
      <c r="FP721" s="74"/>
      <c r="FQ721" s="74"/>
      <c r="FR721" s="74"/>
      <c r="FS721" s="74"/>
      <c r="FT721" s="74"/>
      <c r="FU721" s="74"/>
      <c r="FV721" s="74"/>
      <c r="FW721" s="74"/>
      <c r="FX721" s="74"/>
      <c r="FY721" s="74"/>
      <c r="FZ721" s="74"/>
      <c r="GA721" s="74"/>
      <c r="GB721" s="74"/>
      <c r="GC721" s="74"/>
      <c r="GD721" s="74"/>
      <c r="GE721" s="74"/>
      <c r="GF721" s="74"/>
      <c r="GG721" s="74"/>
      <c r="GH721" s="74"/>
      <c r="GI721" s="74"/>
      <c r="GJ721" s="74"/>
      <c r="GK721" s="74"/>
      <c r="GL721" s="74"/>
      <c r="GM721" s="74"/>
      <c r="GN721" s="74"/>
      <c r="GO721" s="74"/>
      <c r="GP721" s="74"/>
      <c r="GQ721" s="74"/>
      <c r="GR721" s="74"/>
      <c r="GS721" s="74"/>
      <c r="GT721" s="74"/>
      <c r="GU721" s="74"/>
      <c r="GV721" s="74"/>
      <c r="GW721" s="74"/>
      <c r="GX721" s="74"/>
      <c r="GY721" s="74"/>
      <c r="GZ721" s="74"/>
      <c r="HA721" s="74"/>
      <c r="HB721" s="74"/>
      <c r="HC721" s="74"/>
      <c r="HD721" s="74"/>
      <c r="HE721" s="74"/>
      <c r="HF721" s="74"/>
      <c r="HG721" s="74"/>
      <c r="HH721" s="74"/>
      <c r="HI721" s="74"/>
      <c r="HJ721" s="74"/>
      <c r="HK721" s="74"/>
      <c r="HL721" s="74"/>
      <c r="HM721" s="74"/>
      <c r="HN721" s="74"/>
      <c r="HO721" s="74"/>
      <c r="HP721" s="74"/>
      <c r="HQ721" s="74"/>
      <c r="HR721" s="74"/>
      <c r="HS721" s="74"/>
      <c r="HT721" s="74"/>
      <c r="HU721" s="74"/>
      <c r="HV721" s="74"/>
      <c r="HW721" s="74"/>
      <c r="HX721" s="74"/>
      <c r="HY721" s="74"/>
      <c r="HZ721" s="74"/>
      <c r="IA721" s="74"/>
      <c r="IB721" s="74"/>
      <c r="IC721" s="74"/>
      <c r="ID721" s="74"/>
      <c r="IE721" s="74"/>
      <c r="IF721" s="74"/>
      <c r="IG721" s="74"/>
      <c r="IH721" s="74"/>
      <c r="II721" s="74"/>
      <c r="IJ721" s="74"/>
      <c r="IK721" s="74"/>
      <c r="IL721" s="74"/>
      <c r="IM721" s="74"/>
      <c r="IN721" s="74"/>
      <c r="IO721" s="74"/>
      <c r="IP721" s="74"/>
      <c r="IQ721" s="74"/>
      <c r="IR721" s="74"/>
      <c r="IS721" s="74"/>
      <c r="IT721" s="74"/>
      <c r="IU721" s="74"/>
      <c r="IV721" s="74"/>
      <c r="IW721" s="74"/>
    </row>
    <row r="722" customFormat="false" ht="18" hidden="false" customHeight="false" outlineLevel="0" collapsed="false">
      <c r="A722" s="212" t="s">
        <v>680</v>
      </c>
      <c r="B722" s="211"/>
      <c r="C722" s="183"/>
      <c r="D722" s="92"/>
      <c r="E722" s="93"/>
      <c r="F722" s="81"/>
      <c r="G722" s="81"/>
      <c r="H722" s="81"/>
      <c r="I722" s="94"/>
      <c r="J722" s="156"/>
      <c r="K722" s="74"/>
      <c r="L722" s="74"/>
      <c r="M722" s="74"/>
      <c r="N722" s="74"/>
      <c r="O722" s="74"/>
      <c r="P722" s="74"/>
      <c r="Q722" s="74"/>
      <c r="R722" s="74"/>
      <c r="S722" s="74"/>
      <c r="T722" s="274"/>
      <c r="U722" s="74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74"/>
      <c r="AJ722" s="74"/>
      <c r="AK722" s="74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4"/>
      <c r="AZ722" s="74"/>
      <c r="BA722" s="74"/>
      <c r="BB722" s="74"/>
      <c r="BC722" s="74"/>
      <c r="BD722" s="74"/>
      <c r="BE722" s="74"/>
      <c r="BF722" s="74"/>
      <c r="BG722" s="74"/>
      <c r="BH722" s="74"/>
      <c r="BI722" s="74"/>
      <c r="BJ722" s="74"/>
      <c r="BK722" s="74"/>
      <c r="BL722" s="74"/>
      <c r="BM722" s="74"/>
      <c r="BN722" s="74"/>
      <c r="BO722" s="74"/>
      <c r="BP722" s="74"/>
      <c r="BQ722" s="74"/>
      <c r="BR722" s="74"/>
      <c r="BS722" s="74"/>
      <c r="BT722" s="74"/>
      <c r="BU722" s="74"/>
      <c r="BV722" s="74"/>
      <c r="BW722" s="74"/>
      <c r="BX722" s="74"/>
      <c r="BY722" s="74"/>
      <c r="BZ722" s="74"/>
      <c r="CA722" s="74"/>
      <c r="CB722" s="74"/>
      <c r="CC722" s="74"/>
      <c r="CD722" s="74"/>
      <c r="CE722" s="74"/>
      <c r="CF722" s="74"/>
      <c r="CG722" s="74"/>
      <c r="CH722" s="74"/>
      <c r="CI722" s="74"/>
      <c r="CJ722" s="74"/>
      <c r="CK722" s="74"/>
      <c r="CL722" s="74"/>
      <c r="CM722" s="74"/>
      <c r="CN722" s="74"/>
      <c r="CO722" s="74"/>
      <c r="CP722" s="74"/>
      <c r="CQ722" s="74"/>
      <c r="CR722" s="74"/>
      <c r="CS722" s="74"/>
      <c r="CT722" s="74"/>
      <c r="CU722" s="74"/>
      <c r="CV722" s="74"/>
      <c r="CW722" s="74"/>
      <c r="CX722" s="74"/>
      <c r="CY722" s="74"/>
      <c r="CZ722" s="74"/>
      <c r="DA722" s="74"/>
      <c r="DB722" s="74"/>
      <c r="DC722" s="74"/>
      <c r="DD722" s="74"/>
      <c r="DE722" s="74"/>
      <c r="DF722" s="74"/>
      <c r="DG722" s="74"/>
      <c r="DH722" s="74"/>
      <c r="DI722" s="74"/>
      <c r="DJ722" s="74"/>
      <c r="DK722" s="74"/>
      <c r="DL722" s="74"/>
      <c r="DM722" s="74"/>
      <c r="DN722" s="74"/>
      <c r="DO722" s="74"/>
      <c r="DP722" s="74"/>
      <c r="DQ722" s="74"/>
      <c r="DR722" s="74"/>
      <c r="DS722" s="74"/>
      <c r="DT722" s="74"/>
      <c r="DU722" s="74"/>
      <c r="DV722" s="74"/>
      <c r="DW722" s="74"/>
      <c r="DX722" s="74"/>
      <c r="DY722" s="74"/>
      <c r="DZ722" s="74"/>
      <c r="EA722" s="74"/>
      <c r="EB722" s="74"/>
      <c r="EC722" s="74"/>
      <c r="ED722" s="74"/>
      <c r="EE722" s="74"/>
      <c r="EF722" s="74"/>
      <c r="EG722" s="74"/>
      <c r="EH722" s="74"/>
      <c r="EI722" s="74"/>
      <c r="EJ722" s="74"/>
      <c r="EK722" s="74"/>
      <c r="EL722" s="74"/>
      <c r="EM722" s="74"/>
      <c r="EN722" s="74"/>
      <c r="EO722" s="74"/>
      <c r="EP722" s="74"/>
      <c r="EQ722" s="74"/>
      <c r="ER722" s="74"/>
      <c r="ES722" s="74"/>
      <c r="ET722" s="74"/>
      <c r="EU722" s="74"/>
      <c r="EV722" s="74"/>
      <c r="EW722" s="74"/>
      <c r="EX722" s="74"/>
      <c r="EY722" s="74"/>
      <c r="EZ722" s="74"/>
      <c r="FA722" s="74"/>
      <c r="FB722" s="74"/>
      <c r="FC722" s="74"/>
      <c r="FD722" s="74"/>
      <c r="FE722" s="74"/>
      <c r="FF722" s="74"/>
      <c r="FG722" s="74"/>
      <c r="FH722" s="74"/>
      <c r="FI722" s="74"/>
      <c r="FJ722" s="74"/>
      <c r="FK722" s="74"/>
      <c r="FL722" s="74"/>
      <c r="FM722" s="74"/>
      <c r="FN722" s="74"/>
      <c r="FO722" s="74"/>
      <c r="FP722" s="74"/>
      <c r="FQ722" s="74"/>
      <c r="FR722" s="74"/>
      <c r="FS722" s="74"/>
      <c r="FT722" s="74"/>
      <c r="FU722" s="74"/>
      <c r="FV722" s="74"/>
      <c r="FW722" s="74"/>
      <c r="FX722" s="74"/>
      <c r="FY722" s="74"/>
      <c r="FZ722" s="74"/>
      <c r="GA722" s="74"/>
      <c r="GB722" s="74"/>
      <c r="GC722" s="74"/>
      <c r="GD722" s="74"/>
      <c r="GE722" s="74"/>
      <c r="GF722" s="74"/>
      <c r="GG722" s="74"/>
      <c r="GH722" s="74"/>
      <c r="GI722" s="74"/>
      <c r="GJ722" s="74"/>
      <c r="GK722" s="74"/>
      <c r="GL722" s="74"/>
      <c r="GM722" s="74"/>
      <c r="GN722" s="74"/>
      <c r="GO722" s="74"/>
      <c r="GP722" s="74"/>
      <c r="GQ722" s="74"/>
      <c r="GR722" s="74"/>
      <c r="GS722" s="74"/>
      <c r="GT722" s="74"/>
      <c r="GU722" s="74"/>
      <c r="GV722" s="74"/>
      <c r="GW722" s="74"/>
      <c r="GX722" s="74"/>
      <c r="GY722" s="74"/>
      <c r="GZ722" s="74"/>
      <c r="HA722" s="74"/>
      <c r="HB722" s="74"/>
      <c r="HC722" s="74"/>
      <c r="HD722" s="74"/>
      <c r="HE722" s="74"/>
      <c r="HF722" s="74"/>
      <c r="HG722" s="74"/>
      <c r="HH722" s="74"/>
      <c r="HI722" s="74"/>
      <c r="HJ722" s="74"/>
      <c r="HK722" s="74"/>
      <c r="HL722" s="74"/>
      <c r="HM722" s="74"/>
      <c r="HN722" s="74"/>
      <c r="HO722" s="74"/>
      <c r="HP722" s="74"/>
      <c r="HQ722" s="74"/>
      <c r="HR722" s="74"/>
      <c r="HS722" s="74"/>
      <c r="HT722" s="74"/>
      <c r="HU722" s="74"/>
      <c r="HV722" s="74"/>
      <c r="HW722" s="74"/>
      <c r="HX722" s="74"/>
      <c r="HY722" s="74"/>
      <c r="HZ722" s="74"/>
      <c r="IA722" s="74"/>
      <c r="IB722" s="74"/>
      <c r="IC722" s="74"/>
      <c r="ID722" s="74"/>
      <c r="IE722" s="74"/>
      <c r="IF722" s="74"/>
      <c r="IG722" s="74"/>
      <c r="IH722" s="74"/>
      <c r="II722" s="74"/>
      <c r="IJ722" s="74"/>
      <c r="IK722" s="74"/>
      <c r="IL722" s="74"/>
      <c r="IM722" s="74"/>
      <c r="IN722" s="74"/>
      <c r="IO722" s="74"/>
      <c r="IP722" s="74"/>
      <c r="IQ722" s="74"/>
      <c r="IR722" s="74"/>
      <c r="IS722" s="74"/>
      <c r="IT722" s="74"/>
      <c r="IU722" s="74"/>
      <c r="IV722" s="74"/>
      <c r="IW722" s="74"/>
    </row>
    <row r="723" customFormat="false" ht="15.75" hidden="false" customHeight="false" outlineLevel="0" collapsed="false">
      <c r="A723" s="188"/>
      <c r="B723" s="90"/>
      <c r="C723" s="277"/>
      <c r="D723" s="96"/>
      <c r="E723" s="93"/>
      <c r="F723" s="81"/>
      <c r="G723" s="81"/>
      <c r="H723" s="81"/>
      <c r="I723" s="94"/>
      <c r="J723" s="118"/>
      <c r="K723" s="74"/>
      <c r="L723" s="74"/>
      <c r="M723" s="74"/>
      <c r="N723" s="74"/>
      <c r="O723" s="74"/>
      <c r="P723" s="74"/>
      <c r="Q723" s="74"/>
      <c r="R723" s="74"/>
      <c r="S723" s="74"/>
      <c r="T723" s="274"/>
      <c r="U723" s="74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74"/>
      <c r="AJ723" s="74"/>
      <c r="AK723" s="74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4"/>
      <c r="AZ723" s="74"/>
      <c r="BA723" s="74"/>
      <c r="BB723" s="74"/>
      <c r="BC723" s="74"/>
      <c r="BD723" s="74"/>
      <c r="BE723" s="74"/>
      <c r="BF723" s="74"/>
      <c r="BG723" s="74"/>
      <c r="BH723" s="74"/>
      <c r="BI723" s="74"/>
      <c r="BJ723" s="74"/>
      <c r="BK723" s="74"/>
      <c r="BL723" s="74"/>
      <c r="BM723" s="74"/>
      <c r="BN723" s="74"/>
      <c r="BO723" s="74"/>
      <c r="BP723" s="74"/>
      <c r="BQ723" s="74"/>
      <c r="BR723" s="74"/>
      <c r="BS723" s="74"/>
      <c r="BT723" s="74"/>
      <c r="BU723" s="74"/>
      <c r="BV723" s="74"/>
      <c r="BW723" s="74"/>
      <c r="BX723" s="74"/>
      <c r="BY723" s="74"/>
      <c r="BZ723" s="74"/>
      <c r="CA723" s="74"/>
      <c r="CB723" s="74"/>
      <c r="CC723" s="74"/>
      <c r="CD723" s="74"/>
      <c r="CE723" s="74"/>
      <c r="CF723" s="74"/>
      <c r="CG723" s="74"/>
      <c r="CH723" s="74"/>
      <c r="CI723" s="74"/>
      <c r="CJ723" s="74"/>
      <c r="CK723" s="74"/>
      <c r="CL723" s="74"/>
      <c r="CM723" s="74"/>
      <c r="CN723" s="74"/>
      <c r="CO723" s="74"/>
      <c r="CP723" s="74"/>
      <c r="CQ723" s="74"/>
      <c r="CR723" s="74"/>
      <c r="CS723" s="74"/>
      <c r="CT723" s="74"/>
      <c r="CU723" s="74"/>
      <c r="CV723" s="74"/>
      <c r="CW723" s="74"/>
      <c r="CX723" s="74"/>
      <c r="CY723" s="74"/>
      <c r="CZ723" s="74"/>
      <c r="DA723" s="74"/>
      <c r="DB723" s="74"/>
      <c r="DC723" s="74"/>
      <c r="DD723" s="74"/>
      <c r="DE723" s="74"/>
      <c r="DF723" s="74"/>
      <c r="DG723" s="74"/>
      <c r="DH723" s="74"/>
      <c r="DI723" s="74"/>
      <c r="DJ723" s="74"/>
      <c r="DK723" s="74"/>
      <c r="DL723" s="74"/>
      <c r="DM723" s="74"/>
      <c r="DN723" s="74"/>
      <c r="DO723" s="74"/>
      <c r="DP723" s="74"/>
      <c r="DQ723" s="74"/>
      <c r="DR723" s="74"/>
      <c r="DS723" s="74"/>
      <c r="DT723" s="74"/>
      <c r="DU723" s="74"/>
      <c r="DV723" s="74"/>
      <c r="DW723" s="74"/>
      <c r="DX723" s="74"/>
      <c r="DY723" s="74"/>
      <c r="DZ723" s="74"/>
      <c r="EA723" s="74"/>
      <c r="EB723" s="74"/>
      <c r="EC723" s="74"/>
      <c r="ED723" s="74"/>
      <c r="EE723" s="74"/>
      <c r="EF723" s="74"/>
      <c r="EG723" s="74"/>
      <c r="EH723" s="74"/>
      <c r="EI723" s="74"/>
      <c r="EJ723" s="74"/>
      <c r="EK723" s="74"/>
      <c r="EL723" s="74"/>
      <c r="EM723" s="74"/>
      <c r="EN723" s="74"/>
      <c r="EO723" s="74"/>
      <c r="EP723" s="74"/>
      <c r="EQ723" s="74"/>
      <c r="ER723" s="74"/>
      <c r="ES723" s="74"/>
      <c r="ET723" s="74"/>
      <c r="EU723" s="74"/>
      <c r="EV723" s="74"/>
      <c r="EW723" s="74"/>
      <c r="EX723" s="74"/>
      <c r="EY723" s="74"/>
      <c r="EZ723" s="74"/>
      <c r="FA723" s="74"/>
      <c r="FB723" s="74"/>
      <c r="FC723" s="74"/>
      <c r="FD723" s="74"/>
      <c r="FE723" s="74"/>
      <c r="FF723" s="74"/>
      <c r="FG723" s="74"/>
      <c r="FH723" s="74"/>
      <c r="FI723" s="74"/>
      <c r="FJ723" s="74"/>
      <c r="FK723" s="74"/>
      <c r="FL723" s="74"/>
      <c r="FM723" s="74"/>
      <c r="FN723" s="74"/>
      <c r="FO723" s="74"/>
      <c r="FP723" s="74"/>
      <c r="FQ723" s="74"/>
      <c r="FR723" s="74"/>
      <c r="FS723" s="74"/>
      <c r="FT723" s="74"/>
      <c r="FU723" s="74"/>
      <c r="FV723" s="74"/>
      <c r="FW723" s="74"/>
      <c r="FX723" s="74"/>
      <c r="FY723" s="74"/>
      <c r="FZ723" s="74"/>
      <c r="GA723" s="74"/>
      <c r="GB723" s="74"/>
      <c r="GC723" s="74"/>
      <c r="GD723" s="74"/>
      <c r="GE723" s="74"/>
      <c r="GF723" s="74"/>
      <c r="GG723" s="74"/>
      <c r="GH723" s="74"/>
      <c r="GI723" s="74"/>
      <c r="GJ723" s="74"/>
      <c r="GK723" s="74"/>
      <c r="GL723" s="74"/>
      <c r="GM723" s="74"/>
      <c r="GN723" s="74"/>
      <c r="GO723" s="74"/>
      <c r="GP723" s="74"/>
      <c r="GQ723" s="74"/>
      <c r="GR723" s="74"/>
      <c r="GS723" s="74"/>
      <c r="GT723" s="74"/>
      <c r="GU723" s="74"/>
      <c r="GV723" s="74"/>
      <c r="GW723" s="74"/>
      <c r="GX723" s="74"/>
      <c r="GY723" s="74"/>
      <c r="GZ723" s="74"/>
      <c r="HA723" s="74"/>
      <c r="HB723" s="74"/>
      <c r="HC723" s="74"/>
      <c r="HD723" s="74"/>
      <c r="HE723" s="74"/>
      <c r="HF723" s="74"/>
      <c r="HG723" s="74"/>
      <c r="HH723" s="74"/>
      <c r="HI723" s="74"/>
      <c r="HJ723" s="74"/>
      <c r="HK723" s="74"/>
      <c r="HL723" s="74"/>
      <c r="HM723" s="74"/>
      <c r="HN723" s="74"/>
      <c r="HO723" s="74"/>
      <c r="HP723" s="74"/>
      <c r="HQ723" s="74"/>
      <c r="HR723" s="74"/>
      <c r="HS723" s="74"/>
      <c r="HT723" s="74"/>
      <c r="HU723" s="74"/>
      <c r="HV723" s="74"/>
      <c r="HW723" s="74"/>
      <c r="HX723" s="74"/>
      <c r="HY723" s="74"/>
      <c r="HZ723" s="74"/>
      <c r="IA723" s="74"/>
      <c r="IB723" s="74"/>
      <c r="IC723" s="74"/>
      <c r="ID723" s="74"/>
      <c r="IE723" s="74"/>
      <c r="IF723" s="74"/>
      <c r="IG723" s="74"/>
      <c r="IH723" s="74"/>
      <c r="II723" s="74"/>
      <c r="IJ723" s="74"/>
      <c r="IK723" s="74"/>
      <c r="IL723" s="74"/>
      <c r="IM723" s="74"/>
      <c r="IN723" s="74"/>
      <c r="IO723" s="74"/>
      <c r="IP723" s="74"/>
      <c r="IQ723" s="74"/>
      <c r="IR723" s="74"/>
      <c r="IS723" s="74"/>
      <c r="IT723" s="74"/>
      <c r="IU723" s="74"/>
      <c r="IV723" s="74"/>
      <c r="IW723" s="74"/>
    </row>
    <row r="724" customFormat="false" ht="15" hidden="false" customHeight="false" outlineLevel="0" collapsed="false">
      <c r="A724" s="188" t="s">
        <v>681</v>
      </c>
      <c r="B724" s="95" t="n">
        <v>37083</v>
      </c>
      <c r="C724" s="188" t="s">
        <v>682</v>
      </c>
      <c r="D724" s="92" t="n">
        <f aca="false">I724/0.015</f>
        <v>34232.7333333333</v>
      </c>
      <c r="E724" s="93" t="n">
        <v>513.491</v>
      </c>
      <c r="F724" s="81" t="n">
        <v>0</v>
      </c>
      <c r="G724" s="81" t="n">
        <v>0</v>
      </c>
      <c r="H724" s="81" t="n">
        <v>0</v>
      </c>
      <c r="I724" s="94" t="n">
        <f aca="false">SUM(E724:H724)</f>
        <v>513.491</v>
      </c>
      <c r="J724" s="118"/>
      <c r="K724" s="97"/>
      <c r="L724" s="97"/>
      <c r="M724" s="97"/>
      <c r="N724" s="97"/>
      <c r="O724" s="97"/>
      <c r="P724" s="97"/>
      <c r="Q724" s="97"/>
      <c r="R724" s="97"/>
      <c r="S724" s="97"/>
      <c r="T724" s="278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97"/>
      <c r="AU724" s="97"/>
      <c r="AV724" s="97"/>
      <c r="AW724" s="97"/>
      <c r="AX724" s="97"/>
      <c r="AY724" s="97"/>
      <c r="AZ724" s="97"/>
      <c r="BA724" s="97"/>
      <c r="BB724" s="97"/>
      <c r="BC724" s="97"/>
      <c r="BD724" s="97"/>
      <c r="BE724" s="97"/>
      <c r="BF724" s="97"/>
      <c r="BG724" s="97"/>
      <c r="BH724" s="97"/>
      <c r="BI724" s="97"/>
      <c r="BJ724" s="97"/>
      <c r="BK724" s="97"/>
      <c r="BL724" s="97"/>
      <c r="BM724" s="97"/>
      <c r="BN724" s="97"/>
      <c r="BO724" s="97"/>
      <c r="BP724" s="97"/>
      <c r="BQ724" s="97"/>
      <c r="BR724" s="97"/>
      <c r="BS724" s="97"/>
      <c r="BT724" s="97"/>
      <c r="BU724" s="97"/>
      <c r="BV724" s="97"/>
      <c r="BW724" s="97"/>
      <c r="BX724" s="97"/>
      <c r="BY724" s="97"/>
      <c r="BZ724" s="97"/>
      <c r="CA724" s="97"/>
      <c r="CB724" s="97"/>
      <c r="CC724" s="97"/>
      <c r="CD724" s="97"/>
      <c r="CE724" s="97"/>
      <c r="CF724" s="97"/>
      <c r="CG724" s="97"/>
      <c r="CH724" s="97"/>
      <c r="CI724" s="97"/>
      <c r="CJ724" s="97"/>
      <c r="CK724" s="97"/>
      <c r="CL724" s="97"/>
      <c r="CM724" s="97"/>
      <c r="CN724" s="97"/>
      <c r="CO724" s="97"/>
      <c r="CP724" s="97"/>
      <c r="CQ724" s="97"/>
      <c r="CR724" s="97"/>
      <c r="CS724" s="97"/>
      <c r="CT724" s="97"/>
      <c r="CU724" s="97"/>
      <c r="CV724" s="97"/>
      <c r="CW724" s="97"/>
      <c r="CX724" s="97"/>
      <c r="CY724" s="97"/>
      <c r="CZ724" s="97"/>
      <c r="DA724" s="97"/>
      <c r="DB724" s="97"/>
      <c r="DC724" s="97"/>
      <c r="DD724" s="97"/>
      <c r="DE724" s="97"/>
      <c r="DF724" s="97"/>
      <c r="DG724" s="97"/>
      <c r="DH724" s="97"/>
      <c r="DI724" s="97"/>
      <c r="DJ724" s="97"/>
      <c r="DK724" s="97"/>
      <c r="DL724" s="97"/>
      <c r="DM724" s="97"/>
      <c r="DN724" s="97"/>
      <c r="DO724" s="97"/>
      <c r="DP724" s="97"/>
      <c r="DQ724" s="97"/>
      <c r="DR724" s="97"/>
      <c r="DS724" s="97"/>
      <c r="DT724" s="97"/>
      <c r="DU724" s="97"/>
      <c r="DV724" s="97"/>
      <c r="DW724" s="97"/>
      <c r="DX724" s="97"/>
      <c r="DY724" s="97"/>
      <c r="DZ724" s="97"/>
      <c r="EA724" s="97"/>
      <c r="EB724" s="97"/>
      <c r="EC724" s="97"/>
      <c r="ED724" s="97"/>
      <c r="EE724" s="97"/>
      <c r="EF724" s="97"/>
      <c r="EG724" s="97"/>
      <c r="EH724" s="97"/>
      <c r="EI724" s="97"/>
      <c r="EJ724" s="97"/>
      <c r="EK724" s="97"/>
      <c r="EL724" s="97"/>
      <c r="EM724" s="97"/>
      <c r="EN724" s="97"/>
      <c r="EO724" s="97"/>
      <c r="EP724" s="97"/>
      <c r="EQ724" s="97"/>
      <c r="ER724" s="97"/>
      <c r="ES724" s="97"/>
      <c r="ET724" s="97"/>
      <c r="EU724" s="97"/>
      <c r="EV724" s="97"/>
      <c r="EW724" s="97"/>
      <c r="EX724" s="97"/>
      <c r="EY724" s="97"/>
      <c r="EZ724" s="97"/>
      <c r="FA724" s="97"/>
      <c r="FB724" s="97"/>
      <c r="FC724" s="97"/>
      <c r="FD724" s="97"/>
      <c r="FE724" s="97"/>
      <c r="FF724" s="97"/>
      <c r="FG724" s="97"/>
      <c r="FH724" s="97"/>
      <c r="FI724" s="97"/>
      <c r="FJ724" s="97"/>
      <c r="FK724" s="97"/>
      <c r="FL724" s="97"/>
      <c r="FM724" s="97"/>
      <c r="FN724" s="97"/>
      <c r="FO724" s="97"/>
      <c r="FP724" s="97"/>
      <c r="FQ724" s="97"/>
      <c r="FR724" s="97"/>
      <c r="FS724" s="97"/>
      <c r="FT724" s="97"/>
      <c r="FU724" s="97"/>
      <c r="FV724" s="97"/>
      <c r="FW724" s="97"/>
      <c r="FX724" s="97"/>
      <c r="FY724" s="97"/>
      <c r="FZ724" s="97"/>
      <c r="GA724" s="97"/>
      <c r="GB724" s="97"/>
      <c r="GC724" s="97"/>
      <c r="GD724" s="97"/>
      <c r="GE724" s="97"/>
      <c r="GF724" s="97"/>
      <c r="GG724" s="97"/>
      <c r="GH724" s="97"/>
      <c r="GI724" s="97"/>
      <c r="GJ724" s="97"/>
      <c r="GK724" s="97"/>
      <c r="GL724" s="97"/>
      <c r="GM724" s="97"/>
      <c r="GN724" s="97"/>
      <c r="GO724" s="97"/>
      <c r="GP724" s="97"/>
      <c r="GQ724" s="97"/>
      <c r="GR724" s="97"/>
      <c r="GS724" s="97"/>
      <c r="GT724" s="97"/>
      <c r="GU724" s="97"/>
      <c r="GV724" s="97"/>
      <c r="GW724" s="97"/>
      <c r="GX724" s="97"/>
      <c r="GY724" s="97"/>
      <c r="GZ724" s="97"/>
      <c r="HA724" s="97"/>
      <c r="HB724" s="97"/>
      <c r="HC724" s="97"/>
      <c r="HD724" s="97"/>
      <c r="HE724" s="97"/>
      <c r="HF724" s="97"/>
      <c r="HG724" s="97"/>
      <c r="HH724" s="97"/>
      <c r="HI724" s="97"/>
      <c r="HJ724" s="97"/>
      <c r="HK724" s="97"/>
      <c r="HL724" s="97"/>
      <c r="HM724" s="97"/>
      <c r="HN724" s="97"/>
      <c r="HO724" s="97"/>
      <c r="HP724" s="97"/>
      <c r="HQ724" s="97"/>
      <c r="HR724" s="97"/>
      <c r="HS724" s="97"/>
      <c r="HT724" s="97"/>
      <c r="HU724" s="97"/>
      <c r="HV724" s="97"/>
      <c r="HW724" s="97"/>
      <c r="HX724" s="97"/>
      <c r="HY724" s="97"/>
      <c r="HZ724" s="97"/>
      <c r="IA724" s="97"/>
      <c r="IB724" s="97"/>
      <c r="IC724" s="97"/>
      <c r="ID724" s="97"/>
      <c r="IE724" s="97"/>
      <c r="IF724" s="97"/>
      <c r="IG724" s="97"/>
      <c r="IH724" s="97"/>
      <c r="II724" s="97"/>
      <c r="IJ724" s="97"/>
      <c r="IK724" s="97"/>
      <c r="IL724" s="97"/>
      <c r="IM724" s="97"/>
      <c r="IN724" s="97"/>
      <c r="IO724" s="97"/>
      <c r="IP724" s="97"/>
      <c r="IQ724" s="97"/>
      <c r="IR724" s="97"/>
      <c r="IS724" s="97"/>
      <c r="IT724" s="97"/>
      <c r="IU724" s="97"/>
      <c r="IV724" s="97"/>
      <c r="IW724" s="97"/>
    </row>
    <row r="725" customFormat="false" ht="15" hidden="false" customHeight="false" outlineLevel="0" collapsed="false">
      <c r="A725" s="188" t="s">
        <v>683</v>
      </c>
      <c r="B725" s="95" t="n">
        <v>37083</v>
      </c>
      <c r="C725" s="188" t="s">
        <v>682</v>
      </c>
      <c r="D725" s="135" t="n">
        <f aca="false">I725/0.015</f>
        <v>2123.8</v>
      </c>
      <c r="E725" s="131" t="n">
        <v>31.857</v>
      </c>
      <c r="F725" s="132" t="n">
        <v>0</v>
      </c>
      <c r="G725" s="132" t="n">
        <v>0</v>
      </c>
      <c r="H725" s="132" t="n">
        <v>0</v>
      </c>
      <c r="I725" s="133" t="n">
        <f aca="false">SUM(E725:H725)</f>
        <v>31.857</v>
      </c>
      <c r="J725" s="118"/>
      <c r="K725" s="97"/>
      <c r="L725" s="97"/>
      <c r="M725" s="97"/>
      <c r="N725" s="97"/>
      <c r="O725" s="97"/>
      <c r="P725" s="97"/>
      <c r="Q725" s="97"/>
      <c r="R725" s="97"/>
      <c r="S725" s="97"/>
      <c r="T725" s="278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97"/>
      <c r="AU725" s="97"/>
      <c r="AV725" s="97"/>
      <c r="AW725" s="97"/>
      <c r="AX725" s="97"/>
      <c r="AY725" s="97"/>
      <c r="AZ725" s="97"/>
      <c r="BA725" s="97"/>
      <c r="BB725" s="97"/>
      <c r="BC725" s="97"/>
      <c r="BD725" s="97"/>
      <c r="BE725" s="97"/>
      <c r="BF725" s="97"/>
      <c r="BG725" s="97"/>
      <c r="BH725" s="97"/>
      <c r="BI725" s="97"/>
      <c r="BJ725" s="97"/>
      <c r="BK725" s="97"/>
      <c r="BL725" s="97"/>
      <c r="BM725" s="97"/>
      <c r="BN725" s="97"/>
      <c r="BO725" s="97"/>
      <c r="BP725" s="97"/>
      <c r="BQ725" s="97"/>
      <c r="BR725" s="97"/>
      <c r="BS725" s="97"/>
      <c r="BT725" s="97"/>
      <c r="BU725" s="97"/>
      <c r="BV725" s="97"/>
      <c r="BW725" s="97"/>
      <c r="BX725" s="97"/>
      <c r="BY725" s="97"/>
      <c r="BZ725" s="97"/>
      <c r="CA725" s="97"/>
      <c r="CB725" s="97"/>
      <c r="CC725" s="97"/>
      <c r="CD725" s="97"/>
      <c r="CE725" s="97"/>
      <c r="CF725" s="97"/>
      <c r="CG725" s="97"/>
      <c r="CH725" s="97"/>
      <c r="CI725" s="97"/>
      <c r="CJ725" s="97"/>
      <c r="CK725" s="97"/>
      <c r="CL725" s="97"/>
      <c r="CM725" s="97"/>
      <c r="CN725" s="97"/>
      <c r="CO725" s="97"/>
      <c r="CP725" s="97"/>
      <c r="CQ725" s="97"/>
      <c r="CR725" s="97"/>
      <c r="CS725" s="97"/>
      <c r="CT725" s="97"/>
      <c r="CU725" s="97"/>
      <c r="CV725" s="97"/>
      <c r="CW725" s="97"/>
      <c r="CX725" s="97"/>
      <c r="CY725" s="97"/>
      <c r="CZ725" s="97"/>
      <c r="DA725" s="97"/>
      <c r="DB725" s="97"/>
      <c r="DC725" s="97"/>
      <c r="DD725" s="97"/>
      <c r="DE725" s="97"/>
      <c r="DF725" s="97"/>
      <c r="DG725" s="97"/>
      <c r="DH725" s="97"/>
      <c r="DI725" s="97"/>
      <c r="DJ725" s="97"/>
      <c r="DK725" s="97"/>
      <c r="DL725" s="97"/>
      <c r="DM725" s="97"/>
      <c r="DN725" s="97"/>
      <c r="DO725" s="97"/>
      <c r="DP725" s="97"/>
      <c r="DQ725" s="97"/>
      <c r="DR725" s="97"/>
      <c r="DS725" s="97"/>
      <c r="DT725" s="97"/>
      <c r="DU725" s="97"/>
      <c r="DV725" s="97"/>
      <c r="DW725" s="97"/>
      <c r="DX725" s="97"/>
      <c r="DY725" s="97"/>
      <c r="DZ725" s="97"/>
      <c r="EA725" s="97"/>
      <c r="EB725" s="97"/>
      <c r="EC725" s="97"/>
      <c r="ED725" s="97"/>
      <c r="EE725" s="97"/>
      <c r="EF725" s="97"/>
      <c r="EG725" s="97"/>
      <c r="EH725" s="97"/>
      <c r="EI725" s="97"/>
      <c r="EJ725" s="97"/>
      <c r="EK725" s="97"/>
      <c r="EL725" s="97"/>
      <c r="EM725" s="97"/>
      <c r="EN725" s="97"/>
      <c r="EO725" s="97"/>
      <c r="EP725" s="97"/>
      <c r="EQ725" s="97"/>
      <c r="ER725" s="97"/>
      <c r="ES725" s="97"/>
      <c r="ET725" s="97"/>
      <c r="EU725" s="97"/>
      <c r="EV725" s="97"/>
      <c r="EW725" s="97"/>
      <c r="EX725" s="97"/>
      <c r="EY725" s="97"/>
      <c r="EZ725" s="97"/>
      <c r="FA725" s="97"/>
      <c r="FB725" s="97"/>
      <c r="FC725" s="97"/>
      <c r="FD725" s="97"/>
      <c r="FE725" s="97"/>
      <c r="FF725" s="97"/>
      <c r="FG725" s="97"/>
      <c r="FH725" s="97"/>
      <c r="FI725" s="97"/>
      <c r="FJ725" s="97"/>
      <c r="FK725" s="97"/>
      <c r="FL725" s="97"/>
      <c r="FM725" s="97"/>
      <c r="FN725" s="97"/>
      <c r="FO725" s="97"/>
      <c r="FP725" s="97"/>
      <c r="FQ725" s="97"/>
      <c r="FR725" s="97"/>
      <c r="FS725" s="97"/>
      <c r="FT725" s="97"/>
      <c r="FU725" s="97"/>
      <c r="FV725" s="97"/>
      <c r="FW725" s="97"/>
      <c r="FX725" s="97"/>
      <c r="FY725" s="97"/>
      <c r="FZ725" s="97"/>
      <c r="GA725" s="97"/>
      <c r="GB725" s="97"/>
      <c r="GC725" s="97"/>
      <c r="GD725" s="97"/>
      <c r="GE725" s="97"/>
      <c r="GF725" s="97"/>
      <c r="GG725" s="97"/>
      <c r="GH725" s="97"/>
      <c r="GI725" s="97"/>
      <c r="GJ725" s="97"/>
      <c r="GK725" s="97"/>
      <c r="GL725" s="97"/>
      <c r="GM725" s="97"/>
      <c r="GN725" s="97"/>
      <c r="GO725" s="97"/>
      <c r="GP725" s="97"/>
      <c r="GQ725" s="97"/>
      <c r="GR725" s="97"/>
      <c r="GS725" s="97"/>
      <c r="GT725" s="97"/>
      <c r="GU725" s="97"/>
      <c r="GV725" s="97"/>
      <c r="GW725" s="97"/>
      <c r="GX725" s="97"/>
      <c r="GY725" s="97"/>
      <c r="GZ725" s="97"/>
      <c r="HA725" s="97"/>
      <c r="HB725" s="97"/>
      <c r="HC725" s="97"/>
      <c r="HD725" s="97"/>
      <c r="HE725" s="97"/>
      <c r="HF725" s="97"/>
      <c r="HG725" s="97"/>
      <c r="HH725" s="97"/>
      <c r="HI725" s="97"/>
      <c r="HJ725" s="97"/>
      <c r="HK725" s="97"/>
      <c r="HL725" s="97"/>
      <c r="HM725" s="97"/>
      <c r="HN725" s="97"/>
      <c r="HO725" s="97"/>
      <c r="HP725" s="97"/>
      <c r="HQ725" s="97"/>
      <c r="HR725" s="97"/>
      <c r="HS725" s="97"/>
      <c r="HT725" s="97"/>
      <c r="HU725" s="97"/>
      <c r="HV725" s="97"/>
      <c r="HW725" s="97"/>
      <c r="HX725" s="97"/>
      <c r="HY725" s="97"/>
      <c r="HZ725" s="97"/>
      <c r="IA725" s="97"/>
      <c r="IB725" s="97"/>
      <c r="IC725" s="97"/>
      <c r="ID725" s="97"/>
      <c r="IE725" s="97"/>
      <c r="IF725" s="97"/>
      <c r="IG725" s="97"/>
      <c r="IH725" s="97"/>
      <c r="II725" s="97"/>
      <c r="IJ725" s="97"/>
      <c r="IK725" s="97"/>
      <c r="IL725" s="97"/>
      <c r="IM725" s="97"/>
      <c r="IN725" s="97"/>
      <c r="IO725" s="97"/>
      <c r="IP725" s="97"/>
      <c r="IQ725" s="97"/>
      <c r="IR725" s="97"/>
      <c r="IS725" s="97"/>
      <c r="IT725" s="97"/>
      <c r="IU725" s="97"/>
      <c r="IV725" s="97"/>
      <c r="IW725" s="97"/>
    </row>
    <row r="726" customFormat="false" ht="18" hidden="false" customHeight="false" outlineLevel="0" collapsed="false">
      <c r="A726" s="196" t="s">
        <v>684</v>
      </c>
      <c r="B726" s="195"/>
      <c r="C726" s="118"/>
      <c r="D726" s="96" t="n">
        <f aca="false">SUM(D723:D725)</f>
        <v>36356.5333333333</v>
      </c>
      <c r="E726" s="93" t="n">
        <f aca="false">SUM(E723:E725)</f>
        <v>545.348</v>
      </c>
      <c r="F726" s="81" t="n">
        <f aca="false">SUM(F723:F725)</f>
        <v>0</v>
      </c>
      <c r="G726" s="81" t="n">
        <f aca="false">SUM(G723:G725)</f>
        <v>0</v>
      </c>
      <c r="H726" s="81" t="n">
        <f aca="false">SUM(H723:H725)</f>
        <v>0</v>
      </c>
      <c r="I726" s="94" t="n">
        <f aca="false">SUM(I723:I725)</f>
        <v>545.348</v>
      </c>
      <c r="J726" s="156"/>
      <c r="K726" s="157"/>
      <c r="L726" s="157"/>
      <c r="M726" s="157"/>
      <c r="N726" s="157"/>
      <c r="O726" s="157"/>
      <c r="P726" s="157"/>
      <c r="Q726" s="157"/>
      <c r="R726" s="157"/>
      <c r="S726" s="157"/>
      <c r="T726" s="265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  <c r="CE726" s="157"/>
      <c r="CF726" s="157"/>
      <c r="CG726" s="157"/>
      <c r="CH726" s="157"/>
      <c r="CI726" s="157"/>
      <c r="CJ726" s="157"/>
      <c r="CK726" s="157"/>
      <c r="CL726" s="157"/>
      <c r="CM726" s="157"/>
      <c r="CN726" s="157"/>
      <c r="CO726" s="157"/>
      <c r="CP726" s="157"/>
      <c r="CQ726" s="157"/>
      <c r="CR726" s="157"/>
      <c r="CS726" s="157"/>
      <c r="CT726" s="157"/>
      <c r="CU726" s="157"/>
      <c r="CV726" s="157"/>
      <c r="CW726" s="157"/>
      <c r="CX726" s="157"/>
      <c r="CY726" s="157"/>
      <c r="CZ726" s="157"/>
      <c r="DA726" s="157"/>
      <c r="DB726" s="157"/>
      <c r="DC726" s="157"/>
      <c r="DD726" s="157"/>
      <c r="DE726" s="157"/>
      <c r="DF726" s="157"/>
      <c r="DG726" s="157"/>
      <c r="DH726" s="157"/>
      <c r="DI726" s="157"/>
      <c r="DJ726" s="157"/>
      <c r="DK726" s="157"/>
      <c r="DL726" s="157"/>
      <c r="DM726" s="157"/>
      <c r="DN726" s="157"/>
      <c r="DO726" s="157"/>
      <c r="DP726" s="157"/>
      <c r="DQ726" s="157"/>
      <c r="DR726" s="157"/>
      <c r="DS726" s="157"/>
      <c r="DT726" s="157"/>
      <c r="DU726" s="157"/>
      <c r="DV726" s="157"/>
      <c r="DW726" s="157"/>
      <c r="DX726" s="157"/>
      <c r="DY726" s="157"/>
      <c r="DZ726" s="157"/>
      <c r="EA726" s="157"/>
      <c r="EB726" s="157"/>
      <c r="EC726" s="157"/>
      <c r="ED726" s="157"/>
      <c r="EE726" s="157"/>
      <c r="EF726" s="157"/>
      <c r="EG726" s="157"/>
      <c r="EH726" s="157"/>
      <c r="EI726" s="157"/>
      <c r="EJ726" s="157"/>
      <c r="EK726" s="157"/>
      <c r="EL726" s="157"/>
      <c r="EM726" s="157"/>
      <c r="EN726" s="157"/>
      <c r="EO726" s="157"/>
      <c r="EP726" s="157"/>
      <c r="EQ726" s="157"/>
      <c r="ER726" s="157"/>
      <c r="ES726" s="157"/>
      <c r="ET726" s="157"/>
      <c r="EU726" s="157"/>
      <c r="EV726" s="157"/>
      <c r="EW726" s="157"/>
      <c r="EX726" s="157"/>
      <c r="EY726" s="157"/>
      <c r="EZ726" s="157"/>
      <c r="FA726" s="157"/>
      <c r="FB726" s="157"/>
      <c r="FC726" s="157"/>
      <c r="FD726" s="157"/>
      <c r="FE726" s="157"/>
      <c r="FF726" s="157"/>
      <c r="FG726" s="157"/>
      <c r="FH726" s="157"/>
      <c r="FI726" s="157"/>
      <c r="FJ726" s="157"/>
      <c r="FK726" s="157"/>
      <c r="FL726" s="157"/>
      <c r="FM726" s="157"/>
      <c r="FN726" s="157"/>
      <c r="FO726" s="157"/>
      <c r="FP726" s="157"/>
      <c r="FQ726" s="157"/>
      <c r="FR726" s="157"/>
      <c r="FS726" s="157"/>
      <c r="FT726" s="157"/>
      <c r="FU726" s="157"/>
      <c r="FV726" s="157"/>
      <c r="FW726" s="157"/>
      <c r="FX726" s="157"/>
      <c r="FY726" s="157"/>
      <c r="FZ726" s="157"/>
      <c r="GA726" s="157"/>
      <c r="GB726" s="157"/>
      <c r="GC726" s="157"/>
      <c r="GD726" s="157"/>
      <c r="GE726" s="157"/>
      <c r="GF726" s="157"/>
      <c r="GG726" s="157"/>
      <c r="GH726" s="157"/>
      <c r="GI726" s="157"/>
      <c r="GJ726" s="157"/>
      <c r="GK726" s="157"/>
      <c r="GL726" s="157"/>
      <c r="GM726" s="157"/>
      <c r="GN726" s="157"/>
      <c r="GO726" s="157"/>
      <c r="GP726" s="157"/>
      <c r="GQ726" s="157"/>
      <c r="GR726" s="157"/>
      <c r="GS726" s="157"/>
      <c r="GT726" s="157"/>
      <c r="GU726" s="157"/>
      <c r="GV726" s="157"/>
      <c r="GW726" s="157"/>
      <c r="GX726" s="157"/>
      <c r="GY726" s="157"/>
      <c r="GZ726" s="157"/>
      <c r="HA726" s="157"/>
      <c r="HB726" s="157"/>
      <c r="HC726" s="157"/>
      <c r="HD726" s="157"/>
      <c r="HE726" s="157"/>
      <c r="HF726" s="157"/>
      <c r="HG726" s="157"/>
      <c r="HH726" s="157"/>
      <c r="HI726" s="157"/>
      <c r="HJ726" s="157"/>
      <c r="HK726" s="157"/>
      <c r="HL726" s="157"/>
      <c r="HM726" s="157"/>
      <c r="HN726" s="157"/>
      <c r="HO726" s="157"/>
      <c r="HP726" s="157"/>
      <c r="HQ726" s="157"/>
      <c r="HR726" s="157"/>
      <c r="HS726" s="157"/>
      <c r="HT726" s="157"/>
      <c r="HU726" s="157"/>
      <c r="HV726" s="157"/>
      <c r="HW726" s="157"/>
      <c r="HX726" s="157"/>
      <c r="HY726" s="157"/>
      <c r="HZ726" s="157"/>
      <c r="IA726" s="157"/>
      <c r="IB726" s="157"/>
      <c r="IC726" s="157"/>
      <c r="ID726" s="157"/>
      <c r="IE726" s="157"/>
      <c r="IF726" s="157"/>
      <c r="IG726" s="157"/>
      <c r="IH726" s="157"/>
      <c r="II726" s="157"/>
      <c r="IJ726" s="157"/>
      <c r="IK726" s="157"/>
      <c r="IL726" s="157"/>
      <c r="IM726" s="157"/>
      <c r="IN726" s="157"/>
      <c r="IO726" s="157"/>
      <c r="IP726" s="157"/>
      <c r="IQ726" s="157"/>
      <c r="IR726" s="157"/>
      <c r="IS726" s="157"/>
      <c r="IT726" s="157"/>
      <c r="IU726" s="157"/>
      <c r="IV726" s="157"/>
      <c r="IW726" s="157"/>
    </row>
    <row r="727" customFormat="false" ht="16.5" hidden="false" customHeight="false" outlineLevel="0" collapsed="false">
      <c r="A727" s="188"/>
      <c r="B727" s="90"/>
      <c r="C727" s="118"/>
      <c r="D727" s="252"/>
      <c r="E727" s="279"/>
      <c r="F727" s="280"/>
      <c r="G727" s="280"/>
      <c r="H727" s="280"/>
      <c r="I727" s="281"/>
      <c r="J727" s="118"/>
      <c r="K727" s="74"/>
      <c r="L727" s="74"/>
      <c r="M727" s="74"/>
      <c r="N727" s="74"/>
      <c r="O727" s="74"/>
      <c r="P727" s="74"/>
      <c r="Q727" s="74"/>
      <c r="R727" s="74"/>
      <c r="S727" s="74"/>
      <c r="T727" s="274"/>
      <c r="U727" s="74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74"/>
      <c r="AJ727" s="74"/>
      <c r="AK727" s="74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4"/>
      <c r="AZ727" s="74"/>
      <c r="BA727" s="74"/>
      <c r="BB727" s="74"/>
      <c r="BC727" s="74"/>
      <c r="BD727" s="74"/>
      <c r="BE727" s="74"/>
      <c r="BF727" s="74"/>
      <c r="BG727" s="74"/>
      <c r="BH727" s="74"/>
      <c r="BI727" s="74"/>
      <c r="BJ727" s="74"/>
      <c r="BK727" s="74"/>
      <c r="BL727" s="74"/>
      <c r="BM727" s="74"/>
      <c r="BN727" s="74"/>
      <c r="BO727" s="74"/>
      <c r="BP727" s="74"/>
      <c r="BQ727" s="74"/>
      <c r="BR727" s="74"/>
      <c r="BS727" s="74"/>
      <c r="BT727" s="74"/>
      <c r="BU727" s="74"/>
      <c r="BV727" s="74"/>
      <c r="BW727" s="74"/>
      <c r="BX727" s="74"/>
      <c r="BY727" s="74"/>
      <c r="BZ727" s="74"/>
      <c r="CA727" s="74"/>
      <c r="CB727" s="74"/>
      <c r="CC727" s="74"/>
      <c r="CD727" s="74"/>
      <c r="CE727" s="74"/>
      <c r="CF727" s="74"/>
      <c r="CG727" s="74"/>
      <c r="CH727" s="74"/>
      <c r="CI727" s="74"/>
      <c r="CJ727" s="74"/>
      <c r="CK727" s="74"/>
      <c r="CL727" s="74"/>
      <c r="CM727" s="74"/>
      <c r="CN727" s="74"/>
      <c r="CO727" s="74"/>
      <c r="CP727" s="74"/>
      <c r="CQ727" s="74"/>
      <c r="CR727" s="74"/>
      <c r="CS727" s="74"/>
      <c r="CT727" s="74"/>
      <c r="CU727" s="74"/>
      <c r="CV727" s="74"/>
      <c r="CW727" s="74"/>
      <c r="CX727" s="74"/>
      <c r="CY727" s="74"/>
      <c r="CZ727" s="74"/>
      <c r="DA727" s="74"/>
      <c r="DB727" s="74"/>
      <c r="DC727" s="74"/>
      <c r="DD727" s="74"/>
      <c r="DE727" s="74"/>
      <c r="DF727" s="74"/>
      <c r="DG727" s="74"/>
      <c r="DH727" s="74"/>
      <c r="DI727" s="74"/>
      <c r="DJ727" s="74"/>
      <c r="DK727" s="74"/>
      <c r="DL727" s="74"/>
      <c r="DM727" s="74"/>
      <c r="DN727" s="74"/>
      <c r="DO727" s="74"/>
      <c r="DP727" s="74"/>
      <c r="DQ727" s="74"/>
      <c r="DR727" s="74"/>
      <c r="DS727" s="74"/>
      <c r="DT727" s="74"/>
      <c r="DU727" s="74"/>
      <c r="DV727" s="74"/>
      <c r="DW727" s="74"/>
      <c r="DX727" s="74"/>
      <c r="DY727" s="74"/>
      <c r="DZ727" s="74"/>
      <c r="EA727" s="74"/>
      <c r="EB727" s="74"/>
      <c r="EC727" s="74"/>
      <c r="ED727" s="74"/>
      <c r="EE727" s="74"/>
      <c r="EF727" s="74"/>
      <c r="EG727" s="74"/>
      <c r="EH727" s="74"/>
      <c r="EI727" s="74"/>
      <c r="EJ727" s="74"/>
      <c r="EK727" s="74"/>
      <c r="EL727" s="74"/>
      <c r="EM727" s="74"/>
      <c r="EN727" s="74"/>
      <c r="EO727" s="74"/>
      <c r="EP727" s="74"/>
      <c r="EQ727" s="74"/>
      <c r="ER727" s="74"/>
      <c r="ES727" s="74"/>
      <c r="ET727" s="74"/>
      <c r="EU727" s="74"/>
      <c r="EV727" s="74"/>
      <c r="EW727" s="74"/>
      <c r="EX727" s="74"/>
      <c r="EY727" s="74"/>
      <c r="EZ727" s="74"/>
      <c r="FA727" s="74"/>
      <c r="FB727" s="74"/>
      <c r="FC727" s="74"/>
      <c r="FD727" s="74"/>
      <c r="FE727" s="74"/>
      <c r="FF727" s="74"/>
      <c r="FG727" s="74"/>
      <c r="FH727" s="74"/>
      <c r="FI727" s="74"/>
      <c r="FJ727" s="74"/>
      <c r="FK727" s="74"/>
      <c r="FL727" s="74"/>
      <c r="FM727" s="74"/>
      <c r="FN727" s="74"/>
      <c r="FO727" s="74"/>
      <c r="FP727" s="74"/>
      <c r="FQ727" s="74"/>
      <c r="FR727" s="74"/>
      <c r="FS727" s="74"/>
      <c r="FT727" s="74"/>
      <c r="FU727" s="74"/>
      <c r="FV727" s="74"/>
      <c r="FW727" s="74"/>
      <c r="FX727" s="74"/>
      <c r="FY727" s="74"/>
      <c r="FZ727" s="74"/>
      <c r="GA727" s="74"/>
      <c r="GB727" s="74"/>
      <c r="GC727" s="74"/>
      <c r="GD727" s="74"/>
      <c r="GE727" s="74"/>
      <c r="GF727" s="74"/>
      <c r="GG727" s="74"/>
      <c r="GH727" s="74"/>
      <c r="GI727" s="74"/>
      <c r="GJ727" s="74"/>
      <c r="GK727" s="74"/>
      <c r="GL727" s="74"/>
      <c r="GM727" s="74"/>
      <c r="GN727" s="74"/>
      <c r="GO727" s="74"/>
      <c r="GP727" s="74"/>
      <c r="GQ727" s="74"/>
      <c r="GR727" s="74"/>
      <c r="GS727" s="74"/>
      <c r="GT727" s="74"/>
      <c r="GU727" s="74"/>
      <c r="GV727" s="74"/>
      <c r="GW727" s="74"/>
      <c r="GX727" s="74"/>
      <c r="GY727" s="74"/>
      <c r="GZ727" s="74"/>
      <c r="HA727" s="74"/>
      <c r="HB727" s="74"/>
      <c r="HC727" s="74"/>
      <c r="HD727" s="74"/>
      <c r="HE727" s="74"/>
      <c r="HF727" s="74"/>
      <c r="HG727" s="74"/>
      <c r="HH727" s="74"/>
      <c r="HI727" s="74"/>
      <c r="HJ727" s="74"/>
      <c r="HK727" s="74"/>
      <c r="HL727" s="74"/>
      <c r="HM727" s="74"/>
      <c r="HN727" s="74"/>
      <c r="HO727" s="74"/>
      <c r="HP727" s="74"/>
      <c r="HQ727" s="74"/>
      <c r="HR727" s="74"/>
      <c r="HS727" s="74"/>
      <c r="HT727" s="74"/>
      <c r="HU727" s="74"/>
      <c r="HV727" s="74"/>
      <c r="HW727" s="74"/>
      <c r="HX727" s="74"/>
      <c r="HY727" s="74"/>
      <c r="HZ727" s="74"/>
      <c r="IA727" s="74"/>
      <c r="IB727" s="74"/>
      <c r="IC727" s="74"/>
      <c r="ID727" s="74"/>
      <c r="IE727" s="74"/>
      <c r="IF727" s="74"/>
      <c r="IG727" s="74"/>
      <c r="IH727" s="74"/>
      <c r="II727" s="74"/>
      <c r="IJ727" s="74"/>
      <c r="IK727" s="74"/>
      <c r="IL727" s="74"/>
      <c r="IM727" s="74"/>
      <c r="IN727" s="74"/>
      <c r="IO727" s="74"/>
      <c r="IP727" s="74"/>
      <c r="IQ727" s="74"/>
      <c r="IR727" s="74"/>
      <c r="IS727" s="74"/>
      <c r="IT727" s="74"/>
      <c r="IU727" s="74"/>
      <c r="IV727" s="74"/>
      <c r="IW727" s="74"/>
    </row>
    <row r="728" customFormat="false" ht="18" hidden="false" customHeight="false" outlineLevel="0" collapsed="false">
      <c r="A728" s="228" t="s">
        <v>685</v>
      </c>
      <c r="B728" s="267"/>
      <c r="C728" s="268"/>
      <c r="D728" s="152" t="n">
        <f aca="false">D726+D720</f>
        <v>36356.5333333333</v>
      </c>
      <c r="E728" s="282" t="n">
        <f aca="false">E726+E720</f>
        <v>545.348</v>
      </c>
      <c r="F728" s="283" t="n">
        <f aca="false">F726+F720</f>
        <v>0</v>
      </c>
      <c r="G728" s="283" t="n">
        <f aca="false">G726+G720</f>
        <v>0</v>
      </c>
      <c r="H728" s="283" t="n">
        <f aca="false">H726+H720</f>
        <v>0</v>
      </c>
      <c r="I728" s="284" t="n">
        <f aca="false">I726+I720</f>
        <v>545.348</v>
      </c>
      <c r="J728" s="118"/>
      <c r="K728" s="74"/>
      <c r="L728" s="74"/>
      <c r="M728" s="74"/>
      <c r="N728" s="74"/>
      <c r="O728" s="74"/>
      <c r="P728" s="74"/>
      <c r="Q728" s="74"/>
      <c r="R728" s="74"/>
      <c r="S728" s="74"/>
      <c r="T728" s="274"/>
      <c r="U728" s="74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74"/>
      <c r="AJ728" s="74"/>
      <c r="AK728" s="74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4"/>
      <c r="AZ728" s="74"/>
      <c r="BA728" s="74"/>
      <c r="BB728" s="74"/>
      <c r="BC728" s="74"/>
      <c r="BD728" s="74"/>
      <c r="BE728" s="74"/>
      <c r="BF728" s="74"/>
      <c r="BG728" s="74"/>
      <c r="BH728" s="74"/>
      <c r="BI728" s="74"/>
      <c r="BJ728" s="74"/>
      <c r="BK728" s="74"/>
      <c r="BL728" s="74"/>
      <c r="BM728" s="74"/>
      <c r="BN728" s="74"/>
      <c r="BO728" s="74"/>
      <c r="BP728" s="74"/>
      <c r="BQ728" s="74"/>
      <c r="BR728" s="74"/>
      <c r="BS728" s="74"/>
      <c r="BT728" s="74"/>
      <c r="BU728" s="74"/>
      <c r="BV728" s="74"/>
      <c r="BW728" s="74"/>
      <c r="BX728" s="74"/>
      <c r="BY728" s="74"/>
      <c r="BZ728" s="74"/>
      <c r="CA728" s="74"/>
      <c r="CB728" s="74"/>
      <c r="CC728" s="74"/>
      <c r="CD728" s="74"/>
      <c r="CE728" s="74"/>
      <c r="CF728" s="74"/>
      <c r="CG728" s="74"/>
      <c r="CH728" s="74"/>
      <c r="CI728" s="74"/>
      <c r="CJ728" s="74"/>
      <c r="CK728" s="74"/>
      <c r="CL728" s="74"/>
      <c r="CM728" s="74"/>
      <c r="CN728" s="74"/>
      <c r="CO728" s="74"/>
      <c r="CP728" s="74"/>
      <c r="CQ728" s="74"/>
      <c r="CR728" s="74"/>
      <c r="CS728" s="74"/>
      <c r="CT728" s="74"/>
      <c r="CU728" s="74"/>
      <c r="CV728" s="74"/>
      <c r="CW728" s="74"/>
      <c r="CX728" s="74"/>
      <c r="CY728" s="74"/>
      <c r="CZ728" s="74"/>
      <c r="DA728" s="74"/>
      <c r="DB728" s="74"/>
      <c r="DC728" s="74"/>
      <c r="DD728" s="74"/>
      <c r="DE728" s="74"/>
      <c r="DF728" s="74"/>
      <c r="DG728" s="74"/>
      <c r="DH728" s="74"/>
      <c r="DI728" s="74"/>
      <c r="DJ728" s="74"/>
      <c r="DK728" s="74"/>
      <c r="DL728" s="74"/>
      <c r="DM728" s="74"/>
      <c r="DN728" s="74"/>
      <c r="DO728" s="74"/>
      <c r="DP728" s="74"/>
      <c r="DQ728" s="74"/>
      <c r="DR728" s="74"/>
      <c r="DS728" s="74"/>
      <c r="DT728" s="74"/>
      <c r="DU728" s="74"/>
      <c r="DV728" s="74"/>
      <c r="DW728" s="74"/>
      <c r="DX728" s="74"/>
      <c r="DY728" s="74"/>
      <c r="DZ728" s="74"/>
      <c r="EA728" s="74"/>
      <c r="EB728" s="74"/>
      <c r="EC728" s="74"/>
      <c r="ED728" s="74"/>
      <c r="EE728" s="74"/>
      <c r="EF728" s="74"/>
      <c r="EG728" s="74"/>
      <c r="EH728" s="74"/>
      <c r="EI728" s="74"/>
      <c r="EJ728" s="74"/>
      <c r="EK728" s="74"/>
      <c r="EL728" s="74"/>
      <c r="EM728" s="74"/>
      <c r="EN728" s="74"/>
      <c r="EO728" s="74"/>
      <c r="EP728" s="74"/>
      <c r="EQ728" s="74"/>
      <c r="ER728" s="74"/>
      <c r="ES728" s="74"/>
      <c r="ET728" s="74"/>
      <c r="EU728" s="74"/>
      <c r="EV728" s="74"/>
      <c r="EW728" s="74"/>
      <c r="EX728" s="74"/>
      <c r="EY728" s="74"/>
      <c r="EZ728" s="74"/>
      <c r="FA728" s="74"/>
      <c r="FB728" s="74"/>
      <c r="FC728" s="74"/>
      <c r="FD728" s="74"/>
      <c r="FE728" s="74"/>
      <c r="FF728" s="74"/>
      <c r="FG728" s="74"/>
      <c r="FH728" s="74"/>
      <c r="FI728" s="74"/>
      <c r="FJ728" s="74"/>
      <c r="FK728" s="74"/>
      <c r="FL728" s="74"/>
      <c r="FM728" s="74"/>
      <c r="FN728" s="74"/>
      <c r="FO728" s="74"/>
      <c r="FP728" s="74"/>
      <c r="FQ728" s="74"/>
      <c r="FR728" s="74"/>
      <c r="FS728" s="74"/>
      <c r="FT728" s="74"/>
      <c r="FU728" s="74"/>
      <c r="FV728" s="74"/>
      <c r="FW728" s="74"/>
      <c r="FX728" s="74"/>
      <c r="FY728" s="74"/>
      <c r="FZ728" s="74"/>
      <c r="GA728" s="74"/>
      <c r="GB728" s="74"/>
      <c r="GC728" s="74"/>
      <c r="GD728" s="74"/>
      <c r="GE728" s="74"/>
      <c r="GF728" s="74"/>
      <c r="GG728" s="74"/>
      <c r="GH728" s="74"/>
      <c r="GI728" s="74"/>
      <c r="GJ728" s="74"/>
      <c r="GK728" s="74"/>
      <c r="GL728" s="74"/>
      <c r="GM728" s="74"/>
      <c r="GN728" s="74"/>
      <c r="GO728" s="74"/>
      <c r="GP728" s="74"/>
      <c r="GQ728" s="74"/>
      <c r="GR728" s="74"/>
      <c r="GS728" s="74"/>
      <c r="GT728" s="74"/>
      <c r="GU728" s="74"/>
      <c r="GV728" s="74"/>
      <c r="GW728" s="74"/>
      <c r="GX728" s="74"/>
      <c r="GY728" s="74"/>
      <c r="GZ728" s="74"/>
      <c r="HA728" s="74"/>
      <c r="HB728" s="74"/>
      <c r="HC728" s="74"/>
      <c r="HD728" s="74"/>
      <c r="HE728" s="74"/>
      <c r="HF728" s="74"/>
      <c r="HG728" s="74"/>
      <c r="HH728" s="74"/>
      <c r="HI728" s="74"/>
      <c r="HJ728" s="74"/>
      <c r="HK728" s="74"/>
      <c r="HL728" s="74"/>
      <c r="HM728" s="74"/>
      <c r="HN728" s="74"/>
      <c r="HO728" s="74"/>
      <c r="HP728" s="74"/>
      <c r="HQ728" s="74"/>
      <c r="HR728" s="74"/>
      <c r="HS728" s="74"/>
      <c r="HT728" s="74"/>
      <c r="HU728" s="74"/>
      <c r="HV728" s="74"/>
      <c r="HW728" s="74"/>
      <c r="HX728" s="74"/>
      <c r="HY728" s="74"/>
      <c r="HZ728" s="74"/>
      <c r="IA728" s="74"/>
      <c r="IB728" s="74"/>
      <c r="IC728" s="74"/>
      <c r="ID728" s="74"/>
      <c r="IE728" s="74"/>
      <c r="IF728" s="74"/>
      <c r="IG728" s="74"/>
      <c r="IH728" s="74"/>
      <c r="II728" s="74"/>
      <c r="IJ728" s="74"/>
      <c r="IK728" s="74"/>
      <c r="IL728" s="74"/>
      <c r="IM728" s="74"/>
      <c r="IN728" s="74"/>
      <c r="IO728" s="74"/>
      <c r="IP728" s="74"/>
      <c r="IQ728" s="74"/>
      <c r="IR728" s="74"/>
      <c r="IS728" s="74"/>
      <c r="IT728" s="74"/>
      <c r="IU728" s="74"/>
      <c r="IV728" s="74"/>
      <c r="IW728" s="74"/>
    </row>
    <row r="729" customFormat="false" ht="15.75" hidden="false" customHeight="false" outlineLevel="0" collapsed="false">
      <c r="A729" s="196"/>
      <c r="B729" s="195"/>
      <c r="C729" s="183"/>
      <c r="D729" s="92"/>
      <c r="E729" s="93"/>
      <c r="F729" s="81"/>
      <c r="G729" s="81"/>
      <c r="H729" s="81"/>
      <c r="I729" s="94"/>
      <c r="J729" s="118"/>
      <c r="K729" s="74"/>
      <c r="L729" s="74"/>
      <c r="M729" s="74"/>
      <c r="N729" s="74"/>
      <c r="O729" s="74"/>
      <c r="P729" s="74"/>
      <c r="Q729" s="74"/>
      <c r="R729" s="74"/>
      <c r="S729" s="74"/>
      <c r="T729" s="274"/>
      <c r="U729" s="74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74"/>
      <c r="AJ729" s="74"/>
      <c r="AK729" s="74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4"/>
      <c r="AZ729" s="74"/>
      <c r="BA729" s="74"/>
      <c r="BB729" s="74"/>
      <c r="BC729" s="74"/>
      <c r="BD729" s="74"/>
      <c r="BE729" s="74"/>
      <c r="BF729" s="74"/>
      <c r="BG729" s="74"/>
      <c r="BH729" s="74"/>
      <c r="BI729" s="74"/>
      <c r="BJ729" s="74"/>
      <c r="BK729" s="74"/>
      <c r="BL729" s="74"/>
      <c r="BM729" s="74"/>
      <c r="BN729" s="74"/>
      <c r="BO729" s="74"/>
      <c r="BP729" s="74"/>
      <c r="BQ729" s="74"/>
      <c r="BR729" s="74"/>
      <c r="BS729" s="74"/>
      <c r="BT729" s="74"/>
      <c r="BU729" s="74"/>
      <c r="BV729" s="74"/>
      <c r="BW729" s="74"/>
      <c r="BX729" s="74"/>
      <c r="BY729" s="74"/>
      <c r="BZ729" s="74"/>
      <c r="CA729" s="74"/>
      <c r="CB729" s="74"/>
      <c r="CC729" s="74"/>
      <c r="CD729" s="74"/>
      <c r="CE729" s="74"/>
      <c r="CF729" s="74"/>
      <c r="CG729" s="74"/>
      <c r="CH729" s="74"/>
      <c r="CI729" s="74"/>
      <c r="CJ729" s="74"/>
      <c r="CK729" s="74"/>
      <c r="CL729" s="74"/>
      <c r="CM729" s="74"/>
      <c r="CN729" s="74"/>
      <c r="CO729" s="74"/>
      <c r="CP729" s="74"/>
      <c r="CQ729" s="74"/>
      <c r="CR729" s="74"/>
      <c r="CS729" s="74"/>
      <c r="CT729" s="74"/>
      <c r="CU729" s="74"/>
      <c r="CV729" s="74"/>
      <c r="CW729" s="74"/>
      <c r="CX729" s="74"/>
      <c r="CY729" s="74"/>
      <c r="CZ729" s="74"/>
      <c r="DA729" s="74"/>
      <c r="DB729" s="74"/>
      <c r="DC729" s="74"/>
      <c r="DD729" s="74"/>
      <c r="DE729" s="74"/>
      <c r="DF729" s="74"/>
      <c r="DG729" s="74"/>
      <c r="DH729" s="74"/>
      <c r="DI729" s="74"/>
      <c r="DJ729" s="74"/>
      <c r="DK729" s="74"/>
      <c r="DL729" s="74"/>
      <c r="DM729" s="74"/>
      <c r="DN729" s="74"/>
      <c r="DO729" s="74"/>
      <c r="DP729" s="74"/>
      <c r="DQ729" s="74"/>
      <c r="DR729" s="74"/>
      <c r="DS729" s="74"/>
      <c r="DT729" s="74"/>
      <c r="DU729" s="74"/>
      <c r="DV729" s="74"/>
      <c r="DW729" s="74"/>
      <c r="DX729" s="74"/>
      <c r="DY729" s="74"/>
      <c r="DZ729" s="74"/>
      <c r="EA729" s="74"/>
      <c r="EB729" s="74"/>
      <c r="EC729" s="74"/>
      <c r="ED729" s="74"/>
      <c r="EE729" s="74"/>
      <c r="EF729" s="74"/>
      <c r="EG729" s="74"/>
      <c r="EH729" s="74"/>
      <c r="EI729" s="74"/>
      <c r="EJ729" s="74"/>
      <c r="EK729" s="74"/>
      <c r="EL729" s="74"/>
      <c r="EM729" s="74"/>
      <c r="EN729" s="74"/>
      <c r="EO729" s="74"/>
      <c r="EP729" s="74"/>
      <c r="EQ729" s="74"/>
      <c r="ER729" s="74"/>
      <c r="ES729" s="74"/>
      <c r="ET729" s="74"/>
      <c r="EU729" s="74"/>
      <c r="EV729" s="74"/>
      <c r="EW729" s="74"/>
      <c r="EX729" s="74"/>
      <c r="EY729" s="74"/>
      <c r="EZ729" s="74"/>
      <c r="FA729" s="74"/>
      <c r="FB729" s="74"/>
      <c r="FC729" s="74"/>
      <c r="FD729" s="74"/>
      <c r="FE729" s="74"/>
      <c r="FF729" s="74"/>
      <c r="FG729" s="74"/>
      <c r="FH729" s="74"/>
      <c r="FI729" s="74"/>
      <c r="FJ729" s="74"/>
      <c r="FK729" s="74"/>
      <c r="FL729" s="74"/>
      <c r="FM729" s="74"/>
      <c r="FN729" s="74"/>
      <c r="FO729" s="74"/>
      <c r="FP729" s="74"/>
      <c r="FQ729" s="74"/>
      <c r="FR729" s="74"/>
      <c r="FS729" s="74"/>
      <c r="FT729" s="74"/>
      <c r="FU729" s="74"/>
      <c r="FV729" s="74"/>
      <c r="FW729" s="74"/>
      <c r="FX729" s="74"/>
      <c r="FY729" s="74"/>
      <c r="FZ729" s="74"/>
      <c r="GA729" s="74"/>
      <c r="GB729" s="74"/>
      <c r="GC729" s="74"/>
      <c r="GD729" s="74"/>
      <c r="GE729" s="74"/>
      <c r="GF729" s="74"/>
      <c r="GG729" s="74"/>
      <c r="GH729" s="74"/>
      <c r="GI729" s="74"/>
      <c r="GJ729" s="74"/>
      <c r="GK729" s="74"/>
      <c r="GL729" s="74"/>
      <c r="GM729" s="74"/>
      <c r="GN729" s="74"/>
      <c r="GO729" s="74"/>
      <c r="GP729" s="74"/>
      <c r="GQ729" s="74"/>
      <c r="GR729" s="74"/>
      <c r="GS729" s="74"/>
      <c r="GT729" s="74"/>
      <c r="GU729" s="74"/>
      <c r="GV729" s="74"/>
      <c r="GW729" s="74"/>
      <c r="GX729" s="74"/>
      <c r="GY729" s="74"/>
      <c r="GZ729" s="74"/>
      <c r="HA729" s="74"/>
      <c r="HB729" s="74"/>
      <c r="HC729" s="74"/>
      <c r="HD729" s="74"/>
      <c r="HE729" s="74"/>
      <c r="HF729" s="74"/>
      <c r="HG729" s="74"/>
      <c r="HH729" s="74"/>
      <c r="HI729" s="74"/>
      <c r="HJ729" s="74"/>
      <c r="HK729" s="74"/>
      <c r="HL729" s="74"/>
      <c r="HM729" s="74"/>
      <c r="HN729" s="74"/>
      <c r="HO729" s="74"/>
      <c r="HP729" s="74"/>
      <c r="HQ729" s="74"/>
      <c r="HR729" s="74"/>
      <c r="HS729" s="74"/>
      <c r="HT729" s="74"/>
      <c r="HU729" s="74"/>
      <c r="HV729" s="74"/>
      <c r="HW729" s="74"/>
      <c r="HX729" s="74"/>
      <c r="HY729" s="74"/>
      <c r="HZ729" s="74"/>
      <c r="IA729" s="74"/>
      <c r="IB729" s="74"/>
      <c r="IC729" s="74"/>
      <c r="ID729" s="74"/>
      <c r="IE729" s="74"/>
      <c r="IF729" s="74"/>
      <c r="IG729" s="74"/>
      <c r="IH729" s="74"/>
      <c r="II729" s="74"/>
      <c r="IJ729" s="74"/>
      <c r="IK729" s="74"/>
      <c r="IL729" s="74"/>
      <c r="IM729" s="74"/>
      <c r="IN729" s="74"/>
      <c r="IO729" s="74"/>
      <c r="IP729" s="74"/>
      <c r="IQ729" s="74"/>
      <c r="IR729" s="74"/>
      <c r="IS729" s="74"/>
      <c r="IT729" s="74"/>
      <c r="IU729" s="74"/>
      <c r="IV729" s="74"/>
      <c r="IW729" s="74"/>
    </row>
    <row r="730" customFormat="false" ht="18" hidden="false" customHeight="false" outlineLevel="0" collapsed="false">
      <c r="A730" s="268" t="s">
        <v>686</v>
      </c>
      <c r="B730" s="182"/>
      <c r="C730" s="183"/>
      <c r="D730" s="92"/>
      <c r="E730" s="93"/>
      <c r="F730" s="81"/>
      <c r="G730" s="81"/>
      <c r="H730" s="81"/>
      <c r="I730" s="94"/>
      <c r="J730" s="118"/>
      <c r="K730" s="74"/>
      <c r="L730" s="74"/>
      <c r="M730" s="74"/>
      <c r="N730" s="74"/>
      <c r="O730" s="74"/>
      <c r="P730" s="74"/>
      <c r="Q730" s="74"/>
      <c r="R730" s="74"/>
      <c r="S730" s="74"/>
      <c r="T730" s="274"/>
      <c r="U730" s="74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74"/>
      <c r="AJ730" s="74"/>
      <c r="AK730" s="74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4"/>
      <c r="AZ730" s="74"/>
      <c r="BA730" s="74"/>
      <c r="BB730" s="74"/>
      <c r="BC730" s="74"/>
      <c r="BD730" s="74"/>
      <c r="BE730" s="74"/>
      <c r="BF730" s="74"/>
      <c r="BG730" s="74"/>
      <c r="BH730" s="74"/>
      <c r="BI730" s="74"/>
      <c r="BJ730" s="74"/>
      <c r="BK730" s="74"/>
      <c r="BL730" s="74"/>
      <c r="BM730" s="74"/>
      <c r="BN730" s="74"/>
      <c r="BO730" s="74"/>
      <c r="BP730" s="74"/>
      <c r="BQ730" s="74"/>
      <c r="BR730" s="74"/>
      <c r="BS730" s="74"/>
      <c r="BT730" s="74"/>
      <c r="BU730" s="74"/>
      <c r="BV730" s="74"/>
      <c r="BW730" s="74"/>
      <c r="BX730" s="74"/>
      <c r="BY730" s="74"/>
      <c r="BZ730" s="74"/>
      <c r="CA730" s="74"/>
      <c r="CB730" s="74"/>
      <c r="CC730" s="74"/>
      <c r="CD730" s="74"/>
      <c r="CE730" s="74"/>
      <c r="CF730" s="74"/>
      <c r="CG730" s="74"/>
      <c r="CH730" s="74"/>
      <c r="CI730" s="74"/>
      <c r="CJ730" s="74"/>
      <c r="CK730" s="74"/>
      <c r="CL730" s="74"/>
      <c r="CM730" s="74"/>
      <c r="CN730" s="74"/>
      <c r="CO730" s="74"/>
      <c r="CP730" s="74"/>
      <c r="CQ730" s="74"/>
      <c r="CR730" s="74"/>
      <c r="CS730" s="74"/>
      <c r="CT730" s="74"/>
      <c r="CU730" s="74"/>
      <c r="CV730" s="74"/>
      <c r="CW730" s="74"/>
      <c r="CX730" s="74"/>
      <c r="CY730" s="74"/>
      <c r="CZ730" s="74"/>
      <c r="DA730" s="74"/>
      <c r="DB730" s="74"/>
      <c r="DC730" s="74"/>
      <c r="DD730" s="74"/>
      <c r="DE730" s="74"/>
      <c r="DF730" s="74"/>
      <c r="DG730" s="74"/>
      <c r="DH730" s="74"/>
      <c r="DI730" s="74"/>
      <c r="DJ730" s="74"/>
      <c r="DK730" s="74"/>
      <c r="DL730" s="74"/>
      <c r="DM730" s="74"/>
      <c r="DN730" s="74"/>
      <c r="DO730" s="74"/>
      <c r="DP730" s="74"/>
      <c r="DQ730" s="74"/>
      <c r="DR730" s="74"/>
      <c r="DS730" s="74"/>
      <c r="DT730" s="74"/>
      <c r="DU730" s="74"/>
      <c r="DV730" s="74"/>
      <c r="DW730" s="74"/>
      <c r="DX730" s="74"/>
      <c r="DY730" s="74"/>
      <c r="DZ730" s="74"/>
      <c r="EA730" s="74"/>
      <c r="EB730" s="74"/>
      <c r="EC730" s="74"/>
      <c r="ED730" s="74"/>
      <c r="EE730" s="74"/>
      <c r="EF730" s="74"/>
      <c r="EG730" s="74"/>
      <c r="EH730" s="74"/>
      <c r="EI730" s="74"/>
      <c r="EJ730" s="74"/>
      <c r="EK730" s="74"/>
      <c r="EL730" s="74"/>
      <c r="EM730" s="74"/>
      <c r="EN730" s="74"/>
      <c r="EO730" s="74"/>
      <c r="EP730" s="74"/>
      <c r="EQ730" s="74"/>
      <c r="ER730" s="74"/>
      <c r="ES730" s="74"/>
      <c r="ET730" s="74"/>
      <c r="EU730" s="74"/>
      <c r="EV730" s="74"/>
      <c r="EW730" s="74"/>
      <c r="EX730" s="74"/>
      <c r="EY730" s="74"/>
      <c r="EZ730" s="74"/>
      <c r="FA730" s="74"/>
      <c r="FB730" s="74"/>
      <c r="FC730" s="74"/>
      <c r="FD730" s="74"/>
      <c r="FE730" s="74"/>
      <c r="FF730" s="74"/>
      <c r="FG730" s="74"/>
      <c r="FH730" s="74"/>
      <c r="FI730" s="74"/>
      <c r="FJ730" s="74"/>
      <c r="FK730" s="74"/>
      <c r="FL730" s="74"/>
      <c r="FM730" s="74"/>
      <c r="FN730" s="74"/>
      <c r="FO730" s="74"/>
      <c r="FP730" s="74"/>
      <c r="FQ730" s="74"/>
      <c r="FR730" s="74"/>
      <c r="FS730" s="74"/>
      <c r="FT730" s="74"/>
      <c r="FU730" s="74"/>
      <c r="FV730" s="74"/>
      <c r="FW730" s="74"/>
      <c r="FX730" s="74"/>
      <c r="FY730" s="74"/>
      <c r="FZ730" s="74"/>
      <c r="GA730" s="74"/>
      <c r="GB730" s="74"/>
      <c r="GC730" s="74"/>
      <c r="GD730" s="74"/>
      <c r="GE730" s="74"/>
      <c r="GF730" s="74"/>
      <c r="GG730" s="74"/>
      <c r="GH730" s="74"/>
      <c r="GI730" s="74"/>
      <c r="GJ730" s="74"/>
      <c r="GK730" s="74"/>
      <c r="GL730" s="74"/>
      <c r="GM730" s="74"/>
      <c r="GN730" s="74"/>
      <c r="GO730" s="74"/>
      <c r="GP730" s="74"/>
      <c r="GQ730" s="74"/>
      <c r="GR730" s="74"/>
      <c r="GS730" s="74"/>
      <c r="GT730" s="74"/>
      <c r="GU730" s="74"/>
      <c r="GV730" s="74"/>
      <c r="GW730" s="74"/>
      <c r="GX730" s="74"/>
      <c r="GY730" s="74"/>
      <c r="GZ730" s="74"/>
      <c r="HA730" s="74"/>
      <c r="HB730" s="74"/>
      <c r="HC730" s="74"/>
      <c r="HD730" s="74"/>
      <c r="HE730" s="74"/>
      <c r="HF730" s="74"/>
      <c r="HG730" s="74"/>
      <c r="HH730" s="74"/>
      <c r="HI730" s="74"/>
      <c r="HJ730" s="74"/>
      <c r="HK730" s="74"/>
      <c r="HL730" s="74"/>
      <c r="HM730" s="74"/>
      <c r="HN730" s="74"/>
      <c r="HO730" s="74"/>
      <c r="HP730" s="74"/>
      <c r="HQ730" s="74"/>
      <c r="HR730" s="74"/>
      <c r="HS730" s="74"/>
      <c r="HT730" s="74"/>
      <c r="HU730" s="74"/>
      <c r="HV730" s="74"/>
      <c r="HW730" s="74"/>
      <c r="HX730" s="74"/>
      <c r="HY730" s="74"/>
      <c r="HZ730" s="74"/>
      <c r="IA730" s="74"/>
      <c r="IB730" s="74"/>
      <c r="IC730" s="74"/>
      <c r="ID730" s="74"/>
      <c r="IE730" s="74"/>
      <c r="IF730" s="74"/>
      <c r="IG730" s="74"/>
      <c r="IH730" s="74"/>
      <c r="II730" s="74"/>
      <c r="IJ730" s="74"/>
      <c r="IK730" s="74"/>
      <c r="IL730" s="74"/>
      <c r="IM730" s="74"/>
      <c r="IN730" s="74"/>
      <c r="IO730" s="74"/>
      <c r="IP730" s="74"/>
      <c r="IQ730" s="74"/>
      <c r="IR730" s="74"/>
      <c r="IS730" s="74"/>
      <c r="IT730" s="74"/>
      <c r="IU730" s="74"/>
      <c r="IV730" s="74"/>
      <c r="IW730" s="74"/>
    </row>
    <row r="731" customFormat="false" ht="18" hidden="false" customHeight="false" outlineLevel="0" collapsed="false">
      <c r="A731" s="268"/>
      <c r="B731" s="182"/>
      <c r="C731" s="183"/>
      <c r="D731" s="92"/>
      <c r="E731" s="93"/>
      <c r="F731" s="81"/>
      <c r="G731" s="81"/>
      <c r="H731" s="81"/>
      <c r="I731" s="94"/>
      <c r="J731" s="118"/>
      <c r="K731" s="74"/>
      <c r="L731" s="74"/>
      <c r="M731" s="74"/>
      <c r="N731" s="74"/>
      <c r="O731" s="74"/>
      <c r="P731" s="74"/>
      <c r="Q731" s="74"/>
      <c r="R731" s="74"/>
      <c r="S731" s="74"/>
      <c r="T731" s="274"/>
      <c r="U731" s="74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74"/>
      <c r="AJ731" s="74"/>
      <c r="AK731" s="74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4"/>
      <c r="AZ731" s="74"/>
      <c r="BA731" s="74"/>
      <c r="BB731" s="74"/>
      <c r="BC731" s="74"/>
      <c r="BD731" s="74"/>
      <c r="BE731" s="74"/>
      <c r="BF731" s="74"/>
      <c r="BG731" s="74"/>
      <c r="BH731" s="74"/>
      <c r="BI731" s="74"/>
      <c r="BJ731" s="74"/>
      <c r="BK731" s="74"/>
      <c r="BL731" s="74"/>
      <c r="BM731" s="74"/>
      <c r="BN731" s="74"/>
      <c r="BO731" s="74"/>
      <c r="BP731" s="74"/>
      <c r="BQ731" s="74"/>
      <c r="BR731" s="74"/>
      <c r="BS731" s="74"/>
      <c r="BT731" s="74"/>
      <c r="BU731" s="74"/>
      <c r="BV731" s="74"/>
      <c r="BW731" s="74"/>
      <c r="BX731" s="74"/>
      <c r="BY731" s="74"/>
      <c r="BZ731" s="74"/>
      <c r="CA731" s="74"/>
      <c r="CB731" s="74"/>
      <c r="CC731" s="74"/>
      <c r="CD731" s="74"/>
      <c r="CE731" s="74"/>
      <c r="CF731" s="74"/>
      <c r="CG731" s="74"/>
      <c r="CH731" s="74"/>
      <c r="CI731" s="74"/>
      <c r="CJ731" s="74"/>
      <c r="CK731" s="74"/>
      <c r="CL731" s="74"/>
      <c r="CM731" s="74"/>
      <c r="CN731" s="74"/>
      <c r="CO731" s="74"/>
      <c r="CP731" s="74"/>
      <c r="CQ731" s="74"/>
      <c r="CR731" s="74"/>
      <c r="CS731" s="74"/>
      <c r="CT731" s="74"/>
      <c r="CU731" s="74"/>
      <c r="CV731" s="74"/>
      <c r="CW731" s="74"/>
      <c r="CX731" s="74"/>
      <c r="CY731" s="74"/>
      <c r="CZ731" s="74"/>
      <c r="DA731" s="74"/>
      <c r="DB731" s="74"/>
      <c r="DC731" s="74"/>
      <c r="DD731" s="74"/>
      <c r="DE731" s="74"/>
      <c r="DF731" s="74"/>
      <c r="DG731" s="74"/>
      <c r="DH731" s="74"/>
      <c r="DI731" s="74"/>
      <c r="DJ731" s="74"/>
      <c r="DK731" s="74"/>
      <c r="DL731" s="74"/>
      <c r="DM731" s="74"/>
      <c r="DN731" s="74"/>
      <c r="DO731" s="74"/>
      <c r="DP731" s="74"/>
      <c r="DQ731" s="74"/>
      <c r="DR731" s="74"/>
      <c r="DS731" s="74"/>
      <c r="DT731" s="74"/>
      <c r="DU731" s="74"/>
      <c r="DV731" s="74"/>
      <c r="DW731" s="74"/>
      <c r="DX731" s="74"/>
      <c r="DY731" s="74"/>
      <c r="DZ731" s="74"/>
      <c r="EA731" s="74"/>
      <c r="EB731" s="74"/>
      <c r="EC731" s="74"/>
      <c r="ED731" s="74"/>
      <c r="EE731" s="74"/>
      <c r="EF731" s="74"/>
      <c r="EG731" s="74"/>
      <c r="EH731" s="74"/>
      <c r="EI731" s="74"/>
      <c r="EJ731" s="74"/>
      <c r="EK731" s="74"/>
      <c r="EL731" s="74"/>
      <c r="EM731" s="74"/>
      <c r="EN731" s="74"/>
      <c r="EO731" s="74"/>
      <c r="EP731" s="74"/>
      <c r="EQ731" s="74"/>
      <c r="ER731" s="74"/>
      <c r="ES731" s="74"/>
      <c r="ET731" s="74"/>
      <c r="EU731" s="74"/>
      <c r="EV731" s="74"/>
      <c r="EW731" s="74"/>
      <c r="EX731" s="74"/>
      <c r="EY731" s="74"/>
      <c r="EZ731" s="74"/>
      <c r="FA731" s="74"/>
      <c r="FB731" s="74"/>
      <c r="FC731" s="74"/>
      <c r="FD731" s="74"/>
      <c r="FE731" s="74"/>
      <c r="FF731" s="74"/>
      <c r="FG731" s="74"/>
      <c r="FH731" s="74"/>
      <c r="FI731" s="74"/>
      <c r="FJ731" s="74"/>
      <c r="FK731" s="74"/>
      <c r="FL731" s="74"/>
      <c r="FM731" s="74"/>
      <c r="FN731" s="74"/>
      <c r="FO731" s="74"/>
      <c r="FP731" s="74"/>
      <c r="FQ731" s="74"/>
      <c r="FR731" s="74"/>
      <c r="FS731" s="74"/>
      <c r="FT731" s="74"/>
      <c r="FU731" s="74"/>
      <c r="FV731" s="74"/>
      <c r="FW731" s="74"/>
      <c r="FX731" s="74"/>
      <c r="FY731" s="74"/>
      <c r="FZ731" s="74"/>
      <c r="GA731" s="74"/>
      <c r="GB731" s="74"/>
      <c r="GC731" s="74"/>
      <c r="GD731" s="74"/>
      <c r="GE731" s="74"/>
      <c r="GF731" s="74"/>
      <c r="GG731" s="74"/>
      <c r="GH731" s="74"/>
      <c r="GI731" s="74"/>
      <c r="GJ731" s="74"/>
      <c r="GK731" s="74"/>
      <c r="GL731" s="74"/>
      <c r="GM731" s="74"/>
      <c r="GN731" s="74"/>
      <c r="GO731" s="74"/>
      <c r="GP731" s="74"/>
      <c r="GQ731" s="74"/>
      <c r="GR731" s="74"/>
      <c r="GS731" s="74"/>
      <c r="GT731" s="74"/>
      <c r="GU731" s="74"/>
      <c r="GV731" s="74"/>
      <c r="GW731" s="74"/>
      <c r="GX731" s="74"/>
      <c r="GY731" s="74"/>
      <c r="GZ731" s="74"/>
      <c r="HA731" s="74"/>
      <c r="HB731" s="74"/>
      <c r="HC731" s="74"/>
      <c r="HD731" s="74"/>
      <c r="HE731" s="74"/>
      <c r="HF731" s="74"/>
      <c r="HG731" s="74"/>
      <c r="HH731" s="74"/>
      <c r="HI731" s="74"/>
      <c r="HJ731" s="74"/>
      <c r="HK731" s="74"/>
      <c r="HL731" s="74"/>
      <c r="HM731" s="74"/>
      <c r="HN731" s="74"/>
      <c r="HO731" s="74"/>
      <c r="HP731" s="74"/>
      <c r="HQ731" s="74"/>
      <c r="HR731" s="74"/>
      <c r="HS731" s="74"/>
      <c r="HT731" s="74"/>
      <c r="HU731" s="74"/>
      <c r="HV731" s="74"/>
      <c r="HW731" s="74"/>
      <c r="HX731" s="74"/>
      <c r="HY731" s="74"/>
      <c r="HZ731" s="74"/>
      <c r="IA731" s="74"/>
      <c r="IB731" s="74"/>
      <c r="IC731" s="74"/>
      <c r="ID731" s="74"/>
      <c r="IE731" s="74"/>
      <c r="IF731" s="74"/>
      <c r="IG731" s="74"/>
      <c r="IH731" s="74"/>
      <c r="II731" s="74"/>
      <c r="IJ731" s="74"/>
      <c r="IK731" s="74"/>
      <c r="IL731" s="74"/>
      <c r="IM731" s="74"/>
      <c r="IN731" s="74"/>
      <c r="IO731" s="74"/>
      <c r="IP731" s="74"/>
      <c r="IQ731" s="74"/>
      <c r="IR731" s="74"/>
      <c r="IS731" s="74"/>
      <c r="IT731" s="74"/>
      <c r="IU731" s="74"/>
      <c r="IV731" s="74"/>
      <c r="IW731" s="74"/>
    </row>
    <row r="732" customFormat="false" ht="18" hidden="false" customHeight="false" outlineLevel="0" collapsed="false">
      <c r="A732" s="285" t="s">
        <v>687</v>
      </c>
      <c r="B732" s="182"/>
      <c r="C732" s="183"/>
      <c r="D732" s="92"/>
      <c r="E732" s="93" t="n">
        <v>100</v>
      </c>
      <c r="F732" s="81" t="n">
        <v>-0.376</v>
      </c>
      <c r="G732" s="81"/>
      <c r="H732" s="81"/>
      <c r="I732" s="94" t="n">
        <f aca="false">F732+E732</f>
        <v>99.624</v>
      </c>
      <c r="J732" s="118"/>
      <c r="K732" s="74"/>
      <c r="L732" s="74"/>
      <c r="M732" s="74"/>
      <c r="N732" s="74"/>
      <c r="O732" s="74"/>
      <c r="P732" s="74"/>
      <c r="Q732" s="74"/>
      <c r="R732" s="74"/>
      <c r="S732" s="74"/>
      <c r="T732" s="274"/>
      <c r="U732" s="74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74"/>
      <c r="AJ732" s="74"/>
      <c r="AK732" s="74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4"/>
      <c r="AZ732" s="74"/>
      <c r="BA732" s="74"/>
      <c r="BB732" s="74"/>
      <c r="BC732" s="74"/>
      <c r="BD732" s="74"/>
      <c r="BE732" s="74"/>
      <c r="BF732" s="74"/>
      <c r="BG732" s="74"/>
      <c r="BH732" s="74"/>
      <c r="BI732" s="74"/>
      <c r="BJ732" s="74"/>
      <c r="BK732" s="74"/>
      <c r="BL732" s="74"/>
      <c r="BM732" s="74"/>
      <c r="BN732" s="74"/>
      <c r="BO732" s="74"/>
      <c r="BP732" s="74"/>
      <c r="BQ732" s="74"/>
      <c r="BR732" s="74"/>
      <c r="BS732" s="74"/>
      <c r="BT732" s="74"/>
      <c r="BU732" s="74"/>
      <c r="BV732" s="74"/>
      <c r="BW732" s="74"/>
      <c r="BX732" s="74"/>
      <c r="BY732" s="74"/>
      <c r="BZ732" s="74"/>
      <c r="CA732" s="74"/>
      <c r="CB732" s="74"/>
      <c r="CC732" s="74"/>
      <c r="CD732" s="74"/>
      <c r="CE732" s="74"/>
      <c r="CF732" s="74"/>
      <c r="CG732" s="74"/>
      <c r="CH732" s="74"/>
      <c r="CI732" s="74"/>
      <c r="CJ732" s="74"/>
      <c r="CK732" s="74"/>
      <c r="CL732" s="74"/>
      <c r="CM732" s="74"/>
      <c r="CN732" s="74"/>
      <c r="CO732" s="74"/>
      <c r="CP732" s="74"/>
      <c r="CQ732" s="74"/>
      <c r="CR732" s="74"/>
      <c r="CS732" s="74"/>
      <c r="CT732" s="74"/>
      <c r="CU732" s="74"/>
      <c r="CV732" s="74"/>
      <c r="CW732" s="74"/>
      <c r="CX732" s="74"/>
      <c r="CY732" s="74"/>
      <c r="CZ732" s="74"/>
      <c r="DA732" s="74"/>
      <c r="DB732" s="74"/>
      <c r="DC732" s="74"/>
      <c r="DD732" s="74"/>
      <c r="DE732" s="74"/>
      <c r="DF732" s="74"/>
      <c r="DG732" s="74"/>
      <c r="DH732" s="74"/>
      <c r="DI732" s="74"/>
      <c r="DJ732" s="74"/>
      <c r="DK732" s="74"/>
      <c r="DL732" s="74"/>
      <c r="DM732" s="74"/>
      <c r="DN732" s="74"/>
      <c r="DO732" s="74"/>
      <c r="DP732" s="74"/>
      <c r="DQ732" s="74"/>
      <c r="DR732" s="74"/>
      <c r="DS732" s="74"/>
      <c r="DT732" s="74"/>
      <c r="DU732" s="74"/>
      <c r="DV732" s="74"/>
      <c r="DW732" s="74"/>
      <c r="DX732" s="74"/>
      <c r="DY732" s="74"/>
      <c r="DZ732" s="74"/>
      <c r="EA732" s="74"/>
      <c r="EB732" s="74"/>
      <c r="EC732" s="74"/>
      <c r="ED732" s="74"/>
      <c r="EE732" s="74"/>
      <c r="EF732" s="74"/>
      <c r="EG732" s="74"/>
      <c r="EH732" s="74"/>
      <c r="EI732" s="74"/>
      <c r="EJ732" s="74"/>
      <c r="EK732" s="74"/>
      <c r="EL732" s="74"/>
      <c r="EM732" s="74"/>
      <c r="EN732" s="74"/>
      <c r="EO732" s="74"/>
      <c r="EP732" s="74"/>
      <c r="EQ732" s="74"/>
      <c r="ER732" s="74"/>
      <c r="ES732" s="74"/>
      <c r="ET732" s="74"/>
      <c r="EU732" s="74"/>
      <c r="EV732" s="74"/>
      <c r="EW732" s="74"/>
      <c r="EX732" s="74"/>
      <c r="EY732" s="74"/>
      <c r="EZ732" s="74"/>
      <c r="FA732" s="74"/>
      <c r="FB732" s="74"/>
      <c r="FC732" s="74"/>
      <c r="FD732" s="74"/>
      <c r="FE732" s="74"/>
      <c r="FF732" s="74"/>
      <c r="FG732" s="74"/>
      <c r="FH732" s="74"/>
      <c r="FI732" s="74"/>
      <c r="FJ732" s="74"/>
      <c r="FK732" s="74"/>
      <c r="FL732" s="74"/>
      <c r="FM732" s="74"/>
      <c r="FN732" s="74"/>
      <c r="FO732" s="74"/>
      <c r="FP732" s="74"/>
      <c r="FQ732" s="74"/>
      <c r="FR732" s="74"/>
      <c r="FS732" s="74"/>
      <c r="FT732" s="74"/>
      <c r="FU732" s="74"/>
      <c r="FV732" s="74"/>
      <c r="FW732" s="74"/>
      <c r="FX732" s="74"/>
      <c r="FY732" s="74"/>
      <c r="FZ732" s="74"/>
      <c r="GA732" s="74"/>
      <c r="GB732" s="74"/>
      <c r="GC732" s="74"/>
      <c r="GD732" s="74"/>
      <c r="GE732" s="74"/>
      <c r="GF732" s="74"/>
      <c r="GG732" s="74"/>
      <c r="GH732" s="74"/>
      <c r="GI732" s="74"/>
      <c r="GJ732" s="74"/>
      <c r="GK732" s="74"/>
      <c r="GL732" s="74"/>
      <c r="GM732" s="74"/>
      <c r="GN732" s="74"/>
      <c r="GO732" s="74"/>
      <c r="GP732" s="74"/>
      <c r="GQ732" s="74"/>
      <c r="GR732" s="74"/>
      <c r="GS732" s="74"/>
      <c r="GT732" s="74"/>
      <c r="GU732" s="74"/>
      <c r="GV732" s="74"/>
      <c r="GW732" s="74"/>
      <c r="GX732" s="74"/>
      <c r="GY732" s="74"/>
      <c r="GZ732" s="74"/>
      <c r="HA732" s="74"/>
      <c r="HB732" s="74"/>
      <c r="HC732" s="74"/>
      <c r="HD732" s="74"/>
      <c r="HE732" s="74"/>
      <c r="HF732" s="74"/>
      <c r="HG732" s="74"/>
      <c r="HH732" s="74"/>
      <c r="HI732" s="74"/>
      <c r="HJ732" s="74"/>
      <c r="HK732" s="74"/>
      <c r="HL732" s="74"/>
      <c r="HM732" s="74"/>
      <c r="HN732" s="74"/>
      <c r="HO732" s="74"/>
      <c r="HP732" s="74"/>
      <c r="HQ732" s="74"/>
      <c r="HR732" s="74"/>
      <c r="HS732" s="74"/>
      <c r="HT732" s="74"/>
      <c r="HU732" s="74"/>
      <c r="HV732" s="74"/>
      <c r="HW732" s="74"/>
      <c r="HX732" s="74"/>
      <c r="HY732" s="74"/>
      <c r="HZ732" s="74"/>
      <c r="IA732" s="74"/>
      <c r="IB732" s="74"/>
      <c r="IC732" s="74"/>
      <c r="ID732" s="74"/>
      <c r="IE732" s="74"/>
      <c r="IF732" s="74"/>
      <c r="IG732" s="74"/>
      <c r="IH732" s="74"/>
      <c r="II732" s="74"/>
      <c r="IJ732" s="74"/>
      <c r="IK732" s="74"/>
      <c r="IL732" s="74"/>
      <c r="IM732" s="74"/>
      <c r="IN732" s="74"/>
      <c r="IO732" s="74"/>
      <c r="IP732" s="74"/>
      <c r="IQ732" s="74"/>
      <c r="IR732" s="74"/>
      <c r="IS732" s="74"/>
      <c r="IT732" s="74"/>
      <c r="IU732" s="74"/>
      <c r="IV732" s="74"/>
      <c r="IW732" s="74"/>
    </row>
    <row r="733" customFormat="false" ht="18" hidden="false" customHeight="false" outlineLevel="0" collapsed="false">
      <c r="A733" s="285" t="s">
        <v>688</v>
      </c>
      <c r="B733" s="182"/>
      <c r="C733" s="183"/>
      <c r="D733" s="92"/>
      <c r="E733" s="81" t="n">
        <v>0</v>
      </c>
      <c r="F733" s="81"/>
      <c r="G733" s="81"/>
      <c r="H733" s="81"/>
      <c r="I733" s="94" t="n">
        <f aca="false">SUM(E733:G733)</f>
        <v>0</v>
      </c>
      <c r="J733" s="118"/>
      <c r="K733" s="74"/>
      <c r="L733" s="74"/>
      <c r="M733" s="74"/>
      <c r="N733" s="74"/>
      <c r="O733" s="74"/>
      <c r="P733" s="74"/>
      <c r="Q733" s="74"/>
      <c r="R733" s="74"/>
      <c r="S733" s="74"/>
      <c r="T733" s="274"/>
      <c r="U733" s="74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74"/>
      <c r="AJ733" s="74"/>
      <c r="AK733" s="74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4"/>
      <c r="AZ733" s="74"/>
      <c r="BA733" s="74"/>
      <c r="BB733" s="74"/>
      <c r="BC733" s="74"/>
      <c r="BD733" s="74"/>
      <c r="BE733" s="74"/>
      <c r="BF733" s="74"/>
      <c r="BG733" s="74"/>
      <c r="BH733" s="74"/>
      <c r="BI733" s="74"/>
      <c r="BJ733" s="74"/>
      <c r="BK733" s="74"/>
      <c r="BL733" s="74"/>
      <c r="BM733" s="74"/>
      <c r="BN733" s="74"/>
      <c r="BO733" s="74"/>
      <c r="BP733" s="74"/>
      <c r="BQ733" s="74"/>
      <c r="BR733" s="74"/>
      <c r="BS733" s="74"/>
      <c r="BT733" s="74"/>
      <c r="BU733" s="74"/>
      <c r="BV733" s="74"/>
      <c r="BW733" s="74"/>
      <c r="BX733" s="74"/>
      <c r="BY733" s="74"/>
      <c r="BZ733" s="74"/>
      <c r="CA733" s="74"/>
      <c r="CB733" s="74"/>
      <c r="CC733" s="74"/>
      <c r="CD733" s="74"/>
      <c r="CE733" s="74"/>
      <c r="CF733" s="74"/>
      <c r="CG733" s="74"/>
      <c r="CH733" s="74"/>
      <c r="CI733" s="74"/>
      <c r="CJ733" s="74"/>
      <c r="CK733" s="74"/>
      <c r="CL733" s="74"/>
      <c r="CM733" s="74"/>
      <c r="CN733" s="74"/>
      <c r="CO733" s="74"/>
      <c r="CP733" s="74"/>
      <c r="CQ733" s="74"/>
      <c r="CR733" s="74"/>
      <c r="CS733" s="74"/>
      <c r="CT733" s="74"/>
      <c r="CU733" s="74"/>
      <c r="CV733" s="74"/>
      <c r="CW733" s="74"/>
      <c r="CX733" s="74"/>
      <c r="CY733" s="74"/>
      <c r="CZ733" s="74"/>
      <c r="DA733" s="74"/>
      <c r="DB733" s="74"/>
      <c r="DC733" s="74"/>
      <c r="DD733" s="74"/>
      <c r="DE733" s="74"/>
      <c r="DF733" s="74"/>
      <c r="DG733" s="74"/>
      <c r="DH733" s="74"/>
      <c r="DI733" s="74"/>
      <c r="DJ733" s="74"/>
      <c r="DK733" s="74"/>
      <c r="DL733" s="74"/>
      <c r="DM733" s="74"/>
      <c r="DN733" s="74"/>
      <c r="DO733" s="74"/>
      <c r="DP733" s="74"/>
      <c r="DQ733" s="74"/>
      <c r="DR733" s="74"/>
      <c r="DS733" s="74"/>
      <c r="DT733" s="74"/>
      <c r="DU733" s="74"/>
      <c r="DV733" s="74"/>
      <c r="DW733" s="74"/>
      <c r="DX733" s="74"/>
      <c r="DY733" s="74"/>
      <c r="DZ733" s="74"/>
      <c r="EA733" s="74"/>
      <c r="EB733" s="74"/>
      <c r="EC733" s="74"/>
      <c r="ED733" s="74"/>
      <c r="EE733" s="74"/>
      <c r="EF733" s="74"/>
      <c r="EG733" s="74"/>
      <c r="EH733" s="74"/>
      <c r="EI733" s="74"/>
      <c r="EJ733" s="74"/>
      <c r="EK733" s="74"/>
      <c r="EL733" s="74"/>
      <c r="EM733" s="74"/>
      <c r="EN733" s="74"/>
      <c r="EO733" s="74"/>
      <c r="EP733" s="74"/>
      <c r="EQ733" s="74"/>
      <c r="ER733" s="74"/>
      <c r="ES733" s="74"/>
      <c r="ET733" s="74"/>
      <c r="EU733" s="74"/>
      <c r="EV733" s="74"/>
      <c r="EW733" s="74"/>
      <c r="EX733" s="74"/>
      <c r="EY733" s="74"/>
      <c r="EZ733" s="74"/>
      <c r="FA733" s="74"/>
      <c r="FB733" s="74"/>
      <c r="FC733" s="74"/>
      <c r="FD733" s="74"/>
      <c r="FE733" s="74"/>
      <c r="FF733" s="74"/>
      <c r="FG733" s="74"/>
      <c r="FH733" s="74"/>
      <c r="FI733" s="74"/>
      <c r="FJ733" s="74"/>
      <c r="FK733" s="74"/>
      <c r="FL733" s="74"/>
      <c r="FM733" s="74"/>
      <c r="FN733" s="74"/>
      <c r="FO733" s="74"/>
      <c r="FP733" s="74"/>
      <c r="FQ733" s="74"/>
      <c r="FR733" s="74"/>
      <c r="FS733" s="74"/>
      <c r="FT733" s="74"/>
      <c r="FU733" s="74"/>
      <c r="FV733" s="74"/>
      <c r="FW733" s="74"/>
      <c r="FX733" s="74"/>
      <c r="FY733" s="74"/>
      <c r="FZ733" s="74"/>
      <c r="GA733" s="74"/>
      <c r="GB733" s="74"/>
      <c r="GC733" s="74"/>
      <c r="GD733" s="74"/>
      <c r="GE733" s="74"/>
      <c r="GF733" s="74"/>
      <c r="GG733" s="74"/>
      <c r="GH733" s="74"/>
      <c r="GI733" s="74"/>
      <c r="GJ733" s="74"/>
      <c r="GK733" s="74"/>
      <c r="GL733" s="74"/>
      <c r="GM733" s="74"/>
      <c r="GN733" s="74"/>
      <c r="GO733" s="74"/>
      <c r="GP733" s="74"/>
      <c r="GQ733" s="74"/>
      <c r="GR733" s="74"/>
      <c r="GS733" s="74"/>
      <c r="GT733" s="74"/>
      <c r="GU733" s="74"/>
      <c r="GV733" s="74"/>
      <c r="GW733" s="74"/>
      <c r="GX733" s="74"/>
      <c r="GY733" s="74"/>
      <c r="GZ733" s="74"/>
      <c r="HA733" s="74"/>
      <c r="HB733" s="74"/>
      <c r="HC733" s="74"/>
      <c r="HD733" s="74"/>
      <c r="HE733" s="74"/>
      <c r="HF733" s="74"/>
      <c r="HG733" s="74"/>
      <c r="HH733" s="74"/>
      <c r="HI733" s="74"/>
      <c r="HJ733" s="74"/>
      <c r="HK733" s="74"/>
      <c r="HL733" s="74"/>
      <c r="HM733" s="74"/>
      <c r="HN733" s="74"/>
      <c r="HO733" s="74"/>
      <c r="HP733" s="74"/>
      <c r="HQ733" s="74"/>
      <c r="HR733" s="74"/>
      <c r="HS733" s="74"/>
      <c r="HT733" s="74"/>
      <c r="HU733" s="74"/>
      <c r="HV733" s="74"/>
      <c r="HW733" s="74"/>
      <c r="HX733" s="74"/>
      <c r="HY733" s="74"/>
      <c r="HZ733" s="74"/>
      <c r="IA733" s="74"/>
      <c r="IB733" s="74"/>
      <c r="IC733" s="74"/>
      <c r="ID733" s="74"/>
      <c r="IE733" s="74"/>
      <c r="IF733" s="74"/>
      <c r="IG733" s="74"/>
      <c r="IH733" s="74"/>
      <c r="II733" s="74"/>
      <c r="IJ733" s="74"/>
      <c r="IK733" s="74"/>
      <c r="IL733" s="74"/>
      <c r="IM733" s="74"/>
      <c r="IN733" s="74"/>
      <c r="IO733" s="74"/>
      <c r="IP733" s="74"/>
      <c r="IQ733" s="74"/>
      <c r="IR733" s="74"/>
      <c r="IS733" s="74"/>
      <c r="IT733" s="74"/>
      <c r="IU733" s="74"/>
      <c r="IV733" s="74"/>
      <c r="IW733" s="74"/>
    </row>
    <row r="734" customFormat="false" ht="18" hidden="false" customHeight="false" outlineLevel="0" collapsed="false">
      <c r="A734" s="268"/>
      <c r="B734" s="182"/>
      <c r="C734" s="183"/>
      <c r="D734" s="92"/>
      <c r="E734" s="93"/>
      <c r="F734" s="81"/>
      <c r="G734" s="81"/>
      <c r="H734" s="81"/>
      <c r="I734" s="94"/>
      <c r="J734" s="118"/>
      <c r="K734" s="74"/>
      <c r="L734" s="74"/>
      <c r="M734" s="74"/>
      <c r="N734" s="74"/>
      <c r="O734" s="74"/>
      <c r="P734" s="74"/>
      <c r="Q734" s="74"/>
      <c r="R734" s="74"/>
      <c r="S734" s="74"/>
      <c r="T734" s="274"/>
      <c r="U734" s="74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74"/>
      <c r="AJ734" s="74"/>
      <c r="AK734" s="74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4"/>
      <c r="AZ734" s="74"/>
      <c r="BA734" s="74"/>
      <c r="BB734" s="74"/>
      <c r="BC734" s="74"/>
      <c r="BD734" s="74"/>
      <c r="BE734" s="74"/>
      <c r="BF734" s="74"/>
      <c r="BG734" s="74"/>
      <c r="BH734" s="74"/>
      <c r="BI734" s="74"/>
      <c r="BJ734" s="74"/>
      <c r="BK734" s="74"/>
      <c r="BL734" s="74"/>
      <c r="BM734" s="74"/>
      <c r="BN734" s="74"/>
      <c r="BO734" s="74"/>
      <c r="BP734" s="74"/>
      <c r="BQ734" s="74"/>
      <c r="BR734" s="74"/>
      <c r="BS734" s="74"/>
      <c r="BT734" s="74"/>
      <c r="BU734" s="74"/>
      <c r="BV734" s="74"/>
      <c r="BW734" s="74"/>
      <c r="BX734" s="74"/>
      <c r="BY734" s="74"/>
      <c r="BZ734" s="74"/>
      <c r="CA734" s="74"/>
      <c r="CB734" s="74"/>
      <c r="CC734" s="74"/>
      <c r="CD734" s="74"/>
      <c r="CE734" s="74"/>
      <c r="CF734" s="74"/>
      <c r="CG734" s="74"/>
      <c r="CH734" s="74"/>
      <c r="CI734" s="74"/>
      <c r="CJ734" s="74"/>
      <c r="CK734" s="74"/>
      <c r="CL734" s="74"/>
      <c r="CM734" s="74"/>
      <c r="CN734" s="74"/>
      <c r="CO734" s="74"/>
      <c r="CP734" s="74"/>
      <c r="CQ734" s="74"/>
      <c r="CR734" s="74"/>
      <c r="CS734" s="74"/>
      <c r="CT734" s="74"/>
      <c r="CU734" s="74"/>
      <c r="CV734" s="74"/>
      <c r="CW734" s="74"/>
      <c r="CX734" s="74"/>
      <c r="CY734" s="74"/>
      <c r="CZ734" s="74"/>
      <c r="DA734" s="74"/>
      <c r="DB734" s="74"/>
      <c r="DC734" s="74"/>
      <c r="DD734" s="74"/>
      <c r="DE734" s="74"/>
      <c r="DF734" s="74"/>
      <c r="DG734" s="74"/>
      <c r="DH734" s="74"/>
      <c r="DI734" s="74"/>
      <c r="DJ734" s="74"/>
      <c r="DK734" s="74"/>
      <c r="DL734" s="74"/>
      <c r="DM734" s="74"/>
      <c r="DN734" s="74"/>
      <c r="DO734" s="74"/>
      <c r="DP734" s="74"/>
      <c r="DQ734" s="74"/>
      <c r="DR734" s="74"/>
      <c r="DS734" s="74"/>
      <c r="DT734" s="74"/>
      <c r="DU734" s="74"/>
      <c r="DV734" s="74"/>
      <c r="DW734" s="74"/>
      <c r="DX734" s="74"/>
      <c r="DY734" s="74"/>
      <c r="DZ734" s="74"/>
      <c r="EA734" s="74"/>
      <c r="EB734" s="74"/>
      <c r="EC734" s="74"/>
      <c r="ED734" s="74"/>
      <c r="EE734" s="74"/>
      <c r="EF734" s="74"/>
      <c r="EG734" s="74"/>
      <c r="EH734" s="74"/>
      <c r="EI734" s="74"/>
      <c r="EJ734" s="74"/>
      <c r="EK734" s="74"/>
      <c r="EL734" s="74"/>
      <c r="EM734" s="74"/>
      <c r="EN734" s="74"/>
      <c r="EO734" s="74"/>
      <c r="EP734" s="74"/>
      <c r="EQ734" s="74"/>
      <c r="ER734" s="74"/>
      <c r="ES734" s="74"/>
      <c r="ET734" s="74"/>
      <c r="EU734" s="74"/>
      <c r="EV734" s="74"/>
      <c r="EW734" s="74"/>
      <c r="EX734" s="74"/>
      <c r="EY734" s="74"/>
      <c r="EZ734" s="74"/>
      <c r="FA734" s="74"/>
      <c r="FB734" s="74"/>
      <c r="FC734" s="74"/>
      <c r="FD734" s="74"/>
      <c r="FE734" s="74"/>
      <c r="FF734" s="74"/>
      <c r="FG734" s="74"/>
      <c r="FH734" s="74"/>
      <c r="FI734" s="74"/>
      <c r="FJ734" s="74"/>
      <c r="FK734" s="74"/>
      <c r="FL734" s="74"/>
      <c r="FM734" s="74"/>
      <c r="FN734" s="74"/>
      <c r="FO734" s="74"/>
      <c r="FP734" s="74"/>
      <c r="FQ734" s="74"/>
      <c r="FR734" s="74"/>
      <c r="FS734" s="74"/>
      <c r="FT734" s="74"/>
      <c r="FU734" s="74"/>
      <c r="FV734" s="74"/>
      <c r="FW734" s="74"/>
      <c r="FX734" s="74"/>
      <c r="FY734" s="74"/>
      <c r="FZ734" s="74"/>
      <c r="GA734" s="74"/>
      <c r="GB734" s="74"/>
      <c r="GC734" s="74"/>
      <c r="GD734" s="74"/>
      <c r="GE734" s="74"/>
      <c r="GF734" s="74"/>
      <c r="GG734" s="74"/>
      <c r="GH734" s="74"/>
      <c r="GI734" s="74"/>
      <c r="GJ734" s="74"/>
      <c r="GK734" s="74"/>
      <c r="GL734" s="74"/>
      <c r="GM734" s="74"/>
      <c r="GN734" s="74"/>
      <c r="GO734" s="74"/>
      <c r="GP734" s="74"/>
      <c r="GQ734" s="74"/>
      <c r="GR734" s="74"/>
      <c r="GS734" s="74"/>
      <c r="GT734" s="74"/>
      <c r="GU734" s="74"/>
      <c r="GV734" s="74"/>
      <c r="GW734" s="74"/>
      <c r="GX734" s="74"/>
      <c r="GY734" s="74"/>
      <c r="GZ734" s="74"/>
      <c r="HA734" s="74"/>
      <c r="HB734" s="74"/>
      <c r="HC734" s="74"/>
      <c r="HD734" s="74"/>
      <c r="HE734" s="74"/>
      <c r="HF734" s="74"/>
      <c r="HG734" s="74"/>
      <c r="HH734" s="74"/>
      <c r="HI734" s="74"/>
      <c r="HJ734" s="74"/>
      <c r="HK734" s="74"/>
      <c r="HL734" s="74"/>
      <c r="HM734" s="74"/>
      <c r="HN734" s="74"/>
      <c r="HO734" s="74"/>
      <c r="HP734" s="74"/>
      <c r="HQ734" s="74"/>
      <c r="HR734" s="74"/>
      <c r="HS734" s="74"/>
      <c r="HT734" s="74"/>
      <c r="HU734" s="74"/>
      <c r="HV734" s="74"/>
      <c r="HW734" s="74"/>
      <c r="HX734" s="74"/>
      <c r="HY734" s="74"/>
      <c r="HZ734" s="74"/>
      <c r="IA734" s="74"/>
      <c r="IB734" s="74"/>
      <c r="IC734" s="74"/>
      <c r="ID734" s="74"/>
      <c r="IE734" s="74"/>
      <c r="IF734" s="74"/>
      <c r="IG734" s="74"/>
      <c r="IH734" s="74"/>
      <c r="II734" s="74"/>
      <c r="IJ734" s="74"/>
      <c r="IK734" s="74"/>
      <c r="IL734" s="74"/>
      <c r="IM734" s="74"/>
      <c r="IN734" s="74"/>
      <c r="IO734" s="74"/>
      <c r="IP734" s="74"/>
      <c r="IQ734" s="74"/>
      <c r="IR734" s="74"/>
      <c r="IS734" s="74"/>
      <c r="IT734" s="74"/>
      <c r="IU734" s="74"/>
      <c r="IV734" s="74"/>
      <c r="IW734" s="74"/>
    </row>
    <row r="735" customFormat="false" ht="15.75" hidden="false" customHeight="true" outlineLevel="0" collapsed="false">
      <c r="A735" s="188"/>
      <c r="B735" s="90"/>
      <c r="C735" s="183"/>
      <c r="D735" s="92"/>
      <c r="E735" s="279"/>
      <c r="F735" s="280"/>
      <c r="G735" s="280"/>
      <c r="H735" s="280"/>
      <c r="I735" s="281"/>
      <c r="J735" s="160"/>
      <c r="K735" s="286"/>
      <c r="M735" s="286"/>
      <c r="N735" s="286"/>
      <c r="O735" s="286"/>
      <c r="P735" s="286"/>
      <c r="Q735" s="286"/>
      <c r="T735" s="287"/>
    </row>
    <row r="736" customFormat="false" ht="20.25" hidden="false" customHeight="true" outlineLevel="0" collapsed="false">
      <c r="A736" s="228" t="s">
        <v>689</v>
      </c>
      <c r="B736" s="267"/>
      <c r="C736" s="183"/>
      <c r="D736" s="96"/>
      <c r="E736" s="288" t="n">
        <f aca="false">SUM(E732:E733)</f>
        <v>100</v>
      </c>
      <c r="F736" s="288" t="n">
        <f aca="false">SUM(F732:F733)</f>
        <v>-0.376</v>
      </c>
      <c r="G736" s="288" t="n">
        <f aca="false">SUM(G732:G733)</f>
        <v>0</v>
      </c>
      <c r="H736" s="288" t="n">
        <f aca="false">SUM(H735)</f>
        <v>0</v>
      </c>
      <c r="I736" s="289" t="n">
        <f aca="false">SUM(E736:H736)</f>
        <v>99.624</v>
      </c>
      <c r="J736" s="290"/>
      <c r="K736" s="270"/>
      <c r="L736" s="270"/>
      <c r="M736" s="270"/>
      <c r="N736" s="270"/>
      <c r="O736" s="270"/>
      <c r="P736" s="270"/>
      <c r="Q736" s="270"/>
      <c r="R736" s="270"/>
      <c r="S736" s="270"/>
      <c r="T736" s="271"/>
      <c r="U736" s="270"/>
      <c r="V736" s="270"/>
      <c r="W736" s="270"/>
      <c r="X736" s="270"/>
      <c r="Y736" s="270"/>
      <c r="Z736" s="270"/>
      <c r="AA736" s="270"/>
      <c r="AB736" s="270"/>
      <c r="AC736" s="270"/>
      <c r="AD736" s="270"/>
      <c r="AE736" s="270"/>
      <c r="AF736" s="270"/>
      <c r="AG736" s="270"/>
      <c r="AH736" s="270"/>
      <c r="AI736" s="270"/>
      <c r="AJ736" s="270"/>
      <c r="AK736" s="270"/>
      <c r="AL736" s="270"/>
      <c r="AM736" s="270"/>
      <c r="AN736" s="270"/>
      <c r="AO736" s="270"/>
      <c r="AP736" s="270"/>
      <c r="AQ736" s="270"/>
      <c r="AR736" s="270"/>
      <c r="AS736" s="270"/>
      <c r="AT736" s="270"/>
      <c r="AU736" s="270"/>
      <c r="AV736" s="270"/>
      <c r="AW736" s="270"/>
      <c r="AX736" s="270"/>
      <c r="AY736" s="270"/>
      <c r="AZ736" s="270"/>
      <c r="BA736" s="270"/>
      <c r="BB736" s="270"/>
      <c r="BC736" s="270"/>
      <c r="BD736" s="270"/>
      <c r="BE736" s="270"/>
      <c r="BF736" s="270"/>
      <c r="BG736" s="270"/>
      <c r="BH736" s="270"/>
      <c r="BI736" s="270"/>
      <c r="BJ736" s="270"/>
      <c r="BK736" s="270"/>
      <c r="BL736" s="270"/>
      <c r="BM736" s="270"/>
      <c r="BN736" s="270"/>
      <c r="BO736" s="270"/>
      <c r="BP736" s="270"/>
      <c r="BQ736" s="270"/>
      <c r="BR736" s="270"/>
      <c r="BS736" s="270"/>
      <c r="BT736" s="270"/>
      <c r="BU736" s="270"/>
      <c r="BV736" s="270"/>
      <c r="BW736" s="270"/>
      <c r="BX736" s="270"/>
      <c r="BY736" s="270"/>
      <c r="BZ736" s="270"/>
      <c r="CA736" s="270"/>
      <c r="CB736" s="270"/>
      <c r="CC736" s="270"/>
      <c r="CD736" s="270"/>
      <c r="CE736" s="270"/>
      <c r="CF736" s="270"/>
      <c r="CG736" s="270"/>
      <c r="CH736" s="270"/>
      <c r="CI736" s="270"/>
      <c r="CJ736" s="270"/>
      <c r="CK736" s="270"/>
      <c r="CL736" s="270"/>
      <c r="CM736" s="270"/>
      <c r="CN736" s="270"/>
      <c r="CO736" s="270"/>
      <c r="CP736" s="270"/>
      <c r="CQ736" s="270"/>
      <c r="CR736" s="270"/>
      <c r="CS736" s="270"/>
      <c r="CT736" s="270"/>
      <c r="CU736" s="270"/>
      <c r="CV736" s="270"/>
      <c r="CW736" s="270"/>
      <c r="CX736" s="270"/>
      <c r="CY736" s="270"/>
      <c r="CZ736" s="270"/>
      <c r="DA736" s="270"/>
      <c r="DB736" s="270"/>
      <c r="DC736" s="270"/>
      <c r="DD736" s="270"/>
      <c r="DE736" s="270"/>
      <c r="DF736" s="270"/>
      <c r="DG736" s="270"/>
      <c r="DH736" s="270"/>
      <c r="DI736" s="270"/>
      <c r="DJ736" s="270"/>
      <c r="DK736" s="270"/>
      <c r="DL736" s="270"/>
      <c r="DM736" s="270"/>
      <c r="DN736" s="270"/>
      <c r="DO736" s="270"/>
      <c r="DP736" s="270"/>
      <c r="DQ736" s="270"/>
      <c r="DR736" s="270"/>
      <c r="DS736" s="270"/>
      <c r="DT736" s="270"/>
      <c r="DU736" s="270"/>
      <c r="DV736" s="270"/>
      <c r="DW736" s="270"/>
      <c r="DX736" s="270"/>
      <c r="DY736" s="270"/>
      <c r="DZ736" s="270"/>
      <c r="EA736" s="270"/>
      <c r="EB736" s="270"/>
      <c r="EC736" s="270"/>
      <c r="ED736" s="270"/>
      <c r="EE736" s="270"/>
      <c r="EF736" s="270"/>
      <c r="EG736" s="270"/>
      <c r="EH736" s="270"/>
      <c r="EI736" s="270"/>
      <c r="EJ736" s="270"/>
      <c r="EK736" s="270"/>
      <c r="EL736" s="270"/>
      <c r="EM736" s="270"/>
      <c r="EN736" s="270"/>
      <c r="EO736" s="270"/>
      <c r="EP736" s="270"/>
      <c r="EQ736" s="270"/>
      <c r="ER736" s="270"/>
      <c r="ES736" s="270"/>
      <c r="ET736" s="270"/>
      <c r="EU736" s="270"/>
      <c r="EV736" s="270"/>
      <c r="EW736" s="270"/>
      <c r="EX736" s="270"/>
      <c r="EY736" s="270"/>
      <c r="EZ736" s="270"/>
      <c r="FA736" s="270"/>
      <c r="FB736" s="270"/>
      <c r="FC736" s="270"/>
      <c r="FD736" s="270"/>
      <c r="FE736" s="270"/>
      <c r="FF736" s="270"/>
      <c r="FG736" s="270"/>
      <c r="FH736" s="270"/>
      <c r="FI736" s="270"/>
      <c r="FJ736" s="270"/>
      <c r="FK736" s="270"/>
      <c r="FL736" s="270"/>
      <c r="FM736" s="270"/>
      <c r="FN736" s="270"/>
      <c r="FO736" s="270"/>
      <c r="FP736" s="270"/>
      <c r="FQ736" s="270"/>
      <c r="FR736" s="270"/>
      <c r="FS736" s="270"/>
      <c r="FT736" s="270"/>
      <c r="FU736" s="270"/>
      <c r="FV736" s="270"/>
      <c r="FW736" s="270"/>
      <c r="FX736" s="270"/>
      <c r="FY736" s="270"/>
      <c r="FZ736" s="270"/>
      <c r="GA736" s="270"/>
      <c r="GB736" s="270"/>
      <c r="GC736" s="270"/>
      <c r="GD736" s="270"/>
      <c r="GE736" s="270"/>
      <c r="GF736" s="270"/>
      <c r="GG736" s="270"/>
      <c r="GH736" s="270"/>
      <c r="GI736" s="270"/>
      <c r="GJ736" s="270"/>
      <c r="GK736" s="270"/>
      <c r="GL736" s="270"/>
      <c r="GM736" s="270"/>
      <c r="GN736" s="270"/>
      <c r="GO736" s="270"/>
      <c r="GP736" s="270"/>
      <c r="GQ736" s="270"/>
      <c r="GR736" s="270"/>
      <c r="GS736" s="270"/>
      <c r="GT736" s="270"/>
      <c r="GU736" s="270"/>
      <c r="GV736" s="270"/>
      <c r="GW736" s="270"/>
      <c r="GX736" s="270"/>
      <c r="GY736" s="270"/>
      <c r="GZ736" s="270"/>
      <c r="HA736" s="270"/>
      <c r="HB736" s="270"/>
      <c r="HC736" s="270"/>
      <c r="HD736" s="270"/>
      <c r="HE736" s="270"/>
      <c r="HF736" s="270"/>
      <c r="HG736" s="270"/>
      <c r="HH736" s="270"/>
      <c r="HI736" s="270"/>
      <c r="HJ736" s="270"/>
      <c r="HK736" s="270"/>
      <c r="HL736" s="270"/>
      <c r="HM736" s="270"/>
      <c r="HN736" s="270"/>
      <c r="HO736" s="270"/>
      <c r="HP736" s="270"/>
      <c r="HQ736" s="270"/>
      <c r="HR736" s="270"/>
      <c r="HS736" s="270"/>
      <c r="HT736" s="270"/>
      <c r="HU736" s="270"/>
      <c r="HV736" s="270"/>
      <c r="HW736" s="270"/>
      <c r="HX736" s="270"/>
      <c r="HY736" s="270"/>
      <c r="HZ736" s="270"/>
      <c r="IA736" s="270"/>
      <c r="IB736" s="270"/>
      <c r="IC736" s="270"/>
      <c r="ID736" s="270"/>
      <c r="IE736" s="270"/>
      <c r="IF736" s="270"/>
      <c r="IG736" s="270"/>
      <c r="IH736" s="270"/>
      <c r="II736" s="270"/>
      <c r="IJ736" s="270"/>
      <c r="IK736" s="270"/>
      <c r="IL736" s="270"/>
      <c r="IM736" s="270"/>
      <c r="IN736" s="270"/>
      <c r="IO736" s="270"/>
      <c r="IP736" s="270"/>
      <c r="IQ736" s="270"/>
      <c r="IR736" s="270"/>
      <c r="IS736" s="270"/>
      <c r="IT736" s="270"/>
      <c r="IU736" s="270"/>
      <c r="IV736" s="270"/>
      <c r="IW736" s="270"/>
    </row>
    <row r="737" customFormat="false" ht="20.25" hidden="false" customHeight="true" outlineLevel="0" collapsed="false">
      <c r="A737" s="291"/>
      <c r="B737" s="292"/>
      <c r="C737" s="293"/>
      <c r="D737" s="252"/>
      <c r="E737" s="280"/>
      <c r="F737" s="280"/>
      <c r="G737" s="280"/>
      <c r="H737" s="280"/>
      <c r="I737" s="281"/>
      <c r="J737" s="294"/>
      <c r="K737" s="270"/>
      <c r="L737" s="270"/>
      <c r="M737" s="270"/>
      <c r="N737" s="270"/>
      <c r="O737" s="270"/>
      <c r="P737" s="270"/>
      <c r="Q737" s="270"/>
      <c r="R737" s="270"/>
      <c r="S737" s="270"/>
      <c r="T737" s="271"/>
      <c r="U737" s="270"/>
      <c r="V737" s="270"/>
      <c r="W737" s="270"/>
      <c r="X737" s="270"/>
      <c r="Y737" s="270"/>
      <c r="Z737" s="270"/>
      <c r="AA737" s="270"/>
      <c r="AB737" s="270"/>
      <c r="AC737" s="270"/>
      <c r="AD737" s="270"/>
      <c r="AE737" s="270"/>
      <c r="AF737" s="270"/>
      <c r="AG737" s="270"/>
      <c r="AH737" s="270"/>
      <c r="AI737" s="270"/>
      <c r="AJ737" s="270"/>
      <c r="AK737" s="270"/>
      <c r="AL737" s="270"/>
      <c r="AM737" s="270"/>
      <c r="AN737" s="270"/>
      <c r="AO737" s="270"/>
      <c r="AP737" s="270"/>
      <c r="AQ737" s="270"/>
      <c r="AR737" s="270"/>
      <c r="AS737" s="270"/>
      <c r="AT737" s="270"/>
      <c r="AU737" s="270"/>
      <c r="AV737" s="270"/>
      <c r="AW737" s="270"/>
      <c r="AX737" s="270"/>
      <c r="AY737" s="270"/>
      <c r="AZ737" s="270"/>
      <c r="BA737" s="270"/>
      <c r="BB737" s="270"/>
      <c r="BC737" s="270"/>
      <c r="BD737" s="270"/>
      <c r="BE737" s="270"/>
      <c r="BF737" s="270"/>
      <c r="BG737" s="270"/>
      <c r="BH737" s="270"/>
      <c r="BI737" s="270"/>
      <c r="BJ737" s="270"/>
      <c r="BK737" s="270"/>
      <c r="BL737" s="270"/>
      <c r="BM737" s="270"/>
      <c r="BN737" s="270"/>
      <c r="BO737" s="270"/>
      <c r="BP737" s="270"/>
      <c r="BQ737" s="270"/>
      <c r="BR737" s="270"/>
      <c r="BS737" s="270"/>
      <c r="BT737" s="270"/>
      <c r="BU737" s="270"/>
      <c r="BV737" s="270"/>
      <c r="BW737" s="270"/>
      <c r="BX737" s="270"/>
      <c r="BY737" s="270"/>
      <c r="BZ737" s="270"/>
      <c r="CA737" s="270"/>
      <c r="CB737" s="270"/>
      <c r="CC737" s="270"/>
      <c r="CD737" s="270"/>
      <c r="CE737" s="270"/>
      <c r="CF737" s="270"/>
      <c r="CG737" s="270"/>
      <c r="CH737" s="270"/>
      <c r="CI737" s="270"/>
      <c r="CJ737" s="270"/>
      <c r="CK737" s="270"/>
      <c r="CL737" s="270"/>
      <c r="CM737" s="270"/>
      <c r="CN737" s="270"/>
      <c r="CO737" s="270"/>
      <c r="CP737" s="270"/>
      <c r="CQ737" s="270"/>
      <c r="CR737" s="270"/>
      <c r="CS737" s="270"/>
      <c r="CT737" s="270"/>
      <c r="CU737" s="270"/>
      <c r="CV737" s="270"/>
      <c r="CW737" s="270"/>
      <c r="CX737" s="270"/>
      <c r="CY737" s="270"/>
      <c r="CZ737" s="270"/>
      <c r="DA737" s="270"/>
      <c r="DB737" s="270"/>
      <c r="DC737" s="270"/>
      <c r="DD737" s="270"/>
      <c r="DE737" s="270"/>
      <c r="DF737" s="270"/>
      <c r="DG737" s="270"/>
      <c r="DH737" s="270"/>
      <c r="DI737" s="270"/>
      <c r="DJ737" s="270"/>
      <c r="DK737" s="270"/>
      <c r="DL737" s="270"/>
      <c r="DM737" s="270"/>
      <c r="DN737" s="270"/>
      <c r="DO737" s="270"/>
      <c r="DP737" s="270"/>
      <c r="DQ737" s="270"/>
      <c r="DR737" s="270"/>
      <c r="DS737" s="270"/>
      <c r="DT737" s="270"/>
      <c r="DU737" s="270"/>
      <c r="DV737" s="270"/>
      <c r="DW737" s="270"/>
      <c r="DX737" s="270"/>
      <c r="DY737" s="270"/>
      <c r="DZ737" s="270"/>
      <c r="EA737" s="270"/>
      <c r="EB737" s="270"/>
      <c r="EC737" s="270"/>
      <c r="ED737" s="270"/>
      <c r="EE737" s="270"/>
      <c r="EF737" s="270"/>
      <c r="EG737" s="270"/>
      <c r="EH737" s="270"/>
      <c r="EI737" s="270"/>
      <c r="EJ737" s="270"/>
      <c r="EK737" s="270"/>
      <c r="EL737" s="270"/>
      <c r="EM737" s="270"/>
      <c r="EN737" s="270"/>
      <c r="EO737" s="270"/>
      <c r="EP737" s="270"/>
      <c r="EQ737" s="270"/>
      <c r="ER737" s="270"/>
      <c r="ES737" s="270"/>
      <c r="ET737" s="270"/>
      <c r="EU737" s="270"/>
      <c r="EV737" s="270"/>
      <c r="EW737" s="270"/>
      <c r="EX737" s="270"/>
      <c r="EY737" s="270"/>
      <c r="EZ737" s="270"/>
      <c r="FA737" s="270"/>
      <c r="FB737" s="270"/>
      <c r="FC737" s="270"/>
      <c r="FD737" s="270"/>
      <c r="FE737" s="270"/>
      <c r="FF737" s="270"/>
      <c r="FG737" s="270"/>
      <c r="FH737" s="270"/>
      <c r="FI737" s="270"/>
      <c r="FJ737" s="270"/>
      <c r="FK737" s="270"/>
      <c r="FL737" s="270"/>
      <c r="FM737" s="270"/>
      <c r="FN737" s="270"/>
      <c r="FO737" s="270"/>
      <c r="FP737" s="270"/>
      <c r="FQ737" s="270"/>
      <c r="FR737" s="270"/>
      <c r="FS737" s="270"/>
      <c r="FT737" s="270"/>
      <c r="FU737" s="270"/>
      <c r="FV737" s="270"/>
      <c r="FW737" s="270"/>
      <c r="FX737" s="270"/>
      <c r="FY737" s="270"/>
      <c r="FZ737" s="270"/>
      <c r="GA737" s="270"/>
      <c r="GB737" s="270"/>
      <c r="GC737" s="270"/>
      <c r="GD737" s="270"/>
      <c r="GE737" s="270"/>
      <c r="GF737" s="270"/>
      <c r="GG737" s="270"/>
      <c r="GH737" s="270"/>
      <c r="GI737" s="270"/>
      <c r="GJ737" s="270"/>
      <c r="GK737" s="270"/>
      <c r="GL737" s="270"/>
      <c r="GM737" s="270"/>
      <c r="GN737" s="270"/>
      <c r="GO737" s="270"/>
      <c r="GP737" s="270"/>
      <c r="GQ737" s="270"/>
      <c r="GR737" s="270"/>
      <c r="GS737" s="270"/>
      <c r="GT737" s="270"/>
      <c r="GU737" s="270"/>
      <c r="GV737" s="270"/>
      <c r="GW737" s="270"/>
      <c r="GX737" s="270"/>
      <c r="GY737" s="270"/>
      <c r="GZ737" s="270"/>
      <c r="HA737" s="270"/>
      <c r="HB737" s="270"/>
      <c r="HC737" s="270"/>
      <c r="HD737" s="270"/>
      <c r="HE737" s="270"/>
      <c r="HF737" s="270"/>
      <c r="HG737" s="270"/>
      <c r="HH737" s="270"/>
      <c r="HI737" s="270"/>
      <c r="HJ737" s="270"/>
      <c r="HK737" s="270"/>
      <c r="HL737" s="270"/>
      <c r="HM737" s="270"/>
      <c r="HN737" s="270"/>
      <c r="HO737" s="270"/>
      <c r="HP737" s="270"/>
      <c r="HQ737" s="270"/>
      <c r="HR737" s="270"/>
      <c r="HS737" s="270"/>
      <c r="HT737" s="270"/>
      <c r="HU737" s="270"/>
      <c r="HV737" s="270"/>
      <c r="HW737" s="270"/>
      <c r="HX737" s="270"/>
      <c r="HY737" s="270"/>
      <c r="HZ737" s="270"/>
      <c r="IA737" s="270"/>
      <c r="IB737" s="270"/>
      <c r="IC737" s="270"/>
      <c r="ID737" s="270"/>
      <c r="IE737" s="270"/>
      <c r="IF737" s="270"/>
      <c r="IG737" s="270"/>
      <c r="IH737" s="270"/>
      <c r="II737" s="270"/>
      <c r="IJ737" s="270"/>
      <c r="IK737" s="270"/>
      <c r="IL737" s="270"/>
      <c r="IM737" s="270"/>
      <c r="IN737" s="270"/>
      <c r="IO737" s="270"/>
      <c r="IP737" s="270"/>
      <c r="IQ737" s="270"/>
      <c r="IR737" s="270"/>
      <c r="IS737" s="270"/>
      <c r="IT737" s="270"/>
      <c r="IU737" s="270"/>
      <c r="IV737" s="270"/>
      <c r="IW737" s="270"/>
    </row>
    <row r="738" customFormat="false" ht="18.75" hidden="false" customHeight="false" outlineLevel="0" collapsed="false">
      <c r="A738" s="295" t="s">
        <v>690</v>
      </c>
      <c r="B738" s="296"/>
      <c r="C738" s="295"/>
      <c r="D738" s="297" t="n">
        <f aca="false">D709+D151+D736+D728</f>
        <v>2199114.41842055</v>
      </c>
      <c r="E738" s="297" t="n">
        <f aca="false">E709+E151+E736+E728</f>
        <v>175721.9662</v>
      </c>
      <c r="F738" s="298" t="n">
        <f aca="false">F709+F151+F736+F728</f>
        <v>-25057.765</v>
      </c>
      <c r="G738" s="298" t="n">
        <f aca="false">G709+G151+G736+G728</f>
        <v>0</v>
      </c>
      <c r="H738" s="298" t="n">
        <f aca="false">H709+H151+H736+H728</f>
        <v>0</v>
      </c>
      <c r="I738" s="299" t="n">
        <f aca="false">I709+I151+I736+I728</f>
        <v>150664.2402</v>
      </c>
    </row>
    <row r="739" customFormat="false" ht="18.75" hidden="false" customHeight="false" outlineLevel="0" collapsed="false">
      <c r="A739" s="300"/>
      <c r="B739" s="300"/>
      <c r="C739" s="300"/>
      <c r="D739" s="301" t="n">
        <f aca="false">+I738/D738</f>
        <v>0.0685113238938291</v>
      </c>
      <c r="E739" s="302"/>
      <c r="F739" s="302"/>
      <c r="G739" s="302"/>
      <c r="H739" s="302"/>
      <c r="I739" s="302"/>
    </row>
    <row r="740" customFormat="false" ht="18.75" hidden="false" customHeight="false" outlineLevel="0" collapsed="false">
      <c r="A740" s="295" t="s">
        <v>691</v>
      </c>
      <c r="B740" s="303"/>
      <c r="C740" s="303"/>
      <c r="D740" s="304" t="n">
        <v>5889675</v>
      </c>
      <c r="E740" s="298" t="n">
        <v>111764.913</v>
      </c>
      <c r="F740" s="298" t="n">
        <v>-38184.82</v>
      </c>
      <c r="G740" s="298" t="n">
        <v>0</v>
      </c>
      <c r="H740" s="298" t="n">
        <v>-10250.859</v>
      </c>
      <c r="I740" s="299" t="n">
        <v>63329.234</v>
      </c>
    </row>
    <row r="741" customFormat="false" ht="18.75" hidden="false" customHeight="false" outlineLevel="0" collapsed="false">
      <c r="A741" s="295" t="s">
        <v>692</v>
      </c>
      <c r="B741" s="303"/>
      <c r="C741" s="303"/>
      <c r="D741" s="304" t="n">
        <v>7211954</v>
      </c>
      <c r="E741" s="298" t="n">
        <v>136809</v>
      </c>
      <c r="F741" s="298" t="n">
        <v>-21945</v>
      </c>
      <c r="G741" s="298" t="n">
        <v>-1338</v>
      </c>
      <c r="H741" s="298" t="n">
        <v>14261</v>
      </c>
      <c r="I741" s="299" t="n">
        <v>127786</v>
      </c>
    </row>
    <row r="742" customFormat="false" ht="18.75" hidden="false" customHeight="false" outlineLevel="0" collapsed="false">
      <c r="A742" s="295" t="s">
        <v>693</v>
      </c>
      <c r="B742" s="303"/>
      <c r="C742" s="303"/>
      <c r="D742" s="304" t="n">
        <f aca="false">D738</f>
        <v>2199114.41842055</v>
      </c>
      <c r="E742" s="298" t="n">
        <f aca="false">E738</f>
        <v>175721.9662</v>
      </c>
      <c r="F742" s="298" t="n">
        <f aca="false">F738</f>
        <v>-25057.765</v>
      </c>
      <c r="G742" s="298" t="n">
        <f aca="false">G738</f>
        <v>0</v>
      </c>
      <c r="H742" s="298" t="n">
        <f aca="false">H738</f>
        <v>0</v>
      </c>
      <c r="I742" s="299" t="n">
        <f aca="false">I738</f>
        <v>150664.2402</v>
      </c>
    </row>
    <row r="743" customFormat="false" ht="18.75" hidden="true" customHeight="false" outlineLevel="0" collapsed="false">
      <c r="A743" s="295" t="s">
        <v>694</v>
      </c>
      <c r="B743" s="303"/>
      <c r="C743" s="303"/>
      <c r="D743" s="304" t="n">
        <v>0</v>
      </c>
      <c r="E743" s="298" t="n">
        <v>0</v>
      </c>
      <c r="F743" s="298" t="n">
        <v>0</v>
      </c>
      <c r="G743" s="298" t="n">
        <v>0</v>
      </c>
      <c r="H743" s="298" t="n">
        <v>0</v>
      </c>
      <c r="I743" s="299" t="n">
        <v>0</v>
      </c>
    </row>
    <row r="744" customFormat="false" ht="18.75" hidden="false" customHeight="false" outlineLevel="0" collapsed="false">
      <c r="A744" s="295" t="s">
        <v>695</v>
      </c>
      <c r="B744" s="303"/>
      <c r="C744" s="303"/>
      <c r="D744" s="304" t="n">
        <f aca="false">SUM(D740:D743)</f>
        <v>15300743.4184206</v>
      </c>
      <c r="E744" s="298" t="n">
        <f aca="false">SUM(E740:E743)</f>
        <v>424295.8792</v>
      </c>
      <c r="F744" s="298" t="n">
        <f aca="false">SUM(F740:F743)</f>
        <v>-85187.585</v>
      </c>
      <c r="G744" s="298" t="n">
        <f aca="false">SUM(G740:G743)</f>
        <v>-1338</v>
      </c>
      <c r="H744" s="298" t="n">
        <f aca="false">SUM(H740:H743)</f>
        <v>4010.141</v>
      </c>
      <c r="I744" s="299" t="n">
        <f aca="false">SUM(I740:I743)</f>
        <v>341779.4742</v>
      </c>
    </row>
    <row r="745" customFormat="false" ht="12.75" hidden="false" customHeight="true" outlineLevel="0" collapsed="false">
      <c r="D745" s="173"/>
      <c r="I745" s="13"/>
    </row>
    <row r="746" customFormat="false" ht="18.75" hidden="false" customHeight="false" outlineLevel="0" collapsed="false">
      <c r="A746" s="305" t="s">
        <v>696</v>
      </c>
      <c r="B746" s="306"/>
      <c r="C746" s="307"/>
      <c r="D746" s="304" t="n">
        <v>0</v>
      </c>
      <c r="G746" s="13"/>
      <c r="H746" s="13"/>
    </row>
    <row r="747" customFormat="false" ht="12.75" hidden="false" customHeight="true" outlineLevel="0" collapsed="false">
      <c r="D747" s="173"/>
      <c r="H747" s="13"/>
    </row>
    <row r="748" customFormat="false" ht="12.75" hidden="false" customHeight="true" outlineLevel="0" collapsed="false">
      <c r="A748" s="308" t="s">
        <v>697</v>
      </c>
      <c r="B748" s="309"/>
      <c r="D748" s="173"/>
      <c r="H748" s="13"/>
    </row>
    <row r="749" customFormat="false" ht="12.75" hidden="false" customHeight="true" outlineLevel="0" collapsed="false">
      <c r="A749" s="310" t="s">
        <v>698</v>
      </c>
      <c r="B749" s="311"/>
      <c r="D749" s="173"/>
      <c r="H749" s="13"/>
    </row>
    <row r="750" customFormat="false" ht="15" hidden="false" customHeight="false" outlineLevel="0" collapsed="false">
      <c r="A750" s="312"/>
      <c r="B750" s="129"/>
      <c r="C750" s="2"/>
      <c r="D750" s="173"/>
      <c r="E750" s="2"/>
      <c r="F750" s="2"/>
      <c r="G750" s="2"/>
      <c r="H750" s="13"/>
    </row>
    <row r="751" customFormat="false" ht="15.75" hidden="false" customHeight="false" outlineLevel="0" collapsed="false">
      <c r="A751" s="312"/>
      <c r="B751" s="129"/>
      <c r="C751" s="2"/>
      <c r="D751" s="173"/>
      <c r="E751" s="2"/>
      <c r="F751" s="2"/>
      <c r="G751" s="2"/>
      <c r="H751" s="13"/>
    </row>
    <row r="752" customFormat="false" ht="18.75" hidden="false" customHeight="false" outlineLevel="0" collapsed="false">
      <c r="A752" s="313" t="s">
        <v>699</v>
      </c>
      <c r="B752" s="313"/>
      <c r="C752" s="313"/>
      <c r="D752" s="313"/>
      <c r="H752" s="13"/>
    </row>
    <row r="753" customFormat="false" ht="18" hidden="false" customHeight="false" outlineLevel="0" collapsed="false">
      <c r="A753" s="228" t="s">
        <v>700</v>
      </c>
      <c r="B753" s="314"/>
      <c r="C753" s="4"/>
      <c r="D753" s="315" t="n">
        <f aca="false">D738</f>
        <v>2199114.41842055</v>
      </c>
      <c r="H753" s="13"/>
    </row>
    <row r="754" customFormat="false" ht="18" hidden="false" customHeight="false" outlineLevel="0" collapsed="false">
      <c r="A754" s="228" t="s">
        <v>701</v>
      </c>
      <c r="B754" s="314"/>
      <c r="C754" s="4"/>
      <c r="D754" s="315" t="n">
        <f aca="false">'[1]International Origin Summary'!G157</f>
        <v>243585.973748166</v>
      </c>
      <c r="H754" s="13"/>
    </row>
    <row r="755" customFormat="false" ht="18" hidden="false" customHeight="false" outlineLevel="0" collapsed="false">
      <c r="A755" s="228" t="s">
        <v>702</v>
      </c>
      <c r="B755" s="314"/>
      <c r="C755" s="4"/>
      <c r="D755" s="315" t="n">
        <f aca="false">'[1]International Origin Summary'!G109</f>
        <v>12058.6056521377</v>
      </c>
      <c r="H755" s="13"/>
    </row>
    <row r="756" customFormat="false" ht="18.75" hidden="false" customHeight="false" outlineLevel="0" collapsed="false">
      <c r="A756" s="228" t="s">
        <v>703</v>
      </c>
      <c r="B756" s="314"/>
      <c r="C756" s="4"/>
      <c r="D756" s="315" t="n">
        <f aca="false">D765</f>
        <v>0</v>
      </c>
      <c r="H756" s="13"/>
    </row>
    <row r="757" customFormat="false" ht="18.75" hidden="false" customHeight="false" outlineLevel="0" collapsed="false">
      <c r="A757" s="305" t="s">
        <v>704</v>
      </c>
      <c r="B757" s="306"/>
      <c r="C757" s="316"/>
      <c r="D757" s="304" t="n">
        <f aca="false">SUM(D753:D756)</f>
        <v>2454758.99782086</v>
      </c>
      <c r="H757" s="13"/>
    </row>
    <row r="758" customFormat="false" ht="36" hidden="false" customHeight="true" outlineLevel="0" collapsed="false">
      <c r="A758" s="314"/>
      <c r="B758" s="314"/>
      <c r="C758" s="4"/>
      <c r="D758" s="317"/>
      <c r="E758" s="318"/>
      <c r="F758" s="318"/>
      <c r="G758" s="318"/>
      <c r="H758" s="13"/>
      <c r="I758" s="13"/>
    </row>
    <row r="759" customFormat="false" ht="16.5" hidden="false" customHeight="true" outlineLevel="0" collapsed="false">
      <c r="D759" s="173"/>
      <c r="H759" s="13"/>
    </row>
    <row r="760" customFormat="false" ht="39" hidden="false" customHeight="false" outlineLevel="0" collapsed="false">
      <c r="A760" s="319" t="s">
        <v>705</v>
      </c>
      <c r="B760" s="320"/>
      <c r="C760" s="321"/>
      <c r="D760" s="322" t="s">
        <v>7</v>
      </c>
      <c r="E760" s="322" t="s">
        <v>8</v>
      </c>
      <c r="F760" s="322" t="s">
        <v>9</v>
      </c>
      <c r="G760" s="322" t="s">
        <v>10</v>
      </c>
      <c r="H760" s="24" t="s">
        <v>11</v>
      </c>
      <c r="I760" s="15" t="s">
        <v>12</v>
      </c>
    </row>
    <row r="761" customFormat="false" ht="16.5" hidden="false" customHeight="true" outlineLevel="0" collapsed="false">
      <c r="A761" s="90"/>
      <c r="B761" s="323"/>
      <c r="C761" s="324"/>
      <c r="D761" s="185"/>
      <c r="E761" s="81"/>
      <c r="F761" s="81"/>
      <c r="G761" s="81"/>
      <c r="H761" s="81"/>
      <c r="I761" s="325"/>
      <c r="J761" s="81"/>
    </row>
    <row r="762" customFormat="false" ht="16.5" hidden="false" customHeight="true" outlineLevel="0" collapsed="false">
      <c r="A762" s="326"/>
      <c r="B762" s="323"/>
      <c r="C762" s="327"/>
      <c r="D762" s="328"/>
      <c r="E762" s="288"/>
      <c r="F762" s="288"/>
      <c r="G762" s="288"/>
      <c r="H762" s="288"/>
      <c r="I762" s="325"/>
      <c r="J762" s="81"/>
    </row>
    <row r="763" customFormat="false" ht="15.75" hidden="false" customHeight="true" outlineLevel="0" collapsed="false">
      <c r="A763" s="210"/>
      <c r="B763" s="188"/>
      <c r="C763" s="324"/>
      <c r="D763" s="185"/>
      <c r="E763" s="81" t="n">
        <v>0</v>
      </c>
      <c r="F763" s="81"/>
      <c r="G763" s="81" t="n">
        <v>0</v>
      </c>
      <c r="H763" s="81"/>
      <c r="I763" s="96" t="n">
        <f aca="false">SUM(E763:G763)</f>
        <v>0</v>
      </c>
    </row>
    <row r="764" customFormat="false" ht="15.75" hidden="false" customHeight="true" outlineLevel="0" collapsed="false">
      <c r="A764" s="329"/>
      <c r="B764" s="330"/>
      <c r="C764" s="331"/>
      <c r="D764" s="332"/>
      <c r="E764" s="333"/>
      <c r="F764" s="333"/>
      <c r="G764" s="333"/>
      <c r="H764" s="184"/>
      <c r="I764" s="293"/>
    </row>
    <row r="765" customFormat="false" ht="12.75" hidden="false" customHeight="true" outlineLevel="0" collapsed="false">
      <c r="A765" s="334" t="s">
        <v>706</v>
      </c>
      <c r="B765" s="335"/>
      <c r="C765" s="336"/>
      <c r="D765" s="337" t="n">
        <f aca="false">SUM(D761:D764)</f>
        <v>0</v>
      </c>
      <c r="E765" s="337" t="n">
        <f aca="false">SUM(E761:E764)</f>
        <v>0</v>
      </c>
      <c r="F765" s="337" t="n">
        <f aca="false">SUM(F761:F764)</f>
        <v>0</v>
      </c>
      <c r="G765" s="337" t="n">
        <f aca="false">SUM(G761:G764)</f>
        <v>0</v>
      </c>
      <c r="H765" s="337" t="n">
        <f aca="false">SUM(H761:H764)</f>
        <v>0</v>
      </c>
      <c r="I765" s="337" t="n">
        <f aca="false">SUM(I761:I764)</f>
        <v>0</v>
      </c>
    </row>
    <row r="766" customFormat="false" ht="12.75" hidden="false" customHeight="true" outlineLevel="0" collapsed="false">
      <c r="B766" s="338"/>
      <c r="C766" s="13"/>
      <c r="D766" s="81"/>
      <c r="E766" s="184"/>
      <c r="F766" s="184"/>
      <c r="G766" s="184"/>
      <c r="H766" s="184"/>
      <c r="I766" s="339"/>
    </row>
    <row r="767" customFormat="false" ht="12.75" hidden="false" customHeight="true" outlineLevel="0" collapsed="false">
      <c r="A767" s="338" t="s">
        <v>707</v>
      </c>
      <c r="B767" s="338"/>
      <c r="C767" s="318"/>
      <c r="D767" s="173"/>
      <c r="E767" s="318"/>
      <c r="F767" s="318"/>
      <c r="G767" s="318"/>
      <c r="H767" s="13"/>
      <c r="I767" s="13"/>
    </row>
    <row r="768" customFormat="false" ht="12.75" hidden="false" customHeight="true" outlineLevel="0" collapsed="false">
      <c r="A768" s="338" t="s">
        <v>708</v>
      </c>
      <c r="B768" s="338"/>
      <c r="C768" s="318"/>
      <c r="D768" s="173"/>
      <c r="E768" s="318"/>
      <c r="F768" s="318"/>
      <c r="G768" s="318"/>
      <c r="H768" s="13"/>
      <c r="I768" s="13"/>
    </row>
    <row r="769" customFormat="false" ht="12.75" hidden="false" customHeight="true" outlineLevel="0" collapsed="false">
      <c r="A769" s="338"/>
      <c r="B769" s="338"/>
      <c r="C769" s="318"/>
      <c r="D769" s="173"/>
      <c r="E769" s="318"/>
      <c r="F769" s="318"/>
      <c r="G769" s="318"/>
      <c r="H769" s="13"/>
      <c r="I769" s="13"/>
    </row>
    <row r="770" customFormat="false" ht="12.75" hidden="false" customHeight="true" outlineLevel="0" collapsed="false">
      <c r="A770" s="340" t="s">
        <v>709</v>
      </c>
      <c r="B770" s="340"/>
      <c r="C770" s="340"/>
      <c r="D770" s="340"/>
      <c r="H770" s="13"/>
    </row>
    <row r="771" customFormat="false" ht="12.75" hidden="false" customHeight="true" outlineLevel="0" collapsed="false">
      <c r="A771" s="341" t="s">
        <v>710</v>
      </c>
      <c r="B771" s="342"/>
      <c r="C771" s="342"/>
      <c r="D771" s="343"/>
      <c r="H771" s="13"/>
    </row>
    <row r="772" customFormat="false" ht="12.75" hidden="false" customHeight="true" outlineLevel="0" collapsed="false">
      <c r="A772" s="344" t="s">
        <v>711</v>
      </c>
      <c r="B772" s="2"/>
      <c r="C772" s="2"/>
      <c r="D772" s="345" t="n">
        <v>-175042</v>
      </c>
      <c r="H772" s="13"/>
    </row>
    <row r="773" customFormat="false" ht="12.75" hidden="false" customHeight="true" outlineLevel="0" collapsed="false">
      <c r="A773" s="344" t="s">
        <v>712</v>
      </c>
      <c r="B773" s="2"/>
      <c r="C773" s="2"/>
      <c r="D773" s="346" t="n">
        <v>-132745</v>
      </c>
      <c r="H773" s="13"/>
    </row>
    <row r="774" customFormat="false" ht="12.75" hidden="false" customHeight="true" outlineLevel="0" collapsed="false">
      <c r="A774" s="344" t="s">
        <v>713</v>
      </c>
      <c r="B774" s="2"/>
      <c r="C774" s="2"/>
      <c r="D774" s="346" t="n">
        <v>-2266103</v>
      </c>
      <c r="H774" s="13"/>
    </row>
    <row r="775" customFormat="false" ht="12.75" hidden="false" customHeight="true" outlineLevel="0" collapsed="false">
      <c r="A775" s="344" t="s">
        <v>714</v>
      </c>
      <c r="B775" s="2"/>
      <c r="C775" s="2"/>
      <c r="D775" s="345" t="n">
        <v>-1034053</v>
      </c>
      <c r="H775" s="13"/>
    </row>
    <row r="776" customFormat="false" ht="12.75" hidden="false" customHeight="true" outlineLevel="0" collapsed="false">
      <c r="A776" s="344" t="s">
        <v>715</v>
      </c>
      <c r="B776" s="2"/>
      <c r="C776" s="2"/>
      <c r="D776" s="346" t="n">
        <v>-1152333</v>
      </c>
      <c r="H776" s="13"/>
    </row>
    <row r="777" customFormat="false" ht="12.75" hidden="false" customHeight="true" outlineLevel="0" collapsed="false">
      <c r="A777" s="344" t="s">
        <v>716</v>
      </c>
      <c r="B777" s="2"/>
      <c r="C777" s="2"/>
      <c r="D777" s="345" t="n">
        <v>-108781</v>
      </c>
      <c r="H777" s="13"/>
    </row>
    <row r="778" customFormat="false" ht="12.75" hidden="false" customHeight="true" outlineLevel="0" collapsed="false">
      <c r="A778" s="344" t="s">
        <v>717</v>
      </c>
      <c r="B778" s="2"/>
      <c r="C778" s="2"/>
      <c r="D778" s="346" t="n">
        <v>-222995</v>
      </c>
      <c r="H778" s="13"/>
    </row>
    <row r="779" customFormat="false" ht="12.75" hidden="false" customHeight="true" outlineLevel="0" collapsed="false">
      <c r="A779" s="344" t="s">
        <v>718</v>
      </c>
      <c r="B779" s="2"/>
      <c r="C779" s="2"/>
      <c r="D779" s="346" t="n">
        <v>-445815</v>
      </c>
      <c r="H779" s="13"/>
    </row>
    <row r="780" customFormat="false" ht="12.75" hidden="false" customHeight="true" outlineLevel="0" collapsed="false">
      <c r="A780" s="344" t="s">
        <v>719</v>
      </c>
      <c r="B780" s="2"/>
      <c r="C780" s="2"/>
      <c r="D780" s="347" t="n">
        <v>-1216186</v>
      </c>
      <c r="H780" s="13"/>
    </row>
    <row r="781" customFormat="false" ht="12.75" hidden="false" customHeight="true" outlineLevel="0" collapsed="false">
      <c r="A781" s="344" t="s">
        <v>720</v>
      </c>
      <c r="B781" s="2"/>
      <c r="C781" s="2"/>
      <c r="D781" s="347" t="n">
        <v>-420433</v>
      </c>
      <c r="H781" s="13"/>
    </row>
    <row r="782" customFormat="false" ht="12.75" hidden="false" customHeight="true" outlineLevel="0" collapsed="false">
      <c r="A782" s="344" t="s">
        <v>721</v>
      </c>
      <c r="B782" s="2"/>
      <c r="C782" s="2"/>
      <c r="D782" s="347" t="n">
        <v>-5477</v>
      </c>
      <c r="H782" s="13"/>
    </row>
    <row r="783" customFormat="false" ht="12.75" hidden="false" customHeight="true" outlineLevel="0" collapsed="false">
      <c r="A783" s="344" t="s">
        <v>721</v>
      </c>
      <c r="B783" s="2"/>
      <c r="C783" s="2"/>
      <c r="D783" s="346" t="n">
        <v>47227</v>
      </c>
      <c r="H783" s="13"/>
    </row>
    <row r="784" customFormat="false" ht="12.75" hidden="false" customHeight="true" outlineLevel="0" collapsed="false">
      <c r="A784" s="344" t="s">
        <v>722</v>
      </c>
      <c r="B784" s="348"/>
      <c r="C784" s="348"/>
      <c r="D784" s="345" t="n">
        <v>-1442244.09</v>
      </c>
      <c r="H784" s="13"/>
    </row>
    <row r="785" customFormat="false" ht="12.75" hidden="false" customHeight="true" outlineLevel="0" collapsed="false">
      <c r="A785" s="344" t="s">
        <v>723</v>
      </c>
      <c r="B785" s="2"/>
      <c r="C785" s="2"/>
      <c r="D785" s="349" t="n">
        <v>-982505</v>
      </c>
      <c r="H785" s="13"/>
    </row>
    <row r="786" customFormat="false" ht="12.75" hidden="false" customHeight="true" outlineLevel="0" collapsed="false">
      <c r="A786" s="350"/>
      <c r="B786" s="348"/>
      <c r="C786" s="348"/>
      <c r="D786" s="345" t="n">
        <f aca="false">SUM(D771:D785)</f>
        <v>-9557485.09</v>
      </c>
      <c r="H786" s="13"/>
    </row>
    <row r="787" customFormat="false" ht="12.75" hidden="false" customHeight="true" outlineLevel="0" collapsed="false">
      <c r="A787" s="351" t="s">
        <v>724</v>
      </c>
      <c r="B787" s="348"/>
      <c r="C787" s="348"/>
      <c r="D787" s="345"/>
      <c r="H787" s="13"/>
    </row>
    <row r="788" customFormat="false" ht="12.75" hidden="false" customHeight="true" outlineLevel="0" collapsed="false">
      <c r="A788" s="344" t="s">
        <v>725</v>
      </c>
      <c r="B788" s="342"/>
      <c r="C788" s="342"/>
      <c r="D788" s="346" t="n">
        <v>-182718</v>
      </c>
      <c r="H788" s="13"/>
    </row>
    <row r="789" customFormat="false" ht="12.75" hidden="false" customHeight="true" outlineLevel="0" collapsed="false">
      <c r="A789" s="344" t="s">
        <v>726</v>
      </c>
      <c r="B789" s="2"/>
      <c r="C789" s="2"/>
      <c r="D789" s="347" t="n">
        <v>-496630.87</v>
      </c>
      <c r="H789" s="13"/>
    </row>
    <row r="790" customFormat="false" ht="12.75" hidden="false" customHeight="true" outlineLevel="0" collapsed="false">
      <c r="A790" s="344" t="s">
        <v>727</v>
      </c>
      <c r="B790" s="2"/>
      <c r="C790" s="2"/>
      <c r="D790" s="347" t="n">
        <v>-1002920.91</v>
      </c>
      <c r="H790" s="13"/>
    </row>
    <row r="791" customFormat="false" ht="12.75" hidden="false" customHeight="true" outlineLevel="0" collapsed="false">
      <c r="A791" s="344" t="s">
        <v>728</v>
      </c>
      <c r="B791" s="2"/>
      <c r="C791" s="2"/>
      <c r="D791" s="347" t="n">
        <v>-652960.73</v>
      </c>
      <c r="H791" s="13"/>
    </row>
    <row r="792" customFormat="false" ht="12.75" hidden="false" customHeight="true" outlineLevel="0" collapsed="false">
      <c r="A792" s="344" t="s">
        <v>729</v>
      </c>
      <c r="B792" s="2"/>
      <c r="C792" s="2"/>
      <c r="D792" s="347" t="n">
        <v>-1324349.16</v>
      </c>
      <c r="H792" s="13"/>
    </row>
    <row r="793" customFormat="false" ht="12.75" hidden="false" customHeight="true" outlineLevel="0" collapsed="false">
      <c r="A793" s="344" t="s">
        <v>730</v>
      </c>
      <c r="B793" s="2"/>
      <c r="C793" s="2"/>
      <c r="D793" s="346" t="n">
        <v>-3286798</v>
      </c>
      <c r="H793" s="13"/>
    </row>
    <row r="794" customFormat="false" ht="12.75" hidden="false" customHeight="true" outlineLevel="0" collapsed="false">
      <c r="A794" s="344" t="s">
        <v>731</v>
      </c>
      <c r="B794" s="2"/>
      <c r="C794" s="2"/>
      <c r="D794" s="352" t="n">
        <v>-427019</v>
      </c>
      <c r="H794" s="13"/>
    </row>
    <row r="795" customFormat="false" ht="12.75" hidden="false" customHeight="true" outlineLevel="0" collapsed="false">
      <c r="A795" s="350"/>
      <c r="B795" s="2"/>
      <c r="C795" s="2"/>
      <c r="D795" s="346" t="n">
        <f aca="false">SUM(D788:D794)</f>
        <v>-7373396.67</v>
      </c>
      <c r="H795" s="13"/>
    </row>
    <row r="796" customFormat="false" ht="12.75" hidden="false" customHeight="true" outlineLevel="0" collapsed="false">
      <c r="A796" s="350"/>
      <c r="B796" s="2"/>
      <c r="C796" s="2"/>
      <c r="D796" s="346"/>
      <c r="H796" s="13"/>
    </row>
    <row r="797" customFormat="false" ht="12.75" hidden="false" customHeight="true" outlineLevel="0" collapsed="false">
      <c r="A797" s="353" t="s">
        <v>732</v>
      </c>
      <c r="B797" s="2"/>
      <c r="C797" s="2"/>
      <c r="D797" s="354" t="n">
        <f aca="false">+D795+D786</f>
        <v>-16930881.76</v>
      </c>
      <c r="H797" s="13"/>
    </row>
    <row r="798" customFormat="false" ht="12.75" hidden="false" customHeight="true" outlineLevel="0" collapsed="false">
      <c r="A798" s="344"/>
      <c r="B798" s="2"/>
      <c r="C798" s="2"/>
      <c r="D798" s="346"/>
      <c r="H798" s="13"/>
    </row>
    <row r="799" customFormat="false" ht="12.75" hidden="false" customHeight="true" outlineLevel="0" collapsed="false">
      <c r="A799" s="341" t="s">
        <v>733</v>
      </c>
      <c r="B799" s="2"/>
      <c r="C799" s="2"/>
      <c r="D799" s="346"/>
      <c r="H799" s="13"/>
    </row>
    <row r="800" customFormat="false" ht="12.75" hidden="false" customHeight="true" outlineLevel="0" collapsed="false">
      <c r="A800" s="355" t="s">
        <v>734</v>
      </c>
      <c r="B800" s="2"/>
      <c r="C800" s="2"/>
      <c r="D800" s="352" t="n">
        <v>-35000</v>
      </c>
      <c r="H800" s="13"/>
    </row>
    <row r="801" customFormat="false" ht="12.75" hidden="false" customHeight="true" outlineLevel="0" collapsed="false">
      <c r="A801" s="344"/>
      <c r="B801" s="2"/>
      <c r="C801" s="2"/>
      <c r="D801" s="346"/>
      <c r="H801" s="13"/>
    </row>
    <row r="802" customFormat="false" ht="12.75" hidden="false" customHeight="true" outlineLevel="0" collapsed="false">
      <c r="A802" s="353" t="s">
        <v>735</v>
      </c>
      <c r="B802" s="2"/>
      <c r="C802" s="2"/>
      <c r="D802" s="354" t="n">
        <f aca="false">+D800</f>
        <v>-35000</v>
      </c>
      <c r="H802" s="13"/>
    </row>
    <row r="803" customFormat="false" ht="12.75" hidden="false" customHeight="true" outlineLevel="0" collapsed="false">
      <c r="A803" s="353"/>
      <c r="B803" s="2"/>
      <c r="C803" s="2"/>
      <c r="D803" s="354"/>
      <c r="H803" s="13"/>
    </row>
    <row r="804" customFormat="false" ht="12.75" hidden="false" customHeight="true" outlineLevel="0" collapsed="false">
      <c r="A804" s="341" t="s">
        <v>736</v>
      </c>
      <c r="B804" s="2"/>
      <c r="C804" s="2"/>
      <c r="D804" s="346"/>
      <c r="H804" s="13"/>
    </row>
    <row r="805" customFormat="false" ht="12.75" hidden="false" customHeight="true" outlineLevel="0" collapsed="false">
      <c r="A805" s="356" t="s">
        <v>737</v>
      </c>
      <c r="B805" s="2"/>
      <c r="C805" s="2"/>
      <c r="D805" s="357" t="n">
        <v>-1046000</v>
      </c>
      <c r="H805" s="13"/>
    </row>
    <row r="806" customFormat="false" ht="12.75" hidden="false" customHeight="true" outlineLevel="0" collapsed="false">
      <c r="A806" s="356"/>
      <c r="B806" s="2"/>
      <c r="C806" s="2"/>
      <c r="D806" s="346"/>
      <c r="H806" s="13"/>
    </row>
    <row r="807" customFormat="false" ht="12.75" hidden="false" customHeight="true" outlineLevel="0" collapsed="false">
      <c r="A807" s="358" t="s">
        <v>738</v>
      </c>
      <c r="B807" s="2"/>
      <c r="C807" s="2"/>
      <c r="D807" s="354" t="n">
        <f aca="false">+D805+D802+D797</f>
        <v>-18011881.76</v>
      </c>
      <c r="H807" s="13"/>
    </row>
    <row r="808" customFormat="false" ht="12.75" hidden="false" customHeight="true" outlineLevel="0" collapsed="false">
      <c r="A808" s="356"/>
      <c r="B808" s="2"/>
      <c r="C808" s="2"/>
      <c r="D808" s="346"/>
      <c r="H808" s="13"/>
    </row>
    <row r="809" customFormat="false" ht="12.75" hidden="false" customHeight="true" outlineLevel="0" collapsed="false">
      <c r="A809" s="359" t="s">
        <v>739</v>
      </c>
      <c r="B809" s="2"/>
      <c r="C809" s="2"/>
      <c r="D809" s="346"/>
      <c r="H809" s="13"/>
    </row>
    <row r="810" customFormat="false" ht="12.75" hidden="false" customHeight="true" outlineLevel="0" collapsed="false">
      <c r="A810" s="359" t="s">
        <v>740</v>
      </c>
      <c r="B810" s="2"/>
      <c r="C810" s="2"/>
      <c r="D810" s="346"/>
      <c r="H810" s="13"/>
    </row>
    <row r="811" customFormat="false" ht="12.75" hidden="false" customHeight="true" outlineLevel="0" collapsed="false">
      <c r="A811" s="360"/>
      <c r="B811" s="361"/>
      <c r="C811" s="361"/>
      <c r="D811" s="362"/>
      <c r="H811" s="13"/>
    </row>
    <row r="812" customFormat="false" ht="12.75" hidden="false" customHeight="true" outlineLevel="0" collapsed="false">
      <c r="C812" s="363"/>
      <c r="H812" s="13"/>
    </row>
    <row r="813" customFormat="false" ht="12.75" hidden="false" customHeight="true" outlineLevel="0" collapsed="false">
      <c r="C813" s="363"/>
      <c r="H813" s="13"/>
    </row>
    <row r="814" customFormat="false" ht="12.75" hidden="false" customHeight="true" outlineLevel="0" collapsed="false">
      <c r="C814" s="363"/>
      <c r="H814" s="13"/>
    </row>
    <row r="815" customFormat="false" ht="12.75" hidden="false" customHeight="true" outlineLevel="0" collapsed="false">
      <c r="C815" s="363"/>
      <c r="H815" s="13"/>
    </row>
    <row r="816" customFormat="false" ht="12.75" hidden="false" customHeight="true" outlineLevel="0" collapsed="false">
      <c r="C816" s="363"/>
      <c r="H816" s="13"/>
    </row>
    <row r="817" customFormat="false" ht="12.75" hidden="false" customHeight="true" outlineLevel="0" collapsed="false">
      <c r="C817" s="363"/>
      <c r="H817" s="13"/>
    </row>
    <row r="818" customFormat="false" ht="12.75" hidden="false" customHeight="true" outlineLevel="0" collapsed="false">
      <c r="C818" s="363"/>
      <c r="H818" s="13"/>
    </row>
    <row r="819" customFormat="false" ht="12.75" hidden="false" customHeight="true" outlineLevel="0" collapsed="false">
      <c r="C819" s="363"/>
      <c r="H819" s="13"/>
    </row>
    <row r="820" customFormat="false" ht="12.75" hidden="false" customHeight="true" outlineLevel="0" collapsed="false">
      <c r="C820" s="363"/>
      <c r="H820" s="13"/>
    </row>
    <row r="821" customFormat="false" ht="12.75" hidden="false" customHeight="true" outlineLevel="0" collapsed="false">
      <c r="C821" s="363"/>
      <c r="H821" s="13"/>
    </row>
    <row r="822" customFormat="false" ht="12.75" hidden="false" customHeight="true" outlineLevel="0" collapsed="false">
      <c r="C822" s="363"/>
      <c r="H822" s="13"/>
    </row>
    <row r="823" customFormat="false" ht="12.75" hidden="false" customHeight="true" outlineLevel="0" collapsed="false">
      <c r="C823" s="363"/>
      <c r="H823" s="13"/>
    </row>
    <row r="824" customFormat="false" ht="12.75" hidden="false" customHeight="true" outlineLevel="0" collapsed="false">
      <c r="C824" s="363"/>
      <c r="H824" s="13"/>
    </row>
    <row r="825" customFormat="false" ht="12.75" hidden="false" customHeight="true" outlineLevel="0" collapsed="false">
      <c r="C825" s="363"/>
      <c r="H825" s="13"/>
    </row>
    <row r="826" customFormat="false" ht="12.75" hidden="false" customHeight="true" outlineLevel="0" collapsed="false">
      <c r="C826" s="363"/>
      <c r="H826" s="13"/>
    </row>
    <row r="827" customFormat="false" ht="12.75" hidden="false" customHeight="true" outlineLevel="0" collapsed="false">
      <c r="C827" s="363"/>
      <c r="H827" s="13"/>
    </row>
    <row r="828" customFormat="false" ht="12.75" hidden="false" customHeight="true" outlineLevel="0" collapsed="false">
      <c r="C828" s="363"/>
      <c r="H828" s="13"/>
    </row>
    <row r="829" customFormat="false" ht="12.75" hidden="false" customHeight="true" outlineLevel="0" collapsed="false">
      <c r="C829" s="363"/>
      <c r="H829" s="13"/>
    </row>
    <row r="830" customFormat="false" ht="12.75" hidden="false" customHeight="true" outlineLevel="0" collapsed="false">
      <c r="C830" s="363"/>
      <c r="H830" s="13"/>
    </row>
    <row r="831" customFormat="false" ht="12.75" hidden="false" customHeight="true" outlineLevel="0" collapsed="false">
      <c r="C831" s="363"/>
      <c r="H831" s="13"/>
    </row>
    <row r="832" customFormat="false" ht="12.75" hidden="false" customHeight="true" outlineLevel="0" collapsed="false">
      <c r="H832" s="13"/>
    </row>
    <row r="833" customFormat="false" ht="12.75" hidden="false" customHeight="true" outlineLevel="0" collapsed="false">
      <c r="H833" s="13"/>
    </row>
    <row r="834" customFormat="false" ht="12.75" hidden="false" customHeight="true" outlineLevel="0" collapsed="false">
      <c r="H834" s="13"/>
    </row>
    <row r="835" customFormat="false" ht="12.75" hidden="false" customHeight="true" outlineLevel="0" collapsed="false">
      <c r="H835" s="13"/>
    </row>
    <row r="836" customFormat="false" ht="12.75" hidden="false" customHeight="true" outlineLevel="0" collapsed="false">
      <c r="H836" s="13"/>
    </row>
    <row r="837" customFormat="false" ht="12.75" hidden="false" customHeight="true" outlineLevel="0" collapsed="false">
      <c r="H837" s="13"/>
    </row>
    <row r="838" customFormat="false" ht="12.75" hidden="false" customHeight="true" outlineLevel="0" collapsed="false">
      <c r="H838" s="13"/>
    </row>
    <row r="839" customFormat="false" ht="12.75" hidden="false" customHeight="true" outlineLevel="0" collapsed="false">
      <c r="H839" s="13"/>
    </row>
    <row r="840" customFormat="false" ht="12.75" hidden="false" customHeight="true" outlineLevel="0" collapsed="false">
      <c r="H840" s="13"/>
    </row>
    <row r="841" customFormat="false" ht="12.75" hidden="false" customHeight="true" outlineLevel="0" collapsed="false">
      <c r="H841" s="13"/>
    </row>
    <row r="842" customFormat="false" ht="12.75" hidden="false" customHeight="true" outlineLevel="0" collapsed="false">
      <c r="H842" s="13"/>
    </row>
    <row r="843" customFormat="false" ht="12.75" hidden="false" customHeight="true" outlineLevel="0" collapsed="false">
      <c r="H843" s="13"/>
    </row>
    <row r="844" customFormat="false" ht="12.75" hidden="false" customHeight="true" outlineLevel="0" collapsed="false">
      <c r="H844" s="13"/>
    </row>
    <row r="845" customFormat="false" ht="12.75" hidden="false" customHeight="true" outlineLevel="0" collapsed="false">
      <c r="H845" s="13"/>
    </row>
    <row r="846" customFormat="false" ht="12.75" hidden="false" customHeight="true" outlineLevel="0" collapsed="false">
      <c r="H846" s="13"/>
    </row>
    <row r="847" customFormat="false" ht="12.75" hidden="false" customHeight="true" outlineLevel="0" collapsed="false">
      <c r="H847" s="13"/>
    </row>
    <row r="848" customFormat="false" ht="12.75" hidden="false" customHeight="true" outlineLevel="0" collapsed="false">
      <c r="H848" s="13"/>
    </row>
    <row r="849" customFormat="false" ht="12.75" hidden="false" customHeight="true" outlineLevel="0" collapsed="false">
      <c r="H849" s="13"/>
    </row>
    <row r="850" customFormat="false" ht="12.75" hidden="false" customHeight="true" outlineLevel="0" collapsed="false">
      <c r="H850" s="13"/>
    </row>
    <row r="851" customFormat="false" ht="12.75" hidden="false" customHeight="true" outlineLevel="0" collapsed="false">
      <c r="H851" s="13"/>
    </row>
    <row r="852" customFormat="false" ht="12.75" hidden="false" customHeight="true" outlineLevel="0" collapsed="false">
      <c r="H852" s="13"/>
    </row>
    <row r="853" customFormat="false" ht="12.75" hidden="false" customHeight="true" outlineLevel="0" collapsed="false">
      <c r="H853" s="13"/>
    </row>
    <row r="854" customFormat="false" ht="12.75" hidden="false" customHeight="true" outlineLevel="0" collapsed="false">
      <c r="H854" s="13"/>
    </row>
    <row r="855" customFormat="false" ht="12.75" hidden="false" customHeight="true" outlineLevel="0" collapsed="false">
      <c r="H855" s="13"/>
    </row>
    <row r="856" customFormat="false" ht="12.75" hidden="false" customHeight="true" outlineLevel="0" collapsed="false">
      <c r="H856" s="13"/>
    </row>
    <row r="857" customFormat="false" ht="12.75" hidden="false" customHeight="true" outlineLevel="0" collapsed="false">
      <c r="H857" s="13"/>
    </row>
    <row r="858" customFormat="false" ht="12.75" hidden="false" customHeight="true" outlineLevel="0" collapsed="false">
      <c r="H858" s="13"/>
    </row>
    <row r="859" customFormat="false" ht="12.75" hidden="false" customHeight="true" outlineLevel="0" collapsed="false">
      <c r="H859" s="13"/>
    </row>
    <row r="860" customFormat="false" ht="12.75" hidden="false" customHeight="true" outlineLevel="0" collapsed="false">
      <c r="H860" s="13"/>
    </row>
    <row r="861" customFormat="false" ht="12.75" hidden="false" customHeight="true" outlineLevel="0" collapsed="false">
      <c r="H861" s="13"/>
    </row>
    <row r="862" customFormat="false" ht="12.75" hidden="false" customHeight="true" outlineLevel="0" collapsed="false">
      <c r="H862" s="13"/>
    </row>
    <row r="863" customFormat="false" ht="12.75" hidden="false" customHeight="true" outlineLevel="0" collapsed="false">
      <c r="H863" s="13"/>
    </row>
    <row r="864" customFormat="false" ht="12.75" hidden="false" customHeight="true" outlineLevel="0" collapsed="false">
      <c r="H864" s="13"/>
    </row>
    <row r="865" customFormat="false" ht="12.75" hidden="false" customHeight="true" outlineLevel="0" collapsed="false">
      <c r="H865" s="13"/>
    </row>
    <row r="866" customFormat="false" ht="12.75" hidden="false" customHeight="true" outlineLevel="0" collapsed="false">
      <c r="H866" s="13"/>
    </row>
    <row r="867" customFormat="false" ht="12.75" hidden="false" customHeight="true" outlineLevel="0" collapsed="false">
      <c r="H867" s="13"/>
    </row>
    <row r="868" customFormat="false" ht="12.75" hidden="false" customHeight="true" outlineLevel="0" collapsed="false">
      <c r="H868" s="13"/>
    </row>
    <row r="869" customFormat="false" ht="12.75" hidden="false" customHeight="true" outlineLevel="0" collapsed="false">
      <c r="H869" s="13"/>
    </row>
    <row r="870" customFormat="false" ht="12.75" hidden="false" customHeight="true" outlineLevel="0" collapsed="false">
      <c r="H870" s="13"/>
    </row>
    <row r="871" customFormat="false" ht="12.75" hidden="false" customHeight="true" outlineLevel="0" collapsed="false">
      <c r="H871" s="13"/>
    </row>
    <row r="872" customFormat="false" ht="12.75" hidden="false" customHeight="true" outlineLevel="0" collapsed="false">
      <c r="H872" s="13"/>
    </row>
    <row r="873" customFormat="false" ht="12.75" hidden="false" customHeight="true" outlineLevel="0" collapsed="false">
      <c r="H873" s="13"/>
    </row>
    <row r="874" customFormat="false" ht="12.75" hidden="false" customHeight="true" outlineLevel="0" collapsed="false">
      <c r="H874" s="13"/>
    </row>
    <row r="875" customFormat="false" ht="12.75" hidden="false" customHeight="true" outlineLevel="0" collapsed="false">
      <c r="H875" s="13"/>
    </row>
    <row r="876" customFormat="false" ht="12.75" hidden="false" customHeight="true" outlineLevel="0" collapsed="false">
      <c r="H876" s="13"/>
    </row>
    <row r="877" customFormat="false" ht="12.75" hidden="false" customHeight="true" outlineLevel="0" collapsed="false">
      <c r="H877" s="13"/>
    </row>
    <row r="878" customFormat="false" ht="12.75" hidden="false" customHeight="true" outlineLevel="0" collapsed="false">
      <c r="H878" s="13"/>
    </row>
    <row r="879" customFormat="false" ht="12.75" hidden="false" customHeight="true" outlineLevel="0" collapsed="false">
      <c r="H879" s="13"/>
    </row>
    <row r="880" customFormat="false" ht="12.75" hidden="false" customHeight="true" outlineLevel="0" collapsed="false">
      <c r="H880" s="13"/>
    </row>
    <row r="881" customFormat="false" ht="12.75" hidden="false" customHeight="true" outlineLevel="0" collapsed="false">
      <c r="H881" s="13"/>
    </row>
    <row r="882" customFormat="false" ht="12.75" hidden="false" customHeight="true" outlineLevel="0" collapsed="false">
      <c r="H882" s="13"/>
    </row>
    <row r="883" customFormat="false" ht="12.75" hidden="false" customHeight="true" outlineLevel="0" collapsed="false">
      <c r="H883" s="13"/>
    </row>
    <row r="884" customFormat="false" ht="12.75" hidden="false" customHeight="true" outlineLevel="0" collapsed="false">
      <c r="H884" s="13"/>
    </row>
    <row r="885" customFormat="false" ht="12.75" hidden="false" customHeight="true" outlineLevel="0" collapsed="false">
      <c r="H885" s="13"/>
    </row>
    <row r="886" customFormat="false" ht="12.75" hidden="false" customHeight="true" outlineLevel="0" collapsed="false">
      <c r="H886" s="13"/>
    </row>
    <row r="887" customFormat="false" ht="12.75" hidden="false" customHeight="true" outlineLevel="0" collapsed="false">
      <c r="H887" s="13"/>
    </row>
    <row r="888" customFormat="false" ht="12.75" hidden="false" customHeight="true" outlineLevel="0" collapsed="false">
      <c r="H888" s="13"/>
    </row>
    <row r="889" customFormat="false" ht="12.75" hidden="false" customHeight="true" outlineLevel="0" collapsed="false">
      <c r="H889" s="13"/>
    </row>
    <row r="890" customFormat="false" ht="12.75" hidden="false" customHeight="true" outlineLevel="0" collapsed="false">
      <c r="H890" s="13"/>
    </row>
    <row r="891" customFormat="false" ht="12.75" hidden="false" customHeight="true" outlineLevel="0" collapsed="false">
      <c r="H891" s="13"/>
    </row>
    <row r="892" customFormat="false" ht="12.75" hidden="false" customHeight="true" outlineLevel="0" collapsed="false">
      <c r="H892" s="13"/>
    </row>
    <row r="893" customFormat="false" ht="12.75" hidden="false" customHeight="true" outlineLevel="0" collapsed="false">
      <c r="H893" s="13"/>
    </row>
    <row r="894" customFormat="false" ht="12.75" hidden="false" customHeight="true" outlineLevel="0" collapsed="false">
      <c r="H894" s="13"/>
    </row>
    <row r="895" customFormat="false" ht="12.75" hidden="false" customHeight="true" outlineLevel="0" collapsed="false">
      <c r="H895" s="13"/>
    </row>
    <row r="896" customFormat="false" ht="12.75" hidden="false" customHeight="true" outlineLevel="0" collapsed="false">
      <c r="H896" s="13"/>
    </row>
    <row r="897" customFormat="false" ht="12.75" hidden="false" customHeight="true" outlineLevel="0" collapsed="false">
      <c r="H897" s="13"/>
    </row>
    <row r="898" customFormat="false" ht="12.75" hidden="false" customHeight="true" outlineLevel="0" collapsed="false">
      <c r="H898" s="13"/>
    </row>
    <row r="899" customFormat="false" ht="12.75" hidden="false" customHeight="true" outlineLevel="0" collapsed="false">
      <c r="H899" s="13"/>
    </row>
    <row r="900" customFormat="false" ht="12.75" hidden="false" customHeight="true" outlineLevel="0" collapsed="false">
      <c r="H900" s="13"/>
    </row>
    <row r="901" customFormat="false" ht="12.75" hidden="false" customHeight="true" outlineLevel="0" collapsed="false">
      <c r="H901" s="13"/>
    </row>
    <row r="902" customFormat="false" ht="12.75" hidden="false" customHeight="true" outlineLevel="0" collapsed="false">
      <c r="H902" s="13"/>
    </row>
    <row r="903" customFormat="false" ht="12.75" hidden="false" customHeight="true" outlineLevel="0" collapsed="false">
      <c r="H903" s="13"/>
    </row>
    <row r="904" customFormat="false" ht="12.75" hidden="false" customHeight="true" outlineLevel="0" collapsed="false">
      <c r="H904" s="13"/>
    </row>
    <row r="905" customFormat="false" ht="12.75" hidden="false" customHeight="true" outlineLevel="0" collapsed="false">
      <c r="H905" s="13"/>
    </row>
    <row r="906" customFormat="false" ht="12.75" hidden="false" customHeight="true" outlineLevel="0" collapsed="false">
      <c r="H906" s="13"/>
    </row>
    <row r="907" customFormat="false" ht="12.75" hidden="false" customHeight="true" outlineLevel="0" collapsed="false">
      <c r="H907" s="13"/>
    </row>
    <row r="908" customFormat="false" ht="12.75" hidden="false" customHeight="true" outlineLevel="0" collapsed="false">
      <c r="H908" s="13"/>
    </row>
    <row r="909" customFormat="false" ht="12.75" hidden="false" customHeight="true" outlineLevel="0" collapsed="false">
      <c r="H909" s="13"/>
    </row>
    <row r="910" customFormat="false" ht="12.75" hidden="false" customHeight="true" outlineLevel="0" collapsed="false">
      <c r="H910" s="13"/>
    </row>
    <row r="911" customFormat="false" ht="12.75" hidden="false" customHeight="true" outlineLevel="0" collapsed="false">
      <c r="H911" s="13"/>
    </row>
    <row r="912" customFormat="false" ht="12.75" hidden="false" customHeight="true" outlineLevel="0" collapsed="false">
      <c r="H912" s="13"/>
    </row>
    <row r="913" customFormat="false" ht="12.75" hidden="false" customHeight="true" outlineLevel="0" collapsed="false">
      <c r="H913" s="13"/>
    </row>
    <row r="914" customFormat="false" ht="12.75" hidden="false" customHeight="true" outlineLevel="0" collapsed="false">
      <c r="H914" s="13"/>
    </row>
    <row r="915" customFormat="false" ht="12.75" hidden="false" customHeight="true" outlineLevel="0" collapsed="false">
      <c r="H915" s="13"/>
    </row>
    <row r="916" customFormat="false" ht="12.75" hidden="false" customHeight="true" outlineLevel="0" collapsed="false">
      <c r="H916" s="13"/>
    </row>
    <row r="917" customFormat="false" ht="12.75" hidden="false" customHeight="true" outlineLevel="0" collapsed="false">
      <c r="H917" s="13"/>
    </row>
    <row r="918" customFormat="false" ht="12.75" hidden="false" customHeight="true" outlineLevel="0" collapsed="false">
      <c r="H918" s="13"/>
    </row>
    <row r="919" customFormat="false" ht="12.75" hidden="false" customHeight="true" outlineLevel="0" collapsed="false">
      <c r="H919" s="13"/>
    </row>
    <row r="920" customFormat="false" ht="12.75" hidden="false" customHeight="true" outlineLevel="0" collapsed="false">
      <c r="H920" s="13"/>
    </row>
    <row r="921" customFormat="false" ht="12.75" hidden="false" customHeight="true" outlineLevel="0" collapsed="false">
      <c r="H921" s="13"/>
    </row>
    <row r="922" customFormat="false" ht="12.75" hidden="false" customHeight="true" outlineLevel="0" collapsed="false">
      <c r="H922" s="13"/>
    </row>
    <row r="923" customFormat="false" ht="12.75" hidden="false" customHeight="true" outlineLevel="0" collapsed="false">
      <c r="H923" s="13"/>
    </row>
    <row r="924" customFormat="false" ht="12.75" hidden="false" customHeight="true" outlineLevel="0" collapsed="false">
      <c r="H924" s="13"/>
    </row>
    <row r="925" customFormat="false" ht="12.75" hidden="false" customHeight="true" outlineLevel="0" collapsed="false">
      <c r="H925" s="13"/>
    </row>
    <row r="926" customFormat="false" ht="12.75" hidden="false" customHeight="true" outlineLevel="0" collapsed="false">
      <c r="H926" s="13"/>
    </row>
    <row r="927" customFormat="false" ht="12.75" hidden="false" customHeight="true" outlineLevel="0" collapsed="false">
      <c r="H927" s="13"/>
    </row>
    <row r="928" customFormat="false" ht="12.75" hidden="false" customHeight="true" outlineLevel="0" collapsed="false">
      <c r="H928" s="13"/>
    </row>
    <row r="929" customFormat="false" ht="12.75" hidden="false" customHeight="true" outlineLevel="0" collapsed="false">
      <c r="H929" s="13"/>
    </row>
    <row r="930" customFormat="false" ht="12.75" hidden="false" customHeight="true" outlineLevel="0" collapsed="false">
      <c r="H930" s="13"/>
    </row>
    <row r="931" customFormat="false" ht="12.75" hidden="false" customHeight="true" outlineLevel="0" collapsed="false">
      <c r="H931" s="13"/>
    </row>
    <row r="932" customFormat="false" ht="12.75" hidden="false" customHeight="true" outlineLevel="0" collapsed="false">
      <c r="H932" s="13"/>
    </row>
    <row r="933" customFormat="false" ht="12.75" hidden="false" customHeight="true" outlineLevel="0" collapsed="false">
      <c r="H933" s="13"/>
    </row>
    <row r="934" customFormat="false" ht="12.75" hidden="false" customHeight="true" outlineLevel="0" collapsed="false">
      <c r="H934" s="13"/>
    </row>
    <row r="935" customFormat="false" ht="12.75" hidden="false" customHeight="true" outlineLevel="0" collapsed="false">
      <c r="H935" s="13"/>
    </row>
    <row r="936" customFormat="false" ht="12.75" hidden="false" customHeight="true" outlineLevel="0" collapsed="false">
      <c r="H936" s="13"/>
    </row>
    <row r="937" customFormat="false" ht="12.75" hidden="false" customHeight="true" outlineLevel="0" collapsed="false">
      <c r="H937" s="13"/>
    </row>
    <row r="938" customFormat="false" ht="12.75" hidden="false" customHeight="true" outlineLevel="0" collapsed="false">
      <c r="H938" s="13"/>
    </row>
    <row r="939" customFormat="false" ht="12.75" hidden="false" customHeight="true" outlineLevel="0" collapsed="false">
      <c r="H939" s="13"/>
    </row>
    <row r="940" customFormat="false" ht="12.75" hidden="false" customHeight="true" outlineLevel="0" collapsed="false">
      <c r="H940" s="13"/>
    </row>
    <row r="941" customFormat="false" ht="12.75" hidden="false" customHeight="true" outlineLevel="0" collapsed="false">
      <c r="H941" s="13"/>
    </row>
    <row r="942" customFormat="false" ht="12.75" hidden="false" customHeight="true" outlineLevel="0" collapsed="false">
      <c r="H942" s="13"/>
    </row>
    <row r="943" customFormat="false" ht="12.75" hidden="false" customHeight="true" outlineLevel="0" collapsed="false">
      <c r="H943" s="13"/>
    </row>
    <row r="944" customFormat="false" ht="12.75" hidden="false" customHeight="true" outlineLevel="0" collapsed="false">
      <c r="H944" s="13"/>
    </row>
    <row r="945" customFormat="false" ht="12.75" hidden="false" customHeight="true" outlineLevel="0" collapsed="false">
      <c r="H945" s="13"/>
    </row>
    <row r="946" customFormat="false" ht="12.75" hidden="false" customHeight="true" outlineLevel="0" collapsed="false">
      <c r="H946" s="13"/>
    </row>
    <row r="947" customFormat="false" ht="12.75" hidden="false" customHeight="true" outlineLevel="0" collapsed="false">
      <c r="H947" s="13"/>
    </row>
    <row r="948" customFormat="false" ht="12.75" hidden="false" customHeight="true" outlineLevel="0" collapsed="false">
      <c r="H948" s="13"/>
    </row>
    <row r="949" customFormat="false" ht="12.75" hidden="false" customHeight="true" outlineLevel="0" collapsed="false">
      <c r="H949" s="13"/>
    </row>
    <row r="950" customFormat="false" ht="12.75" hidden="false" customHeight="true" outlineLevel="0" collapsed="false">
      <c r="H950" s="13"/>
    </row>
    <row r="951" customFormat="false" ht="12.75" hidden="false" customHeight="true" outlineLevel="0" collapsed="false">
      <c r="H951" s="13"/>
    </row>
    <row r="952" customFormat="false" ht="12.75" hidden="false" customHeight="true" outlineLevel="0" collapsed="false">
      <c r="H952" s="13"/>
    </row>
    <row r="953" customFormat="false" ht="12.75" hidden="false" customHeight="true" outlineLevel="0" collapsed="false">
      <c r="H953" s="13"/>
    </row>
    <row r="954" customFormat="false" ht="12.75" hidden="false" customHeight="true" outlineLevel="0" collapsed="false">
      <c r="H954" s="13"/>
    </row>
    <row r="955" customFormat="false" ht="12.75" hidden="false" customHeight="true" outlineLevel="0" collapsed="false">
      <c r="H955" s="13"/>
    </row>
    <row r="956" customFormat="false" ht="12.75" hidden="false" customHeight="true" outlineLevel="0" collapsed="false">
      <c r="H956" s="13"/>
    </row>
    <row r="957" customFormat="false" ht="12.75" hidden="false" customHeight="true" outlineLevel="0" collapsed="false">
      <c r="H957" s="13"/>
    </row>
    <row r="958" customFormat="false" ht="12.75" hidden="false" customHeight="true" outlineLevel="0" collapsed="false">
      <c r="H958" s="13"/>
    </row>
    <row r="959" customFormat="false" ht="12.75" hidden="false" customHeight="true" outlineLevel="0" collapsed="false">
      <c r="H959" s="13"/>
    </row>
    <row r="960" customFormat="false" ht="12.75" hidden="false" customHeight="true" outlineLevel="0" collapsed="false">
      <c r="H960" s="13"/>
    </row>
    <row r="961" customFormat="false" ht="12.75" hidden="false" customHeight="true" outlineLevel="0" collapsed="false">
      <c r="H961" s="13"/>
    </row>
    <row r="962" customFormat="false" ht="12.75" hidden="false" customHeight="true" outlineLevel="0" collapsed="false">
      <c r="H962" s="13"/>
    </row>
    <row r="963" customFormat="false" ht="12.75" hidden="false" customHeight="true" outlineLevel="0" collapsed="false">
      <c r="H963" s="13"/>
    </row>
    <row r="964" customFormat="false" ht="12.75" hidden="false" customHeight="true" outlineLevel="0" collapsed="false">
      <c r="H964" s="13"/>
    </row>
    <row r="965" customFormat="false" ht="12.75" hidden="false" customHeight="true" outlineLevel="0" collapsed="false">
      <c r="H965" s="13"/>
    </row>
    <row r="966" customFormat="false" ht="12.75" hidden="false" customHeight="true" outlineLevel="0" collapsed="false">
      <c r="H966" s="13"/>
    </row>
    <row r="967" customFormat="false" ht="12.75" hidden="false" customHeight="true" outlineLevel="0" collapsed="false">
      <c r="H967" s="13"/>
    </row>
    <row r="968" customFormat="false" ht="12.75" hidden="false" customHeight="true" outlineLevel="0" collapsed="false">
      <c r="H968" s="13"/>
    </row>
    <row r="969" customFormat="false" ht="12.75" hidden="false" customHeight="true" outlineLevel="0" collapsed="false">
      <c r="H969" s="13"/>
    </row>
    <row r="970" customFormat="false" ht="12.75" hidden="false" customHeight="true" outlineLevel="0" collapsed="false">
      <c r="H970" s="13"/>
    </row>
    <row r="971" customFormat="false" ht="12.75" hidden="false" customHeight="true" outlineLevel="0" collapsed="false">
      <c r="H971" s="13"/>
    </row>
    <row r="972" customFormat="false" ht="12.75" hidden="false" customHeight="true" outlineLevel="0" collapsed="false">
      <c r="H972" s="13"/>
    </row>
    <row r="973" customFormat="false" ht="12.75" hidden="false" customHeight="true" outlineLevel="0" collapsed="false">
      <c r="H973" s="13"/>
    </row>
    <row r="974" customFormat="false" ht="12.75" hidden="false" customHeight="true" outlineLevel="0" collapsed="false">
      <c r="H974" s="13"/>
    </row>
    <row r="975" customFormat="false" ht="12.75" hidden="false" customHeight="true" outlineLevel="0" collapsed="false">
      <c r="H975" s="13"/>
    </row>
    <row r="976" customFormat="false" ht="12.75" hidden="false" customHeight="true" outlineLevel="0" collapsed="false">
      <c r="H976" s="13"/>
    </row>
    <row r="977" customFormat="false" ht="12.75" hidden="false" customHeight="true" outlineLevel="0" collapsed="false">
      <c r="H977" s="13"/>
    </row>
    <row r="978" customFormat="false" ht="12.75" hidden="false" customHeight="true" outlineLevel="0" collapsed="false">
      <c r="H978" s="13"/>
    </row>
    <row r="979" customFormat="false" ht="12.75" hidden="false" customHeight="true" outlineLevel="0" collapsed="false">
      <c r="H979" s="13"/>
    </row>
    <row r="980" customFormat="false" ht="12.75" hidden="false" customHeight="true" outlineLevel="0" collapsed="false">
      <c r="H980" s="13"/>
    </row>
    <row r="981" customFormat="false" ht="12.75" hidden="false" customHeight="true" outlineLevel="0" collapsed="false">
      <c r="H981" s="13"/>
    </row>
    <row r="982" customFormat="false" ht="12.75" hidden="false" customHeight="true" outlineLevel="0" collapsed="false">
      <c r="H982" s="13"/>
    </row>
    <row r="983" customFormat="false" ht="12.75" hidden="false" customHeight="true" outlineLevel="0" collapsed="false">
      <c r="H983" s="13"/>
    </row>
    <row r="984" customFormat="false" ht="12.75" hidden="false" customHeight="true" outlineLevel="0" collapsed="false">
      <c r="H984" s="13"/>
    </row>
    <row r="985" customFormat="false" ht="12.75" hidden="false" customHeight="true" outlineLevel="0" collapsed="false">
      <c r="H985" s="13"/>
    </row>
    <row r="986" customFormat="false" ht="12.75" hidden="false" customHeight="true" outlineLevel="0" collapsed="false">
      <c r="H986" s="13"/>
    </row>
    <row r="987" customFormat="false" ht="12.75" hidden="false" customHeight="true" outlineLevel="0" collapsed="false">
      <c r="H987" s="13"/>
    </row>
    <row r="988" customFormat="false" ht="12.75" hidden="false" customHeight="true" outlineLevel="0" collapsed="false">
      <c r="H988" s="13"/>
    </row>
    <row r="989" customFormat="false" ht="12.75" hidden="false" customHeight="true" outlineLevel="0" collapsed="false">
      <c r="H989" s="13"/>
    </row>
    <row r="990" customFormat="false" ht="12.75" hidden="false" customHeight="true" outlineLevel="0" collapsed="false">
      <c r="H990" s="13"/>
    </row>
    <row r="991" customFormat="false" ht="12.75" hidden="false" customHeight="true" outlineLevel="0" collapsed="false">
      <c r="H991" s="13"/>
    </row>
    <row r="992" customFormat="false" ht="12.75" hidden="false" customHeight="true" outlineLevel="0" collapsed="false">
      <c r="H992" s="13"/>
    </row>
    <row r="993" customFormat="false" ht="12.75" hidden="false" customHeight="true" outlineLevel="0" collapsed="false">
      <c r="H993" s="13"/>
    </row>
    <row r="994" customFormat="false" ht="12.75" hidden="false" customHeight="true" outlineLevel="0" collapsed="false">
      <c r="H994" s="13"/>
    </row>
    <row r="995" customFormat="false" ht="12.75" hidden="false" customHeight="true" outlineLevel="0" collapsed="false">
      <c r="H995" s="13"/>
    </row>
    <row r="996" customFormat="false" ht="12.75" hidden="false" customHeight="true" outlineLevel="0" collapsed="false">
      <c r="H996" s="13"/>
    </row>
    <row r="997" customFormat="false" ht="12.75" hidden="false" customHeight="true" outlineLevel="0" collapsed="false">
      <c r="H997" s="13"/>
    </row>
    <row r="998" customFormat="false" ht="12.75" hidden="false" customHeight="true" outlineLevel="0" collapsed="false">
      <c r="H998" s="13"/>
    </row>
    <row r="999" customFormat="false" ht="12.75" hidden="false" customHeight="true" outlineLevel="0" collapsed="false">
      <c r="H999" s="13"/>
    </row>
    <row r="1000" customFormat="false" ht="12.75" hidden="false" customHeight="true" outlineLevel="0" collapsed="false">
      <c r="H1000" s="13"/>
    </row>
    <row r="1001" customFormat="false" ht="12.75" hidden="false" customHeight="true" outlineLevel="0" collapsed="false">
      <c r="H1001" s="13"/>
    </row>
    <row r="1002" customFormat="false" ht="12.75" hidden="false" customHeight="true" outlineLevel="0" collapsed="false">
      <c r="H1002" s="13"/>
    </row>
    <row r="1003" customFormat="false" ht="12.75" hidden="false" customHeight="true" outlineLevel="0" collapsed="false">
      <c r="H1003" s="13"/>
    </row>
    <row r="1004" customFormat="false" ht="12.75" hidden="false" customHeight="true" outlineLevel="0" collapsed="false">
      <c r="H1004" s="13"/>
    </row>
    <row r="1005" customFormat="false" ht="12.75" hidden="false" customHeight="true" outlineLevel="0" collapsed="false">
      <c r="H1005" s="13"/>
    </row>
    <row r="1006" customFormat="false" ht="12.75" hidden="false" customHeight="true" outlineLevel="0" collapsed="false">
      <c r="H1006" s="13"/>
    </row>
    <row r="1007" customFormat="false" ht="12.75" hidden="false" customHeight="true" outlineLevel="0" collapsed="false">
      <c r="H1007" s="13"/>
    </row>
    <row r="1008" customFormat="false" ht="12.75" hidden="false" customHeight="true" outlineLevel="0" collapsed="false">
      <c r="H1008" s="13"/>
    </row>
    <row r="1009" customFormat="false" ht="12.75" hidden="false" customHeight="true" outlineLevel="0" collapsed="false">
      <c r="H1009" s="13"/>
    </row>
    <row r="1010" customFormat="false" ht="12.75" hidden="false" customHeight="true" outlineLevel="0" collapsed="false">
      <c r="H1010" s="13"/>
    </row>
    <row r="1011" customFormat="false" ht="12.75" hidden="false" customHeight="true" outlineLevel="0" collapsed="false">
      <c r="H1011" s="13"/>
    </row>
    <row r="1012" customFormat="false" ht="12.75" hidden="false" customHeight="true" outlineLevel="0" collapsed="false">
      <c r="H1012" s="13"/>
    </row>
    <row r="1013" customFormat="false" ht="12.75" hidden="false" customHeight="true" outlineLevel="0" collapsed="false">
      <c r="H1013" s="13"/>
    </row>
    <row r="1014" customFormat="false" ht="12.75" hidden="false" customHeight="true" outlineLevel="0" collapsed="false">
      <c r="H1014" s="13"/>
    </row>
    <row r="1015" customFormat="false" ht="12.75" hidden="false" customHeight="true" outlineLevel="0" collapsed="false">
      <c r="H1015" s="13"/>
    </row>
    <row r="1016" customFormat="false" ht="12.75" hidden="false" customHeight="true" outlineLevel="0" collapsed="false">
      <c r="H1016" s="13"/>
    </row>
    <row r="1017" customFormat="false" ht="12.75" hidden="false" customHeight="true" outlineLevel="0" collapsed="false">
      <c r="H1017" s="13"/>
    </row>
    <row r="1018" customFormat="false" ht="12.75" hidden="false" customHeight="true" outlineLevel="0" collapsed="false">
      <c r="H1018" s="13"/>
    </row>
    <row r="1019" customFormat="false" ht="12.75" hidden="false" customHeight="true" outlineLevel="0" collapsed="false">
      <c r="H1019" s="13"/>
    </row>
    <row r="1020" customFormat="false" ht="12.75" hidden="false" customHeight="true" outlineLevel="0" collapsed="false">
      <c r="H1020" s="13"/>
    </row>
    <row r="1021" customFormat="false" ht="12.75" hidden="false" customHeight="true" outlineLevel="0" collapsed="false">
      <c r="H1021" s="13"/>
    </row>
    <row r="1022" customFormat="false" ht="12.75" hidden="false" customHeight="true" outlineLevel="0" collapsed="false">
      <c r="H1022" s="13"/>
    </row>
    <row r="1023" customFormat="false" ht="12.75" hidden="false" customHeight="true" outlineLevel="0" collapsed="false">
      <c r="H1023" s="13"/>
    </row>
    <row r="1024" customFormat="false" ht="12.75" hidden="false" customHeight="true" outlineLevel="0" collapsed="false">
      <c r="H1024" s="13"/>
    </row>
    <row r="1025" customFormat="false" ht="12.75" hidden="false" customHeight="true" outlineLevel="0" collapsed="false">
      <c r="H1025" s="13"/>
    </row>
    <row r="1026" customFormat="false" ht="12.75" hidden="false" customHeight="true" outlineLevel="0" collapsed="false">
      <c r="H1026" s="13"/>
    </row>
    <row r="1027" customFormat="false" ht="12.75" hidden="false" customHeight="true" outlineLevel="0" collapsed="false">
      <c r="H1027" s="13"/>
    </row>
    <row r="1028" customFormat="false" ht="12.75" hidden="false" customHeight="true" outlineLevel="0" collapsed="false">
      <c r="H1028" s="13"/>
    </row>
    <row r="1029" customFormat="false" ht="12.75" hidden="false" customHeight="true" outlineLevel="0" collapsed="false">
      <c r="H1029" s="13"/>
    </row>
    <row r="1030" customFormat="false" ht="12.75" hidden="false" customHeight="true" outlineLevel="0" collapsed="false">
      <c r="H1030" s="13"/>
    </row>
    <row r="1031" customFormat="false" ht="12.75" hidden="false" customHeight="true" outlineLevel="0" collapsed="false">
      <c r="H1031" s="13"/>
    </row>
    <row r="1032" customFormat="false" ht="12.75" hidden="false" customHeight="true" outlineLevel="0" collapsed="false">
      <c r="H1032" s="13"/>
    </row>
    <row r="1033" customFormat="false" ht="12.75" hidden="false" customHeight="true" outlineLevel="0" collapsed="false">
      <c r="H1033" s="13"/>
    </row>
    <row r="1034" customFormat="false" ht="12.75" hidden="false" customHeight="true" outlineLevel="0" collapsed="false">
      <c r="H1034" s="13"/>
    </row>
    <row r="1035" customFormat="false" ht="12.75" hidden="false" customHeight="true" outlineLevel="0" collapsed="false">
      <c r="H1035" s="13"/>
    </row>
    <row r="1036" customFormat="false" ht="12.75" hidden="false" customHeight="true" outlineLevel="0" collapsed="false">
      <c r="H1036" s="13"/>
    </row>
    <row r="1037" customFormat="false" ht="12.75" hidden="false" customHeight="true" outlineLevel="0" collapsed="false">
      <c r="H1037" s="13"/>
    </row>
    <row r="1038" customFormat="false" ht="12.75" hidden="false" customHeight="true" outlineLevel="0" collapsed="false">
      <c r="H1038" s="13"/>
    </row>
    <row r="1039" customFormat="false" ht="12.75" hidden="false" customHeight="true" outlineLevel="0" collapsed="false">
      <c r="H1039" s="13"/>
    </row>
    <row r="1040" customFormat="false" ht="12.75" hidden="false" customHeight="true" outlineLevel="0" collapsed="false">
      <c r="H1040" s="13"/>
    </row>
    <row r="1041" customFormat="false" ht="12.75" hidden="false" customHeight="true" outlineLevel="0" collapsed="false">
      <c r="H1041" s="13"/>
    </row>
    <row r="1042" customFormat="false" ht="12.75" hidden="false" customHeight="true" outlineLevel="0" collapsed="false">
      <c r="H1042" s="13"/>
    </row>
    <row r="1043" customFormat="false" ht="12.75" hidden="false" customHeight="true" outlineLevel="0" collapsed="false">
      <c r="H1043" s="13"/>
    </row>
    <row r="1044" customFormat="false" ht="12.75" hidden="false" customHeight="true" outlineLevel="0" collapsed="false">
      <c r="H1044" s="13"/>
    </row>
    <row r="1045" customFormat="false" ht="12.75" hidden="false" customHeight="true" outlineLevel="0" collapsed="false">
      <c r="H1045" s="13"/>
    </row>
    <row r="1046" customFormat="false" ht="12.75" hidden="false" customHeight="true" outlineLevel="0" collapsed="false">
      <c r="H1046" s="13"/>
    </row>
    <row r="1047" customFormat="false" ht="12.75" hidden="false" customHeight="true" outlineLevel="0" collapsed="false">
      <c r="H1047" s="13"/>
    </row>
    <row r="1048" customFormat="false" ht="12.75" hidden="false" customHeight="true" outlineLevel="0" collapsed="false">
      <c r="H1048" s="13"/>
    </row>
    <row r="1049" customFormat="false" ht="12.75" hidden="false" customHeight="true" outlineLevel="0" collapsed="false">
      <c r="H1049" s="13"/>
    </row>
    <row r="1050" customFormat="false" ht="12.75" hidden="false" customHeight="true" outlineLevel="0" collapsed="false">
      <c r="H1050" s="13"/>
    </row>
    <row r="1051" customFormat="false" ht="12.75" hidden="false" customHeight="true" outlineLevel="0" collapsed="false">
      <c r="H1051" s="13"/>
    </row>
    <row r="1052" customFormat="false" ht="12.75" hidden="false" customHeight="true" outlineLevel="0" collapsed="false">
      <c r="H1052" s="13"/>
    </row>
    <row r="1053" customFormat="false" ht="12.75" hidden="false" customHeight="true" outlineLevel="0" collapsed="false">
      <c r="H1053" s="13"/>
    </row>
    <row r="1054" customFormat="false" ht="12.75" hidden="false" customHeight="true" outlineLevel="0" collapsed="false">
      <c r="H1054" s="13"/>
    </row>
    <row r="1055" customFormat="false" ht="12.75" hidden="false" customHeight="true" outlineLevel="0" collapsed="false">
      <c r="H1055" s="13"/>
    </row>
    <row r="1056" customFormat="false" ht="12.75" hidden="false" customHeight="true" outlineLevel="0" collapsed="false">
      <c r="H1056" s="13"/>
    </row>
    <row r="1057" customFormat="false" ht="12.75" hidden="false" customHeight="true" outlineLevel="0" collapsed="false">
      <c r="H1057" s="13"/>
    </row>
    <row r="1058" customFormat="false" ht="12.75" hidden="false" customHeight="true" outlineLevel="0" collapsed="false">
      <c r="H1058" s="13"/>
    </row>
    <row r="1059" customFormat="false" ht="12.75" hidden="false" customHeight="true" outlineLevel="0" collapsed="false">
      <c r="H1059" s="13"/>
    </row>
    <row r="1060" customFormat="false" ht="12.75" hidden="false" customHeight="true" outlineLevel="0" collapsed="false">
      <c r="H1060" s="13"/>
    </row>
    <row r="1061" customFormat="false" ht="12.75" hidden="false" customHeight="true" outlineLevel="0" collapsed="false">
      <c r="H1061" s="13"/>
    </row>
    <row r="1062" customFormat="false" ht="12.75" hidden="false" customHeight="true" outlineLevel="0" collapsed="false">
      <c r="H1062" s="13"/>
    </row>
    <row r="1063" customFormat="false" ht="12.75" hidden="false" customHeight="true" outlineLevel="0" collapsed="false">
      <c r="H1063" s="13"/>
    </row>
    <row r="1064" customFormat="false" ht="12.75" hidden="false" customHeight="true" outlineLevel="0" collapsed="false">
      <c r="H1064" s="13"/>
    </row>
    <row r="1065" customFormat="false" ht="12.75" hidden="false" customHeight="true" outlineLevel="0" collapsed="false">
      <c r="H1065" s="13"/>
    </row>
    <row r="1066" customFormat="false" ht="12.75" hidden="false" customHeight="true" outlineLevel="0" collapsed="false">
      <c r="H1066" s="13"/>
    </row>
    <row r="1067" customFormat="false" ht="12.75" hidden="false" customHeight="true" outlineLevel="0" collapsed="false">
      <c r="H1067" s="13"/>
    </row>
    <row r="1068" customFormat="false" ht="12.75" hidden="false" customHeight="true" outlineLevel="0" collapsed="false">
      <c r="H1068" s="13"/>
    </row>
    <row r="1069" customFormat="false" ht="12.75" hidden="false" customHeight="true" outlineLevel="0" collapsed="false">
      <c r="H1069" s="13"/>
    </row>
    <row r="1070" customFormat="false" ht="12.75" hidden="false" customHeight="true" outlineLevel="0" collapsed="false">
      <c r="H1070" s="13"/>
    </row>
    <row r="1071" customFormat="false" ht="12.75" hidden="false" customHeight="true" outlineLevel="0" collapsed="false">
      <c r="H1071" s="13"/>
    </row>
    <row r="1072" customFormat="false" ht="12.75" hidden="false" customHeight="true" outlineLevel="0" collapsed="false">
      <c r="H1072" s="13"/>
    </row>
    <row r="1073" customFormat="false" ht="12.75" hidden="false" customHeight="true" outlineLevel="0" collapsed="false">
      <c r="H1073" s="13"/>
    </row>
    <row r="1074" customFormat="false" ht="12.75" hidden="false" customHeight="true" outlineLevel="0" collapsed="false">
      <c r="H1074" s="13"/>
    </row>
    <row r="1075" customFormat="false" ht="12.75" hidden="false" customHeight="true" outlineLevel="0" collapsed="false">
      <c r="H1075" s="13"/>
    </row>
    <row r="1076" customFormat="false" ht="12.75" hidden="false" customHeight="true" outlineLevel="0" collapsed="false">
      <c r="H1076" s="13"/>
    </row>
    <row r="1077" customFormat="false" ht="12.75" hidden="false" customHeight="true" outlineLevel="0" collapsed="false">
      <c r="H1077" s="13"/>
    </row>
    <row r="1078" customFormat="false" ht="12.75" hidden="false" customHeight="true" outlineLevel="0" collapsed="false">
      <c r="H1078" s="13"/>
    </row>
    <row r="1079" customFormat="false" ht="12.75" hidden="false" customHeight="true" outlineLevel="0" collapsed="false">
      <c r="H1079" s="13"/>
    </row>
    <row r="1080" customFormat="false" ht="12.75" hidden="false" customHeight="true" outlineLevel="0" collapsed="false">
      <c r="H1080" s="13"/>
    </row>
    <row r="1081" customFormat="false" ht="12.75" hidden="false" customHeight="true" outlineLevel="0" collapsed="false">
      <c r="H1081" s="13"/>
    </row>
    <row r="1082" customFormat="false" ht="12.75" hidden="false" customHeight="true" outlineLevel="0" collapsed="false">
      <c r="H1082" s="13"/>
    </row>
    <row r="1083" customFormat="false" ht="12.75" hidden="false" customHeight="true" outlineLevel="0" collapsed="false">
      <c r="H1083" s="13"/>
    </row>
    <row r="1084" customFormat="false" ht="12.75" hidden="false" customHeight="true" outlineLevel="0" collapsed="false">
      <c r="H1084" s="13"/>
    </row>
    <row r="1085" customFormat="false" ht="12.75" hidden="false" customHeight="true" outlineLevel="0" collapsed="false">
      <c r="H1085" s="13"/>
    </row>
    <row r="1086" customFormat="false" ht="12.75" hidden="false" customHeight="true" outlineLevel="0" collapsed="false">
      <c r="H1086" s="13"/>
    </row>
    <row r="1087" customFormat="false" ht="12.75" hidden="false" customHeight="true" outlineLevel="0" collapsed="false">
      <c r="H1087" s="13"/>
    </row>
    <row r="1088" customFormat="false" ht="12.75" hidden="false" customHeight="true" outlineLevel="0" collapsed="false">
      <c r="H1088" s="13"/>
    </row>
    <row r="1089" customFormat="false" ht="12.75" hidden="false" customHeight="true" outlineLevel="0" collapsed="false">
      <c r="H1089" s="13"/>
    </row>
    <row r="1090" customFormat="false" ht="12.75" hidden="false" customHeight="true" outlineLevel="0" collapsed="false">
      <c r="H1090" s="13"/>
    </row>
    <row r="1091" customFormat="false" ht="12.75" hidden="false" customHeight="true" outlineLevel="0" collapsed="false">
      <c r="H1091" s="13"/>
    </row>
    <row r="1092" customFormat="false" ht="12.75" hidden="false" customHeight="true" outlineLevel="0" collapsed="false">
      <c r="H1092" s="13"/>
    </row>
    <row r="1093" customFormat="false" ht="12.75" hidden="false" customHeight="true" outlineLevel="0" collapsed="false">
      <c r="H1093" s="13"/>
    </row>
    <row r="1094" customFormat="false" ht="12.75" hidden="false" customHeight="true" outlineLevel="0" collapsed="false">
      <c r="H1094" s="13"/>
    </row>
    <row r="1095" customFormat="false" ht="12.75" hidden="false" customHeight="true" outlineLevel="0" collapsed="false">
      <c r="H1095" s="13"/>
    </row>
    <row r="1096" customFormat="false" ht="12.75" hidden="false" customHeight="true" outlineLevel="0" collapsed="false">
      <c r="H1096" s="13"/>
    </row>
    <row r="1097" customFormat="false" ht="12.75" hidden="false" customHeight="true" outlineLevel="0" collapsed="false">
      <c r="H1097" s="13"/>
    </row>
    <row r="1098" customFormat="false" ht="12.75" hidden="false" customHeight="true" outlineLevel="0" collapsed="false">
      <c r="H1098" s="13"/>
    </row>
    <row r="1099" customFormat="false" ht="12.75" hidden="false" customHeight="true" outlineLevel="0" collapsed="false">
      <c r="H1099" s="13"/>
    </row>
    <row r="1100" customFormat="false" ht="12.75" hidden="false" customHeight="true" outlineLevel="0" collapsed="false">
      <c r="H1100" s="13"/>
    </row>
    <row r="1101" customFormat="false" ht="12.75" hidden="false" customHeight="true" outlineLevel="0" collapsed="false">
      <c r="H1101" s="13"/>
    </row>
    <row r="1102" customFormat="false" ht="12.75" hidden="false" customHeight="true" outlineLevel="0" collapsed="false">
      <c r="H1102" s="13"/>
    </row>
    <row r="1103" customFormat="false" ht="12.75" hidden="false" customHeight="true" outlineLevel="0" collapsed="false">
      <c r="H1103" s="13"/>
    </row>
    <row r="1104" customFormat="false" ht="12.75" hidden="false" customHeight="true" outlineLevel="0" collapsed="false">
      <c r="H1104" s="13"/>
    </row>
    <row r="1105" customFormat="false" ht="12.75" hidden="false" customHeight="true" outlineLevel="0" collapsed="false">
      <c r="H1105" s="13"/>
    </row>
    <row r="1106" customFormat="false" ht="12.75" hidden="false" customHeight="true" outlineLevel="0" collapsed="false">
      <c r="H1106" s="13"/>
    </row>
    <row r="1107" customFormat="false" ht="12.75" hidden="false" customHeight="true" outlineLevel="0" collapsed="false">
      <c r="H1107" s="13"/>
    </row>
    <row r="1108" customFormat="false" ht="12.75" hidden="false" customHeight="true" outlineLevel="0" collapsed="false">
      <c r="H1108" s="13"/>
    </row>
    <row r="1109" customFormat="false" ht="12.75" hidden="false" customHeight="true" outlineLevel="0" collapsed="false">
      <c r="H1109" s="13"/>
    </row>
    <row r="1110" customFormat="false" ht="12.75" hidden="false" customHeight="true" outlineLevel="0" collapsed="false">
      <c r="H1110" s="13"/>
    </row>
    <row r="1111" customFormat="false" ht="12.75" hidden="false" customHeight="true" outlineLevel="0" collapsed="false">
      <c r="H1111" s="13"/>
    </row>
    <row r="1112" customFormat="false" ht="12.75" hidden="false" customHeight="true" outlineLevel="0" collapsed="false">
      <c r="H1112" s="13"/>
    </row>
    <row r="1113" customFormat="false" ht="12.75" hidden="false" customHeight="true" outlineLevel="0" collapsed="false">
      <c r="H1113" s="13"/>
    </row>
    <row r="1114" customFormat="false" ht="12.75" hidden="false" customHeight="true" outlineLevel="0" collapsed="false">
      <c r="H1114" s="13"/>
    </row>
    <row r="1115" customFormat="false" ht="12.75" hidden="false" customHeight="true" outlineLevel="0" collapsed="false">
      <c r="H1115" s="13"/>
    </row>
    <row r="1116" customFormat="false" ht="12.75" hidden="false" customHeight="true" outlineLevel="0" collapsed="false">
      <c r="H1116" s="13"/>
    </row>
    <row r="1117" customFormat="false" ht="12.75" hidden="false" customHeight="true" outlineLevel="0" collapsed="false">
      <c r="H1117" s="13"/>
    </row>
    <row r="1118" customFormat="false" ht="12.75" hidden="false" customHeight="true" outlineLevel="0" collapsed="false">
      <c r="H1118" s="13"/>
    </row>
    <row r="1119" customFormat="false" ht="12.75" hidden="false" customHeight="true" outlineLevel="0" collapsed="false">
      <c r="H1119" s="13"/>
    </row>
    <row r="1120" customFormat="false" ht="12.75" hidden="false" customHeight="true" outlineLevel="0" collapsed="false">
      <c r="H1120" s="13"/>
    </row>
    <row r="1121" customFormat="false" ht="12.75" hidden="false" customHeight="true" outlineLevel="0" collapsed="false">
      <c r="H1121" s="13"/>
    </row>
    <row r="1122" customFormat="false" ht="12.75" hidden="false" customHeight="true" outlineLevel="0" collapsed="false">
      <c r="H1122" s="13"/>
    </row>
    <row r="1123" customFormat="false" ht="12.75" hidden="false" customHeight="true" outlineLevel="0" collapsed="false">
      <c r="H1123" s="13"/>
    </row>
    <row r="1124" customFormat="false" ht="12.75" hidden="false" customHeight="true" outlineLevel="0" collapsed="false">
      <c r="H1124" s="13"/>
    </row>
    <row r="1125" customFormat="false" ht="12.75" hidden="false" customHeight="true" outlineLevel="0" collapsed="false">
      <c r="H1125" s="13"/>
    </row>
    <row r="1126" customFormat="false" ht="12.75" hidden="false" customHeight="true" outlineLevel="0" collapsed="false">
      <c r="H1126" s="13"/>
    </row>
    <row r="1127" customFormat="false" ht="12.75" hidden="false" customHeight="true" outlineLevel="0" collapsed="false">
      <c r="H1127" s="13"/>
    </row>
    <row r="1128" customFormat="false" ht="12.75" hidden="false" customHeight="true" outlineLevel="0" collapsed="false">
      <c r="H1128" s="13"/>
    </row>
    <row r="1129" customFormat="false" ht="12.75" hidden="false" customHeight="true" outlineLevel="0" collapsed="false">
      <c r="H1129" s="13"/>
    </row>
    <row r="1130" customFormat="false" ht="12.75" hidden="false" customHeight="true" outlineLevel="0" collapsed="false">
      <c r="H1130" s="13"/>
    </row>
    <row r="1131" customFormat="false" ht="12.75" hidden="false" customHeight="true" outlineLevel="0" collapsed="false">
      <c r="H1131" s="13"/>
    </row>
    <row r="1132" customFormat="false" ht="12.75" hidden="false" customHeight="true" outlineLevel="0" collapsed="false">
      <c r="H1132" s="13"/>
    </row>
    <row r="1133" customFormat="false" ht="12.75" hidden="false" customHeight="true" outlineLevel="0" collapsed="false">
      <c r="H1133" s="13"/>
    </row>
    <row r="1134" customFormat="false" ht="12.75" hidden="false" customHeight="true" outlineLevel="0" collapsed="false">
      <c r="H1134" s="13"/>
    </row>
    <row r="1135" customFormat="false" ht="12.75" hidden="false" customHeight="true" outlineLevel="0" collapsed="false">
      <c r="H1135" s="13"/>
    </row>
    <row r="1136" customFormat="false" ht="12.75" hidden="false" customHeight="true" outlineLevel="0" collapsed="false">
      <c r="H1136" s="13"/>
    </row>
    <row r="1137" customFormat="false" ht="12.75" hidden="false" customHeight="true" outlineLevel="0" collapsed="false">
      <c r="H1137" s="13"/>
    </row>
    <row r="1138" customFormat="false" ht="12.75" hidden="false" customHeight="true" outlineLevel="0" collapsed="false">
      <c r="H1138" s="13"/>
    </row>
    <row r="1139" customFormat="false" ht="12.75" hidden="false" customHeight="true" outlineLevel="0" collapsed="false">
      <c r="H1139" s="13"/>
    </row>
    <row r="1140" customFormat="false" ht="12.75" hidden="false" customHeight="true" outlineLevel="0" collapsed="false">
      <c r="H1140" s="13"/>
    </row>
    <row r="1141" customFormat="false" ht="12.75" hidden="false" customHeight="true" outlineLevel="0" collapsed="false">
      <c r="H1141" s="13"/>
    </row>
    <row r="1142" customFormat="false" ht="12.75" hidden="false" customHeight="true" outlineLevel="0" collapsed="false">
      <c r="H1142" s="13"/>
    </row>
    <row r="1143" customFormat="false" ht="12.75" hidden="false" customHeight="true" outlineLevel="0" collapsed="false">
      <c r="H1143" s="13"/>
    </row>
    <row r="1144" customFormat="false" ht="12.75" hidden="false" customHeight="true" outlineLevel="0" collapsed="false">
      <c r="H1144" s="13"/>
    </row>
    <row r="1145" customFormat="false" ht="12.75" hidden="false" customHeight="true" outlineLevel="0" collapsed="false">
      <c r="H1145" s="13"/>
    </row>
    <row r="1146" customFormat="false" ht="12.75" hidden="false" customHeight="true" outlineLevel="0" collapsed="false">
      <c r="H1146" s="13"/>
    </row>
    <row r="1147" customFormat="false" ht="12.75" hidden="false" customHeight="true" outlineLevel="0" collapsed="false">
      <c r="H1147" s="13"/>
    </row>
    <row r="1148" customFormat="false" ht="12.75" hidden="false" customHeight="true" outlineLevel="0" collapsed="false">
      <c r="H1148" s="13"/>
    </row>
    <row r="1149" customFormat="false" ht="12.75" hidden="false" customHeight="true" outlineLevel="0" collapsed="false">
      <c r="H1149" s="13"/>
    </row>
    <row r="1150" customFormat="false" ht="12.75" hidden="false" customHeight="true" outlineLevel="0" collapsed="false">
      <c r="H1150" s="13"/>
    </row>
    <row r="1151" customFormat="false" ht="12.75" hidden="false" customHeight="true" outlineLevel="0" collapsed="false">
      <c r="H1151" s="13"/>
    </row>
    <row r="1152" customFormat="false" ht="12.75" hidden="false" customHeight="true" outlineLevel="0" collapsed="false">
      <c r="H1152" s="13"/>
    </row>
    <row r="1153" customFormat="false" ht="12.75" hidden="false" customHeight="true" outlineLevel="0" collapsed="false">
      <c r="H1153" s="13"/>
    </row>
    <row r="1154" customFormat="false" ht="12.75" hidden="false" customHeight="true" outlineLevel="0" collapsed="false">
      <c r="H1154" s="13"/>
    </row>
    <row r="1155" customFormat="false" ht="12.75" hidden="false" customHeight="true" outlineLevel="0" collapsed="false">
      <c r="H1155" s="13"/>
    </row>
    <row r="1156" customFormat="false" ht="12.75" hidden="false" customHeight="true" outlineLevel="0" collapsed="false">
      <c r="H1156" s="13"/>
    </row>
    <row r="1157" customFormat="false" ht="12.75" hidden="false" customHeight="true" outlineLevel="0" collapsed="false">
      <c r="H1157" s="13"/>
    </row>
    <row r="1158" customFormat="false" ht="12.75" hidden="false" customHeight="true" outlineLevel="0" collapsed="false">
      <c r="H1158" s="13"/>
    </row>
    <row r="1159" customFormat="false" ht="12.75" hidden="false" customHeight="true" outlineLevel="0" collapsed="false">
      <c r="H1159" s="13"/>
    </row>
    <row r="1160" customFormat="false" ht="12.75" hidden="false" customHeight="true" outlineLevel="0" collapsed="false">
      <c r="H1160" s="13"/>
    </row>
    <row r="1161" customFormat="false" ht="12.75" hidden="false" customHeight="true" outlineLevel="0" collapsed="false">
      <c r="H1161" s="13"/>
    </row>
    <row r="1162" customFormat="false" ht="12.75" hidden="false" customHeight="true" outlineLevel="0" collapsed="false">
      <c r="H1162" s="13"/>
    </row>
    <row r="1163" customFormat="false" ht="12.75" hidden="false" customHeight="true" outlineLevel="0" collapsed="false">
      <c r="H1163" s="13"/>
    </row>
    <row r="1164" customFormat="false" ht="12.75" hidden="false" customHeight="true" outlineLevel="0" collapsed="false">
      <c r="H1164" s="13"/>
    </row>
    <row r="1165" customFormat="false" ht="12.75" hidden="false" customHeight="true" outlineLevel="0" collapsed="false">
      <c r="H1165" s="2"/>
    </row>
    <row r="1166" customFormat="false" ht="12.75" hidden="false" customHeight="true" outlineLevel="0" collapsed="false">
      <c r="H1166" s="2"/>
    </row>
    <row r="1167" customFormat="false" ht="12.75" hidden="false" customHeight="true" outlineLevel="0" collapsed="false">
      <c r="H1167" s="2"/>
    </row>
    <row r="1168" customFormat="false" ht="12.75" hidden="false" customHeight="true" outlineLevel="0" collapsed="false">
      <c r="H1168" s="2"/>
    </row>
    <row r="1169" customFormat="false" ht="12.75" hidden="false" customHeight="true" outlineLevel="0" collapsed="false">
      <c r="H1169" s="2"/>
    </row>
    <row r="1170" customFormat="false" ht="12.75" hidden="false" customHeight="true" outlineLevel="0" collapsed="false">
      <c r="H1170" s="2"/>
    </row>
    <row r="1171" customFormat="false" ht="12.75" hidden="false" customHeight="true" outlineLevel="0" collapsed="false">
      <c r="H1171" s="2"/>
    </row>
    <row r="1172" customFormat="false" ht="12.75" hidden="false" customHeight="true" outlineLevel="0" collapsed="false">
      <c r="H1172" s="2"/>
    </row>
    <row r="1173" customFormat="false" ht="12.75" hidden="false" customHeight="true" outlineLevel="0" collapsed="false">
      <c r="H1173" s="2"/>
    </row>
    <row r="1174" customFormat="false" ht="12.75" hidden="false" customHeight="true" outlineLevel="0" collapsed="false">
      <c r="H1174" s="2"/>
    </row>
    <row r="1175" customFormat="false" ht="12.75" hidden="false" customHeight="true" outlineLevel="0" collapsed="false">
      <c r="H1175" s="2"/>
    </row>
    <row r="1176" customFormat="false" ht="12.75" hidden="false" customHeight="true" outlineLevel="0" collapsed="false">
      <c r="H1176" s="2"/>
    </row>
    <row r="1177" customFormat="false" ht="12.75" hidden="false" customHeight="true" outlineLevel="0" collapsed="false">
      <c r="H1177" s="2"/>
    </row>
    <row r="1178" customFormat="false" ht="12.75" hidden="false" customHeight="true" outlineLevel="0" collapsed="false">
      <c r="H1178" s="2"/>
    </row>
    <row r="1179" customFormat="false" ht="12.75" hidden="false" customHeight="true" outlineLevel="0" collapsed="false">
      <c r="H1179" s="2"/>
    </row>
    <row r="1180" customFormat="false" ht="12.75" hidden="false" customHeight="true" outlineLevel="0" collapsed="false">
      <c r="H1180" s="2"/>
    </row>
    <row r="1181" customFormat="false" ht="12.75" hidden="false" customHeight="true" outlineLevel="0" collapsed="false">
      <c r="H1181" s="2"/>
    </row>
    <row r="1182" customFormat="false" ht="12.75" hidden="false" customHeight="true" outlineLevel="0" collapsed="false">
      <c r="H1182" s="2"/>
    </row>
    <row r="1183" customFormat="false" ht="12.75" hidden="false" customHeight="true" outlineLevel="0" collapsed="false">
      <c r="H1183" s="2"/>
    </row>
    <row r="1184" customFormat="false" ht="12.75" hidden="false" customHeight="true" outlineLevel="0" collapsed="false">
      <c r="H1184" s="2"/>
    </row>
    <row r="1185" customFormat="false" ht="12.75" hidden="false" customHeight="true" outlineLevel="0" collapsed="false">
      <c r="H1185" s="2"/>
    </row>
    <row r="1186" customFormat="false" ht="12.75" hidden="false" customHeight="true" outlineLevel="0" collapsed="false">
      <c r="H1186" s="2"/>
    </row>
    <row r="1187" customFormat="false" ht="12.75" hidden="false" customHeight="true" outlineLevel="0" collapsed="false">
      <c r="H1187" s="2"/>
    </row>
    <row r="1188" customFormat="false" ht="12.75" hidden="false" customHeight="true" outlineLevel="0" collapsed="false">
      <c r="H1188" s="2"/>
    </row>
    <row r="1189" customFormat="false" ht="12.75" hidden="false" customHeight="true" outlineLevel="0" collapsed="false">
      <c r="H1189" s="2"/>
    </row>
    <row r="1190" customFormat="false" ht="12.75" hidden="false" customHeight="true" outlineLevel="0" collapsed="false">
      <c r="H1190" s="2"/>
    </row>
    <row r="1191" customFormat="false" ht="12.75" hidden="false" customHeight="true" outlineLevel="0" collapsed="false">
      <c r="H1191" s="2"/>
    </row>
    <row r="1192" customFormat="false" ht="12.75" hidden="false" customHeight="true" outlineLevel="0" collapsed="false">
      <c r="H1192" s="2"/>
    </row>
    <row r="1193" customFormat="false" ht="12.75" hidden="false" customHeight="true" outlineLevel="0" collapsed="false">
      <c r="H1193" s="2"/>
    </row>
    <row r="1194" customFormat="false" ht="12.75" hidden="false" customHeight="true" outlineLevel="0" collapsed="false">
      <c r="H1194" s="2"/>
    </row>
    <row r="1195" customFormat="false" ht="12.75" hidden="false" customHeight="true" outlineLevel="0" collapsed="false">
      <c r="H1195" s="2"/>
    </row>
    <row r="1196" customFormat="false" ht="12.75" hidden="false" customHeight="true" outlineLevel="0" collapsed="false">
      <c r="H1196" s="2"/>
    </row>
    <row r="1197" customFormat="false" ht="12.75" hidden="false" customHeight="true" outlineLevel="0" collapsed="false">
      <c r="H1197" s="2"/>
    </row>
    <row r="1198" customFormat="false" ht="12.75" hidden="false" customHeight="true" outlineLevel="0" collapsed="false">
      <c r="H1198" s="2"/>
    </row>
    <row r="1199" customFormat="false" ht="12.75" hidden="false" customHeight="true" outlineLevel="0" collapsed="false">
      <c r="H1199" s="2"/>
    </row>
    <row r="1200" customFormat="false" ht="12.75" hidden="false" customHeight="true" outlineLevel="0" collapsed="false">
      <c r="H1200" s="2"/>
    </row>
    <row r="1201" customFormat="false" ht="12.75" hidden="false" customHeight="true" outlineLevel="0" collapsed="false">
      <c r="H1201" s="2"/>
    </row>
    <row r="1202" customFormat="false" ht="12.75" hidden="false" customHeight="true" outlineLevel="0" collapsed="false">
      <c r="H1202" s="2"/>
    </row>
    <row r="1203" customFormat="false" ht="12.75" hidden="false" customHeight="true" outlineLevel="0" collapsed="false">
      <c r="H1203" s="2"/>
    </row>
    <row r="1204" customFormat="false" ht="12.75" hidden="false" customHeight="true" outlineLevel="0" collapsed="false">
      <c r="H1204" s="2"/>
    </row>
    <row r="1205" customFormat="false" ht="12.75" hidden="false" customHeight="true" outlineLevel="0" collapsed="false">
      <c r="H1205" s="2"/>
    </row>
    <row r="1206" customFormat="false" ht="12.75" hidden="false" customHeight="true" outlineLevel="0" collapsed="false">
      <c r="H1206" s="2"/>
    </row>
    <row r="1207" customFormat="false" ht="12.75" hidden="false" customHeight="true" outlineLevel="0" collapsed="false">
      <c r="H1207" s="2"/>
    </row>
    <row r="1208" customFormat="false" ht="12.75" hidden="false" customHeight="true" outlineLevel="0" collapsed="false">
      <c r="H1208" s="2"/>
    </row>
    <row r="1209" customFormat="false" ht="12.75" hidden="false" customHeight="true" outlineLevel="0" collapsed="false">
      <c r="H1209" s="2"/>
    </row>
    <row r="1210" customFormat="false" ht="12.75" hidden="false" customHeight="true" outlineLevel="0" collapsed="false">
      <c r="H1210" s="2"/>
    </row>
    <row r="1211" customFormat="false" ht="12.75" hidden="false" customHeight="true" outlineLevel="0" collapsed="false">
      <c r="H1211" s="2"/>
    </row>
    <row r="1212" customFormat="false" ht="12.75" hidden="false" customHeight="true" outlineLevel="0" collapsed="false">
      <c r="H1212" s="2"/>
    </row>
    <row r="1213" customFormat="false" ht="12.75" hidden="false" customHeight="true" outlineLevel="0" collapsed="false">
      <c r="H1213" s="2"/>
    </row>
    <row r="1214" customFormat="false" ht="12.75" hidden="false" customHeight="true" outlineLevel="0" collapsed="false">
      <c r="H1214" s="2"/>
    </row>
    <row r="1215" customFormat="false" ht="12.75" hidden="false" customHeight="true" outlineLevel="0" collapsed="false">
      <c r="H1215" s="2"/>
    </row>
    <row r="1216" customFormat="false" ht="12.75" hidden="false" customHeight="true" outlineLevel="0" collapsed="false">
      <c r="H1216" s="2"/>
    </row>
    <row r="1217" customFormat="false" ht="12.75" hidden="false" customHeight="true" outlineLevel="0" collapsed="false">
      <c r="H1217" s="2"/>
    </row>
    <row r="1218" customFormat="false" ht="12.75" hidden="false" customHeight="true" outlineLevel="0" collapsed="false">
      <c r="H1218" s="2"/>
    </row>
    <row r="1219" customFormat="false" ht="12.75" hidden="false" customHeight="true" outlineLevel="0" collapsed="false">
      <c r="H1219" s="2"/>
    </row>
    <row r="1220" customFormat="false" ht="12.75" hidden="false" customHeight="true" outlineLevel="0" collapsed="false">
      <c r="H1220" s="2"/>
    </row>
    <row r="1221" customFormat="false" ht="12.75" hidden="false" customHeight="true" outlineLevel="0" collapsed="false">
      <c r="H1221" s="2"/>
    </row>
    <row r="1222" customFormat="false" ht="12.75" hidden="false" customHeight="true" outlineLevel="0" collapsed="false">
      <c r="H1222" s="2"/>
    </row>
    <row r="1223" customFormat="false" ht="12.75" hidden="false" customHeight="true" outlineLevel="0" collapsed="false">
      <c r="H1223" s="2"/>
    </row>
    <row r="1224" customFormat="false" ht="12.75" hidden="false" customHeight="true" outlineLevel="0" collapsed="false">
      <c r="H1224" s="2"/>
    </row>
    <row r="1225" customFormat="false" ht="12.75" hidden="false" customHeight="true" outlineLevel="0" collapsed="false">
      <c r="H1225" s="2"/>
    </row>
    <row r="1226" customFormat="false" ht="12.75" hidden="false" customHeight="true" outlineLevel="0" collapsed="false">
      <c r="H1226" s="2"/>
    </row>
    <row r="1227" customFormat="false" ht="12.75" hidden="false" customHeight="true" outlineLevel="0" collapsed="false">
      <c r="H1227" s="2"/>
    </row>
    <row r="1228" customFormat="false" ht="12.75" hidden="false" customHeight="true" outlineLevel="0" collapsed="false">
      <c r="H1228" s="2"/>
    </row>
    <row r="1229" customFormat="false" ht="12.75" hidden="false" customHeight="true" outlineLevel="0" collapsed="false">
      <c r="H1229" s="2"/>
    </row>
    <row r="1230" customFormat="false" ht="12.75" hidden="false" customHeight="true" outlineLevel="0" collapsed="false">
      <c r="H1230" s="2"/>
    </row>
    <row r="1231" customFormat="false" ht="12.75" hidden="false" customHeight="true" outlineLevel="0" collapsed="false">
      <c r="H1231" s="2"/>
    </row>
    <row r="1232" customFormat="false" ht="12.75" hidden="false" customHeight="true" outlineLevel="0" collapsed="false">
      <c r="H1232" s="2"/>
    </row>
    <row r="1233" customFormat="false" ht="12.75" hidden="false" customHeight="true" outlineLevel="0" collapsed="false">
      <c r="H1233" s="2"/>
    </row>
    <row r="1234" customFormat="false" ht="12.75" hidden="false" customHeight="true" outlineLevel="0" collapsed="false">
      <c r="H1234" s="2"/>
    </row>
    <row r="1235" customFormat="false" ht="12.75" hidden="false" customHeight="true" outlineLevel="0" collapsed="false">
      <c r="H1235" s="2"/>
    </row>
    <row r="1236" customFormat="false" ht="12.75" hidden="false" customHeight="true" outlineLevel="0" collapsed="false">
      <c r="H1236" s="2"/>
    </row>
    <row r="1237" customFormat="false" ht="12.75" hidden="false" customHeight="true" outlineLevel="0" collapsed="false">
      <c r="H1237" s="2"/>
    </row>
    <row r="1238" customFormat="false" ht="12.75" hidden="false" customHeight="true" outlineLevel="0" collapsed="false">
      <c r="H1238" s="2"/>
    </row>
    <row r="1239" customFormat="false" ht="12.75" hidden="false" customHeight="true" outlineLevel="0" collapsed="false">
      <c r="H1239" s="2"/>
    </row>
    <row r="1240" customFormat="false" ht="12.75" hidden="false" customHeight="true" outlineLevel="0" collapsed="false">
      <c r="H1240" s="2"/>
    </row>
    <row r="1241" customFormat="false" ht="12.75" hidden="false" customHeight="true" outlineLevel="0" collapsed="false">
      <c r="H1241" s="2"/>
    </row>
    <row r="1242" customFormat="false" ht="12.75" hidden="false" customHeight="true" outlineLevel="0" collapsed="false">
      <c r="H1242" s="2"/>
    </row>
    <row r="1243" customFormat="false" ht="12.75" hidden="false" customHeight="true" outlineLevel="0" collapsed="false">
      <c r="H1243" s="2"/>
    </row>
    <row r="1244" customFormat="false" ht="12.75" hidden="false" customHeight="true" outlineLevel="0" collapsed="false">
      <c r="H1244" s="2"/>
    </row>
    <row r="1245" customFormat="false" ht="12.75" hidden="false" customHeight="true" outlineLevel="0" collapsed="false">
      <c r="H1245" s="2"/>
    </row>
    <row r="1246" customFormat="false" ht="12.75" hidden="false" customHeight="true" outlineLevel="0" collapsed="false">
      <c r="H1246" s="2"/>
    </row>
    <row r="1247" customFormat="false" ht="12.75" hidden="false" customHeight="true" outlineLevel="0" collapsed="false">
      <c r="H1247" s="2"/>
    </row>
    <row r="1248" customFormat="false" ht="12.75" hidden="false" customHeight="true" outlineLevel="0" collapsed="false">
      <c r="H1248" s="2"/>
    </row>
    <row r="1249" customFormat="false" ht="12.75" hidden="false" customHeight="true" outlineLevel="0" collapsed="false">
      <c r="H1249" s="2"/>
    </row>
    <row r="1250" customFormat="false" ht="12.75" hidden="false" customHeight="true" outlineLevel="0" collapsed="false">
      <c r="H1250" s="2"/>
    </row>
    <row r="1251" customFormat="false" ht="12.75" hidden="false" customHeight="true" outlineLevel="0" collapsed="false">
      <c r="H1251" s="2"/>
    </row>
    <row r="1252" customFormat="false" ht="12.75" hidden="false" customHeight="true" outlineLevel="0" collapsed="false">
      <c r="H1252" s="2"/>
    </row>
    <row r="1253" customFormat="false" ht="12.75" hidden="false" customHeight="true" outlineLevel="0" collapsed="false">
      <c r="H1253" s="2"/>
    </row>
    <row r="1254" customFormat="false" ht="12.75" hidden="false" customHeight="true" outlineLevel="0" collapsed="false">
      <c r="H1254" s="2"/>
    </row>
    <row r="1255" customFormat="false" ht="12.75" hidden="false" customHeight="true" outlineLevel="0" collapsed="false">
      <c r="H1255" s="2"/>
    </row>
    <row r="1256" customFormat="false" ht="12.75" hidden="false" customHeight="true" outlineLevel="0" collapsed="false">
      <c r="H1256" s="2"/>
    </row>
    <row r="1257" customFormat="false" ht="12.75" hidden="false" customHeight="true" outlineLevel="0" collapsed="false">
      <c r="H1257" s="2"/>
    </row>
    <row r="1258" customFormat="false" ht="12.75" hidden="false" customHeight="true" outlineLevel="0" collapsed="false">
      <c r="H1258" s="2"/>
    </row>
    <row r="1259" customFormat="false" ht="12.75" hidden="false" customHeight="true" outlineLevel="0" collapsed="false">
      <c r="H1259" s="2"/>
    </row>
    <row r="1260" customFormat="false" ht="12.75" hidden="false" customHeight="true" outlineLevel="0" collapsed="false">
      <c r="H1260" s="2"/>
    </row>
    <row r="1261" customFormat="false" ht="12.75" hidden="false" customHeight="true" outlineLevel="0" collapsed="false">
      <c r="H1261" s="2"/>
    </row>
    <row r="1262" customFormat="false" ht="12.75" hidden="false" customHeight="true" outlineLevel="0" collapsed="false">
      <c r="H1262" s="2"/>
    </row>
    <row r="1263" customFormat="false" ht="12.75" hidden="false" customHeight="true" outlineLevel="0" collapsed="false">
      <c r="H1263" s="2"/>
    </row>
    <row r="1264" customFormat="false" ht="12.75" hidden="false" customHeight="true" outlineLevel="0" collapsed="false">
      <c r="H1264" s="2"/>
    </row>
    <row r="1265" customFormat="false" ht="12.75" hidden="false" customHeight="true" outlineLevel="0" collapsed="false">
      <c r="H1265" s="2"/>
    </row>
    <row r="1266" customFormat="false" ht="12.75" hidden="false" customHeight="true" outlineLevel="0" collapsed="false">
      <c r="H1266" s="2"/>
    </row>
    <row r="1267" customFormat="false" ht="12.75" hidden="false" customHeight="true" outlineLevel="0" collapsed="false">
      <c r="H1267" s="2"/>
    </row>
    <row r="1268" customFormat="false" ht="12.75" hidden="false" customHeight="true" outlineLevel="0" collapsed="false">
      <c r="H1268" s="2"/>
    </row>
    <row r="1269" customFormat="false" ht="12.75" hidden="false" customHeight="true" outlineLevel="0" collapsed="false">
      <c r="H1269" s="2"/>
    </row>
    <row r="1270" customFormat="false" ht="12.75" hidden="false" customHeight="true" outlineLevel="0" collapsed="false">
      <c r="H1270" s="2"/>
    </row>
    <row r="1271" customFormat="false" ht="12.75" hidden="false" customHeight="true" outlineLevel="0" collapsed="false">
      <c r="H1271" s="2"/>
    </row>
    <row r="1272" customFormat="false" ht="12.75" hidden="false" customHeight="true" outlineLevel="0" collapsed="false">
      <c r="H1272" s="2"/>
    </row>
    <row r="1273" customFormat="false" ht="12.75" hidden="false" customHeight="true" outlineLevel="0" collapsed="false">
      <c r="H1273" s="2"/>
    </row>
    <row r="1274" customFormat="false" ht="12.75" hidden="false" customHeight="true" outlineLevel="0" collapsed="false">
      <c r="H1274" s="2"/>
    </row>
    <row r="1275" customFormat="false" ht="12.75" hidden="false" customHeight="true" outlineLevel="0" collapsed="false">
      <c r="H1275" s="2"/>
    </row>
    <row r="1276" customFormat="false" ht="12.75" hidden="false" customHeight="true" outlineLevel="0" collapsed="false">
      <c r="H1276" s="2"/>
    </row>
    <row r="1277" customFormat="false" ht="12.75" hidden="false" customHeight="true" outlineLevel="0" collapsed="false">
      <c r="H1277" s="2"/>
    </row>
    <row r="1278" customFormat="false" ht="12.75" hidden="false" customHeight="true" outlineLevel="0" collapsed="false">
      <c r="H1278" s="2"/>
    </row>
    <row r="1279" customFormat="false" ht="12.75" hidden="false" customHeight="true" outlineLevel="0" collapsed="false">
      <c r="H1279" s="2"/>
    </row>
    <row r="1280" customFormat="false" ht="12.75" hidden="false" customHeight="true" outlineLevel="0" collapsed="false">
      <c r="H1280" s="2"/>
    </row>
    <row r="1281" customFormat="false" ht="12.75" hidden="false" customHeight="true" outlineLevel="0" collapsed="false">
      <c r="H1281" s="2"/>
    </row>
    <row r="1282" customFormat="false" ht="12.75" hidden="false" customHeight="true" outlineLevel="0" collapsed="false">
      <c r="H1282" s="2"/>
    </row>
    <row r="1283" customFormat="false" ht="12.75" hidden="false" customHeight="true" outlineLevel="0" collapsed="false">
      <c r="H1283" s="2"/>
    </row>
    <row r="1284" customFormat="false" ht="12.75" hidden="false" customHeight="true" outlineLevel="0" collapsed="false">
      <c r="H1284" s="2"/>
    </row>
    <row r="1285" customFormat="false" ht="12.75" hidden="false" customHeight="true" outlineLevel="0" collapsed="false">
      <c r="H1285" s="2"/>
    </row>
    <row r="1286" customFormat="false" ht="12.75" hidden="false" customHeight="true" outlineLevel="0" collapsed="false">
      <c r="H1286" s="2"/>
    </row>
    <row r="1287" customFormat="false" ht="12.75" hidden="false" customHeight="true" outlineLevel="0" collapsed="false">
      <c r="H1287" s="2"/>
    </row>
    <row r="1288" customFormat="false" ht="12.75" hidden="false" customHeight="true" outlineLevel="0" collapsed="false">
      <c r="H1288" s="2"/>
    </row>
    <row r="1289" customFormat="false" ht="12.75" hidden="false" customHeight="true" outlineLevel="0" collapsed="false">
      <c r="H1289" s="2"/>
    </row>
    <row r="1290" customFormat="false" ht="12.75" hidden="false" customHeight="true" outlineLevel="0" collapsed="false">
      <c r="H1290" s="2"/>
    </row>
    <row r="1291" customFormat="false" ht="12.75" hidden="false" customHeight="true" outlineLevel="0" collapsed="false">
      <c r="H1291" s="2"/>
    </row>
    <row r="1292" customFormat="false" ht="12.75" hidden="false" customHeight="true" outlineLevel="0" collapsed="false">
      <c r="H1292" s="2"/>
    </row>
    <row r="1293" customFormat="false" ht="12.75" hidden="false" customHeight="true" outlineLevel="0" collapsed="false">
      <c r="H1293" s="2"/>
    </row>
    <row r="1294" customFormat="false" ht="12.75" hidden="false" customHeight="true" outlineLevel="0" collapsed="false">
      <c r="H1294" s="2"/>
    </row>
    <row r="1295" customFormat="false" ht="12.75" hidden="false" customHeight="true" outlineLevel="0" collapsed="false">
      <c r="H1295" s="2"/>
    </row>
    <row r="1296" customFormat="false" ht="12.75" hidden="false" customHeight="true" outlineLevel="0" collapsed="false">
      <c r="H1296" s="2"/>
    </row>
    <row r="1297" customFormat="false" ht="12.75" hidden="false" customHeight="true" outlineLevel="0" collapsed="false">
      <c r="H1297" s="2"/>
    </row>
    <row r="1298" customFormat="false" ht="12.75" hidden="false" customHeight="true" outlineLevel="0" collapsed="false">
      <c r="H1298" s="2"/>
    </row>
    <row r="1299" customFormat="false" ht="12.75" hidden="false" customHeight="true" outlineLevel="0" collapsed="false">
      <c r="H1299" s="2"/>
    </row>
    <row r="1300" customFormat="false" ht="12.75" hidden="false" customHeight="true" outlineLevel="0" collapsed="false">
      <c r="H1300" s="2"/>
    </row>
    <row r="1301" customFormat="false" ht="12.75" hidden="false" customHeight="true" outlineLevel="0" collapsed="false">
      <c r="H1301" s="2"/>
    </row>
    <row r="1302" customFormat="false" ht="12.75" hidden="false" customHeight="true" outlineLevel="0" collapsed="false">
      <c r="H1302" s="2"/>
    </row>
    <row r="1303" customFormat="false" ht="12.75" hidden="false" customHeight="true" outlineLevel="0" collapsed="false">
      <c r="H1303" s="2"/>
    </row>
    <row r="1304" customFormat="false" ht="12.75" hidden="false" customHeight="true" outlineLevel="0" collapsed="false">
      <c r="H1304" s="2"/>
    </row>
    <row r="1305" customFormat="false" ht="12.75" hidden="false" customHeight="true" outlineLevel="0" collapsed="false">
      <c r="H1305" s="2"/>
    </row>
    <row r="1306" customFormat="false" ht="12.75" hidden="false" customHeight="true" outlineLevel="0" collapsed="false">
      <c r="H1306" s="2"/>
    </row>
    <row r="1307" customFormat="false" ht="12.75" hidden="false" customHeight="true" outlineLevel="0" collapsed="false">
      <c r="H1307" s="2"/>
    </row>
    <row r="1308" customFormat="false" ht="12.75" hidden="false" customHeight="true" outlineLevel="0" collapsed="false">
      <c r="H1308" s="2"/>
    </row>
    <row r="1309" customFormat="false" ht="12.75" hidden="false" customHeight="true" outlineLevel="0" collapsed="false">
      <c r="H1309" s="2"/>
    </row>
    <row r="1310" customFormat="false" ht="12.75" hidden="false" customHeight="true" outlineLevel="0" collapsed="false">
      <c r="H1310" s="2"/>
    </row>
    <row r="1311" customFormat="false" ht="12.75" hidden="false" customHeight="true" outlineLevel="0" collapsed="false">
      <c r="H1311" s="2"/>
    </row>
    <row r="1312" customFormat="false" ht="12.75" hidden="false" customHeight="true" outlineLevel="0" collapsed="false">
      <c r="H1312" s="2"/>
    </row>
    <row r="1313" customFormat="false" ht="12.75" hidden="false" customHeight="true" outlineLevel="0" collapsed="false">
      <c r="H1313" s="2"/>
    </row>
    <row r="1314" customFormat="false" ht="12.75" hidden="false" customHeight="true" outlineLevel="0" collapsed="false">
      <c r="H1314" s="2"/>
    </row>
    <row r="1315" customFormat="false" ht="12.75" hidden="false" customHeight="true" outlineLevel="0" collapsed="false">
      <c r="H1315" s="2"/>
    </row>
    <row r="1316" customFormat="false" ht="12.75" hidden="false" customHeight="true" outlineLevel="0" collapsed="false">
      <c r="H1316" s="2"/>
    </row>
    <row r="1317" customFormat="false" ht="12.75" hidden="false" customHeight="true" outlineLevel="0" collapsed="false">
      <c r="H1317" s="2"/>
    </row>
    <row r="1318" customFormat="false" ht="12.75" hidden="false" customHeight="true" outlineLevel="0" collapsed="false">
      <c r="H1318" s="2"/>
    </row>
    <row r="1319" customFormat="false" ht="12.75" hidden="false" customHeight="true" outlineLevel="0" collapsed="false">
      <c r="H1319" s="2"/>
    </row>
    <row r="1320" customFormat="false" ht="12.75" hidden="false" customHeight="true" outlineLevel="0" collapsed="false">
      <c r="H1320" s="2"/>
    </row>
    <row r="1321" customFormat="false" ht="12.75" hidden="false" customHeight="true" outlineLevel="0" collapsed="false">
      <c r="H1321" s="2"/>
    </row>
    <row r="1322" customFormat="false" ht="12.75" hidden="false" customHeight="true" outlineLevel="0" collapsed="false">
      <c r="H1322" s="2"/>
    </row>
    <row r="1323" customFormat="false" ht="12.75" hidden="false" customHeight="true" outlineLevel="0" collapsed="false">
      <c r="H1323" s="2"/>
    </row>
    <row r="1324" customFormat="false" ht="12.75" hidden="false" customHeight="true" outlineLevel="0" collapsed="false">
      <c r="H1324" s="2"/>
    </row>
    <row r="1325" customFormat="false" ht="12.75" hidden="false" customHeight="true" outlineLevel="0" collapsed="false">
      <c r="H1325" s="2"/>
    </row>
    <row r="1326" customFormat="false" ht="12.75" hidden="false" customHeight="true" outlineLevel="0" collapsed="false">
      <c r="H1326" s="2"/>
    </row>
    <row r="1327" customFormat="false" ht="12.75" hidden="false" customHeight="true" outlineLevel="0" collapsed="false">
      <c r="H1327" s="2"/>
    </row>
    <row r="1328" customFormat="false" ht="12.75" hidden="false" customHeight="true" outlineLevel="0" collapsed="false">
      <c r="H1328" s="2"/>
    </row>
    <row r="1329" customFormat="false" ht="12.75" hidden="false" customHeight="true" outlineLevel="0" collapsed="false">
      <c r="H1329" s="2"/>
    </row>
    <row r="1330" customFormat="false" ht="12.75" hidden="false" customHeight="true" outlineLevel="0" collapsed="false">
      <c r="H1330" s="2"/>
    </row>
    <row r="1331" customFormat="false" ht="12.75" hidden="false" customHeight="true" outlineLevel="0" collapsed="false">
      <c r="H1331" s="2"/>
    </row>
    <row r="1332" customFormat="false" ht="12.75" hidden="false" customHeight="true" outlineLevel="0" collapsed="false">
      <c r="H1332" s="2"/>
    </row>
    <row r="1333" customFormat="false" ht="12.75" hidden="false" customHeight="true" outlineLevel="0" collapsed="false">
      <c r="H1333" s="2"/>
    </row>
    <row r="1334" customFormat="false" ht="12.75" hidden="false" customHeight="true" outlineLevel="0" collapsed="false">
      <c r="H1334" s="2"/>
    </row>
    <row r="1335" customFormat="false" ht="12.75" hidden="false" customHeight="true" outlineLevel="0" collapsed="false">
      <c r="H1335" s="2"/>
    </row>
    <row r="1336" customFormat="false" ht="12.75" hidden="false" customHeight="true" outlineLevel="0" collapsed="false">
      <c r="H1336" s="2"/>
    </row>
    <row r="1337" customFormat="false" ht="12.75" hidden="false" customHeight="true" outlineLevel="0" collapsed="false">
      <c r="H1337" s="2"/>
    </row>
    <row r="1338" customFormat="false" ht="12.75" hidden="false" customHeight="true" outlineLevel="0" collapsed="false">
      <c r="H1338" s="2"/>
    </row>
    <row r="1339" customFormat="false" ht="12.75" hidden="false" customHeight="true" outlineLevel="0" collapsed="false">
      <c r="H1339" s="2"/>
    </row>
    <row r="1340" customFormat="false" ht="12.75" hidden="false" customHeight="true" outlineLevel="0" collapsed="false">
      <c r="H1340" s="2"/>
    </row>
    <row r="1341" customFormat="false" ht="12.75" hidden="false" customHeight="true" outlineLevel="0" collapsed="false">
      <c r="H1341" s="2"/>
    </row>
    <row r="1342" customFormat="false" ht="12.75" hidden="false" customHeight="true" outlineLevel="0" collapsed="false">
      <c r="H1342" s="2"/>
    </row>
    <row r="1343" customFormat="false" ht="12.75" hidden="false" customHeight="true" outlineLevel="0" collapsed="false">
      <c r="H1343" s="2"/>
    </row>
    <row r="1344" customFormat="false" ht="12.75" hidden="false" customHeight="true" outlineLevel="0" collapsed="false">
      <c r="H1344" s="2"/>
    </row>
    <row r="1345" customFormat="false" ht="12.75" hidden="false" customHeight="true" outlineLevel="0" collapsed="false">
      <c r="H1345" s="2"/>
    </row>
    <row r="1346" customFormat="false" ht="12.75" hidden="false" customHeight="true" outlineLevel="0" collapsed="false">
      <c r="H1346" s="2"/>
    </row>
    <row r="1347" customFormat="false" ht="12.75" hidden="false" customHeight="true" outlineLevel="0" collapsed="false">
      <c r="H1347" s="2"/>
    </row>
    <row r="1348" customFormat="false" ht="12.75" hidden="false" customHeight="true" outlineLevel="0" collapsed="false">
      <c r="H1348" s="2"/>
    </row>
    <row r="1349" customFormat="false" ht="12.75" hidden="false" customHeight="true" outlineLevel="0" collapsed="false">
      <c r="H1349" s="2"/>
    </row>
    <row r="1350" customFormat="false" ht="12.75" hidden="false" customHeight="true" outlineLevel="0" collapsed="false">
      <c r="H1350" s="2"/>
    </row>
    <row r="1351" customFormat="false" ht="12.75" hidden="false" customHeight="true" outlineLevel="0" collapsed="false">
      <c r="H1351" s="2"/>
    </row>
    <row r="1352" customFormat="false" ht="12.75" hidden="false" customHeight="true" outlineLevel="0" collapsed="false">
      <c r="H1352" s="2"/>
    </row>
    <row r="1353" customFormat="false" ht="12.75" hidden="false" customHeight="true" outlineLevel="0" collapsed="false">
      <c r="H1353" s="2"/>
    </row>
    <row r="1354" customFormat="false" ht="12.75" hidden="false" customHeight="true" outlineLevel="0" collapsed="false">
      <c r="H1354" s="2"/>
    </row>
    <row r="1355" customFormat="false" ht="12.75" hidden="false" customHeight="true" outlineLevel="0" collapsed="false">
      <c r="H1355" s="2"/>
    </row>
    <row r="1356" customFormat="false" ht="12.75" hidden="false" customHeight="true" outlineLevel="0" collapsed="false">
      <c r="H1356" s="2"/>
    </row>
    <row r="1357" customFormat="false" ht="12.75" hidden="false" customHeight="true" outlineLevel="0" collapsed="false">
      <c r="H1357" s="2"/>
    </row>
    <row r="1358" customFormat="false" ht="12.75" hidden="false" customHeight="true" outlineLevel="0" collapsed="false">
      <c r="H1358" s="2"/>
    </row>
    <row r="1359" customFormat="false" ht="12.75" hidden="false" customHeight="true" outlineLevel="0" collapsed="false">
      <c r="H1359" s="2"/>
    </row>
    <row r="1360" customFormat="false" ht="12.75" hidden="false" customHeight="true" outlineLevel="0" collapsed="false">
      <c r="H1360" s="2"/>
    </row>
    <row r="1361" customFormat="false" ht="12.75" hidden="false" customHeight="true" outlineLevel="0" collapsed="false">
      <c r="H1361" s="2"/>
    </row>
    <row r="1362" customFormat="false" ht="12.75" hidden="false" customHeight="true" outlineLevel="0" collapsed="false">
      <c r="H1362" s="2"/>
    </row>
    <row r="1363" customFormat="false" ht="12.75" hidden="false" customHeight="true" outlineLevel="0" collapsed="false">
      <c r="H1363" s="2"/>
    </row>
    <row r="1364" customFormat="false" ht="12.75" hidden="false" customHeight="true" outlineLevel="0" collapsed="false">
      <c r="H1364" s="2"/>
    </row>
    <row r="1365" customFormat="false" ht="12.75" hidden="false" customHeight="true" outlineLevel="0" collapsed="false">
      <c r="H1365" s="2"/>
    </row>
    <row r="1366" customFormat="false" ht="12.75" hidden="false" customHeight="true" outlineLevel="0" collapsed="false">
      <c r="H1366" s="2"/>
    </row>
    <row r="1367" customFormat="false" ht="12.75" hidden="false" customHeight="true" outlineLevel="0" collapsed="false">
      <c r="H1367" s="2"/>
    </row>
    <row r="1368" customFormat="false" ht="12.75" hidden="false" customHeight="true" outlineLevel="0" collapsed="false">
      <c r="H1368" s="2"/>
    </row>
    <row r="1369" customFormat="false" ht="12.75" hidden="false" customHeight="true" outlineLevel="0" collapsed="false">
      <c r="H1369" s="2"/>
    </row>
    <row r="1370" customFormat="false" ht="12.75" hidden="false" customHeight="true" outlineLevel="0" collapsed="false">
      <c r="H1370" s="2"/>
    </row>
    <row r="1371" customFormat="false" ht="12.75" hidden="false" customHeight="true" outlineLevel="0" collapsed="false">
      <c r="H1371" s="2"/>
    </row>
    <row r="1372" customFormat="false" ht="12.75" hidden="false" customHeight="true" outlineLevel="0" collapsed="false">
      <c r="H1372" s="2"/>
    </row>
    <row r="1373" customFormat="false" ht="12.75" hidden="false" customHeight="true" outlineLevel="0" collapsed="false">
      <c r="H1373" s="2"/>
    </row>
    <row r="1374" customFormat="false" ht="12.75" hidden="false" customHeight="true" outlineLevel="0" collapsed="false">
      <c r="H1374" s="2"/>
    </row>
    <row r="1375" customFormat="false" ht="12.75" hidden="false" customHeight="true" outlineLevel="0" collapsed="false">
      <c r="H1375" s="2"/>
    </row>
    <row r="1376" customFormat="false" ht="12.75" hidden="false" customHeight="true" outlineLevel="0" collapsed="false">
      <c r="H1376" s="2"/>
    </row>
    <row r="1377" customFormat="false" ht="12.75" hidden="false" customHeight="true" outlineLevel="0" collapsed="false">
      <c r="H1377" s="2"/>
    </row>
    <row r="1378" customFormat="false" ht="12.75" hidden="false" customHeight="true" outlineLevel="0" collapsed="false">
      <c r="H1378" s="2"/>
    </row>
    <row r="1379" customFormat="false" ht="12.75" hidden="false" customHeight="true" outlineLevel="0" collapsed="false">
      <c r="H1379" s="2"/>
    </row>
    <row r="1380" customFormat="false" ht="12.75" hidden="false" customHeight="true" outlineLevel="0" collapsed="false">
      <c r="H1380" s="2"/>
    </row>
    <row r="1381" customFormat="false" ht="12.75" hidden="false" customHeight="true" outlineLevel="0" collapsed="false">
      <c r="H1381" s="2"/>
    </row>
    <row r="1382" customFormat="false" ht="12.75" hidden="false" customHeight="true" outlineLevel="0" collapsed="false">
      <c r="H1382" s="2"/>
    </row>
    <row r="1383" customFormat="false" ht="12.75" hidden="false" customHeight="true" outlineLevel="0" collapsed="false">
      <c r="H1383" s="2"/>
    </row>
    <row r="1384" customFormat="false" ht="12.75" hidden="false" customHeight="true" outlineLevel="0" collapsed="false">
      <c r="H1384" s="2"/>
    </row>
    <row r="1385" customFormat="false" ht="12.75" hidden="false" customHeight="true" outlineLevel="0" collapsed="false">
      <c r="H1385" s="2"/>
    </row>
    <row r="1386" customFormat="false" ht="12.75" hidden="false" customHeight="true" outlineLevel="0" collapsed="false">
      <c r="H1386" s="2"/>
    </row>
    <row r="1387" customFormat="false" ht="12.75" hidden="false" customHeight="true" outlineLevel="0" collapsed="false">
      <c r="H1387" s="2"/>
    </row>
    <row r="1388" customFormat="false" ht="12.75" hidden="false" customHeight="true" outlineLevel="0" collapsed="false">
      <c r="H1388" s="2"/>
    </row>
    <row r="1389" customFormat="false" ht="12.75" hidden="false" customHeight="true" outlineLevel="0" collapsed="false">
      <c r="H1389" s="2"/>
    </row>
    <row r="1390" customFormat="false" ht="12.75" hidden="false" customHeight="true" outlineLevel="0" collapsed="false">
      <c r="H1390" s="2"/>
    </row>
    <row r="1391" customFormat="false" ht="12.75" hidden="false" customHeight="true" outlineLevel="0" collapsed="false">
      <c r="H1391" s="2"/>
    </row>
    <row r="1392" customFormat="false" ht="12.75" hidden="false" customHeight="true" outlineLevel="0" collapsed="false">
      <c r="H1392" s="2"/>
    </row>
    <row r="1393" customFormat="false" ht="12.75" hidden="false" customHeight="true" outlineLevel="0" collapsed="false">
      <c r="H1393" s="2"/>
    </row>
    <row r="1394" customFormat="false" ht="12.75" hidden="false" customHeight="true" outlineLevel="0" collapsed="false">
      <c r="H1394" s="2"/>
    </row>
    <row r="1395" customFormat="false" ht="12.75" hidden="false" customHeight="true" outlineLevel="0" collapsed="false">
      <c r="H1395" s="2"/>
    </row>
    <row r="1396" customFormat="false" ht="12.75" hidden="false" customHeight="true" outlineLevel="0" collapsed="false">
      <c r="H1396" s="2"/>
    </row>
    <row r="1397" customFormat="false" ht="12.75" hidden="false" customHeight="true" outlineLevel="0" collapsed="false">
      <c r="H1397" s="2"/>
    </row>
    <row r="1398" customFormat="false" ht="12.75" hidden="false" customHeight="true" outlineLevel="0" collapsed="false">
      <c r="H1398" s="2"/>
    </row>
    <row r="1399" customFormat="false" ht="12.75" hidden="false" customHeight="true" outlineLevel="0" collapsed="false">
      <c r="H1399" s="2"/>
    </row>
    <row r="1400" customFormat="false" ht="12.75" hidden="false" customHeight="true" outlineLevel="0" collapsed="false">
      <c r="H1400" s="2"/>
    </row>
    <row r="1401" customFormat="false" ht="12.75" hidden="false" customHeight="true" outlineLevel="0" collapsed="false">
      <c r="H1401" s="2"/>
    </row>
    <row r="1402" customFormat="false" ht="12.75" hidden="false" customHeight="true" outlineLevel="0" collapsed="false">
      <c r="H1402" s="2"/>
    </row>
    <row r="1403" customFormat="false" ht="12.75" hidden="false" customHeight="true" outlineLevel="0" collapsed="false">
      <c r="H1403" s="2"/>
    </row>
    <row r="1404" customFormat="false" ht="12.75" hidden="false" customHeight="true" outlineLevel="0" collapsed="false">
      <c r="H1404" s="2"/>
    </row>
    <row r="1405" customFormat="false" ht="12.75" hidden="false" customHeight="true" outlineLevel="0" collapsed="false">
      <c r="H1405" s="2"/>
    </row>
    <row r="1406" customFormat="false" ht="12.75" hidden="false" customHeight="true" outlineLevel="0" collapsed="false">
      <c r="H1406" s="2"/>
    </row>
    <row r="1407" customFormat="false" ht="12.75" hidden="false" customHeight="true" outlineLevel="0" collapsed="false">
      <c r="H1407" s="2"/>
    </row>
    <row r="1408" customFormat="false" ht="12.75" hidden="false" customHeight="true" outlineLevel="0" collapsed="false">
      <c r="H1408" s="2"/>
    </row>
    <row r="1409" customFormat="false" ht="12.75" hidden="false" customHeight="true" outlineLevel="0" collapsed="false">
      <c r="H1409" s="2"/>
    </row>
    <row r="1410" customFormat="false" ht="12.75" hidden="false" customHeight="true" outlineLevel="0" collapsed="false">
      <c r="H1410" s="2"/>
    </row>
    <row r="1411" customFormat="false" ht="12.75" hidden="false" customHeight="true" outlineLevel="0" collapsed="false">
      <c r="H1411" s="2"/>
    </row>
    <row r="1412" customFormat="false" ht="12.75" hidden="false" customHeight="true" outlineLevel="0" collapsed="false">
      <c r="H1412" s="2"/>
    </row>
    <row r="1413" customFormat="false" ht="12.75" hidden="false" customHeight="true" outlineLevel="0" collapsed="false">
      <c r="H1413" s="2"/>
    </row>
    <row r="1414" customFormat="false" ht="12.75" hidden="false" customHeight="true" outlineLevel="0" collapsed="false">
      <c r="H1414" s="2"/>
    </row>
    <row r="1415" customFormat="false" ht="12.75" hidden="false" customHeight="true" outlineLevel="0" collapsed="false">
      <c r="H1415" s="2"/>
    </row>
    <row r="1416" customFormat="false" ht="12.75" hidden="false" customHeight="true" outlineLevel="0" collapsed="false">
      <c r="H1416" s="2"/>
    </row>
    <row r="1417" customFormat="false" ht="12.75" hidden="false" customHeight="true" outlineLevel="0" collapsed="false">
      <c r="H1417" s="2"/>
    </row>
    <row r="1418" customFormat="false" ht="12.75" hidden="false" customHeight="true" outlineLevel="0" collapsed="false">
      <c r="H1418" s="2"/>
    </row>
    <row r="1419" customFormat="false" ht="12.75" hidden="false" customHeight="true" outlineLevel="0" collapsed="false">
      <c r="H1419" s="2"/>
    </row>
    <row r="1420" customFormat="false" ht="12.75" hidden="false" customHeight="true" outlineLevel="0" collapsed="false">
      <c r="H1420" s="2"/>
    </row>
    <row r="1421" customFormat="false" ht="12.75" hidden="false" customHeight="true" outlineLevel="0" collapsed="false">
      <c r="H1421" s="2"/>
    </row>
    <row r="1422" customFormat="false" ht="12.75" hidden="false" customHeight="true" outlineLevel="0" collapsed="false">
      <c r="H1422" s="2"/>
    </row>
    <row r="1423" customFormat="false" ht="12.75" hidden="false" customHeight="true" outlineLevel="0" collapsed="false">
      <c r="H1423" s="2"/>
    </row>
    <row r="1424" customFormat="false" ht="12.75" hidden="false" customHeight="true" outlineLevel="0" collapsed="false">
      <c r="H1424" s="2"/>
    </row>
    <row r="1425" customFormat="false" ht="12.75" hidden="false" customHeight="true" outlineLevel="0" collapsed="false">
      <c r="H1425" s="2"/>
    </row>
    <row r="1426" customFormat="false" ht="12.75" hidden="false" customHeight="true" outlineLevel="0" collapsed="false">
      <c r="H1426" s="2"/>
    </row>
    <row r="1427" customFormat="false" ht="12.75" hidden="false" customHeight="true" outlineLevel="0" collapsed="false">
      <c r="H1427" s="2"/>
    </row>
    <row r="1428" customFormat="false" ht="12.75" hidden="false" customHeight="true" outlineLevel="0" collapsed="false">
      <c r="H1428" s="2"/>
    </row>
    <row r="1429" customFormat="false" ht="12.75" hidden="false" customHeight="true" outlineLevel="0" collapsed="false">
      <c r="H1429" s="2"/>
    </row>
    <row r="1430" customFormat="false" ht="12.75" hidden="false" customHeight="true" outlineLevel="0" collapsed="false">
      <c r="H1430" s="2"/>
    </row>
    <row r="1431" customFormat="false" ht="12.75" hidden="false" customHeight="true" outlineLevel="0" collapsed="false">
      <c r="H1431" s="2"/>
    </row>
    <row r="1432" customFormat="false" ht="12.75" hidden="false" customHeight="true" outlineLevel="0" collapsed="false">
      <c r="H1432" s="2"/>
    </row>
    <row r="1433" customFormat="false" ht="12.75" hidden="false" customHeight="true" outlineLevel="0" collapsed="false">
      <c r="H1433" s="2"/>
    </row>
    <row r="1434" customFormat="false" ht="12.75" hidden="false" customHeight="true" outlineLevel="0" collapsed="false">
      <c r="H1434" s="2"/>
    </row>
    <row r="1435" customFormat="false" ht="12.75" hidden="false" customHeight="true" outlineLevel="0" collapsed="false">
      <c r="H1435" s="2"/>
    </row>
    <row r="1436" customFormat="false" ht="12.75" hidden="false" customHeight="true" outlineLevel="0" collapsed="false">
      <c r="H1436" s="2"/>
    </row>
    <row r="1437" customFormat="false" ht="12.75" hidden="false" customHeight="true" outlineLevel="0" collapsed="false">
      <c r="H1437" s="2"/>
    </row>
    <row r="1438" customFormat="false" ht="12.75" hidden="false" customHeight="true" outlineLevel="0" collapsed="false">
      <c r="H1438" s="2"/>
    </row>
    <row r="1439" customFormat="false" ht="12.75" hidden="false" customHeight="true" outlineLevel="0" collapsed="false">
      <c r="H1439" s="2"/>
    </row>
    <row r="1440" customFormat="false" ht="12.75" hidden="false" customHeight="true" outlineLevel="0" collapsed="false">
      <c r="H1440" s="2"/>
    </row>
    <row r="1441" customFormat="false" ht="12.75" hidden="false" customHeight="true" outlineLevel="0" collapsed="false">
      <c r="H1441" s="2"/>
    </row>
    <row r="1442" customFormat="false" ht="12.75" hidden="false" customHeight="true" outlineLevel="0" collapsed="false">
      <c r="H1442" s="2"/>
    </row>
    <row r="1443" customFormat="false" ht="12.75" hidden="false" customHeight="true" outlineLevel="0" collapsed="false">
      <c r="H1443" s="2"/>
    </row>
    <row r="1444" customFormat="false" ht="12.75" hidden="false" customHeight="true" outlineLevel="0" collapsed="false">
      <c r="H1444" s="2"/>
    </row>
    <row r="1445" customFormat="false" ht="12.75" hidden="false" customHeight="true" outlineLevel="0" collapsed="false">
      <c r="H1445" s="2"/>
    </row>
    <row r="1446" customFormat="false" ht="12.75" hidden="false" customHeight="true" outlineLevel="0" collapsed="false">
      <c r="H1446" s="2"/>
    </row>
    <row r="1447" customFormat="false" ht="12.75" hidden="false" customHeight="true" outlineLevel="0" collapsed="false">
      <c r="H1447" s="2"/>
    </row>
    <row r="1448" customFormat="false" ht="12.75" hidden="false" customHeight="true" outlineLevel="0" collapsed="false">
      <c r="H1448" s="2"/>
    </row>
    <row r="1449" customFormat="false" ht="12.75" hidden="false" customHeight="true" outlineLevel="0" collapsed="false">
      <c r="H1449" s="2"/>
    </row>
    <row r="1450" customFormat="false" ht="12.75" hidden="false" customHeight="true" outlineLevel="0" collapsed="false">
      <c r="H1450" s="2"/>
    </row>
    <row r="1451" customFormat="false" ht="12.75" hidden="false" customHeight="true" outlineLevel="0" collapsed="false">
      <c r="H1451" s="2"/>
    </row>
    <row r="1452" customFormat="false" ht="12.75" hidden="false" customHeight="true" outlineLevel="0" collapsed="false">
      <c r="H1452" s="2"/>
    </row>
    <row r="1453" customFormat="false" ht="12.75" hidden="false" customHeight="true" outlineLevel="0" collapsed="false">
      <c r="H1453" s="2"/>
    </row>
    <row r="1454" customFormat="false" ht="12.75" hidden="false" customHeight="true" outlineLevel="0" collapsed="false">
      <c r="H1454" s="2"/>
    </row>
    <row r="1455" customFormat="false" ht="12.75" hidden="false" customHeight="true" outlineLevel="0" collapsed="false">
      <c r="H1455" s="2"/>
    </row>
    <row r="1456" customFormat="false" ht="12.75" hidden="false" customHeight="true" outlineLevel="0" collapsed="false">
      <c r="H1456" s="2"/>
    </row>
    <row r="1457" customFormat="false" ht="12.75" hidden="false" customHeight="true" outlineLevel="0" collapsed="false">
      <c r="H1457" s="2"/>
    </row>
    <row r="1458" customFormat="false" ht="12.75" hidden="false" customHeight="true" outlineLevel="0" collapsed="false">
      <c r="H1458" s="2"/>
    </row>
    <row r="1459" customFormat="false" ht="12.75" hidden="false" customHeight="true" outlineLevel="0" collapsed="false">
      <c r="H1459" s="2"/>
    </row>
    <row r="1460" customFormat="false" ht="12.75" hidden="false" customHeight="true" outlineLevel="0" collapsed="false">
      <c r="H1460" s="2"/>
    </row>
    <row r="1461" customFormat="false" ht="12.75" hidden="false" customHeight="true" outlineLevel="0" collapsed="false">
      <c r="H1461" s="2"/>
    </row>
    <row r="1462" customFormat="false" ht="12.75" hidden="false" customHeight="true" outlineLevel="0" collapsed="false">
      <c r="H1462" s="2"/>
    </row>
    <row r="1463" customFormat="false" ht="12.75" hidden="false" customHeight="true" outlineLevel="0" collapsed="false">
      <c r="H1463" s="2"/>
    </row>
    <row r="1464" customFormat="false" ht="12.75" hidden="false" customHeight="true" outlineLevel="0" collapsed="false">
      <c r="H1464" s="2"/>
    </row>
    <row r="1465" customFormat="false" ht="12.75" hidden="false" customHeight="true" outlineLevel="0" collapsed="false">
      <c r="H1465" s="2"/>
    </row>
    <row r="1466" customFormat="false" ht="12.75" hidden="false" customHeight="true" outlineLevel="0" collapsed="false">
      <c r="H1466" s="2"/>
    </row>
    <row r="1467" customFormat="false" ht="12.75" hidden="false" customHeight="true" outlineLevel="0" collapsed="false">
      <c r="H1467" s="2"/>
    </row>
    <row r="1468" customFormat="false" ht="12.75" hidden="false" customHeight="true" outlineLevel="0" collapsed="false">
      <c r="H1468" s="2"/>
    </row>
    <row r="1469" customFormat="false" ht="12.75" hidden="false" customHeight="true" outlineLevel="0" collapsed="false">
      <c r="H1469" s="2"/>
    </row>
    <row r="1470" customFormat="false" ht="12.75" hidden="false" customHeight="true" outlineLevel="0" collapsed="false">
      <c r="H1470" s="2"/>
    </row>
    <row r="1471" customFormat="false" ht="12.75" hidden="false" customHeight="true" outlineLevel="0" collapsed="false">
      <c r="H1471" s="2"/>
    </row>
    <row r="1472" customFormat="false" ht="12.75" hidden="false" customHeight="true" outlineLevel="0" collapsed="false">
      <c r="H1472" s="2"/>
    </row>
    <row r="1473" customFormat="false" ht="12.75" hidden="false" customHeight="true" outlineLevel="0" collapsed="false">
      <c r="H1473" s="2"/>
    </row>
    <row r="1474" customFormat="false" ht="12.75" hidden="false" customHeight="true" outlineLevel="0" collapsed="false">
      <c r="H1474" s="2"/>
    </row>
    <row r="1475" customFormat="false" ht="12.75" hidden="false" customHeight="true" outlineLevel="0" collapsed="false">
      <c r="H1475" s="2"/>
    </row>
    <row r="1476" customFormat="false" ht="12.75" hidden="false" customHeight="true" outlineLevel="0" collapsed="false">
      <c r="H1476" s="2"/>
    </row>
    <row r="1477" customFormat="false" ht="12.75" hidden="false" customHeight="true" outlineLevel="0" collapsed="false">
      <c r="H1477" s="2"/>
    </row>
    <row r="1478" customFormat="false" ht="12.75" hidden="false" customHeight="true" outlineLevel="0" collapsed="false">
      <c r="H1478" s="2"/>
    </row>
    <row r="1479" customFormat="false" ht="12.75" hidden="false" customHeight="true" outlineLevel="0" collapsed="false">
      <c r="H1479" s="2"/>
    </row>
    <row r="1480" customFormat="false" ht="12.75" hidden="false" customHeight="true" outlineLevel="0" collapsed="false">
      <c r="H1480" s="2"/>
    </row>
    <row r="1481" customFormat="false" ht="12.75" hidden="false" customHeight="true" outlineLevel="0" collapsed="false">
      <c r="H1481" s="2"/>
    </row>
    <row r="1482" customFormat="false" ht="12.75" hidden="false" customHeight="true" outlineLevel="0" collapsed="false">
      <c r="H1482" s="2"/>
    </row>
    <row r="1483" customFormat="false" ht="12.75" hidden="false" customHeight="true" outlineLevel="0" collapsed="false">
      <c r="H1483" s="2"/>
    </row>
    <row r="1484" customFormat="false" ht="12.75" hidden="false" customHeight="true" outlineLevel="0" collapsed="false">
      <c r="H1484" s="2"/>
    </row>
    <row r="1485" customFormat="false" ht="12.75" hidden="false" customHeight="true" outlineLevel="0" collapsed="false">
      <c r="H1485" s="2"/>
    </row>
    <row r="1486" customFormat="false" ht="12.75" hidden="false" customHeight="true" outlineLevel="0" collapsed="false">
      <c r="H1486" s="2"/>
    </row>
    <row r="1487" customFormat="false" ht="12.75" hidden="false" customHeight="true" outlineLevel="0" collapsed="false">
      <c r="H1487" s="2"/>
    </row>
    <row r="1488" customFormat="false" ht="12.75" hidden="false" customHeight="true" outlineLevel="0" collapsed="false">
      <c r="H1488" s="2"/>
    </row>
    <row r="1489" customFormat="false" ht="12.75" hidden="false" customHeight="true" outlineLevel="0" collapsed="false">
      <c r="H1489" s="2"/>
    </row>
    <row r="1490" customFormat="false" ht="12.75" hidden="false" customHeight="true" outlineLevel="0" collapsed="false">
      <c r="H1490" s="2"/>
    </row>
    <row r="1491" customFormat="false" ht="12.75" hidden="false" customHeight="true" outlineLevel="0" collapsed="false">
      <c r="H1491" s="2"/>
    </row>
    <row r="1492" customFormat="false" ht="12.75" hidden="false" customHeight="true" outlineLevel="0" collapsed="false">
      <c r="H1492" s="2"/>
    </row>
    <row r="1493" customFormat="false" ht="12.75" hidden="false" customHeight="true" outlineLevel="0" collapsed="false">
      <c r="H1493" s="2"/>
    </row>
    <row r="1494" customFormat="false" ht="12.75" hidden="false" customHeight="true" outlineLevel="0" collapsed="false">
      <c r="H1494" s="2"/>
    </row>
    <row r="1495" customFormat="false" ht="12.75" hidden="false" customHeight="true" outlineLevel="0" collapsed="false">
      <c r="H1495" s="2"/>
    </row>
    <row r="1496" customFormat="false" ht="12.75" hidden="false" customHeight="true" outlineLevel="0" collapsed="false">
      <c r="H1496" s="2"/>
    </row>
    <row r="1497" customFormat="false" ht="12.75" hidden="false" customHeight="true" outlineLevel="0" collapsed="false">
      <c r="H1497" s="2"/>
    </row>
    <row r="1498" customFormat="false" ht="12.75" hidden="false" customHeight="true" outlineLevel="0" collapsed="false">
      <c r="H1498" s="2"/>
    </row>
    <row r="1499" customFormat="false" ht="12.75" hidden="false" customHeight="true" outlineLevel="0" collapsed="false">
      <c r="H1499" s="2"/>
    </row>
    <row r="1500" customFormat="false" ht="12.75" hidden="false" customHeight="true" outlineLevel="0" collapsed="false">
      <c r="H1500" s="2"/>
    </row>
    <row r="1501" customFormat="false" ht="12.75" hidden="false" customHeight="true" outlineLevel="0" collapsed="false">
      <c r="H1501" s="2"/>
    </row>
    <row r="1502" customFormat="false" ht="12.75" hidden="false" customHeight="true" outlineLevel="0" collapsed="false">
      <c r="H1502" s="2"/>
    </row>
    <row r="1503" customFormat="false" ht="12.75" hidden="false" customHeight="true" outlineLevel="0" collapsed="false">
      <c r="H1503" s="2"/>
    </row>
    <row r="1504" customFormat="false" ht="12.75" hidden="false" customHeight="true" outlineLevel="0" collapsed="false">
      <c r="H1504" s="2"/>
    </row>
    <row r="1505" customFormat="false" ht="12.75" hidden="false" customHeight="true" outlineLevel="0" collapsed="false">
      <c r="H1505" s="2"/>
    </row>
    <row r="1506" customFormat="false" ht="12.75" hidden="false" customHeight="true" outlineLevel="0" collapsed="false">
      <c r="H1506" s="2"/>
    </row>
    <row r="1507" customFormat="false" ht="12.75" hidden="false" customHeight="true" outlineLevel="0" collapsed="false">
      <c r="H1507" s="2"/>
    </row>
    <row r="1508" customFormat="false" ht="12.75" hidden="false" customHeight="true" outlineLevel="0" collapsed="false">
      <c r="H1508" s="2"/>
    </row>
    <row r="1509" customFormat="false" ht="12.75" hidden="false" customHeight="true" outlineLevel="0" collapsed="false">
      <c r="H1509" s="2"/>
    </row>
    <row r="1510" customFormat="false" ht="12.75" hidden="false" customHeight="true" outlineLevel="0" collapsed="false">
      <c r="H1510" s="2"/>
    </row>
    <row r="1511" customFormat="false" ht="12.75" hidden="false" customHeight="true" outlineLevel="0" collapsed="false">
      <c r="H1511" s="2"/>
    </row>
    <row r="1512" customFormat="false" ht="12.75" hidden="false" customHeight="true" outlineLevel="0" collapsed="false">
      <c r="H1512" s="2"/>
    </row>
    <row r="1513" customFormat="false" ht="12.75" hidden="false" customHeight="true" outlineLevel="0" collapsed="false">
      <c r="H1513" s="2"/>
    </row>
    <row r="1514" customFormat="false" ht="12.75" hidden="false" customHeight="true" outlineLevel="0" collapsed="false">
      <c r="H1514" s="2"/>
    </row>
    <row r="1515" customFormat="false" ht="12.75" hidden="false" customHeight="true" outlineLevel="0" collapsed="false">
      <c r="H1515" s="2"/>
    </row>
    <row r="1516" customFormat="false" ht="12.75" hidden="false" customHeight="true" outlineLevel="0" collapsed="false">
      <c r="H1516" s="2"/>
    </row>
    <row r="1517" customFormat="false" ht="12.75" hidden="false" customHeight="true" outlineLevel="0" collapsed="false">
      <c r="H1517" s="2"/>
    </row>
    <row r="1518" customFormat="false" ht="12.75" hidden="false" customHeight="true" outlineLevel="0" collapsed="false">
      <c r="H1518" s="2"/>
    </row>
    <row r="1519" customFormat="false" ht="12.75" hidden="false" customHeight="true" outlineLevel="0" collapsed="false">
      <c r="H1519" s="2"/>
    </row>
    <row r="1520" customFormat="false" ht="12.75" hidden="false" customHeight="true" outlineLevel="0" collapsed="false">
      <c r="H1520" s="2"/>
    </row>
    <row r="1521" customFormat="false" ht="12.75" hidden="false" customHeight="true" outlineLevel="0" collapsed="false">
      <c r="H1521" s="2"/>
    </row>
    <row r="1522" customFormat="false" ht="12.75" hidden="false" customHeight="true" outlineLevel="0" collapsed="false">
      <c r="H1522" s="2"/>
    </row>
    <row r="1523" customFormat="false" ht="12.75" hidden="false" customHeight="true" outlineLevel="0" collapsed="false">
      <c r="H1523" s="2"/>
    </row>
    <row r="1524" customFormat="false" ht="12.75" hidden="false" customHeight="true" outlineLevel="0" collapsed="false">
      <c r="H1524" s="2"/>
    </row>
    <row r="1525" customFormat="false" ht="12.75" hidden="false" customHeight="true" outlineLevel="0" collapsed="false">
      <c r="H1525" s="2"/>
    </row>
    <row r="1526" customFormat="false" ht="12.75" hidden="false" customHeight="true" outlineLevel="0" collapsed="false">
      <c r="H1526" s="2"/>
    </row>
    <row r="1527" customFormat="false" ht="12.75" hidden="false" customHeight="true" outlineLevel="0" collapsed="false">
      <c r="H1527" s="2"/>
    </row>
    <row r="1528" customFormat="false" ht="12.75" hidden="false" customHeight="true" outlineLevel="0" collapsed="false">
      <c r="H1528" s="2"/>
    </row>
    <row r="1529" customFormat="false" ht="12.75" hidden="false" customHeight="true" outlineLevel="0" collapsed="false">
      <c r="H1529" s="2"/>
    </row>
    <row r="1530" customFormat="false" ht="12.75" hidden="false" customHeight="true" outlineLevel="0" collapsed="false">
      <c r="H1530" s="2"/>
    </row>
    <row r="1531" customFormat="false" ht="12.75" hidden="false" customHeight="true" outlineLevel="0" collapsed="false">
      <c r="H1531" s="2"/>
    </row>
    <row r="1532" customFormat="false" ht="12.75" hidden="false" customHeight="true" outlineLevel="0" collapsed="false">
      <c r="H1532" s="2"/>
    </row>
    <row r="1533" customFormat="false" ht="12.75" hidden="false" customHeight="true" outlineLevel="0" collapsed="false">
      <c r="H1533" s="2"/>
    </row>
    <row r="1534" customFormat="false" ht="12.75" hidden="false" customHeight="true" outlineLevel="0" collapsed="false">
      <c r="H1534" s="2"/>
    </row>
    <row r="1535" customFormat="false" ht="12.75" hidden="false" customHeight="true" outlineLevel="0" collapsed="false">
      <c r="H1535" s="2"/>
    </row>
    <row r="1536" customFormat="false" ht="12.75" hidden="false" customHeight="true" outlineLevel="0" collapsed="false">
      <c r="H1536" s="2"/>
    </row>
    <row r="1537" customFormat="false" ht="12.75" hidden="false" customHeight="true" outlineLevel="0" collapsed="false">
      <c r="H1537" s="2"/>
    </row>
    <row r="1538" customFormat="false" ht="12.75" hidden="false" customHeight="true" outlineLevel="0" collapsed="false">
      <c r="H1538" s="2"/>
    </row>
    <row r="1539" customFormat="false" ht="12.75" hidden="false" customHeight="true" outlineLevel="0" collapsed="false">
      <c r="H1539" s="2"/>
    </row>
    <row r="1540" customFormat="false" ht="12.75" hidden="false" customHeight="true" outlineLevel="0" collapsed="false">
      <c r="H1540" s="2"/>
    </row>
    <row r="1541" customFormat="false" ht="12.75" hidden="false" customHeight="true" outlineLevel="0" collapsed="false">
      <c r="H1541" s="2"/>
    </row>
    <row r="1542" customFormat="false" ht="12.75" hidden="false" customHeight="true" outlineLevel="0" collapsed="false">
      <c r="H1542" s="2"/>
    </row>
    <row r="1543" customFormat="false" ht="12.75" hidden="false" customHeight="true" outlineLevel="0" collapsed="false">
      <c r="H1543" s="2"/>
    </row>
    <row r="1544" customFormat="false" ht="12.75" hidden="false" customHeight="true" outlineLevel="0" collapsed="false">
      <c r="H1544" s="2"/>
    </row>
    <row r="1545" customFormat="false" ht="12.75" hidden="false" customHeight="true" outlineLevel="0" collapsed="false">
      <c r="H1545" s="2"/>
    </row>
    <row r="1546" customFormat="false" ht="12.75" hidden="false" customHeight="true" outlineLevel="0" collapsed="false">
      <c r="H1546" s="2"/>
    </row>
    <row r="1547" customFormat="false" ht="12.75" hidden="false" customHeight="true" outlineLevel="0" collapsed="false">
      <c r="H1547" s="2"/>
    </row>
    <row r="1548" customFormat="false" ht="12.75" hidden="false" customHeight="true" outlineLevel="0" collapsed="false">
      <c r="H1548" s="2"/>
    </row>
    <row r="1549" customFormat="false" ht="12.75" hidden="false" customHeight="true" outlineLevel="0" collapsed="false">
      <c r="H1549" s="2"/>
    </row>
    <row r="1550" customFormat="false" ht="12.75" hidden="false" customHeight="true" outlineLevel="0" collapsed="false">
      <c r="H1550" s="2"/>
    </row>
    <row r="1551" customFormat="false" ht="12.75" hidden="false" customHeight="true" outlineLevel="0" collapsed="false">
      <c r="H1551" s="2"/>
    </row>
    <row r="1552" customFormat="false" ht="12.75" hidden="false" customHeight="true" outlineLevel="0" collapsed="false">
      <c r="H1552" s="2"/>
    </row>
    <row r="1553" customFormat="false" ht="12.75" hidden="false" customHeight="true" outlineLevel="0" collapsed="false">
      <c r="H1553" s="2"/>
    </row>
    <row r="1554" customFormat="false" ht="12.75" hidden="false" customHeight="true" outlineLevel="0" collapsed="false">
      <c r="H1554" s="2"/>
    </row>
    <row r="1555" customFormat="false" ht="12.75" hidden="false" customHeight="true" outlineLevel="0" collapsed="false">
      <c r="H1555" s="2"/>
    </row>
    <row r="1556" customFormat="false" ht="12.75" hidden="false" customHeight="true" outlineLevel="0" collapsed="false">
      <c r="H1556" s="2"/>
    </row>
    <row r="1557" customFormat="false" ht="12.75" hidden="false" customHeight="true" outlineLevel="0" collapsed="false">
      <c r="H1557" s="2"/>
    </row>
    <row r="1558" customFormat="false" ht="12.75" hidden="false" customHeight="true" outlineLevel="0" collapsed="false">
      <c r="H1558" s="2"/>
    </row>
    <row r="1559" customFormat="false" ht="12.75" hidden="false" customHeight="true" outlineLevel="0" collapsed="false">
      <c r="H1559" s="2"/>
    </row>
    <row r="1560" customFormat="false" ht="12.75" hidden="false" customHeight="true" outlineLevel="0" collapsed="false">
      <c r="H1560" s="2"/>
    </row>
    <row r="1561" customFormat="false" ht="12.75" hidden="false" customHeight="true" outlineLevel="0" collapsed="false">
      <c r="H1561" s="2"/>
    </row>
    <row r="1562" customFormat="false" ht="12.75" hidden="false" customHeight="true" outlineLevel="0" collapsed="false">
      <c r="H1562" s="2"/>
    </row>
    <row r="1563" customFormat="false" ht="12.75" hidden="false" customHeight="true" outlineLevel="0" collapsed="false">
      <c r="H1563" s="2"/>
    </row>
    <row r="1564" customFormat="false" ht="12.75" hidden="false" customHeight="true" outlineLevel="0" collapsed="false">
      <c r="H1564" s="2"/>
    </row>
    <row r="1565" customFormat="false" ht="12.75" hidden="false" customHeight="true" outlineLevel="0" collapsed="false">
      <c r="H1565" s="2"/>
    </row>
    <row r="1566" customFormat="false" ht="12.75" hidden="false" customHeight="true" outlineLevel="0" collapsed="false">
      <c r="H1566" s="2"/>
    </row>
    <row r="1567" customFormat="false" ht="12.75" hidden="false" customHeight="true" outlineLevel="0" collapsed="false">
      <c r="H1567" s="2"/>
    </row>
    <row r="1568" customFormat="false" ht="12.75" hidden="false" customHeight="true" outlineLevel="0" collapsed="false">
      <c r="H1568" s="2"/>
    </row>
    <row r="1569" customFormat="false" ht="12.75" hidden="false" customHeight="true" outlineLevel="0" collapsed="false">
      <c r="H1569" s="2"/>
    </row>
    <row r="1570" customFormat="false" ht="12.75" hidden="false" customHeight="true" outlineLevel="0" collapsed="false">
      <c r="H1570" s="2"/>
    </row>
    <row r="1571" customFormat="false" ht="12.75" hidden="false" customHeight="true" outlineLevel="0" collapsed="false">
      <c r="H1571" s="2"/>
    </row>
    <row r="1572" customFormat="false" ht="12.75" hidden="false" customHeight="true" outlineLevel="0" collapsed="false">
      <c r="H1572" s="2"/>
    </row>
    <row r="1573" customFormat="false" ht="12.75" hidden="false" customHeight="true" outlineLevel="0" collapsed="false">
      <c r="H1573" s="2"/>
    </row>
    <row r="1574" customFormat="false" ht="12.75" hidden="false" customHeight="true" outlineLevel="0" collapsed="false">
      <c r="H1574" s="2"/>
    </row>
    <row r="1575" customFormat="false" ht="12.75" hidden="false" customHeight="true" outlineLevel="0" collapsed="false">
      <c r="H1575" s="2"/>
    </row>
    <row r="1576" customFormat="false" ht="12.75" hidden="false" customHeight="true" outlineLevel="0" collapsed="false">
      <c r="H1576" s="2"/>
    </row>
    <row r="1577" customFormat="false" ht="12.75" hidden="false" customHeight="true" outlineLevel="0" collapsed="false">
      <c r="H1577" s="2"/>
    </row>
    <row r="1578" customFormat="false" ht="12.75" hidden="false" customHeight="true" outlineLevel="0" collapsed="false">
      <c r="H1578" s="2"/>
    </row>
    <row r="1579" customFormat="false" ht="12.75" hidden="false" customHeight="true" outlineLevel="0" collapsed="false">
      <c r="H1579" s="2"/>
    </row>
    <row r="1580" customFormat="false" ht="12.75" hidden="false" customHeight="true" outlineLevel="0" collapsed="false">
      <c r="H1580" s="2"/>
    </row>
    <row r="1581" customFormat="false" ht="12.75" hidden="false" customHeight="true" outlineLevel="0" collapsed="false">
      <c r="H1581" s="2"/>
    </row>
    <row r="1582" customFormat="false" ht="12.75" hidden="false" customHeight="true" outlineLevel="0" collapsed="false">
      <c r="H1582" s="2"/>
    </row>
    <row r="1583" customFormat="false" ht="12.75" hidden="false" customHeight="true" outlineLevel="0" collapsed="false">
      <c r="H1583" s="2"/>
    </row>
    <row r="1584" customFormat="false" ht="12.75" hidden="false" customHeight="true" outlineLevel="0" collapsed="false">
      <c r="H1584" s="2"/>
    </row>
    <row r="1585" customFormat="false" ht="12.75" hidden="false" customHeight="true" outlineLevel="0" collapsed="false">
      <c r="H1585" s="2"/>
    </row>
    <row r="1586" customFormat="false" ht="12.75" hidden="false" customHeight="true" outlineLevel="0" collapsed="false">
      <c r="H1586" s="2"/>
    </row>
    <row r="1587" customFormat="false" ht="12.75" hidden="false" customHeight="true" outlineLevel="0" collapsed="false">
      <c r="H1587" s="2"/>
    </row>
    <row r="1588" customFormat="false" ht="12.75" hidden="false" customHeight="true" outlineLevel="0" collapsed="false">
      <c r="H1588" s="2"/>
    </row>
    <row r="1589" customFormat="false" ht="12.75" hidden="false" customHeight="true" outlineLevel="0" collapsed="false">
      <c r="H1589" s="2"/>
    </row>
    <row r="1590" customFormat="false" ht="12.75" hidden="false" customHeight="true" outlineLevel="0" collapsed="false">
      <c r="H1590" s="2"/>
    </row>
    <row r="1591" customFormat="false" ht="12.75" hidden="false" customHeight="true" outlineLevel="0" collapsed="false">
      <c r="H1591" s="2"/>
    </row>
    <row r="1592" customFormat="false" ht="12.75" hidden="false" customHeight="true" outlineLevel="0" collapsed="false">
      <c r="H1592" s="2"/>
    </row>
    <row r="1593" customFormat="false" ht="12.75" hidden="false" customHeight="true" outlineLevel="0" collapsed="false">
      <c r="H1593" s="2"/>
    </row>
    <row r="1594" customFormat="false" ht="12.75" hidden="false" customHeight="true" outlineLevel="0" collapsed="false">
      <c r="H1594" s="2"/>
    </row>
    <row r="1595" customFormat="false" ht="12.75" hidden="false" customHeight="true" outlineLevel="0" collapsed="false">
      <c r="H1595" s="2"/>
    </row>
    <row r="1596" customFormat="false" ht="12.75" hidden="false" customHeight="true" outlineLevel="0" collapsed="false">
      <c r="H1596" s="2"/>
    </row>
    <row r="1597" customFormat="false" ht="12.75" hidden="false" customHeight="true" outlineLevel="0" collapsed="false">
      <c r="H1597" s="2"/>
    </row>
    <row r="1598" customFormat="false" ht="12.75" hidden="false" customHeight="true" outlineLevel="0" collapsed="false">
      <c r="H1598" s="2"/>
    </row>
    <row r="1599" customFormat="false" ht="12.75" hidden="false" customHeight="true" outlineLevel="0" collapsed="false">
      <c r="H1599" s="2"/>
    </row>
    <row r="1600" customFormat="false" ht="12.75" hidden="false" customHeight="true" outlineLevel="0" collapsed="false">
      <c r="H1600" s="2"/>
    </row>
    <row r="1601" customFormat="false" ht="12.75" hidden="false" customHeight="true" outlineLevel="0" collapsed="false">
      <c r="H1601" s="2"/>
    </row>
    <row r="1602" customFormat="false" ht="12.75" hidden="false" customHeight="true" outlineLevel="0" collapsed="false">
      <c r="H1602" s="2"/>
    </row>
    <row r="1603" customFormat="false" ht="12.75" hidden="false" customHeight="true" outlineLevel="0" collapsed="false">
      <c r="H1603" s="2"/>
    </row>
    <row r="1604" customFormat="false" ht="12.75" hidden="false" customHeight="true" outlineLevel="0" collapsed="false">
      <c r="H1604" s="2"/>
    </row>
    <row r="1605" customFormat="false" ht="12.75" hidden="false" customHeight="true" outlineLevel="0" collapsed="false">
      <c r="H1605" s="2"/>
    </row>
    <row r="1606" customFormat="false" ht="12.75" hidden="false" customHeight="true" outlineLevel="0" collapsed="false">
      <c r="H1606" s="2"/>
    </row>
    <row r="1607" customFormat="false" ht="12.75" hidden="false" customHeight="true" outlineLevel="0" collapsed="false">
      <c r="H1607" s="2"/>
    </row>
    <row r="1608" customFormat="false" ht="12.75" hidden="false" customHeight="true" outlineLevel="0" collapsed="false">
      <c r="H1608" s="2"/>
    </row>
    <row r="1609" customFormat="false" ht="12.75" hidden="false" customHeight="true" outlineLevel="0" collapsed="false">
      <c r="H1609" s="2"/>
    </row>
    <row r="1610" customFormat="false" ht="12.75" hidden="false" customHeight="true" outlineLevel="0" collapsed="false">
      <c r="H1610" s="2"/>
    </row>
    <row r="1611" customFormat="false" ht="12.75" hidden="false" customHeight="true" outlineLevel="0" collapsed="false">
      <c r="H1611" s="2"/>
    </row>
    <row r="1612" customFormat="false" ht="12.75" hidden="false" customHeight="true" outlineLevel="0" collapsed="false">
      <c r="H1612" s="2"/>
    </row>
    <row r="1613" customFormat="false" ht="12.75" hidden="false" customHeight="true" outlineLevel="0" collapsed="false">
      <c r="H1613" s="2"/>
    </row>
    <row r="1614" customFormat="false" ht="12.75" hidden="false" customHeight="true" outlineLevel="0" collapsed="false">
      <c r="H1614" s="2"/>
    </row>
    <row r="1615" customFormat="false" ht="12.75" hidden="false" customHeight="true" outlineLevel="0" collapsed="false">
      <c r="H1615" s="2"/>
    </row>
    <row r="1616" customFormat="false" ht="12.75" hidden="false" customHeight="true" outlineLevel="0" collapsed="false">
      <c r="H1616" s="2"/>
    </row>
    <row r="1617" customFormat="false" ht="12.75" hidden="false" customHeight="true" outlineLevel="0" collapsed="false">
      <c r="H1617" s="2"/>
    </row>
    <row r="1618" customFormat="false" ht="12.75" hidden="false" customHeight="true" outlineLevel="0" collapsed="false">
      <c r="H1618" s="2"/>
    </row>
    <row r="1619" customFormat="false" ht="12.75" hidden="false" customHeight="true" outlineLevel="0" collapsed="false">
      <c r="H1619" s="2"/>
    </row>
    <row r="1620" customFormat="false" ht="12.75" hidden="false" customHeight="true" outlineLevel="0" collapsed="false">
      <c r="H1620" s="2"/>
    </row>
    <row r="1621" customFormat="false" ht="12.75" hidden="false" customHeight="true" outlineLevel="0" collapsed="false">
      <c r="H1621" s="2"/>
    </row>
    <row r="1622" customFormat="false" ht="12.75" hidden="false" customHeight="true" outlineLevel="0" collapsed="false">
      <c r="H1622" s="2"/>
    </row>
    <row r="1623" customFormat="false" ht="12.75" hidden="false" customHeight="true" outlineLevel="0" collapsed="false">
      <c r="H1623" s="2"/>
    </row>
    <row r="1624" customFormat="false" ht="12.75" hidden="false" customHeight="true" outlineLevel="0" collapsed="false">
      <c r="H1624" s="2"/>
    </row>
    <row r="1625" customFormat="false" ht="12.75" hidden="false" customHeight="true" outlineLevel="0" collapsed="false">
      <c r="H1625" s="2"/>
    </row>
    <row r="1626" customFormat="false" ht="12.75" hidden="false" customHeight="true" outlineLevel="0" collapsed="false">
      <c r="H1626" s="2"/>
    </row>
    <row r="1627" customFormat="false" ht="12.75" hidden="false" customHeight="true" outlineLevel="0" collapsed="false">
      <c r="H1627" s="2"/>
    </row>
    <row r="1628" customFormat="false" ht="12.75" hidden="false" customHeight="true" outlineLevel="0" collapsed="false">
      <c r="H1628" s="2"/>
    </row>
    <row r="1629" customFormat="false" ht="12.75" hidden="false" customHeight="true" outlineLevel="0" collapsed="false">
      <c r="H1629" s="2"/>
    </row>
    <row r="1630" customFormat="false" ht="12.75" hidden="false" customHeight="true" outlineLevel="0" collapsed="false">
      <c r="H1630" s="2"/>
    </row>
    <row r="1631" customFormat="false" ht="12.75" hidden="false" customHeight="true" outlineLevel="0" collapsed="false">
      <c r="H1631" s="2"/>
    </row>
    <row r="1632" customFormat="false" ht="12.75" hidden="false" customHeight="true" outlineLevel="0" collapsed="false">
      <c r="H1632" s="2"/>
    </row>
    <row r="1633" customFormat="false" ht="12.75" hidden="false" customHeight="true" outlineLevel="0" collapsed="false">
      <c r="H1633" s="2"/>
    </row>
    <row r="1634" customFormat="false" ht="12.75" hidden="false" customHeight="true" outlineLevel="0" collapsed="false">
      <c r="H1634" s="2"/>
    </row>
    <row r="1635" customFormat="false" ht="12.75" hidden="false" customHeight="true" outlineLevel="0" collapsed="false">
      <c r="H1635" s="2"/>
    </row>
    <row r="1636" customFormat="false" ht="12.75" hidden="false" customHeight="true" outlineLevel="0" collapsed="false">
      <c r="H1636" s="2"/>
    </row>
    <row r="1637" customFormat="false" ht="12.75" hidden="false" customHeight="true" outlineLevel="0" collapsed="false">
      <c r="H1637" s="2"/>
    </row>
    <row r="1638" customFormat="false" ht="12.75" hidden="false" customHeight="true" outlineLevel="0" collapsed="false">
      <c r="H1638" s="2"/>
    </row>
    <row r="1639" customFormat="false" ht="12.75" hidden="false" customHeight="true" outlineLevel="0" collapsed="false">
      <c r="H1639" s="2"/>
    </row>
    <row r="1640" customFormat="false" ht="12.75" hidden="false" customHeight="true" outlineLevel="0" collapsed="false">
      <c r="H1640" s="2"/>
    </row>
    <row r="1641" customFormat="false" ht="12.75" hidden="false" customHeight="true" outlineLevel="0" collapsed="false">
      <c r="H1641" s="2"/>
    </row>
    <row r="1642" customFormat="false" ht="12.75" hidden="false" customHeight="true" outlineLevel="0" collapsed="false">
      <c r="H1642" s="2"/>
    </row>
    <row r="1643" customFormat="false" ht="12.75" hidden="false" customHeight="true" outlineLevel="0" collapsed="false">
      <c r="H1643" s="2"/>
    </row>
    <row r="1644" customFormat="false" ht="12.75" hidden="false" customHeight="true" outlineLevel="0" collapsed="false">
      <c r="H1644" s="2"/>
    </row>
    <row r="1645" customFormat="false" ht="12.75" hidden="false" customHeight="true" outlineLevel="0" collapsed="false">
      <c r="H1645" s="2"/>
    </row>
    <row r="1646" customFormat="false" ht="12.75" hidden="false" customHeight="true" outlineLevel="0" collapsed="false">
      <c r="H1646" s="2"/>
    </row>
    <row r="1647" customFormat="false" ht="12.75" hidden="false" customHeight="true" outlineLevel="0" collapsed="false">
      <c r="H1647" s="2"/>
    </row>
    <row r="1648" customFormat="false" ht="12.75" hidden="false" customHeight="true" outlineLevel="0" collapsed="false">
      <c r="H1648" s="2"/>
    </row>
    <row r="1649" customFormat="false" ht="12.75" hidden="false" customHeight="true" outlineLevel="0" collapsed="false">
      <c r="H1649" s="2"/>
    </row>
    <row r="1650" customFormat="false" ht="12.75" hidden="false" customHeight="true" outlineLevel="0" collapsed="false">
      <c r="H1650" s="2"/>
    </row>
    <row r="1651" customFormat="false" ht="12.75" hidden="false" customHeight="true" outlineLevel="0" collapsed="false">
      <c r="H1651" s="2"/>
    </row>
    <row r="1652" customFormat="false" ht="12.75" hidden="false" customHeight="true" outlineLevel="0" collapsed="false">
      <c r="H1652" s="2"/>
    </row>
    <row r="1653" customFormat="false" ht="12.75" hidden="false" customHeight="true" outlineLevel="0" collapsed="false">
      <c r="H1653" s="2"/>
    </row>
    <row r="1654" customFormat="false" ht="12.75" hidden="false" customHeight="true" outlineLevel="0" collapsed="false">
      <c r="H1654" s="2"/>
    </row>
    <row r="1655" customFormat="false" ht="12.75" hidden="false" customHeight="true" outlineLevel="0" collapsed="false">
      <c r="H1655" s="2"/>
    </row>
    <row r="1656" customFormat="false" ht="12.75" hidden="false" customHeight="true" outlineLevel="0" collapsed="false">
      <c r="H1656" s="2"/>
    </row>
    <row r="1657" customFormat="false" ht="12.75" hidden="false" customHeight="true" outlineLevel="0" collapsed="false">
      <c r="H1657" s="2"/>
    </row>
    <row r="1658" customFormat="false" ht="12.75" hidden="false" customHeight="true" outlineLevel="0" collapsed="false">
      <c r="H1658" s="2"/>
    </row>
    <row r="1659" customFormat="false" ht="12.75" hidden="false" customHeight="true" outlineLevel="0" collapsed="false">
      <c r="H1659" s="2"/>
    </row>
    <row r="1660" customFormat="false" ht="12.75" hidden="false" customHeight="true" outlineLevel="0" collapsed="false">
      <c r="H1660" s="2"/>
    </row>
    <row r="1661" customFormat="false" ht="12.75" hidden="false" customHeight="true" outlineLevel="0" collapsed="false">
      <c r="H1661" s="2"/>
    </row>
    <row r="1662" customFormat="false" ht="12.75" hidden="false" customHeight="true" outlineLevel="0" collapsed="false">
      <c r="H1662" s="2"/>
    </row>
    <row r="1663" customFormat="false" ht="12.75" hidden="false" customHeight="true" outlineLevel="0" collapsed="false">
      <c r="H1663" s="2"/>
    </row>
    <row r="1664" customFormat="false" ht="12.75" hidden="false" customHeight="true" outlineLevel="0" collapsed="false">
      <c r="H1664" s="2"/>
    </row>
    <row r="1665" customFormat="false" ht="12.75" hidden="false" customHeight="true" outlineLevel="0" collapsed="false">
      <c r="H1665" s="2"/>
    </row>
    <row r="1666" customFormat="false" ht="12.75" hidden="false" customHeight="true" outlineLevel="0" collapsed="false">
      <c r="H1666" s="2"/>
    </row>
    <row r="1667" customFormat="false" ht="12.75" hidden="false" customHeight="true" outlineLevel="0" collapsed="false">
      <c r="H1667" s="2"/>
    </row>
    <row r="1668" customFormat="false" ht="12.75" hidden="false" customHeight="true" outlineLevel="0" collapsed="false">
      <c r="H1668" s="2"/>
    </row>
    <row r="1669" customFormat="false" ht="12.75" hidden="false" customHeight="true" outlineLevel="0" collapsed="false">
      <c r="H1669" s="2"/>
    </row>
    <row r="1670" customFormat="false" ht="12.75" hidden="false" customHeight="true" outlineLevel="0" collapsed="false">
      <c r="H1670" s="2"/>
    </row>
    <row r="1671" customFormat="false" ht="12.75" hidden="false" customHeight="true" outlineLevel="0" collapsed="false">
      <c r="H1671" s="2"/>
    </row>
    <row r="1672" customFormat="false" ht="12.75" hidden="false" customHeight="true" outlineLevel="0" collapsed="false">
      <c r="H1672" s="2"/>
    </row>
    <row r="1673" customFormat="false" ht="12.75" hidden="false" customHeight="true" outlineLevel="0" collapsed="false">
      <c r="H1673" s="2"/>
    </row>
    <row r="1674" customFormat="false" ht="12.75" hidden="false" customHeight="true" outlineLevel="0" collapsed="false">
      <c r="H1674" s="2"/>
    </row>
    <row r="1675" customFormat="false" ht="12.75" hidden="false" customHeight="true" outlineLevel="0" collapsed="false">
      <c r="H1675" s="2"/>
    </row>
    <row r="1676" customFormat="false" ht="12.75" hidden="false" customHeight="true" outlineLevel="0" collapsed="false">
      <c r="H1676" s="2"/>
    </row>
    <row r="1677" customFormat="false" ht="12.75" hidden="false" customHeight="true" outlineLevel="0" collapsed="false">
      <c r="H1677" s="2"/>
    </row>
    <row r="1678" customFormat="false" ht="12.75" hidden="false" customHeight="true" outlineLevel="0" collapsed="false">
      <c r="H1678" s="2"/>
    </row>
    <row r="1679" customFormat="false" ht="12.75" hidden="false" customHeight="true" outlineLevel="0" collapsed="false">
      <c r="H1679" s="2"/>
    </row>
    <row r="1680" customFormat="false" ht="12.75" hidden="false" customHeight="true" outlineLevel="0" collapsed="false">
      <c r="H1680" s="2"/>
    </row>
    <row r="1681" customFormat="false" ht="12.75" hidden="false" customHeight="true" outlineLevel="0" collapsed="false">
      <c r="H1681" s="2"/>
    </row>
    <row r="1682" customFormat="false" ht="12.75" hidden="false" customHeight="true" outlineLevel="0" collapsed="false">
      <c r="H1682" s="2"/>
    </row>
    <row r="1683" customFormat="false" ht="12.75" hidden="false" customHeight="true" outlineLevel="0" collapsed="false">
      <c r="H1683" s="2"/>
    </row>
    <row r="1684" customFormat="false" ht="12.75" hidden="false" customHeight="true" outlineLevel="0" collapsed="false">
      <c r="H1684" s="2"/>
    </row>
    <row r="1685" customFormat="false" ht="12.75" hidden="false" customHeight="true" outlineLevel="0" collapsed="false">
      <c r="H1685" s="2"/>
    </row>
    <row r="1686" customFormat="false" ht="12.75" hidden="false" customHeight="true" outlineLevel="0" collapsed="false">
      <c r="H1686" s="2"/>
    </row>
    <row r="1687" customFormat="false" ht="12.75" hidden="false" customHeight="true" outlineLevel="0" collapsed="false">
      <c r="H1687" s="2"/>
    </row>
    <row r="1688" customFormat="false" ht="12.75" hidden="false" customHeight="true" outlineLevel="0" collapsed="false">
      <c r="H1688" s="2"/>
    </row>
    <row r="1689" customFormat="false" ht="12.75" hidden="false" customHeight="true" outlineLevel="0" collapsed="false">
      <c r="H1689" s="2"/>
    </row>
    <row r="1690" customFormat="false" ht="12.75" hidden="false" customHeight="true" outlineLevel="0" collapsed="false">
      <c r="H1690" s="2"/>
    </row>
    <row r="1691" customFormat="false" ht="12.75" hidden="false" customHeight="true" outlineLevel="0" collapsed="false">
      <c r="H1691" s="2"/>
    </row>
    <row r="1692" customFormat="false" ht="12.75" hidden="false" customHeight="true" outlineLevel="0" collapsed="false">
      <c r="H1692" s="2"/>
    </row>
    <row r="1693" customFormat="false" ht="12.75" hidden="false" customHeight="true" outlineLevel="0" collapsed="false">
      <c r="H1693" s="2"/>
    </row>
    <row r="1694" customFormat="false" ht="12.75" hidden="false" customHeight="true" outlineLevel="0" collapsed="false">
      <c r="H1694" s="2"/>
    </row>
    <row r="1695" customFormat="false" ht="12.75" hidden="false" customHeight="true" outlineLevel="0" collapsed="false">
      <c r="H1695" s="2"/>
    </row>
    <row r="1696" customFormat="false" ht="12.75" hidden="false" customHeight="true" outlineLevel="0" collapsed="false">
      <c r="H1696" s="2"/>
    </row>
    <row r="1697" customFormat="false" ht="12.75" hidden="false" customHeight="true" outlineLevel="0" collapsed="false">
      <c r="H1697" s="2"/>
    </row>
    <row r="1698" customFormat="false" ht="12.75" hidden="false" customHeight="true" outlineLevel="0" collapsed="false">
      <c r="H1698" s="2"/>
    </row>
    <row r="1699" customFormat="false" ht="12.75" hidden="false" customHeight="true" outlineLevel="0" collapsed="false">
      <c r="H1699" s="2"/>
    </row>
    <row r="1700" customFormat="false" ht="12.75" hidden="false" customHeight="true" outlineLevel="0" collapsed="false">
      <c r="H1700" s="2"/>
    </row>
    <row r="1701" customFormat="false" ht="12.75" hidden="false" customHeight="true" outlineLevel="0" collapsed="false">
      <c r="H1701" s="2"/>
    </row>
    <row r="1702" customFormat="false" ht="12.75" hidden="false" customHeight="true" outlineLevel="0" collapsed="false">
      <c r="H1702" s="2"/>
    </row>
    <row r="1703" customFormat="false" ht="12.75" hidden="false" customHeight="true" outlineLevel="0" collapsed="false">
      <c r="H1703" s="2"/>
    </row>
    <row r="1704" customFormat="false" ht="12.75" hidden="false" customHeight="true" outlineLevel="0" collapsed="false">
      <c r="H1704" s="2"/>
    </row>
    <row r="1705" customFormat="false" ht="12.75" hidden="false" customHeight="true" outlineLevel="0" collapsed="false">
      <c r="H1705" s="2"/>
    </row>
    <row r="1706" customFormat="false" ht="12.75" hidden="false" customHeight="true" outlineLevel="0" collapsed="false">
      <c r="H1706" s="2"/>
    </row>
    <row r="1707" customFormat="false" ht="12.75" hidden="false" customHeight="true" outlineLevel="0" collapsed="false">
      <c r="H1707" s="2"/>
    </row>
    <row r="1708" customFormat="false" ht="12.75" hidden="false" customHeight="true" outlineLevel="0" collapsed="false">
      <c r="H1708" s="2"/>
    </row>
    <row r="1709" customFormat="false" ht="12.75" hidden="false" customHeight="true" outlineLevel="0" collapsed="false">
      <c r="H1709" s="2"/>
    </row>
    <row r="1710" customFormat="false" ht="12.75" hidden="false" customHeight="true" outlineLevel="0" collapsed="false">
      <c r="H1710" s="2"/>
    </row>
    <row r="1711" customFormat="false" ht="12.75" hidden="false" customHeight="true" outlineLevel="0" collapsed="false">
      <c r="H1711" s="2"/>
    </row>
    <row r="1712" customFormat="false" ht="12.75" hidden="false" customHeight="true" outlineLevel="0" collapsed="false">
      <c r="H1712" s="2"/>
    </row>
    <row r="1713" customFormat="false" ht="12.75" hidden="false" customHeight="true" outlineLevel="0" collapsed="false">
      <c r="H1713" s="2"/>
    </row>
    <row r="1714" customFormat="false" ht="12.75" hidden="false" customHeight="true" outlineLevel="0" collapsed="false">
      <c r="H1714" s="2"/>
    </row>
    <row r="1715" customFormat="false" ht="12.75" hidden="false" customHeight="true" outlineLevel="0" collapsed="false">
      <c r="H1715" s="2"/>
    </row>
    <row r="1716" customFormat="false" ht="12.75" hidden="false" customHeight="true" outlineLevel="0" collapsed="false">
      <c r="H1716" s="2"/>
    </row>
    <row r="1717" customFormat="false" ht="12.75" hidden="false" customHeight="true" outlineLevel="0" collapsed="false">
      <c r="H1717" s="2"/>
    </row>
    <row r="1718" customFormat="false" ht="12.75" hidden="false" customHeight="true" outlineLevel="0" collapsed="false">
      <c r="H1718" s="2"/>
    </row>
    <row r="1719" customFormat="false" ht="12.75" hidden="false" customHeight="true" outlineLevel="0" collapsed="false">
      <c r="H1719" s="2"/>
    </row>
    <row r="1720" customFormat="false" ht="12.75" hidden="false" customHeight="true" outlineLevel="0" collapsed="false">
      <c r="H1720" s="2"/>
    </row>
    <row r="1721" customFormat="false" ht="12.75" hidden="false" customHeight="true" outlineLevel="0" collapsed="false">
      <c r="H1721" s="2"/>
    </row>
    <row r="1722" customFormat="false" ht="12.75" hidden="false" customHeight="true" outlineLevel="0" collapsed="false">
      <c r="H1722" s="2"/>
    </row>
    <row r="1723" customFormat="false" ht="12.75" hidden="false" customHeight="true" outlineLevel="0" collapsed="false">
      <c r="H1723" s="2"/>
    </row>
    <row r="1724" customFormat="false" ht="12.75" hidden="false" customHeight="true" outlineLevel="0" collapsed="false">
      <c r="H1724" s="2"/>
    </row>
    <row r="1725" customFormat="false" ht="12.75" hidden="false" customHeight="true" outlineLevel="0" collapsed="false">
      <c r="H1725" s="2"/>
    </row>
    <row r="1726" customFormat="false" ht="12.75" hidden="false" customHeight="true" outlineLevel="0" collapsed="false">
      <c r="H1726" s="2"/>
    </row>
    <row r="1727" customFormat="false" ht="12.75" hidden="false" customHeight="true" outlineLevel="0" collapsed="false">
      <c r="H1727" s="2"/>
    </row>
    <row r="1728" customFormat="false" ht="12.75" hidden="false" customHeight="true" outlineLevel="0" collapsed="false">
      <c r="H1728" s="2"/>
    </row>
    <row r="1729" customFormat="false" ht="12.75" hidden="false" customHeight="true" outlineLevel="0" collapsed="false">
      <c r="H1729" s="2"/>
    </row>
    <row r="1730" customFormat="false" ht="12.75" hidden="false" customHeight="true" outlineLevel="0" collapsed="false">
      <c r="H1730" s="2"/>
    </row>
    <row r="1731" customFormat="false" ht="12.75" hidden="false" customHeight="true" outlineLevel="0" collapsed="false">
      <c r="H1731" s="2"/>
    </row>
    <row r="1732" customFormat="false" ht="12.75" hidden="false" customHeight="true" outlineLevel="0" collapsed="false">
      <c r="H1732" s="2"/>
    </row>
    <row r="1733" customFormat="false" ht="12.75" hidden="false" customHeight="true" outlineLevel="0" collapsed="false">
      <c r="H1733" s="2"/>
    </row>
    <row r="1734" customFormat="false" ht="12.75" hidden="false" customHeight="true" outlineLevel="0" collapsed="false">
      <c r="H1734" s="2"/>
    </row>
    <row r="1735" customFormat="false" ht="12.75" hidden="false" customHeight="true" outlineLevel="0" collapsed="false">
      <c r="H1735" s="2"/>
    </row>
    <row r="1736" customFormat="false" ht="12.75" hidden="false" customHeight="true" outlineLevel="0" collapsed="false">
      <c r="H1736" s="2"/>
    </row>
    <row r="1737" customFormat="false" ht="12.75" hidden="false" customHeight="true" outlineLevel="0" collapsed="false">
      <c r="H1737" s="2"/>
    </row>
    <row r="1738" customFormat="false" ht="12.75" hidden="false" customHeight="true" outlineLevel="0" collapsed="false">
      <c r="H1738" s="2"/>
    </row>
    <row r="1739" customFormat="false" ht="12.75" hidden="false" customHeight="true" outlineLevel="0" collapsed="false">
      <c r="H1739" s="2"/>
    </row>
    <row r="1740" customFormat="false" ht="12.75" hidden="false" customHeight="true" outlineLevel="0" collapsed="false">
      <c r="H1740" s="2"/>
    </row>
    <row r="1741" customFormat="false" ht="12.75" hidden="false" customHeight="true" outlineLevel="0" collapsed="false">
      <c r="H1741" s="2"/>
    </row>
    <row r="1742" customFormat="false" ht="12.75" hidden="false" customHeight="true" outlineLevel="0" collapsed="false">
      <c r="H1742" s="2"/>
    </row>
    <row r="1743" customFormat="false" ht="12.75" hidden="false" customHeight="true" outlineLevel="0" collapsed="false">
      <c r="H1743" s="2"/>
    </row>
    <row r="1744" customFormat="false" ht="12.75" hidden="false" customHeight="true" outlineLevel="0" collapsed="false">
      <c r="H1744" s="2"/>
    </row>
    <row r="1745" customFormat="false" ht="12.75" hidden="false" customHeight="true" outlineLevel="0" collapsed="false">
      <c r="H1745" s="2"/>
    </row>
    <row r="1746" customFormat="false" ht="12.75" hidden="false" customHeight="true" outlineLevel="0" collapsed="false">
      <c r="H1746" s="2"/>
    </row>
    <row r="1747" customFormat="false" ht="12.75" hidden="false" customHeight="true" outlineLevel="0" collapsed="false">
      <c r="H1747" s="2"/>
    </row>
    <row r="1748" customFormat="false" ht="12.75" hidden="false" customHeight="true" outlineLevel="0" collapsed="false">
      <c r="H1748" s="2"/>
    </row>
    <row r="1749" customFormat="false" ht="12.75" hidden="false" customHeight="true" outlineLevel="0" collapsed="false">
      <c r="H1749" s="2"/>
    </row>
    <row r="1750" customFormat="false" ht="12.75" hidden="false" customHeight="true" outlineLevel="0" collapsed="false">
      <c r="H1750" s="2"/>
    </row>
    <row r="1751" customFormat="false" ht="12.75" hidden="false" customHeight="true" outlineLevel="0" collapsed="false">
      <c r="H1751" s="2"/>
    </row>
    <row r="1752" customFormat="false" ht="12.75" hidden="false" customHeight="true" outlineLevel="0" collapsed="false">
      <c r="H1752" s="2"/>
    </row>
    <row r="1753" customFormat="false" ht="12.75" hidden="false" customHeight="true" outlineLevel="0" collapsed="false">
      <c r="H1753" s="2"/>
    </row>
    <row r="1754" customFormat="false" ht="12.75" hidden="false" customHeight="true" outlineLevel="0" collapsed="false">
      <c r="H1754" s="2"/>
    </row>
    <row r="1755" customFormat="false" ht="12.75" hidden="false" customHeight="true" outlineLevel="0" collapsed="false">
      <c r="H1755" s="2"/>
    </row>
    <row r="1756" customFormat="false" ht="12.75" hidden="false" customHeight="true" outlineLevel="0" collapsed="false">
      <c r="H1756" s="2"/>
    </row>
    <row r="1757" customFormat="false" ht="12.75" hidden="false" customHeight="true" outlineLevel="0" collapsed="false">
      <c r="H1757" s="2"/>
    </row>
    <row r="1758" customFormat="false" ht="12.75" hidden="false" customHeight="true" outlineLevel="0" collapsed="false">
      <c r="H1758" s="2"/>
    </row>
    <row r="1759" customFormat="false" ht="12.75" hidden="false" customHeight="true" outlineLevel="0" collapsed="false">
      <c r="H1759" s="2"/>
    </row>
    <row r="1760" customFormat="false" ht="12.75" hidden="false" customHeight="true" outlineLevel="0" collapsed="false">
      <c r="H1760" s="2"/>
    </row>
    <row r="1761" customFormat="false" ht="12.75" hidden="false" customHeight="true" outlineLevel="0" collapsed="false">
      <c r="H1761" s="2"/>
    </row>
    <row r="1762" customFormat="false" ht="12.75" hidden="false" customHeight="true" outlineLevel="0" collapsed="false">
      <c r="H1762" s="2"/>
    </row>
    <row r="1763" customFormat="false" ht="12.75" hidden="false" customHeight="true" outlineLevel="0" collapsed="false">
      <c r="H1763" s="2"/>
    </row>
    <row r="1764" customFormat="false" ht="12.75" hidden="false" customHeight="true" outlineLevel="0" collapsed="false">
      <c r="H1764" s="2"/>
    </row>
    <row r="1765" customFormat="false" ht="12.75" hidden="false" customHeight="true" outlineLevel="0" collapsed="false">
      <c r="H1765" s="2"/>
    </row>
    <row r="1766" customFormat="false" ht="12.75" hidden="false" customHeight="true" outlineLevel="0" collapsed="false">
      <c r="H1766" s="2"/>
    </row>
    <row r="1767" customFormat="false" ht="12.75" hidden="false" customHeight="true" outlineLevel="0" collapsed="false">
      <c r="H1767" s="2"/>
    </row>
    <row r="1768" customFormat="false" ht="12.75" hidden="false" customHeight="true" outlineLevel="0" collapsed="false">
      <c r="H1768" s="2"/>
    </row>
    <row r="1769" customFormat="false" ht="12.75" hidden="false" customHeight="true" outlineLevel="0" collapsed="false">
      <c r="H1769" s="2"/>
    </row>
    <row r="1770" customFormat="false" ht="12.75" hidden="false" customHeight="true" outlineLevel="0" collapsed="false">
      <c r="H1770" s="2"/>
    </row>
    <row r="1771" customFormat="false" ht="12.75" hidden="false" customHeight="true" outlineLevel="0" collapsed="false">
      <c r="H1771" s="2"/>
    </row>
    <row r="1772" customFormat="false" ht="12.75" hidden="false" customHeight="true" outlineLevel="0" collapsed="false">
      <c r="H1772" s="2"/>
    </row>
    <row r="1773" customFormat="false" ht="12.75" hidden="false" customHeight="true" outlineLevel="0" collapsed="false">
      <c r="H1773" s="2"/>
    </row>
    <row r="1774" customFormat="false" ht="12.75" hidden="false" customHeight="true" outlineLevel="0" collapsed="false">
      <c r="H1774" s="2"/>
    </row>
    <row r="1775" customFormat="false" ht="12.75" hidden="false" customHeight="true" outlineLevel="0" collapsed="false">
      <c r="H1775" s="2"/>
    </row>
    <row r="1776" customFormat="false" ht="12.75" hidden="false" customHeight="true" outlineLevel="0" collapsed="false">
      <c r="H1776" s="2"/>
    </row>
    <row r="1777" customFormat="false" ht="12.75" hidden="false" customHeight="true" outlineLevel="0" collapsed="false">
      <c r="H1777" s="2"/>
    </row>
    <row r="1778" customFormat="false" ht="12.75" hidden="false" customHeight="true" outlineLevel="0" collapsed="false">
      <c r="H1778" s="2"/>
    </row>
    <row r="1779" customFormat="false" ht="12.75" hidden="false" customHeight="true" outlineLevel="0" collapsed="false">
      <c r="H1779" s="2"/>
    </row>
    <row r="1780" customFormat="false" ht="12.75" hidden="false" customHeight="true" outlineLevel="0" collapsed="false">
      <c r="H1780" s="2"/>
    </row>
    <row r="1781" customFormat="false" ht="12.75" hidden="false" customHeight="true" outlineLevel="0" collapsed="false">
      <c r="H1781" s="2"/>
    </row>
    <row r="1782" customFormat="false" ht="12.75" hidden="false" customHeight="true" outlineLevel="0" collapsed="false">
      <c r="H1782" s="2"/>
    </row>
    <row r="1783" customFormat="false" ht="12.75" hidden="false" customHeight="true" outlineLevel="0" collapsed="false">
      <c r="H1783" s="2"/>
    </row>
    <row r="1784" customFormat="false" ht="12.75" hidden="false" customHeight="true" outlineLevel="0" collapsed="false">
      <c r="H1784" s="2"/>
    </row>
    <row r="1785" customFormat="false" ht="12.75" hidden="false" customHeight="true" outlineLevel="0" collapsed="false">
      <c r="H1785" s="2"/>
    </row>
    <row r="1786" customFormat="false" ht="12.75" hidden="false" customHeight="true" outlineLevel="0" collapsed="false">
      <c r="H1786" s="2"/>
    </row>
    <row r="1787" customFormat="false" ht="12.75" hidden="false" customHeight="true" outlineLevel="0" collapsed="false">
      <c r="H1787" s="2"/>
    </row>
    <row r="1788" customFormat="false" ht="12.75" hidden="false" customHeight="true" outlineLevel="0" collapsed="false">
      <c r="H1788" s="2"/>
    </row>
    <row r="1789" customFormat="false" ht="12.75" hidden="false" customHeight="true" outlineLevel="0" collapsed="false">
      <c r="H1789" s="2"/>
    </row>
    <row r="1790" customFormat="false" ht="12.75" hidden="false" customHeight="true" outlineLevel="0" collapsed="false">
      <c r="H1790" s="2"/>
    </row>
    <row r="1791" customFormat="false" ht="12.75" hidden="false" customHeight="true" outlineLevel="0" collapsed="false">
      <c r="H1791" s="2"/>
    </row>
    <row r="1792" customFormat="false" ht="12.75" hidden="false" customHeight="true" outlineLevel="0" collapsed="false">
      <c r="H1792" s="2"/>
    </row>
    <row r="1793" customFormat="false" ht="12.75" hidden="false" customHeight="true" outlineLevel="0" collapsed="false">
      <c r="H1793" s="2"/>
    </row>
    <row r="1794" customFormat="false" ht="12.75" hidden="false" customHeight="true" outlineLevel="0" collapsed="false">
      <c r="H1794" s="2"/>
    </row>
    <row r="1795" customFormat="false" ht="12.75" hidden="false" customHeight="true" outlineLevel="0" collapsed="false">
      <c r="H1795" s="2"/>
    </row>
    <row r="1796" customFormat="false" ht="12.75" hidden="false" customHeight="true" outlineLevel="0" collapsed="false">
      <c r="H1796" s="2"/>
    </row>
    <row r="1797" customFormat="false" ht="12.75" hidden="false" customHeight="true" outlineLevel="0" collapsed="false">
      <c r="H1797" s="2"/>
    </row>
    <row r="1798" customFormat="false" ht="12.75" hidden="false" customHeight="true" outlineLevel="0" collapsed="false">
      <c r="H1798" s="2"/>
    </row>
    <row r="1799" customFormat="false" ht="12.75" hidden="false" customHeight="true" outlineLevel="0" collapsed="false">
      <c r="H1799" s="2"/>
    </row>
    <row r="1800" customFormat="false" ht="12.75" hidden="false" customHeight="true" outlineLevel="0" collapsed="false">
      <c r="H1800" s="2"/>
    </row>
    <row r="1801" customFormat="false" ht="12.75" hidden="false" customHeight="true" outlineLevel="0" collapsed="false">
      <c r="H1801" s="2"/>
    </row>
    <row r="1802" customFormat="false" ht="12.75" hidden="false" customHeight="true" outlineLevel="0" collapsed="false">
      <c r="H1802" s="2"/>
    </row>
    <row r="1803" customFormat="false" ht="12.75" hidden="false" customHeight="true" outlineLevel="0" collapsed="false">
      <c r="H1803" s="2"/>
    </row>
    <row r="1804" customFormat="false" ht="12.75" hidden="false" customHeight="true" outlineLevel="0" collapsed="false">
      <c r="H1804" s="2"/>
    </row>
    <row r="1805" customFormat="false" ht="12.75" hidden="false" customHeight="true" outlineLevel="0" collapsed="false">
      <c r="H1805" s="2"/>
    </row>
    <row r="1806" customFormat="false" ht="12.75" hidden="false" customHeight="true" outlineLevel="0" collapsed="false">
      <c r="H1806" s="2"/>
    </row>
    <row r="1807" customFormat="false" ht="12.75" hidden="false" customHeight="true" outlineLevel="0" collapsed="false">
      <c r="H1807" s="2"/>
    </row>
    <row r="1808" customFormat="false" ht="12.75" hidden="false" customHeight="true" outlineLevel="0" collapsed="false">
      <c r="H1808" s="2"/>
    </row>
    <row r="1809" customFormat="false" ht="12.75" hidden="false" customHeight="true" outlineLevel="0" collapsed="false">
      <c r="H1809" s="2"/>
    </row>
    <row r="1810" customFormat="false" ht="12.75" hidden="false" customHeight="true" outlineLevel="0" collapsed="false">
      <c r="H1810" s="2"/>
    </row>
    <row r="1811" customFormat="false" ht="12.75" hidden="false" customHeight="true" outlineLevel="0" collapsed="false">
      <c r="H1811" s="2"/>
    </row>
    <row r="1048576" customFormat="false" ht="12.75" hidden="false" customHeight="false" outlineLevel="0" collapsed="false"/>
  </sheetData>
  <mergeCells count="7">
    <mergeCell ref="A2:I3"/>
    <mergeCell ref="A4:I4"/>
    <mergeCell ref="A6:I6"/>
    <mergeCell ref="A10:A11"/>
    <mergeCell ref="D10:I10"/>
    <mergeCell ref="A752:D752"/>
    <mergeCell ref="A770:D77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63"/>
  <sheetViews>
    <sheetView showFormulas="false" showGridLines="true" showRowColHeaders="true" showZeros="true" rightToLeft="false" tabSelected="false" showOutlineSymbols="true" defaultGridColor="true" view="normal" topLeftCell="A155" colorId="64" zoomScale="75" zoomScaleNormal="75" zoomScalePageLayoutView="100" workbookViewId="0">
      <selection pane="topLeft" activeCell="J4" activeCellId="0" sqref="J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2.85"/>
    <col collapsed="false" customWidth="false" hidden="true" outlineLevel="0" max="6" min="2" style="0" width="9.06"/>
    <col collapsed="false" customWidth="true" hidden="false" outlineLevel="0" max="7" min="7" style="6" width="16.99"/>
    <col collapsed="false" customWidth="true" hidden="false" outlineLevel="0" max="8" min="8" style="0" width="18.14"/>
    <col collapsed="false" customWidth="true" hidden="false" outlineLevel="0" max="9" min="9" style="0" width="16.99"/>
    <col collapsed="false" customWidth="true" hidden="false" outlineLevel="0" max="10" min="10" style="0" width="18.56"/>
    <col collapsed="false" customWidth="true" hidden="false" outlineLevel="0" max="11" min="11" style="0" width="16.99"/>
    <col collapsed="false" customWidth="true" hidden="false" outlineLevel="0" max="12" min="12" style="0" width="16.84"/>
    <col collapsed="false" customWidth="true" hidden="true" outlineLevel="0" max="13" min="13" style="0" width="6.28"/>
    <col collapsed="false" customWidth="true" hidden="true" outlineLevel="0" max="14" min="14" style="0" width="15.13"/>
    <col collapsed="false" customWidth="true" hidden="true" outlineLevel="0" max="15" min="15" style="0" width="22.85"/>
    <col collapsed="false" customWidth="true" hidden="true" outlineLevel="0" max="16" min="16" style="0" width="12.99"/>
    <col collapsed="false" customWidth="true" hidden="true" outlineLevel="0" max="17" min="17" style="0" width="8.85"/>
    <col collapsed="false" customWidth="true" hidden="true" outlineLevel="0" max="18" min="18" style="0" width="16.99"/>
    <col collapsed="false" customWidth="true" hidden="false" outlineLevel="0" max="19" min="19" style="6" width="9.14"/>
  </cols>
  <sheetData>
    <row r="1" customFormat="false" ht="12.75" hidden="false" customHeight="false" outlineLevel="0" collapsed="false">
      <c r="G1" s="0"/>
    </row>
    <row r="2" customFormat="false" ht="12.75" hidden="false" customHeight="false" outlineLevel="0" collapsed="false">
      <c r="G2" s="0"/>
    </row>
    <row r="3" customFormat="false" ht="27.75" hidden="false" customHeight="false" outlineLevel="0" collapsed="false">
      <c r="G3" s="8"/>
      <c r="H3" s="8" t="s">
        <v>741</v>
      </c>
      <c r="J3" s="6"/>
      <c r="K3" s="7"/>
      <c r="L3" s="7"/>
    </row>
    <row r="4" customFormat="false" ht="27.75" hidden="false" customHeight="false" outlineLevel="0" collapsed="false">
      <c r="H4" s="8" t="s">
        <v>1</v>
      </c>
      <c r="J4" s="6"/>
      <c r="K4" s="7"/>
      <c r="L4" s="7"/>
    </row>
    <row r="5" customFormat="false" ht="12.75" hidden="false" customHeight="false" outlineLevel="0" collapsed="false">
      <c r="G5" s="0"/>
    </row>
    <row r="6" customFormat="false" ht="12.75" hidden="false" customHeight="false" outlineLevel="0" collapsed="false">
      <c r="G6" s="0"/>
    </row>
    <row r="7" customFormat="false" ht="0.75" hidden="false" customHeight="true" outlineLevel="0" collapsed="false">
      <c r="G7" s="0"/>
    </row>
    <row r="8" customFormat="false" ht="12.75" hidden="true" customHeight="false" outlineLevel="0" collapsed="false">
      <c r="G8" s="0"/>
    </row>
    <row r="9" customFormat="false" ht="12.75" hidden="false" customHeight="true" outlineLevel="0" collapsed="false">
      <c r="A9" s="10" t="str">
        <f aca="false">'[2]Origination Summary'!A6:I6</f>
        <v>As of 09/28/01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364"/>
    </row>
    <row r="10" customFormat="false" ht="12.75" hidden="false" customHeight="true" outlineLevel="0" collapsed="false">
      <c r="A10" s="365"/>
      <c r="B10" s="365"/>
      <c r="C10" s="365"/>
      <c r="D10" s="365"/>
      <c r="E10" s="365"/>
      <c r="F10" s="365"/>
      <c r="G10" s="365"/>
      <c r="H10" s="365"/>
      <c r="I10" s="365"/>
      <c r="J10" s="365"/>
      <c r="K10" s="365"/>
      <c r="L10" s="366"/>
      <c r="M10" s="365"/>
      <c r="N10" s="365"/>
      <c r="O10" s="365"/>
      <c r="P10" s="365"/>
      <c r="Q10" s="365"/>
      <c r="R10" s="365"/>
    </row>
    <row r="11" customFormat="false" ht="12.75" hidden="false" customHeight="false" outlineLevel="0" collapsed="false">
      <c r="G11" s="0"/>
    </row>
    <row r="12" customFormat="false" ht="13.5" hidden="false" customHeight="false" outlineLevel="0" collapsed="false">
      <c r="G12" s="0"/>
    </row>
    <row r="13" customFormat="false" ht="18.75" hidden="false" customHeight="true" outlineLevel="0" collapsed="false">
      <c r="A13" s="367"/>
      <c r="B13" s="368"/>
      <c r="C13" s="368"/>
      <c r="D13" s="368"/>
      <c r="E13" s="368"/>
      <c r="F13" s="368"/>
      <c r="G13" s="17" t="s">
        <v>4</v>
      </c>
      <c r="H13" s="17"/>
      <c r="I13" s="17"/>
      <c r="J13" s="17"/>
      <c r="K13" s="17"/>
      <c r="L13" s="17"/>
      <c r="M13" s="369"/>
      <c r="N13" s="370" t="s">
        <v>742</v>
      </c>
      <c r="O13" s="370"/>
      <c r="P13" s="370"/>
      <c r="Q13" s="371"/>
      <c r="R13" s="372"/>
      <c r="S13" s="373"/>
    </row>
    <row r="14" customFormat="false" ht="24" hidden="false" customHeight="true" outlineLevel="0" collapsed="false">
      <c r="A14" s="21" t="s">
        <v>3</v>
      </c>
      <c r="B14" s="374" t="s">
        <v>743</v>
      </c>
      <c r="C14" s="374" t="s">
        <v>744</v>
      </c>
      <c r="D14" s="374" t="s">
        <v>745</v>
      </c>
      <c r="E14" s="374" t="s">
        <v>746</v>
      </c>
      <c r="F14" s="374" t="s">
        <v>6</v>
      </c>
      <c r="G14" s="322" t="s">
        <v>747</v>
      </c>
      <c r="H14" s="27" t="s">
        <v>748</v>
      </c>
      <c r="I14" s="28" t="s">
        <v>9</v>
      </c>
      <c r="J14" s="28" t="s">
        <v>749</v>
      </c>
      <c r="K14" s="29" t="s">
        <v>11</v>
      </c>
      <c r="L14" s="322" t="s">
        <v>750</v>
      </c>
      <c r="M14" s="375"/>
      <c r="N14" s="376" t="s">
        <v>751</v>
      </c>
      <c r="O14" s="376" t="s">
        <v>752</v>
      </c>
      <c r="P14" s="376" t="s">
        <v>753</v>
      </c>
      <c r="Q14" s="377"/>
      <c r="R14" s="378" t="s">
        <v>754</v>
      </c>
      <c r="S14" s="373"/>
    </row>
    <row r="15" customFormat="false" ht="27.75" hidden="false" customHeight="true" outlineLevel="0" collapsed="false">
      <c r="A15" s="25" t="s">
        <v>755</v>
      </c>
      <c r="B15" s="379"/>
      <c r="C15" s="379"/>
      <c r="D15" s="379"/>
      <c r="E15" s="379"/>
      <c r="F15" s="379"/>
      <c r="G15" s="322"/>
      <c r="H15" s="27"/>
      <c r="I15" s="28"/>
      <c r="J15" s="28"/>
      <c r="K15" s="29"/>
      <c r="L15" s="322"/>
      <c r="M15" s="380"/>
      <c r="N15" s="381" t="s">
        <v>756</v>
      </c>
      <c r="O15" s="382"/>
      <c r="P15" s="381" t="s">
        <v>757</v>
      </c>
      <c r="Q15" s="377"/>
      <c r="R15" s="383" t="s">
        <v>758</v>
      </c>
      <c r="S15" s="373"/>
    </row>
    <row r="16" customFormat="false" ht="12.75" hidden="false" customHeight="false" outlineLevel="0" collapsed="false">
      <c r="A16" s="384"/>
      <c r="B16" s="385"/>
      <c r="C16" s="385"/>
      <c r="D16" s="385"/>
      <c r="E16" s="385"/>
      <c r="F16" s="385"/>
      <c r="G16" s="386"/>
      <c r="H16" s="385"/>
      <c r="I16" s="385"/>
      <c r="J16" s="385"/>
      <c r="K16" s="385"/>
      <c r="L16" s="387"/>
      <c r="M16" s="386"/>
      <c r="P16" s="388"/>
      <c r="Q16" s="389"/>
      <c r="R16" s="384"/>
    </row>
    <row r="17" customFormat="false" ht="15.75" hidden="false" customHeight="false" outlineLevel="0" collapsed="false">
      <c r="A17" s="390" t="s">
        <v>759</v>
      </c>
      <c r="B17" s="391"/>
      <c r="C17" s="391"/>
      <c r="D17" s="391"/>
      <c r="E17" s="391"/>
      <c r="F17" s="391"/>
      <c r="G17" s="392"/>
      <c r="H17" s="391"/>
      <c r="I17" s="391"/>
      <c r="J17" s="391"/>
      <c r="K17" s="391"/>
      <c r="L17" s="393"/>
      <c r="M17" s="392"/>
      <c r="N17" s="394"/>
      <c r="O17" s="394"/>
      <c r="P17" s="395"/>
      <c r="Q17" s="396"/>
      <c r="R17" s="396"/>
    </row>
    <row r="18" customFormat="false" ht="15.75" hidden="false" customHeight="false" outlineLevel="0" collapsed="false">
      <c r="A18" s="390"/>
      <c r="B18" s="391"/>
      <c r="C18" s="391"/>
      <c r="D18" s="391"/>
      <c r="E18" s="391"/>
      <c r="F18" s="391"/>
      <c r="G18" s="392"/>
      <c r="H18" s="391"/>
      <c r="I18" s="391"/>
      <c r="J18" s="391"/>
      <c r="K18" s="391"/>
      <c r="L18" s="393"/>
      <c r="M18" s="392"/>
      <c r="N18" s="394"/>
      <c r="O18" s="394"/>
      <c r="P18" s="395"/>
      <c r="Q18" s="396"/>
      <c r="R18" s="396"/>
    </row>
    <row r="19" customFormat="false" ht="12.75" hidden="false" customHeight="false" outlineLevel="0" collapsed="false">
      <c r="A19" s="397" t="s">
        <v>760</v>
      </c>
      <c r="B19" s="385"/>
      <c r="C19" s="385"/>
      <c r="D19" s="385"/>
      <c r="E19" s="385"/>
      <c r="F19" s="385"/>
      <c r="G19" s="386"/>
      <c r="H19" s="385"/>
      <c r="I19" s="385"/>
      <c r="J19" s="385"/>
      <c r="K19" s="385"/>
      <c r="L19" s="387"/>
      <c r="M19" s="386"/>
      <c r="P19" s="398"/>
      <c r="Q19" s="389"/>
      <c r="R19" s="389"/>
      <c r="S19" s="0"/>
    </row>
    <row r="20" customFormat="false" ht="12.75" hidden="false" customHeight="false" outlineLevel="0" collapsed="false">
      <c r="A20" s="397"/>
      <c r="B20" s="385"/>
      <c r="C20" s="385"/>
      <c r="D20" s="385"/>
      <c r="E20" s="385"/>
      <c r="F20" s="385"/>
      <c r="G20" s="399"/>
      <c r="H20" s="400"/>
      <c r="I20" s="400"/>
      <c r="J20" s="400"/>
      <c r="K20" s="400"/>
      <c r="L20" s="401"/>
      <c r="M20" s="386"/>
      <c r="P20" s="398"/>
      <c r="Q20" s="389"/>
      <c r="R20" s="389"/>
      <c r="S20" s="0"/>
    </row>
    <row r="21" customFormat="false" ht="12.75" hidden="false" customHeight="false" outlineLevel="0" collapsed="false">
      <c r="A21" s="402" t="s">
        <v>761</v>
      </c>
      <c r="B21" s="385"/>
      <c r="C21" s="385"/>
      <c r="D21" s="385"/>
      <c r="E21" s="385"/>
      <c r="F21" s="385"/>
      <c r="G21" s="399"/>
      <c r="H21" s="400"/>
      <c r="I21" s="400"/>
      <c r="J21" s="400"/>
      <c r="K21" s="403"/>
      <c r="L21" s="401"/>
      <c r="M21" s="386"/>
      <c r="P21" s="398"/>
      <c r="R21" s="389"/>
      <c r="S21" s="0"/>
    </row>
    <row r="22" customFormat="false" ht="9.75" hidden="true" customHeight="true" outlineLevel="0" collapsed="false">
      <c r="A22" s="389" t="s">
        <v>762</v>
      </c>
      <c r="B22" s="385"/>
      <c r="C22" s="385"/>
      <c r="D22" s="385"/>
      <c r="E22" s="385"/>
      <c r="F22" s="385"/>
      <c r="G22" s="399"/>
      <c r="H22" s="404"/>
      <c r="I22" s="404"/>
      <c r="J22" s="404"/>
      <c r="K22" s="405"/>
      <c r="L22" s="406"/>
      <c r="M22" s="407"/>
      <c r="N22" s="408" t="n">
        <v>0</v>
      </c>
      <c r="O22" s="408" t="n">
        <v>0</v>
      </c>
      <c r="P22" s="408" t="n">
        <f aca="false">SUM(N22:O22)</f>
        <v>0</v>
      </c>
      <c r="Q22" s="407"/>
      <c r="R22" s="409" t="n">
        <f aca="false">L22+P22</f>
        <v>0</v>
      </c>
      <c r="S22" s="0"/>
    </row>
    <row r="23" customFormat="false" ht="12.75" hidden="false" customHeight="false" outlineLevel="0" collapsed="false">
      <c r="A23" s="389"/>
      <c r="B23" s="385"/>
      <c r="C23" s="385"/>
      <c r="D23" s="385"/>
      <c r="E23" s="385"/>
      <c r="F23" s="385"/>
      <c r="G23" s="399"/>
      <c r="H23" s="404"/>
      <c r="I23" s="404"/>
      <c r="J23" s="404"/>
      <c r="K23" s="405"/>
      <c r="L23" s="406"/>
      <c r="M23" s="407"/>
      <c r="N23" s="408"/>
      <c r="O23" s="408"/>
      <c r="P23" s="408"/>
      <c r="Q23" s="407"/>
      <c r="R23" s="409"/>
      <c r="S23" s="0"/>
    </row>
    <row r="24" customFormat="false" ht="12.75" hidden="false" customHeight="false" outlineLevel="0" collapsed="false">
      <c r="A24" s="389" t="s">
        <v>763</v>
      </c>
      <c r="B24" s="385"/>
      <c r="C24" s="385"/>
      <c r="D24" s="385"/>
      <c r="E24" s="385"/>
      <c r="F24" s="385"/>
      <c r="G24" s="399" t="n">
        <v>98.7885491216656</v>
      </c>
      <c r="H24" s="410" t="n">
        <v>98.7885491216656</v>
      </c>
      <c r="I24" s="410" t="n">
        <v>0</v>
      </c>
      <c r="J24" s="410" t="n">
        <v>0</v>
      </c>
      <c r="K24" s="411" t="n">
        <v>0</v>
      </c>
      <c r="L24" s="412" t="n">
        <f aca="false">SUM(H24:K24)</f>
        <v>98.7885491216656</v>
      </c>
      <c r="M24" s="407"/>
      <c r="N24" s="408"/>
      <c r="O24" s="408"/>
      <c r="P24" s="408"/>
      <c r="Q24" s="407"/>
      <c r="R24" s="409"/>
      <c r="S24" s="0"/>
    </row>
    <row r="25" customFormat="false" ht="12.75" hidden="false" customHeight="false" outlineLevel="0" collapsed="false">
      <c r="A25" s="389" t="s">
        <v>764</v>
      </c>
      <c r="B25" s="385"/>
      <c r="C25" s="385"/>
      <c r="D25" s="385"/>
      <c r="E25" s="385"/>
      <c r="F25" s="385"/>
      <c r="G25" s="399" t="n">
        <v>130.251176470588</v>
      </c>
      <c r="H25" s="410" t="n">
        <v>7.87430709173715</v>
      </c>
      <c r="I25" s="410" t="n">
        <v>-0.469971802212102</v>
      </c>
      <c r="J25" s="410" t="n">
        <v>0</v>
      </c>
      <c r="K25" s="411" t="n">
        <v>0</v>
      </c>
      <c r="L25" s="412" t="n">
        <f aca="false">SUM(H25:K25)</f>
        <v>7.40433528952505</v>
      </c>
      <c r="M25" s="413"/>
      <c r="N25" s="404"/>
      <c r="O25" s="404"/>
      <c r="P25" s="404"/>
      <c r="Q25" s="413"/>
      <c r="R25" s="414"/>
      <c r="S25" s="385"/>
    </row>
    <row r="26" customFormat="false" ht="12.75" hidden="false" customHeight="false" outlineLevel="0" collapsed="false">
      <c r="A26" s="389" t="s">
        <v>765</v>
      </c>
      <c r="B26" s="385"/>
      <c r="C26" s="385"/>
      <c r="D26" s="385"/>
      <c r="E26" s="385"/>
      <c r="F26" s="385"/>
      <c r="G26" s="399" t="n">
        <v>47.1427631578947</v>
      </c>
      <c r="H26" s="410" t="n">
        <v>4.62868421052632</v>
      </c>
      <c r="I26" s="410" t="n">
        <v>-0.193344347368421</v>
      </c>
      <c r="J26" s="410" t="n">
        <v>-0.00032</v>
      </c>
      <c r="K26" s="411" t="n">
        <v>0</v>
      </c>
      <c r="L26" s="412" t="n">
        <f aca="false">SUM(H26:K26)</f>
        <v>4.4350198631579</v>
      </c>
      <c r="M26" s="413"/>
      <c r="N26" s="404"/>
      <c r="O26" s="404"/>
      <c r="P26" s="404"/>
      <c r="Q26" s="413"/>
      <c r="R26" s="414"/>
      <c r="S26" s="385"/>
    </row>
    <row r="27" customFormat="false" ht="12.75" hidden="false" customHeight="false" outlineLevel="0" collapsed="false">
      <c r="A27" s="389" t="s">
        <v>766</v>
      </c>
      <c r="B27" s="385"/>
      <c r="C27" s="385"/>
      <c r="D27" s="385"/>
      <c r="E27" s="385"/>
      <c r="F27" s="385"/>
      <c r="G27" s="399" t="n">
        <v>199.20233463035</v>
      </c>
      <c r="H27" s="410" t="n">
        <v>23.415953307393</v>
      </c>
      <c r="I27" s="410" t="n">
        <v>-0.819558365758755</v>
      </c>
      <c r="J27" s="410" t="n">
        <v>-1.64332036316472</v>
      </c>
      <c r="K27" s="411" t="n">
        <v>0</v>
      </c>
      <c r="L27" s="412" t="n">
        <f aca="false">SUM(H27:K27)</f>
        <v>20.9530745784695</v>
      </c>
      <c r="M27" s="413"/>
      <c r="N27" s="404"/>
      <c r="O27" s="404"/>
      <c r="P27" s="404"/>
      <c r="Q27" s="413"/>
      <c r="R27" s="414"/>
      <c r="S27" s="385"/>
    </row>
    <row r="28" customFormat="false" ht="12.75" hidden="false" customHeight="false" outlineLevel="0" collapsed="false">
      <c r="A28" s="415" t="s">
        <v>767</v>
      </c>
      <c r="B28" s="385"/>
      <c r="C28" s="385"/>
      <c r="D28" s="385"/>
      <c r="E28" s="385"/>
      <c r="F28" s="385"/>
      <c r="G28" s="399" t="n">
        <v>133.105842550423</v>
      </c>
      <c r="H28" s="410" t="n">
        <v>2.76824983734548</v>
      </c>
      <c r="I28" s="410" t="n">
        <v>-0.548777847755368</v>
      </c>
      <c r="J28" s="410" t="n">
        <v>-0.111906310995446</v>
      </c>
      <c r="K28" s="411" t="n">
        <v>0</v>
      </c>
      <c r="L28" s="412" t="n">
        <f aca="false">SUM(H28:K28)</f>
        <v>2.10756567859467</v>
      </c>
      <c r="M28" s="413"/>
      <c r="N28" s="404"/>
      <c r="O28" s="404"/>
      <c r="P28" s="404"/>
      <c r="Q28" s="413"/>
      <c r="R28" s="414"/>
      <c r="S28" s="385"/>
    </row>
    <row r="29" customFormat="false" ht="12.75" hidden="false" customHeight="false" outlineLevel="0" collapsed="false">
      <c r="A29" s="415" t="s">
        <v>768</v>
      </c>
      <c r="B29" s="385"/>
      <c r="C29" s="385"/>
      <c r="D29" s="385"/>
      <c r="E29" s="385"/>
      <c r="F29" s="385"/>
      <c r="G29" s="399" t="n">
        <v>49.8918980427856</v>
      </c>
      <c r="H29" s="410" t="n">
        <v>5.89680733467716</v>
      </c>
      <c r="I29" s="410" t="n">
        <v>-0.184076012744652</v>
      </c>
      <c r="J29" s="410" t="n">
        <v>0</v>
      </c>
      <c r="K29" s="411" t="n">
        <v>0</v>
      </c>
      <c r="L29" s="412" t="n">
        <f aca="false">SUM(H29:K29)</f>
        <v>5.71273132193251</v>
      </c>
      <c r="M29" s="413"/>
      <c r="N29" s="404"/>
      <c r="O29" s="404"/>
      <c r="P29" s="404"/>
      <c r="Q29" s="413"/>
      <c r="R29" s="414"/>
      <c r="S29" s="385"/>
    </row>
    <row r="30" customFormat="false" ht="12.75" hidden="false" customHeight="false" outlineLevel="0" collapsed="false">
      <c r="A30" s="415" t="s">
        <v>769</v>
      </c>
      <c r="B30" s="385"/>
      <c r="C30" s="385"/>
      <c r="D30" s="385"/>
      <c r="E30" s="385"/>
      <c r="F30" s="385"/>
      <c r="G30" s="399" t="n">
        <v>122.274237596723</v>
      </c>
      <c r="H30" s="410" t="n">
        <v>15.0228753495026</v>
      </c>
      <c r="I30" s="410" t="n">
        <v>-0.503750933090578</v>
      </c>
      <c r="J30" s="410" t="n">
        <v>-1.05663567202029</v>
      </c>
      <c r="K30" s="411" t="n">
        <v>0</v>
      </c>
      <c r="L30" s="412" t="n">
        <f aca="false">SUM(H30:K30)</f>
        <v>13.4624887443917</v>
      </c>
      <c r="M30" s="413"/>
      <c r="N30" s="404"/>
      <c r="O30" s="404"/>
      <c r="P30" s="404"/>
      <c r="Q30" s="413"/>
      <c r="R30" s="414"/>
      <c r="S30" s="385"/>
    </row>
    <row r="31" customFormat="false" ht="12.75" hidden="false" customHeight="false" outlineLevel="0" collapsed="false">
      <c r="A31" s="415" t="s">
        <v>770</v>
      </c>
      <c r="B31" s="385"/>
      <c r="C31" s="385"/>
      <c r="D31" s="385"/>
      <c r="E31" s="385"/>
      <c r="F31" s="385"/>
      <c r="G31" s="399" t="n">
        <v>73.3366278691723</v>
      </c>
      <c r="H31" s="410" t="n">
        <v>8.57806099226218</v>
      </c>
      <c r="I31" s="410" t="n">
        <v>-0.288222849340009</v>
      </c>
      <c r="J31" s="410" t="n">
        <v>-0.316015345601144</v>
      </c>
      <c r="K31" s="411" t="n">
        <v>0</v>
      </c>
      <c r="L31" s="412" t="n">
        <f aca="false">SUM(H31:K31)</f>
        <v>7.97382279732102</v>
      </c>
      <c r="M31" s="413"/>
      <c r="N31" s="404"/>
      <c r="O31" s="404"/>
      <c r="P31" s="404"/>
      <c r="Q31" s="413"/>
      <c r="R31" s="414"/>
      <c r="S31" s="385"/>
    </row>
    <row r="32" customFormat="false" ht="12.75" hidden="false" customHeight="false" outlineLevel="0" collapsed="false">
      <c r="A32" s="415" t="s">
        <v>771</v>
      </c>
      <c r="B32" s="385"/>
      <c r="C32" s="385"/>
      <c r="D32" s="385"/>
      <c r="E32" s="385"/>
      <c r="F32" s="385"/>
      <c r="G32" s="399" t="n">
        <v>197.590885280251</v>
      </c>
      <c r="H32" s="410" t="n">
        <v>18.9194342587742</v>
      </c>
      <c r="I32" s="410" t="n">
        <v>-0.752047511786276</v>
      </c>
      <c r="J32" s="410" t="n">
        <v>-0.620089051859612</v>
      </c>
      <c r="K32" s="411" t="n">
        <v>0</v>
      </c>
      <c r="L32" s="412" t="n">
        <f aca="false">SUM(H32:K32)</f>
        <v>17.5472976951283</v>
      </c>
      <c r="M32" s="413"/>
      <c r="N32" s="404"/>
      <c r="O32" s="404"/>
      <c r="P32" s="404"/>
      <c r="Q32" s="413"/>
      <c r="R32" s="414"/>
      <c r="S32" s="385"/>
    </row>
    <row r="33" customFormat="false" ht="12.75" hidden="false" customHeight="false" outlineLevel="0" collapsed="false">
      <c r="A33" s="415" t="s">
        <v>772</v>
      </c>
      <c r="B33" s="385"/>
      <c r="C33" s="385"/>
      <c r="D33" s="385"/>
      <c r="E33" s="385"/>
      <c r="F33" s="385"/>
      <c r="G33" s="399" t="n">
        <v>126.957340230487</v>
      </c>
      <c r="H33" s="410" t="n">
        <v>14.2058014667365</v>
      </c>
      <c r="I33" s="410" t="n">
        <v>-0.473053188842326</v>
      </c>
      <c r="J33" s="410" t="n">
        <v>-0.441985332634887</v>
      </c>
      <c r="K33" s="411" t="n">
        <v>0</v>
      </c>
      <c r="L33" s="412" t="n">
        <f aca="false">SUM(H33:K33)</f>
        <v>13.2907629452593</v>
      </c>
      <c r="M33" s="413"/>
      <c r="N33" s="404"/>
      <c r="O33" s="404"/>
      <c r="P33" s="404"/>
      <c r="Q33" s="413"/>
      <c r="R33" s="414"/>
      <c r="S33" s="385"/>
    </row>
    <row r="34" customFormat="false" ht="12.75" hidden="false" customHeight="false" outlineLevel="0" collapsed="false">
      <c r="A34" s="415" t="s">
        <v>773</v>
      </c>
      <c r="B34" s="4"/>
      <c r="C34" s="4"/>
      <c r="D34" s="4"/>
      <c r="E34" s="4"/>
      <c r="F34" s="4"/>
      <c r="G34" s="399" t="n">
        <v>268.355421686747</v>
      </c>
      <c r="H34" s="410" t="n">
        <v>29.1190675746464</v>
      </c>
      <c r="I34" s="410" t="n">
        <v>-0.992788915662651</v>
      </c>
      <c r="J34" s="410" t="n">
        <v>-0.911471974855946</v>
      </c>
      <c r="K34" s="411" t="n">
        <v>0</v>
      </c>
      <c r="L34" s="412" t="n">
        <f aca="false">SUM(H34:K34)</f>
        <v>27.2148066841278</v>
      </c>
      <c r="M34" s="413"/>
      <c r="N34" s="404"/>
      <c r="O34" s="404"/>
      <c r="P34" s="404"/>
      <c r="Q34" s="413"/>
      <c r="R34" s="414"/>
      <c r="S34" s="4"/>
    </row>
    <row r="35" customFormat="false" ht="12.75" hidden="false" customHeight="false" outlineLevel="0" collapsed="false">
      <c r="A35" s="415" t="s">
        <v>774</v>
      </c>
      <c r="B35" s="4"/>
      <c r="C35" s="4"/>
      <c r="D35" s="4"/>
      <c r="E35" s="4"/>
      <c r="F35" s="4"/>
      <c r="G35" s="399" t="n">
        <v>24.8323296560675</v>
      </c>
      <c r="H35" s="416" t="n">
        <v>4.01739130434783</v>
      </c>
      <c r="I35" s="416" t="n">
        <v>-0.102242608695652</v>
      </c>
      <c r="J35" s="416" t="n">
        <v>-0.288773523685918</v>
      </c>
      <c r="K35" s="405" t="n">
        <v>0</v>
      </c>
      <c r="L35" s="412" t="n">
        <f aca="false">SUM(H35:K35)</f>
        <v>3.62637517196626</v>
      </c>
      <c r="M35" s="407"/>
      <c r="N35" s="408"/>
      <c r="O35" s="408"/>
      <c r="P35" s="408"/>
      <c r="Q35" s="407"/>
      <c r="R35" s="409"/>
    </row>
    <row r="36" customFormat="false" ht="12.75" hidden="false" customHeight="false" outlineLevel="0" collapsed="false">
      <c r="A36" s="415" t="s">
        <v>775</v>
      </c>
      <c r="B36" s="4"/>
      <c r="C36" s="4"/>
      <c r="D36" s="4"/>
      <c r="E36" s="4"/>
      <c r="F36" s="4"/>
      <c r="G36" s="399" t="n">
        <v>16.8150893319524</v>
      </c>
      <c r="H36" s="410" t="n">
        <v>2.29518384256862</v>
      </c>
      <c r="I36" s="410" t="n">
        <v>-0.0625380217503884</v>
      </c>
      <c r="J36" s="410" t="n">
        <v>0</v>
      </c>
      <c r="K36" s="411" t="n">
        <v>0</v>
      </c>
      <c r="L36" s="412" t="n">
        <f aca="false">SUM(H36:K36)</f>
        <v>2.23264582081823</v>
      </c>
      <c r="M36" s="407"/>
      <c r="N36" s="408"/>
      <c r="O36" s="408"/>
      <c r="P36" s="408"/>
      <c r="Q36" s="407"/>
      <c r="R36" s="409"/>
    </row>
    <row r="37" customFormat="false" ht="12.75" hidden="false" customHeight="false" outlineLevel="0" collapsed="false">
      <c r="A37" s="415" t="s">
        <v>776</v>
      </c>
      <c r="B37" s="4"/>
      <c r="C37" s="4"/>
      <c r="D37" s="4"/>
      <c r="E37" s="4"/>
      <c r="F37" s="4"/>
      <c r="G37" s="399" t="n">
        <v>354.822108997098</v>
      </c>
      <c r="H37" s="404" t="n">
        <v>12.969416317317</v>
      </c>
      <c r="I37" s="404" t="n">
        <v>-1.46194607674944</v>
      </c>
      <c r="J37" s="404" t="n">
        <v>-0.72557239600129</v>
      </c>
      <c r="K37" s="405" t="n">
        <v>0</v>
      </c>
      <c r="L37" s="412" t="n">
        <f aca="false">SUM(H37:K37)</f>
        <v>10.7818978445663</v>
      </c>
      <c r="M37" s="407" t="n">
        <v>8.76301992905514</v>
      </c>
      <c r="N37" s="408"/>
      <c r="O37" s="408"/>
      <c r="P37" s="408"/>
      <c r="Q37" s="407"/>
      <c r="R37" s="409"/>
      <c r="S37" s="0"/>
    </row>
    <row r="38" customFormat="false" ht="12.75" hidden="false" customHeight="false" outlineLevel="0" collapsed="false">
      <c r="A38" s="415" t="s">
        <v>777</v>
      </c>
      <c r="B38" s="4"/>
      <c r="C38" s="4"/>
      <c r="D38" s="4"/>
      <c r="E38" s="4"/>
      <c r="F38" s="4"/>
      <c r="G38" s="399" t="n">
        <v>274.838116736537</v>
      </c>
      <c r="H38" s="417" t="n">
        <v>24.9543340857788</v>
      </c>
      <c r="I38" s="404" t="n">
        <v>-1.13647449209932</v>
      </c>
      <c r="J38" s="404" t="n">
        <v>-1.69493711705901</v>
      </c>
      <c r="K38" s="405" t="n">
        <v>0</v>
      </c>
      <c r="L38" s="412" t="n">
        <f aca="false">SUM(H38:K38)</f>
        <v>22.1229224766204</v>
      </c>
      <c r="M38" s="407" t="n">
        <v>20.5535053208642</v>
      </c>
      <c r="N38" s="408"/>
      <c r="O38" s="408"/>
      <c r="P38" s="408"/>
      <c r="Q38" s="407"/>
      <c r="R38" s="409"/>
      <c r="S38" s="0"/>
    </row>
    <row r="39" customFormat="false" ht="12.75" hidden="false" customHeight="false" outlineLevel="0" collapsed="false">
      <c r="A39" s="415" t="s">
        <v>778</v>
      </c>
      <c r="B39" s="4"/>
      <c r="C39" s="4"/>
      <c r="D39" s="4"/>
      <c r="E39" s="4"/>
      <c r="F39" s="4"/>
      <c r="G39" s="399" t="n">
        <v>30.1779067530302</v>
      </c>
      <c r="H39" s="404" t="n">
        <v>2.82226640159046</v>
      </c>
      <c r="I39" s="404" t="n">
        <v>-0.123897495029821</v>
      </c>
      <c r="J39" s="404" t="n">
        <v>-0.193676649778747</v>
      </c>
      <c r="K39" s="405" t="n">
        <v>0</v>
      </c>
      <c r="L39" s="412" t="n">
        <f aca="false">SUM(H39:K39)</f>
        <v>2.50469225678189</v>
      </c>
      <c r="M39" s="407" t="n">
        <v>2.33359571602642</v>
      </c>
      <c r="N39" s="408"/>
      <c r="O39" s="408"/>
      <c r="P39" s="408"/>
      <c r="Q39" s="407"/>
      <c r="R39" s="409"/>
      <c r="S39" s="0"/>
    </row>
    <row r="40" customFormat="false" ht="12.75" hidden="false" customHeight="false" outlineLevel="0" collapsed="false">
      <c r="A40" s="415" t="s">
        <v>779</v>
      </c>
      <c r="B40" s="4"/>
      <c r="C40" s="4"/>
      <c r="D40" s="4"/>
      <c r="E40" s="4"/>
      <c r="F40" s="4"/>
      <c r="G40" s="399" t="n">
        <v>19.2036105944975</v>
      </c>
      <c r="H40" s="404" t="n">
        <v>2.12310652215738</v>
      </c>
      <c r="I40" s="404" t="n">
        <v>-0.0790825011222985</v>
      </c>
      <c r="J40" s="404" t="n">
        <v>-0.148143397678445</v>
      </c>
      <c r="K40" s="405" t="n">
        <v>0</v>
      </c>
      <c r="L40" s="412" t="n">
        <f aca="false">SUM(H40:K40)</f>
        <v>1.89588062335663</v>
      </c>
      <c r="M40" s="407" t="n">
        <v>1.78667145514013</v>
      </c>
      <c r="N40" s="408"/>
      <c r="O40" s="408"/>
      <c r="P40" s="408"/>
      <c r="Q40" s="407"/>
      <c r="R40" s="409"/>
      <c r="S40" s="0"/>
    </row>
    <row r="41" customFormat="false" ht="12.75" hidden="false" customHeight="false" outlineLevel="0" collapsed="false">
      <c r="A41" s="415" t="s">
        <v>780</v>
      </c>
      <c r="B41" s="4"/>
      <c r="C41" s="4"/>
      <c r="D41" s="4"/>
      <c r="E41" s="4"/>
      <c r="F41" s="4"/>
      <c r="G41" s="399" t="n">
        <v>7.33211692900739</v>
      </c>
      <c r="H41" s="417" t="n">
        <v>0.657002891101831</v>
      </c>
      <c r="I41" s="404" t="n">
        <v>-0.030115065852875</v>
      </c>
      <c r="J41" s="404" t="n">
        <v>-0.0449726951493736</v>
      </c>
      <c r="K41" s="405" t="n">
        <v>0</v>
      </c>
      <c r="L41" s="412" t="n">
        <f aca="false">SUM(H41:K41)</f>
        <v>0.581915130099582</v>
      </c>
      <c r="M41" s="407" t="n">
        <v>0.540327658207517</v>
      </c>
      <c r="N41" s="408"/>
      <c r="O41" s="408"/>
      <c r="P41" s="408"/>
      <c r="Q41" s="407"/>
      <c r="R41" s="409"/>
      <c r="S41" s="0"/>
    </row>
    <row r="42" customFormat="false" ht="12.75" hidden="false" customHeight="false" outlineLevel="0" collapsed="false">
      <c r="A42" s="415" t="s">
        <v>781</v>
      </c>
      <c r="B42" s="4"/>
      <c r="C42" s="4"/>
      <c r="D42" s="4"/>
      <c r="E42" s="4"/>
      <c r="F42" s="4"/>
      <c r="G42" s="399" t="n">
        <v>8.80343077417282</v>
      </c>
      <c r="H42" s="404" t="n">
        <v>1.49484098939929</v>
      </c>
      <c r="I42" s="404" t="n">
        <v>-0.0356009971088982</v>
      </c>
      <c r="J42" s="404" t="n">
        <v>-0.0687439768711854</v>
      </c>
      <c r="K42" s="405" t="n">
        <v>0</v>
      </c>
      <c r="L42" s="412" t="n">
        <f aca="false">SUM(H42:K42)</f>
        <v>1.39049601541921</v>
      </c>
      <c r="M42" s="407" t="n">
        <v>1.3413327336974</v>
      </c>
      <c r="N42" s="408"/>
      <c r="O42" s="408"/>
      <c r="P42" s="408"/>
      <c r="Q42" s="407"/>
      <c r="R42" s="409"/>
      <c r="S42" s="0"/>
    </row>
    <row r="43" customFormat="false" ht="12.75" hidden="false" customHeight="false" outlineLevel="0" collapsed="false">
      <c r="A43" s="415" t="s">
        <v>782</v>
      </c>
      <c r="B43" s="4"/>
      <c r="C43" s="4"/>
      <c r="D43" s="4"/>
      <c r="E43" s="4"/>
      <c r="F43" s="4"/>
      <c r="G43" s="399" t="n">
        <v>21.2167155051599</v>
      </c>
      <c r="H43" s="404" t="n">
        <v>1.76521849917187</v>
      </c>
      <c r="I43" s="404" t="n">
        <v>-0.08031744171232</v>
      </c>
      <c r="J43" s="404" t="n">
        <v>-0.0522359536246656</v>
      </c>
      <c r="K43" s="405" t="n">
        <v>0</v>
      </c>
      <c r="L43" s="406" t="n">
        <f aca="false">SUM(H43:K43)</f>
        <v>1.63266510383488</v>
      </c>
      <c r="M43" s="407"/>
      <c r="N43" s="408"/>
      <c r="O43" s="408"/>
      <c r="P43" s="408"/>
      <c r="Q43" s="407"/>
      <c r="R43" s="409"/>
    </row>
    <row r="44" customFormat="false" ht="12.75" hidden="false" customHeight="false" outlineLevel="0" collapsed="false">
      <c r="A44" s="415" t="s">
        <v>783</v>
      </c>
      <c r="B44" s="4"/>
      <c r="C44" s="4"/>
      <c r="D44" s="4"/>
      <c r="E44" s="4"/>
      <c r="F44" s="4"/>
      <c r="G44" s="399" t="n">
        <v>87.8586345381526</v>
      </c>
      <c r="H44" s="404" t="n">
        <v>6.6669344042838</v>
      </c>
      <c r="I44" s="404" t="n">
        <v>-0.349635662650602</v>
      </c>
      <c r="J44" s="404" t="n">
        <v>-0.230764327149869</v>
      </c>
      <c r="K44" s="405" t="n">
        <v>0</v>
      </c>
      <c r="L44" s="406" t="n">
        <f aca="false">SUM(H44:K44)</f>
        <v>6.08653441448333</v>
      </c>
      <c r="M44" s="407"/>
      <c r="N44" s="408"/>
      <c r="O44" s="408"/>
      <c r="P44" s="408"/>
      <c r="Q44" s="407"/>
      <c r="R44" s="409"/>
    </row>
    <row r="45" customFormat="false" ht="12.75" hidden="false" customHeight="false" outlineLevel="0" collapsed="false">
      <c r="A45" s="415" t="s">
        <v>784</v>
      </c>
      <c r="B45" s="4"/>
      <c r="C45" s="4"/>
      <c r="D45" s="4"/>
      <c r="E45" s="4"/>
      <c r="F45" s="4"/>
      <c r="G45" s="399" t="n">
        <v>7.49845094664372</v>
      </c>
      <c r="H45" s="404" t="n">
        <v>0.488621151271754</v>
      </c>
      <c r="I45" s="404" t="n">
        <v>-0.0279686746987952</v>
      </c>
      <c r="J45" s="404" t="n">
        <v>-0.0223114680946006</v>
      </c>
      <c r="K45" s="405" t="n">
        <v>0</v>
      </c>
      <c r="L45" s="406" t="n">
        <f aca="false">SUM(H45:K45)</f>
        <v>0.438341008478358</v>
      </c>
      <c r="M45" s="407"/>
      <c r="N45" s="408"/>
      <c r="O45" s="408"/>
      <c r="P45" s="408"/>
      <c r="Q45" s="407"/>
      <c r="R45" s="409"/>
    </row>
    <row r="46" customFormat="false" ht="12.75" hidden="false" customHeight="false" outlineLevel="0" collapsed="false">
      <c r="A46" s="415" t="s">
        <v>785</v>
      </c>
      <c r="B46" s="4"/>
      <c r="C46" s="4"/>
      <c r="D46" s="4"/>
      <c r="E46" s="4"/>
      <c r="F46" s="4"/>
      <c r="G46" s="399" t="n">
        <v>101.813731114936</v>
      </c>
      <c r="H46" s="404" t="n">
        <v>16.0687703193727</v>
      </c>
      <c r="I46" s="404" t="n">
        <v>-0.384392931726908</v>
      </c>
      <c r="J46" s="404" t="n">
        <v>-0.505514119971951</v>
      </c>
      <c r="K46" s="405" t="n">
        <v>0</v>
      </c>
      <c r="L46" s="406" t="n">
        <f aca="false">SUM(H46:K46)</f>
        <v>15.1788632676739</v>
      </c>
      <c r="M46" s="407"/>
      <c r="N46" s="408"/>
      <c r="O46" s="408"/>
      <c r="P46" s="408"/>
      <c r="Q46" s="407"/>
      <c r="R46" s="409"/>
    </row>
    <row r="47" customFormat="false" ht="12.75" hidden="false" customHeight="false" outlineLevel="0" collapsed="false">
      <c r="A47" s="415" t="s">
        <v>786</v>
      </c>
      <c r="B47" s="4"/>
      <c r="C47" s="4"/>
      <c r="D47" s="4"/>
      <c r="E47" s="4"/>
      <c r="F47" s="4"/>
      <c r="G47" s="399" t="n">
        <v>7.10384394721744</v>
      </c>
      <c r="H47" s="404" t="n">
        <v>1.23975266143941</v>
      </c>
      <c r="I47" s="404" t="n">
        <v>-0.0294844176706827</v>
      </c>
      <c r="J47" s="404" t="n">
        <v>0</v>
      </c>
      <c r="K47" s="405" t="n">
        <v>0</v>
      </c>
      <c r="L47" s="406" t="n">
        <f aca="false">SUM(H47:K47)</f>
        <v>1.21026824376873</v>
      </c>
      <c r="M47" s="407"/>
      <c r="N47" s="408"/>
      <c r="O47" s="408"/>
      <c r="P47" s="408"/>
      <c r="Q47" s="407"/>
      <c r="R47" s="409"/>
    </row>
    <row r="48" customFormat="false" ht="12.75" hidden="false" customHeight="false" outlineLevel="0" collapsed="false">
      <c r="A48" s="415" t="s">
        <v>787</v>
      </c>
      <c r="B48" s="4"/>
      <c r="C48" s="4"/>
      <c r="D48" s="4"/>
      <c r="E48" s="4"/>
      <c r="F48" s="4"/>
      <c r="G48" s="399" t="n">
        <v>110.623446165615</v>
      </c>
      <c r="H48" s="404" t="n">
        <v>17.953808886339</v>
      </c>
      <c r="I48" s="404" t="n">
        <v>-0.441037402945114</v>
      </c>
      <c r="J48" s="404" t="n">
        <v>-0.668069101804042</v>
      </c>
      <c r="K48" s="405" t="n">
        <v>0</v>
      </c>
      <c r="L48" s="406" t="n">
        <f aca="false">SUM(H48:K48)</f>
        <v>16.8447023815899</v>
      </c>
      <c r="M48" s="407"/>
      <c r="N48" s="408"/>
      <c r="O48" s="408"/>
      <c r="P48" s="408"/>
      <c r="Q48" s="407"/>
      <c r="R48" s="409"/>
    </row>
    <row r="49" customFormat="false" ht="12.75" hidden="false" customHeight="false" outlineLevel="0" collapsed="false">
      <c r="A49" s="415" t="s">
        <v>788</v>
      </c>
      <c r="B49" s="385"/>
      <c r="C49" s="385"/>
      <c r="D49" s="385"/>
      <c r="E49" s="385"/>
      <c r="F49" s="385"/>
      <c r="G49" s="399" t="n">
        <v>85.7602281368821</v>
      </c>
      <c r="H49" s="404" t="n">
        <v>8.69822560202788</v>
      </c>
      <c r="I49" s="404" t="n">
        <v>-0.354150813688213</v>
      </c>
      <c r="J49" s="404" t="n">
        <v>-0.599493029150824</v>
      </c>
      <c r="K49" s="405" t="n">
        <v>0</v>
      </c>
      <c r="L49" s="406" t="n">
        <f aca="false">SUM(H49:K49)</f>
        <v>7.74458175918885</v>
      </c>
      <c r="M49" s="407"/>
      <c r="N49" s="408"/>
      <c r="O49" s="408"/>
      <c r="P49" s="408"/>
      <c r="Q49" s="407"/>
      <c r="R49" s="409"/>
      <c r="S49" s="0"/>
    </row>
    <row r="50" customFormat="false" ht="13.5" hidden="false" customHeight="false" outlineLevel="0" collapsed="false">
      <c r="A50" s="418" t="s">
        <v>789</v>
      </c>
      <c r="B50" s="419"/>
      <c r="C50" s="419"/>
      <c r="D50" s="419"/>
      <c r="E50" s="419"/>
      <c r="F50" s="419"/>
      <c r="G50" s="420" t="n">
        <v>297.544600760456</v>
      </c>
      <c r="H50" s="421" t="n">
        <v>38.1741128010139</v>
      </c>
      <c r="I50" s="421" t="n">
        <v>-1.16918498098859</v>
      </c>
      <c r="J50" s="421" t="n">
        <v>-1.40240811153359</v>
      </c>
      <c r="K50" s="422" t="n">
        <v>0</v>
      </c>
      <c r="L50" s="423" t="n">
        <f aca="false">SUM(H50:K50)</f>
        <v>35.6025197084918</v>
      </c>
      <c r="M50" s="407"/>
      <c r="N50" s="408"/>
      <c r="O50" s="408"/>
      <c r="P50" s="408"/>
      <c r="Q50" s="407"/>
      <c r="R50" s="409"/>
      <c r="S50" s="0"/>
    </row>
    <row r="51" customFormat="false" ht="12.75" hidden="false" customHeight="false" outlineLevel="0" collapsed="false">
      <c r="A51" s="424" t="s">
        <v>790</v>
      </c>
      <c r="B51" s="425"/>
      <c r="C51" s="425"/>
      <c r="D51" s="425"/>
      <c r="E51" s="425"/>
      <c r="F51" s="425"/>
      <c r="G51" s="426" t="n">
        <f aca="false">SUM(G23:G50)</f>
        <v>2903.14143752451</v>
      </c>
      <c r="H51" s="427" t="n">
        <f aca="false">SUM(H23:H50)</f>
        <v>371.606777224448</v>
      </c>
      <c r="I51" s="428" t="n">
        <f aca="false">SUM(I23:I50)</f>
        <v>-11.0936613590511</v>
      </c>
      <c r="J51" s="428" t="n">
        <f aca="false">SUM(J23:J50)</f>
        <v>-11.7473599186856</v>
      </c>
      <c r="K51" s="428" t="n">
        <f aca="false">SUM(K23:K50)</f>
        <v>0</v>
      </c>
      <c r="L51" s="429" t="n">
        <f aca="false">SUM(L23:L50)</f>
        <v>348.765755946712</v>
      </c>
      <c r="M51" s="413"/>
      <c r="N51" s="404"/>
      <c r="O51" s="404"/>
      <c r="P51" s="404"/>
      <c r="Q51" s="413"/>
      <c r="R51" s="414"/>
      <c r="S51" s="385"/>
    </row>
    <row r="52" customFormat="false" ht="12.75" hidden="false" customHeight="false" outlineLevel="0" collapsed="false">
      <c r="A52" s="430"/>
      <c r="B52" s="385"/>
      <c r="C52" s="385"/>
      <c r="D52" s="385"/>
      <c r="E52" s="385"/>
      <c r="F52" s="385"/>
      <c r="G52" s="431"/>
      <c r="H52" s="417"/>
      <c r="I52" s="404"/>
      <c r="J52" s="404"/>
      <c r="K52" s="405"/>
      <c r="L52" s="406"/>
      <c r="M52" s="413"/>
      <c r="N52" s="404"/>
      <c r="O52" s="404"/>
      <c r="P52" s="404"/>
      <c r="Q52" s="413"/>
      <c r="R52" s="414"/>
      <c r="S52" s="385"/>
    </row>
    <row r="53" customFormat="false" ht="12.75" hidden="false" customHeight="false" outlineLevel="0" collapsed="false">
      <c r="A53" s="432" t="s">
        <v>791</v>
      </c>
      <c r="B53" s="385"/>
      <c r="C53" s="385"/>
      <c r="D53" s="385"/>
      <c r="E53" s="385"/>
      <c r="F53" s="385"/>
      <c r="G53" s="431"/>
      <c r="H53" s="417"/>
      <c r="I53" s="404"/>
      <c r="J53" s="404"/>
      <c r="K53" s="405"/>
      <c r="L53" s="406"/>
      <c r="M53" s="413"/>
      <c r="N53" s="404"/>
      <c r="O53" s="404"/>
      <c r="P53" s="404"/>
      <c r="Q53" s="413"/>
      <c r="R53" s="414"/>
      <c r="S53" s="385"/>
    </row>
    <row r="54" customFormat="false" ht="12.75" hidden="false" customHeight="false" outlineLevel="0" collapsed="false">
      <c r="A54" s="432"/>
      <c r="B54" s="385"/>
      <c r="C54" s="385"/>
      <c r="D54" s="385"/>
      <c r="E54" s="385"/>
      <c r="F54" s="385"/>
      <c r="G54" s="431"/>
      <c r="H54" s="417"/>
      <c r="I54" s="404"/>
      <c r="J54" s="404"/>
      <c r="K54" s="405"/>
      <c r="L54" s="406"/>
      <c r="M54" s="413"/>
      <c r="N54" s="404"/>
      <c r="O54" s="404"/>
      <c r="P54" s="404"/>
      <c r="Q54" s="413"/>
      <c r="R54" s="414"/>
      <c r="S54" s="385"/>
    </row>
    <row r="55" customFormat="false" ht="12.75" hidden="false" customHeight="false" outlineLevel="0" collapsed="false">
      <c r="A55" s="385" t="s">
        <v>792</v>
      </c>
      <c r="B55" s="385"/>
      <c r="C55" s="385"/>
      <c r="D55" s="385"/>
      <c r="E55" s="385"/>
      <c r="F55" s="385"/>
      <c r="G55" s="399" t="n">
        <v>202.99954825438</v>
      </c>
      <c r="H55" s="417" t="n">
        <v>27.8492667099286</v>
      </c>
      <c r="I55" s="404" t="n">
        <v>-5.56985334198572</v>
      </c>
      <c r="J55" s="404" t="n">
        <v>-1.64308890330954</v>
      </c>
      <c r="K55" s="405" t="n">
        <v>0</v>
      </c>
      <c r="L55" s="406" t="n">
        <f aca="false">SUM(H55:K55)</f>
        <v>20.6363244646334</v>
      </c>
      <c r="M55" s="413"/>
      <c r="N55" s="404"/>
      <c r="O55" s="404"/>
      <c r="P55" s="404"/>
      <c r="Q55" s="413"/>
      <c r="R55" s="414"/>
      <c r="S55" s="385"/>
    </row>
    <row r="56" customFormat="false" ht="12.75" hidden="false" customHeight="false" outlineLevel="0" collapsed="false">
      <c r="A56" s="4" t="s">
        <v>793</v>
      </c>
      <c r="B56" s="385"/>
      <c r="C56" s="385"/>
      <c r="D56" s="385"/>
      <c r="E56" s="385"/>
      <c r="F56" s="385"/>
      <c r="G56" s="399" t="n">
        <f aca="false">90968*5.36/1.5593/1000</f>
        <v>312.697030718912</v>
      </c>
      <c r="H56" s="417" t="n">
        <f aca="false">85519*0.72/1.5593/1000</f>
        <v>39.4880266786379</v>
      </c>
      <c r="I56" s="404" t="n">
        <f aca="false">-85519*0.72/1.5593/1000*0.2</f>
        <v>-7.89760533572757</v>
      </c>
      <c r="J56" s="404" t="n">
        <f aca="false">-1268/1.5593/1000</f>
        <v>-0.813185403706792</v>
      </c>
      <c r="K56" s="404" t="n">
        <v>0</v>
      </c>
      <c r="L56" s="406" t="n">
        <f aca="false">SUM(H56:K56)</f>
        <v>30.7772359392035</v>
      </c>
      <c r="M56" s="413"/>
      <c r="N56" s="404"/>
      <c r="O56" s="404"/>
      <c r="P56" s="404"/>
      <c r="Q56" s="413"/>
      <c r="R56" s="414"/>
      <c r="S56" s="385"/>
    </row>
    <row r="57" customFormat="false" ht="12.75" hidden="false" customHeight="false" outlineLevel="0" collapsed="false">
      <c r="A57" s="4" t="s">
        <v>794</v>
      </c>
      <c r="B57" s="385"/>
      <c r="C57" s="385"/>
      <c r="D57" s="385"/>
      <c r="E57" s="385"/>
      <c r="F57" s="385"/>
      <c r="G57" s="399" t="n">
        <f aca="false">58432*5.16/1.5593/1000</f>
        <v>193.361841852113</v>
      </c>
      <c r="H57" s="417" t="n">
        <f aca="false">52287*0.23/1.5593/1000</f>
        <v>7.71244148015135</v>
      </c>
      <c r="I57" s="404" t="n">
        <f aca="false">-52287*0.23/1.5593/1000*0.2</f>
        <v>-1.54248829603027</v>
      </c>
      <c r="J57" s="404" t="n">
        <f aca="false">-615/1.5593/1000</f>
        <v>-0.394407747065991</v>
      </c>
      <c r="K57" s="404" t="n">
        <v>0</v>
      </c>
      <c r="L57" s="406" t="n">
        <f aca="false">SUM(H57:K57)</f>
        <v>5.77554543705509</v>
      </c>
      <c r="M57" s="413"/>
      <c r="N57" s="404"/>
      <c r="O57" s="404"/>
      <c r="P57" s="404"/>
      <c r="Q57" s="413"/>
      <c r="R57" s="414"/>
      <c r="S57" s="385"/>
    </row>
    <row r="58" customFormat="false" ht="12.75" hidden="false" customHeight="false" outlineLevel="0" collapsed="false">
      <c r="A58" s="4" t="s">
        <v>795</v>
      </c>
      <c r="B58" s="385"/>
      <c r="C58" s="385"/>
      <c r="D58" s="385"/>
      <c r="E58" s="385"/>
      <c r="F58" s="385"/>
      <c r="G58" s="399" t="n">
        <v>297.346834145091</v>
      </c>
      <c r="H58" s="417" t="n">
        <v>17.841047167393</v>
      </c>
      <c r="I58" s="404" t="n">
        <v>-3.5682094334786</v>
      </c>
      <c r="J58" s="404" t="n">
        <v>-0.640220456293258</v>
      </c>
      <c r="K58" s="404" t="n">
        <v>0</v>
      </c>
      <c r="L58" s="406" t="n">
        <f aca="false">SUM(H58:K58)</f>
        <v>13.6326172776211</v>
      </c>
      <c r="M58" s="413"/>
      <c r="N58" s="404"/>
      <c r="O58" s="404"/>
      <c r="P58" s="404"/>
      <c r="Q58" s="413"/>
      <c r="R58" s="414"/>
      <c r="S58" s="385"/>
    </row>
    <row r="59" customFormat="false" ht="12.75" hidden="false" customHeight="false" outlineLevel="0" collapsed="false">
      <c r="A59" s="4" t="s">
        <v>796</v>
      </c>
      <c r="B59" s="385"/>
      <c r="C59" s="385"/>
      <c r="D59" s="385"/>
      <c r="E59" s="385"/>
      <c r="F59" s="385"/>
      <c r="G59" s="431" t="n">
        <v>231.31284313097</v>
      </c>
      <c r="H59" s="433" t="n">
        <f aca="false">58990*0.629/1.5599/1000</f>
        <v>23.7865952945702</v>
      </c>
      <c r="I59" s="416" t="n">
        <f aca="false">-58990*0.629/1.5599/1000*0.2</f>
        <v>-4.75731905891403</v>
      </c>
      <c r="J59" s="416" t="n">
        <f aca="false">-2956/1.5599/1000</f>
        <v>-1.89499326879928</v>
      </c>
      <c r="K59" s="416" t="n">
        <v>0</v>
      </c>
      <c r="L59" s="406" t="n">
        <f aca="false">SUM(H59:K59)</f>
        <v>17.1342829668569</v>
      </c>
      <c r="M59" s="413"/>
      <c r="N59" s="404"/>
      <c r="O59" s="404"/>
      <c r="P59" s="404"/>
      <c r="Q59" s="413"/>
      <c r="R59" s="414"/>
      <c r="S59" s="385"/>
    </row>
    <row r="60" customFormat="false" ht="12.75" hidden="false" customHeight="false" outlineLevel="0" collapsed="false">
      <c r="A60" s="4" t="s">
        <v>797</v>
      </c>
      <c r="B60" s="385"/>
      <c r="C60" s="385"/>
      <c r="D60" s="385"/>
      <c r="E60" s="385"/>
      <c r="F60" s="385"/>
      <c r="G60" s="431" t="n">
        <v>38.5521405218283</v>
      </c>
      <c r="H60" s="433" t="n">
        <f aca="false">7782*0.489/1.5599/1000</f>
        <v>2.43951407141483</v>
      </c>
      <c r="I60" s="416" t="n">
        <f aca="false">-7782*0.489/1.5599/1000*0.2</f>
        <v>-0.487902814282967</v>
      </c>
      <c r="J60" s="416" t="n">
        <f aca="false">-185/1.5599/1000</f>
        <v>-0.118597345983717</v>
      </c>
      <c r="K60" s="416" t="n">
        <v>0</v>
      </c>
      <c r="L60" s="406" t="n">
        <f aca="false">SUM(H60:K60)</f>
        <v>1.83301391114815</v>
      </c>
      <c r="M60" s="413"/>
      <c r="N60" s="404"/>
      <c r="O60" s="404"/>
      <c r="P60" s="404"/>
      <c r="Q60" s="413"/>
      <c r="R60" s="414"/>
      <c r="S60" s="385"/>
    </row>
    <row r="61" customFormat="false" ht="12.75" hidden="false" customHeight="false" outlineLevel="0" collapsed="false">
      <c r="A61" s="4" t="s">
        <v>798</v>
      </c>
      <c r="B61" s="385"/>
      <c r="C61" s="385"/>
      <c r="D61" s="385"/>
      <c r="E61" s="385"/>
      <c r="F61" s="385"/>
      <c r="G61" s="431" t="n">
        <v>83.5296377972947</v>
      </c>
      <c r="H61" s="433" t="n">
        <f aca="false">20948*0.779/1.5599/1000</f>
        <v>10.4612423873325</v>
      </c>
      <c r="I61" s="416" t="n">
        <f aca="false">-20948*0.779/1.5599/1000*0.2</f>
        <v>-2.0922484774665</v>
      </c>
      <c r="J61" s="416" t="n">
        <f aca="false">-1068/1.5599/1000</f>
        <v>-0.684659273030323</v>
      </c>
      <c r="K61" s="416" t="n">
        <v>0</v>
      </c>
      <c r="L61" s="406" t="n">
        <f aca="false">SUM(H61:K61)</f>
        <v>7.68433463683569</v>
      </c>
      <c r="M61" s="413"/>
      <c r="N61" s="404"/>
      <c r="O61" s="404"/>
      <c r="P61" s="404"/>
      <c r="Q61" s="413"/>
      <c r="R61" s="414"/>
      <c r="S61" s="385"/>
    </row>
    <row r="62" customFormat="false" ht="12.75" hidden="false" customHeight="false" outlineLevel="0" collapsed="false">
      <c r="A62" s="4" t="s">
        <v>799</v>
      </c>
      <c r="B62" s="385"/>
      <c r="C62" s="385"/>
      <c r="D62" s="385"/>
      <c r="E62" s="385"/>
      <c r="F62" s="385"/>
      <c r="G62" s="431" t="n">
        <v>38.5521405218283</v>
      </c>
      <c r="H62" s="433" t="n">
        <f aca="false">9651*0.769/1.5599/1000</f>
        <v>4.75775306109366</v>
      </c>
      <c r="I62" s="416" t="n">
        <f aca="false">-9651*0.769/1.5599/1000*0.2</f>
        <v>-0.951550612218732</v>
      </c>
      <c r="J62" s="416" t="n">
        <f aca="false">-493/1.5599/1000</f>
        <v>-0.316045900378229</v>
      </c>
      <c r="K62" s="416" t="n">
        <v>0</v>
      </c>
      <c r="L62" s="406" t="n">
        <f aca="false">SUM(H62:K62)</f>
        <v>3.4901565484967</v>
      </c>
      <c r="M62" s="413"/>
      <c r="N62" s="404"/>
      <c r="O62" s="404"/>
      <c r="P62" s="404"/>
      <c r="Q62" s="413"/>
      <c r="R62" s="414"/>
      <c r="S62" s="385"/>
    </row>
    <row r="63" customFormat="false" ht="13.5" hidden="false" customHeight="false" outlineLevel="0" collapsed="false">
      <c r="A63" s="434" t="s">
        <v>800</v>
      </c>
      <c r="B63" s="419"/>
      <c r="C63" s="419"/>
      <c r="D63" s="419"/>
      <c r="E63" s="419"/>
      <c r="F63" s="419"/>
      <c r="G63" s="435" t="n">
        <v>12.8507135072761</v>
      </c>
      <c r="H63" s="436" t="n">
        <f aca="false">3218*0.75/1.5599/1000</f>
        <v>1.54721456503622</v>
      </c>
      <c r="I63" s="437" t="n">
        <f aca="false">-3218*0.75/1.5599/1000*0.2</f>
        <v>-0.309442913007244</v>
      </c>
      <c r="J63" s="437" t="n">
        <f aca="false">-164/1.5599/1000</f>
        <v>-0.105134944547727</v>
      </c>
      <c r="K63" s="437" t="n">
        <v>0</v>
      </c>
      <c r="L63" s="423" t="n">
        <f aca="false">SUM(H63:K63)</f>
        <v>1.13263670748125</v>
      </c>
      <c r="M63" s="413"/>
      <c r="N63" s="404"/>
      <c r="O63" s="404"/>
      <c r="P63" s="404"/>
      <c r="Q63" s="413"/>
      <c r="R63" s="414"/>
      <c r="S63" s="385"/>
    </row>
    <row r="64" customFormat="false" ht="12.75" hidden="false" customHeight="false" outlineLevel="0" collapsed="false">
      <c r="A64" s="438" t="s">
        <v>801</v>
      </c>
      <c r="B64" s="4"/>
      <c r="C64" s="4"/>
      <c r="D64" s="4"/>
      <c r="E64" s="4"/>
      <c r="F64" s="385"/>
      <c r="G64" s="426" t="n">
        <f aca="false">SUM(G53:G63)</f>
        <v>1411.20273044969</v>
      </c>
      <c r="H64" s="427" t="n">
        <f aca="false">SUM(H53:H63)</f>
        <v>135.883101415558</v>
      </c>
      <c r="I64" s="428" t="n">
        <f aca="false">SUM(I53:I63)</f>
        <v>-27.1766202831116</v>
      </c>
      <c r="J64" s="428" t="n">
        <f aca="false">SUM(J53:J63)</f>
        <v>-6.61033324311486</v>
      </c>
      <c r="K64" s="439" t="n">
        <f aca="false">SUM(K53:K63)</f>
        <v>0</v>
      </c>
      <c r="L64" s="429" t="n">
        <f aca="false">SUM(L53:L63)</f>
        <v>102.096147889332</v>
      </c>
      <c r="M64" s="440"/>
      <c r="N64" s="404"/>
      <c r="O64" s="404"/>
      <c r="P64" s="404"/>
      <c r="Q64" s="413"/>
      <c r="R64" s="414"/>
      <c r="S64" s="385"/>
    </row>
    <row r="65" customFormat="false" ht="12.75" hidden="false" customHeight="false" outlineLevel="0" collapsed="false">
      <c r="A65" s="441"/>
      <c r="B65" s="385"/>
      <c r="C65" s="385"/>
      <c r="D65" s="385"/>
      <c r="E65" s="385"/>
      <c r="F65" s="385"/>
      <c r="G65" s="413"/>
      <c r="H65" s="442"/>
      <c r="I65" s="443"/>
      <c r="J65" s="443"/>
      <c r="K65" s="444"/>
      <c r="L65" s="445"/>
      <c r="M65" s="440"/>
      <c r="N65" s="404" t="n">
        <f aca="false">SUM(N22:N64)</f>
        <v>0</v>
      </c>
      <c r="O65" s="404" t="n">
        <f aca="false">SUM(O22:O64)</f>
        <v>0</v>
      </c>
      <c r="P65" s="406" t="n">
        <f aca="false">SUM(P22:P64)</f>
        <v>0</v>
      </c>
      <c r="Q65" s="171"/>
      <c r="R65" s="446" t="n">
        <f aca="false">SUM(R22:R64)</f>
        <v>0</v>
      </c>
      <c r="S65" s="0"/>
    </row>
    <row r="66" customFormat="false" ht="12.75" hidden="false" customHeight="false" outlineLevel="0" collapsed="false">
      <c r="A66" s="447" t="s">
        <v>802</v>
      </c>
      <c r="B66" s="448"/>
      <c r="C66" s="448"/>
      <c r="D66" s="448"/>
      <c r="E66" s="448"/>
      <c r="F66" s="448"/>
      <c r="G66" s="449" t="n">
        <f aca="false">+G64+G51</f>
        <v>4314.34416797421</v>
      </c>
      <c r="H66" s="450" t="n">
        <f aca="false">+H64+H51</f>
        <v>507.489878640006</v>
      </c>
      <c r="I66" s="451" t="n">
        <f aca="false">+I64+I51</f>
        <v>-38.2702816421627</v>
      </c>
      <c r="J66" s="451" t="n">
        <f aca="false">+J64+J51</f>
        <v>-18.3576931618004</v>
      </c>
      <c r="K66" s="452" t="n">
        <f aca="false">+K64+K51</f>
        <v>0</v>
      </c>
      <c r="L66" s="453" t="n">
        <f aca="false">+L64+L51</f>
        <v>450.861903836043</v>
      </c>
      <c r="M66" s="440"/>
      <c r="N66" s="404"/>
      <c r="O66" s="404"/>
      <c r="P66" s="406"/>
      <c r="Q66" s="171"/>
      <c r="R66" s="446"/>
      <c r="S66" s="0"/>
    </row>
    <row r="67" customFormat="false" ht="12.75" hidden="false" customHeight="false" outlineLevel="0" collapsed="false">
      <c r="A67" s="441"/>
      <c r="B67" s="385"/>
      <c r="C67" s="385"/>
      <c r="D67" s="385"/>
      <c r="E67" s="385"/>
      <c r="F67" s="385"/>
      <c r="G67" s="413"/>
      <c r="H67" s="442"/>
      <c r="I67" s="443"/>
      <c r="J67" s="443"/>
      <c r="K67" s="444"/>
      <c r="L67" s="445"/>
      <c r="M67" s="440"/>
      <c r="N67" s="404"/>
      <c r="O67" s="404"/>
      <c r="P67" s="406"/>
      <c r="Q67" s="171"/>
      <c r="R67" s="446"/>
      <c r="S67" s="0"/>
    </row>
    <row r="68" customFormat="false" ht="12.75" hidden="false" customHeight="false" outlineLevel="0" collapsed="false">
      <c r="A68" s="454" t="s">
        <v>803</v>
      </c>
      <c r="B68" s="385"/>
      <c r="C68" s="385"/>
      <c r="D68" s="385"/>
      <c r="E68" s="385"/>
      <c r="F68" s="385"/>
      <c r="G68" s="413"/>
      <c r="H68" s="442"/>
      <c r="I68" s="443"/>
      <c r="J68" s="443"/>
      <c r="K68" s="444"/>
      <c r="L68" s="445"/>
      <c r="M68" s="440"/>
      <c r="N68" s="404"/>
      <c r="O68" s="404"/>
      <c r="P68" s="406"/>
      <c r="Q68" s="171"/>
      <c r="R68" s="446"/>
      <c r="S68" s="0"/>
    </row>
    <row r="69" customFormat="false" ht="12.75" hidden="false" customHeight="false" outlineLevel="0" collapsed="false">
      <c r="A69" s="454"/>
      <c r="B69" s="385"/>
      <c r="C69" s="385"/>
      <c r="D69" s="385"/>
      <c r="E69" s="385"/>
      <c r="F69" s="385"/>
      <c r="G69" s="413"/>
      <c r="H69" s="442"/>
      <c r="I69" s="443"/>
      <c r="J69" s="443"/>
      <c r="K69" s="444"/>
      <c r="L69" s="445"/>
      <c r="M69" s="440"/>
      <c r="N69" s="404"/>
      <c r="O69" s="404"/>
      <c r="P69" s="406"/>
      <c r="Q69" s="171"/>
      <c r="R69" s="446"/>
      <c r="S69" s="0"/>
    </row>
    <row r="70" customFormat="false" ht="12.75" hidden="false" customHeight="false" outlineLevel="0" collapsed="false">
      <c r="A70" s="455" t="s">
        <v>804</v>
      </c>
      <c r="B70" s="385"/>
      <c r="C70" s="385"/>
      <c r="D70" s="385"/>
      <c r="E70" s="385"/>
      <c r="F70" s="385"/>
      <c r="G70" s="413"/>
      <c r="H70" s="442"/>
      <c r="I70" s="443"/>
      <c r="J70" s="443"/>
      <c r="K70" s="444"/>
      <c r="L70" s="445"/>
      <c r="M70" s="440"/>
      <c r="N70" s="404"/>
      <c r="O70" s="404"/>
      <c r="P70" s="406"/>
      <c r="Q70" s="171"/>
      <c r="R70" s="446"/>
      <c r="S70" s="0"/>
    </row>
    <row r="71" customFormat="false" ht="12.75" hidden="false" customHeight="false" outlineLevel="0" collapsed="false">
      <c r="A71" s="441"/>
      <c r="B71" s="385"/>
      <c r="C71" s="385"/>
      <c r="D71" s="385"/>
      <c r="E71" s="385"/>
      <c r="F71" s="385"/>
      <c r="G71" s="431"/>
      <c r="H71" s="417"/>
      <c r="I71" s="404"/>
      <c r="J71" s="404"/>
      <c r="K71" s="405"/>
      <c r="L71" s="406"/>
      <c r="M71" s="440"/>
      <c r="N71" s="173"/>
      <c r="O71" s="173"/>
      <c r="P71" s="456"/>
      <c r="Q71" s="171"/>
      <c r="R71" s="171"/>
      <c r="S71" s="0"/>
    </row>
    <row r="72" customFormat="false" ht="12.75" hidden="false" customHeight="false" outlineLevel="0" collapsed="false">
      <c r="A72" s="286" t="s">
        <v>805</v>
      </c>
      <c r="B72" s="385"/>
      <c r="C72" s="385"/>
      <c r="D72" s="385"/>
      <c r="E72" s="385"/>
      <c r="F72" s="385"/>
      <c r="G72" s="431" t="n">
        <v>538.044078947368</v>
      </c>
      <c r="H72" s="417" t="n">
        <v>8.34539473684211</v>
      </c>
      <c r="I72" s="404" t="n">
        <v>-0.600868421052632</v>
      </c>
      <c r="J72" s="404" t="n">
        <v>0</v>
      </c>
      <c r="K72" s="405" t="n">
        <v>0</v>
      </c>
      <c r="L72" s="406" t="n">
        <f aca="false">SUM(H72:K72)</f>
        <v>7.74452631578948</v>
      </c>
      <c r="M72" s="440"/>
      <c r="N72" s="173"/>
      <c r="O72" s="173"/>
      <c r="P72" s="456"/>
      <c r="Q72" s="171"/>
      <c r="R72" s="171"/>
      <c r="S72" s="0"/>
    </row>
    <row r="73" customFormat="false" ht="12.75" hidden="false" customHeight="false" outlineLevel="0" collapsed="false">
      <c r="A73" s="286" t="s">
        <v>806</v>
      </c>
      <c r="B73" s="385"/>
      <c r="C73" s="385"/>
      <c r="D73" s="385"/>
      <c r="E73" s="385"/>
      <c r="F73" s="385"/>
      <c r="G73" s="431" t="n">
        <v>174.876315789474</v>
      </c>
      <c r="H73" s="417" t="n">
        <v>12.5888157894737</v>
      </c>
      <c r="I73" s="404" t="n">
        <v>-0.821797894736842</v>
      </c>
      <c r="J73" s="404" t="n">
        <v>-0.000828</v>
      </c>
      <c r="K73" s="405" t="n">
        <v>0</v>
      </c>
      <c r="L73" s="406" t="n">
        <f aca="false">SUM(H73:K73)</f>
        <v>11.7661898947368</v>
      </c>
      <c r="M73" s="440"/>
      <c r="N73" s="404"/>
      <c r="O73" s="404"/>
      <c r="P73" s="406"/>
      <c r="Q73" s="171"/>
      <c r="R73" s="446"/>
      <c r="S73" s="0"/>
    </row>
    <row r="74" customFormat="false" ht="12.75" hidden="false" customHeight="false" outlineLevel="0" collapsed="false">
      <c r="A74" s="286" t="s">
        <v>807</v>
      </c>
      <c r="B74" s="457"/>
      <c r="C74" s="457"/>
      <c r="D74" s="457"/>
      <c r="E74" s="457"/>
      <c r="F74" s="457"/>
      <c r="G74" s="431" t="n">
        <v>266.724715922444</v>
      </c>
      <c r="H74" s="417" t="n">
        <v>42.62044653349</v>
      </c>
      <c r="I74" s="404" t="n">
        <v>-1.19447238542891</v>
      </c>
      <c r="J74" s="404" t="n">
        <v>-1.61248204726466</v>
      </c>
      <c r="K74" s="405" t="n">
        <v>0</v>
      </c>
      <c r="L74" s="406" t="n">
        <f aca="false">SUM(H74:K74)</f>
        <v>39.8134921007964</v>
      </c>
      <c r="M74" s="440"/>
      <c r="N74" s="404"/>
      <c r="O74" s="404"/>
      <c r="P74" s="406"/>
      <c r="Q74" s="171"/>
      <c r="R74" s="446"/>
      <c r="S74" s="0"/>
    </row>
    <row r="75" customFormat="false" ht="12.75" hidden="false" customHeight="false" outlineLevel="0" collapsed="false">
      <c r="A75" s="286" t="s">
        <v>766</v>
      </c>
      <c r="B75" s="385"/>
      <c r="C75" s="385"/>
      <c r="D75" s="385"/>
      <c r="E75" s="385"/>
      <c r="F75" s="385"/>
      <c r="G75" s="431" t="n">
        <v>381.377878985036</v>
      </c>
      <c r="H75" s="417" t="n">
        <v>41.6330513988289</v>
      </c>
      <c r="I75" s="404" t="n">
        <v>-1.79588330513988</v>
      </c>
      <c r="J75" s="404" t="n">
        <v>-2.89655172413793</v>
      </c>
      <c r="K75" s="405" t="n">
        <v>0</v>
      </c>
      <c r="L75" s="406" t="n">
        <f aca="false">SUM(H75:K75)</f>
        <v>36.9406163695511</v>
      </c>
      <c r="M75" s="440"/>
      <c r="N75" s="173"/>
      <c r="O75" s="173"/>
      <c r="P75" s="456"/>
      <c r="Q75" s="171"/>
      <c r="R75" s="171"/>
      <c r="S75" s="0"/>
    </row>
    <row r="76" customFormat="false" ht="12.75" hidden="false" customHeight="false" outlineLevel="0" collapsed="false">
      <c r="A76" s="286" t="s">
        <v>808</v>
      </c>
      <c r="B76" s="385"/>
      <c r="C76" s="385"/>
      <c r="D76" s="385"/>
      <c r="E76" s="385"/>
      <c r="F76" s="385"/>
      <c r="G76" s="431" t="n">
        <v>34.227716330514</v>
      </c>
      <c r="H76" s="417" t="n">
        <v>0.532856213402733</v>
      </c>
      <c r="I76" s="404" t="n">
        <v>-0.0383656473649967</v>
      </c>
      <c r="J76" s="404" t="n">
        <v>0</v>
      </c>
      <c r="K76" s="405" t="n">
        <v>0</v>
      </c>
      <c r="L76" s="406" t="n">
        <f aca="false">SUM(H76:K76)</f>
        <v>0.494490566037736</v>
      </c>
      <c r="M76" s="440"/>
      <c r="N76" s="173"/>
      <c r="O76" s="173"/>
      <c r="P76" s="456"/>
      <c r="Q76" s="171"/>
      <c r="R76" s="171"/>
      <c r="S76" s="0"/>
    </row>
    <row r="77" customFormat="false" ht="12.75" hidden="false" customHeight="false" outlineLevel="0" collapsed="false">
      <c r="A77" s="458" t="s">
        <v>773</v>
      </c>
      <c r="B77" s="385"/>
      <c r="C77" s="385"/>
      <c r="D77" s="385"/>
      <c r="E77" s="385"/>
      <c r="F77" s="385"/>
      <c r="G77" s="431" t="n">
        <v>190.79332765846</v>
      </c>
      <c r="H77" s="417" t="n">
        <v>28.2157543216344</v>
      </c>
      <c r="I77" s="404" t="n">
        <v>-0.812014981665794</v>
      </c>
      <c r="J77" s="404" t="n">
        <v>-0.900995285489785</v>
      </c>
      <c r="K77" s="405" t="n">
        <v>0</v>
      </c>
      <c r="L77" s="406" t="n">
        <f aca="false">SUM(H77:K77)</f>
        <v>26.5027440544788</v>
      </c>
      <c r="M77" s="440"/>
      <c r="N77" s="173"/>
      <c r="O77" s="173"/>
      <c r="P77" s="456"/>
      <c r="Q77" s="171"/>
      <c r="R77" s="171"/>
      <c r="S77" s="0"/>
    </row>
    <row r="78" customFormat="false" ht="12.75" hidden="false" customHeight="false" outlineLevel="0" collapsed="false">
      <c r="A78" s="430" t="s">
        <v>809</v>
      </c>
      <c r="B78" s="385"/>
      <c r="C78" s="385"/>
      <c r="D78" s="385"/>
      <c r="E78" s="385"/>
      <c r="F78" s="385"/>
      <c r="G78" s="431" t="n">
        <f aca="false">+'[3]Enron Direct Canada Origination'!H51*1000</f>
        <v>4.13267956877517</v>
      </c>
      <c r="H78" s="417" t="n">
        <f aca="false">+'[3]Enron Direct Canada Origination'!I51*1000</f>
        <v>0.809845434472009</v>
      </c>
      <c r="I78" s="404" t="n">
        <v>-0.0191682036628133</v>
      </c>
      <c r="J78" s="404" t="n">
        <v>0</v>
      </c>
      <c r="K78" s="405" t="n">
        <f aca="false">+'[3]Enron Direct Canada Origination'!L51*1000</f>
        <v>0</v>
      </c>
      <c r="L78" s="406" t="n">
        <f aca="false">SUM(H78:K78)</f>
        <v>0.790677230809196</v>
      </c>
      <c r="M78" s="440"/>
      <c r="N78" s="173"/>
      <c r="O78" s="173"/>
      <c r="P78" s="456"/>
      <c r="Q78" s="171"/>
      <c r="R78" s="171"/>
      <c r="S78" s="0"/>
    </row>
    <row r="79" customFormat="false" ht="12.75" hidden="false" customHeight="false" outlineLevel="0" collapsed="false">
      <c r="A79" s="430" t="s">
        <v>810</v>
      </c>
      <c r="B79" s="385"/>
      <c r="C79" s="385"/>
      <c r="D79" s="385"/>
      <c r="E79" s="385"/>
      <c r="F79" s="385"/>
      <c r="G79" s="431" t="n">
        <f aca="false">+'[3]Enron Direct Canada Origination'!H52*1000</f>
        <v>9.55137234593475</v>
      </c>
      <c r="H79" s="417" t="n">
        <f aca="false">+'[3]Enron Direct Canada Origination'!I52*1000</f>
        <v>1.98990160538581</v>
      </c>
      <c r="I79" s="404" t="n">
        <v>-0.0449975763852926</v>
      </c>
      <c r="J79" s="404" t="n">
        <v>0</v>
      </c>
      <c r="K79" s="405" t="n">
        <f aca="false">+'[3]Enron Direct Canada Origination'!L52*1000</f>
        <v>0</v>
      </c>
      <c r="L79" s="406" t="n">
        <f aca="false">SUM(H79:K79)</f>
        <v>1.94490402900052</v>
      </c>
      <c r="M79" s="440"/>
      <c r="N79" s="173"/>
      <c r="O79" s="173"/>
      <c r="P79" s="456"/>
      <c r="Q79" s="171"/>
      <c r="R79" s="171"/>
      <c r="S79" s="0"/>
    </row>
    <row r="80" customFormat="false" ht="12.75" hidden="false" customHeight="false" outlineLevel="0" collapsed="false">
      <c r="A80" s="389" t="s">
        <v>775</v>
      </c>
      <c r="B80" s="385"/>
      <c r="C80" s="385"/>
      <c r="D80" s="385"/>
      <c r="E80" s="385"/>
      <c r="F80" s="385"/>
      <c r="G80" s="431" t="n">
        <f aca="false">+'[3]Enron Direct Canada Origination'!H53*1000</f>
        <v>24.251411185914</v>
      </c>
      <c r="H80" s="417" t="n">
        <f aca="false">+'[3]Enron Direct Canada Origination'!I53*1000</f>
        <v>4.68377783531849</v>
      </c>
      <c r="I80" s="404" t="n">
        <v>-0.103541853961678</v>
      </c>
      <c r="J80" s="404" t="n">
        <v>0</v>
      </c>
      <c r="K80" s="405" t="n">
        <f aca="false">+'[3]Enron Direct Canada Origination'!L53*1000</f>
        <v>0</v>
      </c>
      <c r="L80" s="406" t="n">
        <f aca="false">SUM(H80:K80)</f>
        <v>4.58023598135681</v>
      </c>
      <c r="M80" s="440"/>
      <c r="N80" s="173"/>
      <c r="O80" s="173"/>
      <c r="P80" s="456"/>
      <c r="Q80" s="171"/>
      <c r="R80" s="171"/>
      <c r="S80" s="0"/>
    </row>
    <row r="81" customFormat="false" ht="12.75" hidden="false" customHeight="false" outlineLevel="0" collapsed="false">
      <c r="A81" s="0" t="s">
        <v>808</v>
      </c>
      <c r="B81" s="385"/>
      <c r="C81" s="385"/>
      <c r="D81" s="385"/>
      <c r="E81" s="385"/>
      <c r="F81" s="385"/>
      <c r="G81" s="431" t="n">
        <v>5.74594078319007</v>
      </c>
      <c r="H81" s="417" t="n">
        <v>0.0891435848455906</v>
      </c>
      <c r="I81" s="404" t="n">
        <v>-0.00641833810888252</v>
      </c>
      <c r="J81" s="404" t="n">
        <v>0</v>
      </c>
      <c r="K81" s="405" t="n">
        <v>0</v>
      </c>
      <c r="L81" s="406"/>
      <c r="M81" s="440"/>
      <c r="N81" s="173"/>
      <c r="O81" s="173"/>
      <c r="P81" s="456"/>
      <c r="Q81" s="171"/>
      <c r="R81" s="171"/>
      <c r="S81" s="0"/>
    </row>
    <row r="82" customFormat="false" ht="12.75" hidden="false" customHeight="false" outlineLevel="0" collapsed="false">
      <c r="A82" s="415" t="s">
        <v>781</v>
      </c>
      <c r="B82" s="385"/>
      <c r="C82" s="385"/>
      <c r="D82" s="385"/>
      <c r="E82" s="385"/>
      <c r="F82" s="385"/>
      <c r="G82" s="431" t="n">
        <v>75.098368522073</v>
      </c>
      <c r="H82" s="417" t="n">
        <v>14.0959692898273</v>
      </c>
      <c r="I82" s="404" t="n">
        <v>-0.347074088291747</v>
      </c>
      <c r="J82" s="404" t="n">
        <v>-0.651311580294306</v>
      </c>
      <c r="K82" s="405" t="n">
        <v>0</v>
      </c>
      <c r="L82" s="406" t="n">
        <f aca="false">SUM(H82:K82)</f>
        <v>13.0975836212412</v>
      </c>
      <c r="M82" s="440"/>
      <c r="N82" s="173"/>
      <c r="O82" s="173"/>
      <c r="P82" s="456"/>
      <c r="Q82" s="171"/>
      <c r="R82" s="171"/>
      <c r="S82" s="0"/>
    </row>
    <row r="83" customFormat="false" ht="12.75" hidden="false" customHeight="false" outlineLevel="0" collapsed="false">
      <c r="A83" s="415" t="s">
        <v>811</v>
      </c>
      <c r="B83" s="385"/>
      <c r="C83" s="385"/>
      <c r="D83" s="385"/>
      <c r="E83" s="385"/>
      <c r="F83" s="385"/>
      <c r="G83" s="431" t="n">
        <v>202.045005418499</v>
      </c>
      <c r="H83" s="417" t="n">
        <v>36.6622043730477</v>
      </c>
      <c r="I83" s="404" t="n">
        <v>-0.920503346720214</v>
      </c>
      <c r="J83" s="404" t="n">
        <v>-1.37247402307643</v>
      </c>
      <c r="K83" s="405" t="n">
        <v>0</v>
      </c>
      <c r="L83" s="406" t="n">
        <f aca="false">SUM(H83:K83)</f>
        <v>34.3692270032511</v>
      </c>
      <c r="M83" s="440"/>
      <c r="N83" s="173"/>
      <c r="O83" s="173"/>
      <c r="P83" s="456"/>
      <c r="Q83" s="171"/>
      <c r="R83" s="171"/>
      <c r="S83" s="0"/>
    </row>
    <row r="84" customFormat="false" ht="12.75" hidden="false" customHeight="false" outlineLevel="0" collapsed="false">
      <c r="A84" s="415" t="s">
        <v>785</v>
      </c>
      <c r="B84" s="385"/>
      <c r="C84" s="385"/>
      <c r="D84" s="385"/>
      <c r="E84" s="385"/>
      <c r="F84" s="385"/>
      <c r="G84" s="431" t="n">
        <v>182.745826441023</v>
      </c>
      <c r="H84" s="417" t="n">
        <v>33.030366458837</v>
      </c>
      <c r="I84" s="404" t="n">
        <v>-0.832932627560758</v>
      </c>
      <c r="J84" s="404" t="n">
        <v>-1.23616236162362</v>
      </c>
      <c r="K84" s="405" t="n">
        <v>0</v>
      </c>
      <c r="L84" s="406" t="n">
        <f aca="false">SUM(H84:K84)</f>
        <v>30.9612714696526</v>
      </c>
      <c r="M84" s="440"/>
      <c r="N84" s="173"/>
      <c r="O84" s="173"/>
      <c r="P84" s="456"/>
      <c r="Q84" s="171"/>
      <c r="R84" s="171"/>
      <c r="S84" s="0"/>
    </row>
    <row r="85" customFormat="false" ht="12.75" hidden="false" customHeight="false" outlineLevel="0" collapsed="false">
      <c r="A85" s="415" t="s">
        <v>812</v>
      </c>
      <c r="B85" s="385"/>
      <c r="C85" s="385"/>
      <c r="D85" s="385"/>
      <c r="E85" s="385"/>
      <c r="F85" s="385"/>
      <c r="G85" s="431" t="n">
        <v>14.7781564530513</v>
      </c>
      <c r="H85" s="417" t="n">
        <v>2.27799719709517</v>
      </c>
      <c r="I85" s="404" t="n">
        <v>-0.0631005223595362</v>
      </c>
      <c r="J85" s="404" t="n">
        <v>-0.0726207160147789</v>
      </c>
      <c r="K85" s="405" t="n">
        <v>0</v>
      </c>
      <c r="L85" s="406" t="n">
        <f aca="false">SUM(H85:K85)</f>
        <v>2.14227595872086</v>
      </c>
      <c r="M85" s="440"/>
      <c r="N85" s="173"/>
      <c r="O85" s="173"/>
      <c r="P85" s="456"/>
      <c r="Q85" s="171"/>
      <c r="R85" s="171"/>
      <c r="S85" s="0"/>
    </row>
    <row r="86" customFormat="false" ht="13.5" hidden="false" customHeight="false" outlineLevel="0" collapsed="false">
      <c r="A86" s="418" t="s">
        <v>813</v>
      </c>
      <c r="B86" s="419"/>
      <c r="C86" s="419"/>
      <c r="D86" s="419"/>
      <c r="E86" s="419"/>
      <c r="F86" s="419"/>
      <c r="G86" s="435" t="n">
        <v>74.9880738618274</v>
      </c>
      <c r="H86" s="459" t="n">
        <v>13.2124036930914</v>
      </c>
      <c r="I86" s="421" t="n">
        <v>-0.325336634192932</v>
      </c>
      <c r="J86" s="421" t="n">
        <v>-0.415791149315505</v>
      </c>
      <c r="K86" s="422" t="n">
        <v>0</v>
      </c>
      <c r="L86" s="423" t="n">
        <f aca="false">SUM(H86:K86)</f>
        <v>12.4712759095829</v>
      </c>
      <c r="M86" s="440"/>
      <c r="N86" s="173"/>
      <c r="O86" s="173"/>
      <c r="P86" s="456"/>
      <c r="Q86" s="171"/>
      <c r="R86" s="171"/>
      <c r="S86" s="0"/>
    </row>
    <row r="87" customFormat="false" ht="12.75" hidden="false" customHeight="false" outlineLevel="0" collapsed="false">
      <c r="A87" s="460" t="s">
        <v>814</v>
      </c>
      <c r="B87" s="385"/>
      <c r="C87" s="385"/>
      <c r="D87" s="385"/>
      <c r="E87" s="385"/>
      <c r="F87" s="385"/>
      <c r="G87" s="431" t="n">
        <f aca="false">SUM(G71:G86)</f>
        <v>2179.38086821358</v>
      </c>
      <c r="H87" s="417" t="n">
        <f aca="false">SUM(H71:H86)</f>
        <v>240.787928465592</v>
      </c>
      <c r="I87" s="404" t="n">
        <f aca="false">SUM(I71:I86)</f>
        <v>-7.92647582663291</v>
      </c>
      <c r="J87" s="404" t="n">
        <f aca="false">SUM(J71:J86)</f>
        <v>-9.15921688721701</v>
      </c>
      <c r="K87" s="405" t="n">
        <f aca="false">SUM(K71:K86)</f>
        <v>0</v>
      </c>
      <c r="L87" s="406" t="n">
        <f aca="false">SUM(L71:L86)</f>
        <v>223.619510505006</v>
      </c>
      <c r="M87" s="440"/>
      <c r="N87" s="173"/>
      <c r="O87" s="173"/>
      <c r="P87" s="456"/>
      <c r="Q87" s="171"/>
      <c r="R87" s="171"/>
      <c r="S87" s="0"/>
    </row>
    <row r="88" customFormat="false" ht="12.75" hidden="false" customHeight="false" outlineLevel="0" collapsed="false">
      <c r="A88" s="461"/>
      <c r="B88" s="385"/>
      <c r="C88" s="385"/>
      <c r="D88" s="385"/>
      <c r="E88" s="385"/>
      <c r="F88" s="385"/>
      <c r="G88" s="431"/>
      <c r="H88" s="417"/>
      <c r="I88" s="404"/>
      <c r="J88" s="404"/>
      <c r="K88" s="405"/>
      <c r="L88" s="406"/>
      <c r="M88" s="440"/>
      <c r="N88" s="173"/>
      <c r="O88" s="173"/>
      <c r="P88" s="456"/>
      <c r="Q88" s="171"/>
      <c r="R88" s="171"/>
      <c r="S88" s="0"/>
    </row>
    <row r="89" customFormat="false" ht="12.75" hidden="false" customHeight="false" outlineLevel="0" collapsed="false">
      <c r="A89" s="455" t="s">
        <v>815</v>
      </c>
      <c r="B89" s="385"/>
      <c r="C89" s="385"/>
      <c r="D89" s="385"/>
      <c r="E89" s="385"/>
      <c r="F89" s="385"/>
      <c r="G89" s="431"/>
      <c r="H89" s="417"/>
      <c r="I89" s="404"/>
      <c r="J89" s="404"/>
      <c r="K89" s="405"/>
      <c r="L89" s="406"/>
      <c r="M89" s="440"/>
      <c r="N89" s="173"/>
      <c r="O89" s="173"/>
      <c r="P89" s="456"/>
      <c r="Q89" s="171"/>
      <c r="R89" s="171"/>
      <c r="S89" s="0"/>
    </row>
    <row r="90" customFormat="false" ht="12.75" hidden="false" customHeight="false" outlineLevel="0" collapsed="false">
      <c r="A90" s="455"/>
      <c r="B90" s="385"/>
      <c r="C90" s="385"/>
      <c r="D90" s="385"/>
      <c r="E90" s="385"/>
      <c r="F90" s="385"/>
      <c r="G90" s="431"/>
      <c r="H90" s="417"/>
      <c r="I90" s="404"/>
      <c r="J90" s="404"/>
      <c r="K90" s="405"/>
      <c r="L90" s="406"/>
      <c r="M90" s="440"/>
      <c r="N90" s="173"/>
      <c r="O90" s="173"/>
      <c r="P90" s="456"/>
      <c r="Q90" s="171"/>
      <c r="R90" s="171"/>
      <c r="S90" s="0"/>
    </row>
    <row r="91" customFormat="false" ht="12.75" hidden="false" customHeight="false" outlineLevel="0" collapsed="false">
      <c r="A91" s="4" t="s">
        <v>792</v>
      </c>
      <c r="B91" s="385"/>
      <c r="C91" s="385"/>
      <c r="D91" s="385"/>
      <c r="E91" s="385"/>
      <c r="F91" s="385"/>
      <c r="G91" s="431" t="n">
        <v>588.358</v>
      </c>
      <c r="H91" s="417" t="n">
        <v>50.387</v>
      </c>
      <c r="I91" s="404" t="n">
        <v>-50.387</v>
      </c>
      <c r="J91" s="404" t="n">
        <v>0</v>
      </c>
      <c r="K91" s="405" t="n">
        <v>0</v>
      </c>
      <c r="L91" s="406" t="n">
        <f aca="false">SUM(H91:K91)</f>
        <v>0</v>
      </c>
      <c r="M91" s="406" t="n">
        <f aca="false">SUM(I91:L91)</f>
        <v>-50.387</v>
      </c>
      <c r="N91" s="404" t="n">
        <f aca="false">SUM(J91:M91)</f>
        <v>-50.387</v>
      </c>
      <c r="O91" s="404" t="n">
        <f aca="false">SUM(K91:N91)</f>
        <v>-100.774</v>
      </c>
      <c r="P91" s="406" t="n">
        <f aca="false">SUM(L91:O91)</f>
        <v>-201.548</v>
      </c>
      <c r="Q91" s="414" t="n">
        <f aca="false">SUM(M91:P91)</f>
        <v>-403.096</v>
      </c>
      <c r="R91" s="414" t="n">
        <f aca="false">SUM(N91:Q91)</f>
        <v>-755.805</v>
      </c>
      <c r="S91" s="0"/>
    </row>
    <row r="92" customFormat="false" ht="12.75" hidden="false" customHeight="false" outlineLevel="0" collapsed="false">
      <c r="A92" s="4" t="s">
        <v>816</v>
      </c>
      <c r="B92" s="385"/>
      <c r="C92" s="385"/>
      <c r="D92" s="385"/>
      <c r="E92" s="385"/>
      <c r="F92" s="385"/>
      <c r="G92" s="431" t="n">
        <v>877.235</v>
      </c>
      <c r="H92" s="417" t="n">
        <v>49.824</v>
      </c>
      <c r="I92" s="404" t="n">
        <v>-49.824</v>
      </c>
      <c r="J92" s="404" t="n">
        <v>0</v>
      </c>
      <c r="K92" s="405" t="n">
        <v>0</v>
      </c>
      <c r="L92" s="406" t="n">
        <f aca="false">SUM(H92:K92)</f>
        <v>0</v>
      </c>
      <c r="M92" s="440"/>
      <c r="N92" s="173"/>
      <c r="O92" s="173"/>
      <c r="P92" s="456"/>
      <c r="Q92" s="171"/>
      <c r="R92" s="171"/>
      <c r="S92" s="0"/>
    </row>
    <row r="93" customFormat="false" ht="12.75" hidden="false" customHeight="false" outlineLevel="0" collapsed="false">
      <c r="A93" s="4" t="s">
        <v>817</v>
      </c>
      <c r="B93" s="385"/>
      <c r="C93" s="385"/>
      <c r="D93" s="385"/>
      <c r="E93" s="385"/>
      <c r="F93" s="385"/>
      <c r="G93" s="431" t="n">
        <v>420.166</v>
      </c>
      <c r="H93" s="417" t="n">
        <v>29.801</v>
      </c>
      <c r="I93" s="404" t="n">
        <v>-29.801</v>
      </c>
      <c r="J93" s="404" t="n">
        <v>0</v>
      </c>
      <c r="K93" s="405" t="n">
        <v>0</v>
      </c>
      <c r="L93" s="406" t="n">
        <f aca="false">SUM(H93:K93)</f>
        <v>0</v>
      </c>
      <c r="M93" s="440"/>
      <c r="N93" s="173"/>
      <c r="O93" s="173"/>
      <c r="P93" s="456"/>
      <c r="Q93" s="171"/>
      <c r="R93" s="171"/>
      <c r="S93" s="0"/>
    </row>
    <row r="94" customFormat="false" ht="12.75" hidden="false" customHeight="false" outlineLevel="0" collapsed="false">
      <c r="A94" s="286" t="s">
        <v>818</v>
      </c>
      <c r="B94" s="385"/>
      <c r="C94" s="385"/>
      <c r="D94" s="385"/>
      <c r="E94" s="385"/>
      <c r="F94" s="385"/>
      <c r="G94" s="431" t="n">
        <v>830.074</v>
      </c>
      <c r="H94" s="417" t="n">
        <v>47.255</v>
      </c>
      <c r="I94" s="404" t="n">
        <v>-47.255</v>
      </c>
      <c r="J94" s="404" t="n">
        <v>0</v>
      </c>
      <c r="K94" s="405" t="n">
        <v>0</v>
      </c>
      <c r="L94" s="406" t="n">
        <f aca="false">SUM(H94:K94)</f>
        <v>0</v>
      </c>
      <c r="M94" s="440"/>
      <c r="N94" s="173"/>
      <c r="O94" s="173"/>
      <c r="P94" s="456"/>
      <c r="Q94" s="171"/>
      <c r="R94" s="171"/>
      <c r="S94" s="0"/>
    </row>
    <row r="95" customFormat="false" ht="12.75" hidden="false" customHeight="false" outlineLevel="0" collapsed="false">
      <c r="A95" s="4" t="s">
        <v>819</v>
      </c>
      <c r="B95" s="385"/>
      <c r="C95" s="385"/>
      <c r="D95" s="385"/>
      <c r="E95" s="385"/>
      <c r="F95" s="385"/>
      <c r="G95" s="431" t="n">
        <v>97.9551282051282</v>
      </c>
      <c r="H95" s="417" t="n">
        <v>7.732</v>
      </c>
      <c r="I95" s="404" t="n">
        <v>-7.732</v>
      </c>
      <c r="J95" s="404" t="n">
        <v>0</v>
      </c>
      <c r="K95" s="405" t="n">
        <v>0</v>
      </c>
      <c r="L95" s="406" t="n">
        <f aca="false">SUM(H95:K95)</f>
        <v>0</v>
      </c>
      <c r="M95" s="440"/>
      <c r="N95" s="174"/>
      <c r="O95" s="174"/>
      <c r="P95" s="456"/>
      <c r="Q95" s="174"/>
      <c r="R95" s="174"/>
      <c r="S95" s="0"/>
    </row>
    <row r="96" customFormat="false" ht="12.75" hidden="false" customHeight="false" outlineLevel="0" collapsed="false">
      <c r="A96" s="4" t="s">
        <v>820</v>
      </c>
      <c r="B96" s="385"/>
      <c r="C96" s="385"/>
      <c r="D96" s="385"/>
      <c r="E96" s="385"/>
      <c r="F96" s="385"/>
      <c r="G96" s="431" t="n">
        <v>683.743829732675</v>
      </c>
      <c r="H96" s="417" t="n">
        <v>48.84</v>
      </c>
      <c r="I96" s="404" t="n">
        <v>-48.84</v>
      </c>
      <c r="J96" s="404" t="n">
        <v>0</v>
      </c>
      <c r="K96" s="405" t="n">
        <v>0</v>
      </c>
      <c r="L96" s="406" t="n">
        <f aca="false">SUM(H96:K96)</f>
        <v>0</v>
      </c>
      <c r="M96" s="440"/>
      <c r="N96" s="173"/>
      <c r="O96" s="173"/>
      <c r="P96" s="456"/>
      <c r="Q96" s="171"/>
      <c r="R96" s="171"/>
      <c r="S96" s="0"/>
    </row>
    <row r="97" customFormat="false" ht="12.75" hidden="false" customHeight="false" outlineLevel="0" collapsed="false">
      <c r="A97" s="4" t="s">
        <v>821</v>
      </c>
      <c r="B97" s="385"/>
      <c r="C97" s="385"/>
      <c r="D97" s="385"/>
      <c r="E97" s="385"/>
      <c r="F97" s="385"/>
      <c r="G97" s="431" t="n">
        <v>555.536158012106</v>
      </c>
      <c r="H97" s="417" t="n">
        <v>35.715833067856</v>
      </c>
      <c r="I97" s="404" t="n">
        <v>-35.715833067856</v>
      </c>
      <c r="J97" s="404" t="n">
        <v>0</v>
      </c>
      <c r="K97" s="405" t="n">
        <v>0</v>
      </c>
      <c r="L97" s="406" t="n">
        <f aca="false">SUM(H97:K97)</f>
        <v>0</v>
      </c>
      <c r="M97" s="440"/>
      <c r="N97" s="173"/>
      <c r="O97" s="173"/>
      <c r="P97" s="456"/>
      <c r="Q97" s="171"/>
      <c r="R97" s="171"/>
      <c r="S97" s="0"/>
    </row>
    <row r="98" customFormat="false" ht="13.5" hidden="false" customHeight="false" outlineLevel="0" collapsed="false">
      <c r="A98" s="418" t="s">
        <v>822</v>
      </c>
      <c r="B98" s="419"/>
      <c r="C98" s="419"/>
      <c r="D98" s="419"/>
      <c r="E98" s="419"/>
      <c r="F98" s="419"/>
      <c r="G98" s="435" t="n">
        <v>1511.8125</v>
      </c>
      <c r="H98" s="459" t="n">
        <v>108.023076923077</v>
      </c>
      <c r="I98" s="421" t="n">
        <v>-108.023076923077</v>
      </c>
      <c r="J98" s="421" t="n">
        <v>0</v>
      </c>
      <c r="K98" s="422" t="n">
        <v>0</v>
      </c>
      <c r="L98" s="423" t="n">
        <f aca="false">SUM(H98:K98)</f>
        <v>0</v>
      </c>
      <c r="M98" s="440"/>
      <c r="N98" s="173"/>
      <c r="O98" s="173"/>
      <c r="P98" s="456"/>
      <c r="Q98" s="171"/>
      <c r="R98" s="171"/>
      <c r="S98" s="0"/>
    </row>
    <row r="99" customFormat="false" ht="12.75" hidden="false" customHeight="false" outlineLevel="0" collapsed="false">
      <c r="A99" s="460" t="s">
        <v>823</v>
      </c>
      <c r="B99" s="385"/>
      <c r="C99" s="385"/>
      <c r="D99" s="385"/>
      <c r="E99" s="385"/>
      <c r="F99" s="385"/>
      <c r="G99" s="431" t="n">
        <f aca="false">SUM(G90:G98)</f>
        <v>5564.88061594991</v>
      </c>
      <c r="H99" s="417" t="n">
        <f aca="false">SUM(H90:H98)</f>
        <v>377.577909990933</v>
      </c>
      <c r="I99" s="404" t="n">
        <f aca="false">SUM(I90:I98)</f>
        <v>-377.577909990933</v>
      </c>
      <c r="J99" s="404" t="n">
        <f aca="false">SUM(J90:J98)</f>
        <v>0</v>
      </c>
      <c r="K99" s="405" t="n">
        <f aca="false">SUM(K90:K98)</f>
        <v>0</v>
      </c>
      <c r="L99" s="406" t="n">
        <f aca="false">SUM(L90:L98)</f>
        <v>0</v>
      </c>
      <c r="M99" s="440"/>
      <c r="N99" s="173"/>
      <c r="O99" s="173"/>
      <c r="P99" s="456"/>
      <c r="Q99" s="171"/>
      <c r="R99" s="171"/>
      <c r="S99" s="0"/>
    </row>
    <row r="100" customFormat="false" ht="12.75" hidden="false" customHeight="false" outlineLevel="0" collapsed="false">
      <c r="A100" s="461"/>
      <c r="B100" s="385"/>
      <c r="C100" s="385"/>
      <c r="D100" s="385"/>
      <c r="E100" s="385"/>
      <c r="F100" s="385"/>
      <c r="G100" s="431"/>
      <c r="H100" s="417"/>
      <c r="I100" s="404"/>
      <c r="J100" s="404"/>
      <c r="K100" s="405"/>
      <c r="L100" s="406"/>
      <c r="M100" s="440"/>
      <c r="N100" s="173"/>
      <c r="O100" s="173"/>
      <c r="P100" s="456"/>
      <c r="Q100" s="171"/>
      <c r="R100" s="171"/>
      <c r="S100" s="0"/>
    </row>
    <row r="101" customFormat="false" ht="12.75" hidden="false" customHeight="false" outlineLevel="0" collapsed="false">
      <c r="A101" s="461"/>
      <c r="B101" s="385"/>
      <c r="C101" s="385"/>
      <c r="D101" s="385"/>
      <c r="E101" s="385"/>
      <c r="F101" s="385"/>
      <c r="G101" s="431"/>
      <c r="H101" s="417"/>
      <c r="I101" s="404"/>
      <c r="J101" s="404"/>
      <c r="K101" s="405"/>
      <c r="L101" s="406"/>
      <c r="M101" s="440"/>
      <c r="N101" s="173"/>
      <c r="O101" s="173"/>
      <c r="P101" s="456"/>
      <c r="Q101" s="171"/>
      <c r="R101" s="171"/>
      <c r="S101" s="0"/>
    </row>
    <row r="102" customFormat="false" ht="12.75" hidden="false" customHeight="false" outlineLevel="0" collapsed="false">
      <c r="A102" s="447" t="s">
        <v>824</v>
      </c>
      <c r="B102" s="448"/>
      <c r="C102" s="448"/>
      <c r="D102" s="448"/>
      <c r="E102" s="448"/>
      <c r="F102" s="448"/>
      <c r="G102" s="449" t="n">
        <f aca="false">+G99+G87</f>
        <v>7744.26148416349</v>
      </c>
      <c r="H102" s="450" t="n">
        <f aca="false">+H99+H87</f>
        <v>618.365838456525</v>
      </c>
      <c r="I102" s="451" t="n">
        <f aca="false">+I99+I87</f>
        <v>-385.504385817566</v>
      </c>
      <c r="J102" s="451" t="n">
        <f aca="false">+J99+J87</f>
        <v>-9.15921688721701</v>
      </c>
      <c r="K102" s="452" t="n">
        <f aca="false">+K99+K87</f>
        <v>0</v>
      </c>
      <c r="L102" s="453" t="n">
        <f aca="false">+L99+L87</f>
        <v>223.619510505006</v>
      </c>
      <c r="M102" s="440"/>
      <c r="N102" s="404" t="n">
        <f aca="false">SUM(N82:N86)</f>
        <v>0</v>
      </c>
      <c r="O102" s="404" t="n">
        <f aca="false">SUM(O82:O86)</f>
        <v>0</v>
      </c>
      <c r="P102" s="406" t="n">
        <f aca="false">SUM(P82:P86)</f>
        <v>0</v>
      </c>
      <c r="Q102" s="171"/>
      <c r="R102" s="446" t="n">
        <f aca="false">SUM(R82:R86)</f>
        <v>0</v>
      </c>
      <c r="S102" s="0"/>
    </row>
    <row r="103" customFormat="false" ht="12.75" hidden="false" customHeight="false" outlineLevel="0" collapsed="false">
      <c r="A103" s="441"/>
      <c r="B103" s="385"/>
      <c r="C103" s="385"/>
      <c r="D103" s="385"/>
      <c r="E103" s="385"/>
      <c r="F103" s="385"/>
      <c r="G103" s="431"/>
      <c r="H103" s="417"/>
      <c r="I103" s="404"/>
      <c r="J103" s="404"/>
      <c r="K103" s="405"/>
      <c r="L103" s="406"/>
      <c r="M103" s="440"/>
      <c r="N103" s="404"/>
      <c r="O103" s="404"/>
      <c r="P103" s="406"/>
      <c r="Q103" s="171"/>
      <c r="R103" s="446"/>
      <c r="S103" s="0"/>
    </row>
    <row r="104" customFormat="false" ht="12.75" hidden="false" customHeight="false" outlineLevel="0" collapsed="false">
      <c r="A104" s="448" t="s">
        <v>825</v>
      </c>
      <c r="B104" s="385"/>
      <c r="C104" s="385"/>
      <c r="D104" s="385"/>
      <c r="E104" s="385"/>
      <c r="F104" s="385"/>
      <c r="G104" s="449"/>
      <c r="H104" s="450"/>
      <c r="I104" s="451"/>
      <c r="J104" s="451"/>
      <c r="K104" s="452"/>
      <c r="L104" s="453" t="n">
        <v>80.409</v>
      </c>
      <c r="M104" s="440"/>
      <c r="N104" s="404"/>
      <c r="O104" s="404"/>
      <c r="P104" s="406"/>
      <c r="Q104" s="171"/>
      <c r="R104" s="446"/>
      <c r="S104" s="0"/>
    </row>
    <row r="105" customFormat="false" ht="12.75" hidden="false" customHeight="false" outlineLevel="0" collapsed="false">
      <c r="A105" s="389"/>
      <c r="B105" s="385"/>
      <c r="C105" s="385"/>
      <c r="D105" s="385"/>
      <c r="E105" s="385"/>
      <c r="F105" s="385"/>
      <c r="G105" s="431"/>
      <c r="H105" s="417"/>
      <c r="I105" s="404"/>
      <c r="J105" s="404"/>
      <c r="K105" s="405"/>
      <c r="L105" s="406"/>
      <c r="M105" s="440"/>
      <c r="N105" s="173"/>
      <c r="O105" s="173"/>
      <c r="P105" s="456"/>
      <c r="Q105" s="171"/>
      <c r="R105" s="171"/>
      <c r="S105" s="0"/>
    </row>
    <row r="106" customFormat="false" ht="12.75" hidden="false" customHeight="false" outlineLevel="0" collapsed="false">
      <c r="A106" s="462" t="s">
        <v>826</v>
      </c>
      <c r="B106" s="385"/>
      <c r="C106" s="385"/>
      <c r="D106" s="385"/>
      <c r="E106" s="385"/>
      <c r="F106" s="385"/>
      <c r="G106" s="413" t="n">
        <f aca="false">G66+G102</f>
        <v>12058.6056521377</v>
      </c>
      <c r="H106" s="442" t="n">
        <f aca="false">H66+H102</f>
        <v>1125.85571709653</v>
      </c>
      <c r="I106" s="443" t="n">
        <f aca="false">I66+I102</f>
        <v>-423.774667459729</v>
      </c>
      <c r="J106" s="443" t="n">
        <f aca="false">J66+J102</f>
        <v>-27.5169100490174</v>
      </c>
      <c r="K106" s="444" t="n">
        <f aca="false">K66+K102</f>
        <v>0</v>
      </c>
      <c r="L106" s="445" t="n">
        <f aca="false">L66+L102+L104</f>
        <v>754.890414341049</v>
      </c>
      <c r="M106" s="440"/>
      <c r="N106" s="173" t="n">
        <f aca="false">N65+N102</f>
        <v>0</v>
      </c>
      <c r="O106" s="173" t="n">
        <f aca="false">O65+O102</f>
        <v>0</v>
      </c>
      <c r="P106" s="456" t="n">
        <f aca="false">P65+P102</f>
        <v>0</v>
      </c>
      <c r="Q106" s="171"/>
      <c r="R106" s="171" t="n">
        <f aca="false">R65+R102</f>
        <v>0</v>
      </c>
      <c r="S106" s="0"/>
    </row>
    <row r="107" customFormat="false" ht="12.75" hidden="false" customHeight="false" outlineLevel="0" collapsed="false">
      <c r="A107" s="389"/>
      <c r="B107" s="385"/>
      <c r="C107" s="385"/>
      <c r="D107" s="385"/>
      <c r="E107" s="385"/>
      <c r="F107" s="385"/>
      <c r="G107" s="431"/>
      <c r="H107" s="417"/>
      <c r="I107" s="404"/>
      <c r="J107" s="404"/>
      <c r="K107" s="405"/>
      <c r="L107" s="406"/>
      <c r="M107" s="440"/>
      <c r="N107" s="173"/>
      <c r="O107" s="173"/>
      <c r="P107" s="456"/>
      <c r="Q107" s="173"/>
      <c r="R107" s="171"/>
      <c r="S107" s="0"/>
    </row>
    <row r="108" customFormat="false" ht="13.5" hidden="false" customHeight="false" outlineLevel="0" collapsed="false">
      <c r="A108" s="463"/>
      <c r="B108" s="385"/>
      <c r="C108" s="385"/>
      <c r="D108" s="385"/>
      <c r="E108" s="385"/>
      <c r="F108" s="385"/>
      <c r="G108" s="435"/>
      <c r="H108" s="459"/>
      <c r="I108" s="421"/>
      <c r="J108" s="421"/>
      <c r="K108" s="422"/>
      <c r="L108" s="423"/>
      <c r="M108" s="440"/>
      <c r="N108" s="173"/>
      <c r="O108" s="173"/>
      <c r="P108" s="456"/>
      <c r="Q108" s="173"/>
      <c r="R108" s="171"/>
    </row>
    <row r="109" customFormat="false" ht="18.75" hidden="false" customHeight="false" outlineLevel="0" collapsed="false">
      <c r="A109" s="464" t="s">
        <v>827</v>
      </c>
      <c r="B109" s="465"/>
      <c r="C109" s="465"/>
      <c r="D109" s="465"/>
      <c r="E109" s="465"/>
      <c r="F109" s="465"/>
      <c r="G109" s="466" t="n">
        <f aca="false">G102+G66</f>
        <v>12058.6056521377</v>
      </c>
      <c r="H109" s="467" t="n">
        <f aca="false">H102+H66</f>
        <v>1125.85571709653</v>
      </c>
      <c r="I109" s="467" t="n">
        <f aca="false">I102+I66</f>
        <v>-423.774667459729</v>
      </c>
      <c r="J109" s="467" t="n">
        <f aca="false">J102+J66</f>
        <v>-27.5169100490174</v>
      </c>
      <c r="K109" s="468" t="n">
        <f aca="false">K102+K66</f>
        <v>0</v>
      </c>
      <c r="L109" s="469" t="n">
        <f aca="false">L102+L66+L104</f>
        <v>754.890414341049</v>
      </c>
      <c r="M109" s="470"/>
      <c r="N109" s="471" t="n">
        <f aca="false">N106</f>
        <v>0</v>
      </c>
      <c r="O109" s="471" t="n">
        <f aca="false">O106</f>
        <v>0</v>
      </c>
      <c r="P109" s="472" t="n">
        <f aca="false">P106</f>
        <v>0</v>
      </c>
      <c r="Q109" s="473"/>
      <c r="R109" s="474" t="n">
        <f aca="false">R106</f>
        <v>0</v>
      </c>
    </row>
    <row r="110" customFormat="false" ht="18.75" hidden="false" customHeight="false" outlineLevel="0" collapsed="false">
      <c r="A110" s="475"/>
      <c r="B110" s="476"/>
      <c r="C110" s="476"/>
      <c r="D110" s="476"/>
      <c r="E110" s="476"/>
      <c r="F110" s="476"/>
      <c r="G110" s="477"/>
      <c r="H110" s="477"/>
      <c r="I110" s="477"/>
      <c r="J110" s="477"/>
      <c r="K110" s="478"/>
      <c r="L110" s="477"/>
      <c r="M110" s="479"/>
      <c r="N110" s="480"/>
      <c r="O110" s="480"/>
      <c r="P110" s="481"/>
      <c r="Q110" s="482"/>
      <c r="R110" s="483"/>
      <c r="S110" s="4"/>
    </row>
    <row r="111" customFormat="false" ht="18.75" hidden="false" customHeight="false" outlineLevel="0" collapsed="false">
      <c r="A111" s="295" t="s">
        <v>691</v>
      </c>
      <c r="B111" s="303"/>
      <c r="C111" s="303"/>
      <c r="D111" s="303"/>
      <c r="E111" s="303"/>
      <c r="F111" s="303"/>
      <c r="G111" s="484" t="n">
        <v>0</v>
      </c>
      <c r="H111" s="485" t="n">
        <v>0</v>
      </c>
      <c r="I111" s="485" t="n">
        <v>0</v>
      </c>
      <c r="J111" s="485" t="n">
        <v>0</v>
      </c>
      <c r="K111" s="486" t="n">
        <v>0</v>
      </c>
      <c r="L111" s="487" t="n">
        <v>0</v>
      </c>
      <c r="M111" s="13"/>
      <c r="N111" s="297" t="n">
        <v>0</v>
      </c>
      <c r="O111" s="298" t="n">
        <v>0</v>
      </c>
      <c r="P111" s="299" t="n">
        <v>0</v>
      </c>
      <c r="Q111" s="13"/>
      <c r="R111" s="304" t="n">
        <v>2597.022</v>
      </c>
      <c r="S111" s="4"/>
    </row>
    <row r="112" customFormat="false" ht="18.75" hidden="false" customHeight="false" outlineLevel="0" collapsed="false">
      <c r="A112" s="295" t="s">
        <v>692</v>
      </c>
      <c r="B112" s="303"/>
      <c r="C112" s="303"/>
      <c r="D112" s="303"/>
      <c r="E112" s="303"/>
      <c r="F112" s="303"/>
      <c r="G112" s="484" t="n">
        <v>6810.055</v>
      </c>
      <c r="H112" s="485" t="n">
        <v>2519.768</v>
      </c>
      <c r="I112" s="485" t="n">
        <v>-347.888</v>
      </c>
      <c r="J112" s="485" t="n">
        <v>-10.732</v>
      </c>
      <c r="K112" s="486" t="n">
        <v>0</v>
      </c>
      <c r="L112" s="487" t="n">
        <v>2161.148</v>
      </c>
      <c r="M112" s="13"/>
      <c r="N112" s="297" t="n">
        <v>0</v>
      </c>
      <c r="O112" s="298" t="n">
        <v>0</v>
      </c>
      <c r="P112" s="299" t="n">
        <v>0</v>
      </c>
      <c r="Q112" s="13"/>
      <c r="R112" s="304" t="n">
        <v>2597.022</v>
      </c>
      <c r="S112" s="4"/>
    </row>
    <row r="113" customFormat="false" ht="18.75" hidden="false" customHeight="false" outlineLevel="0" collapsed="false">
      <c r="A113" s="295" t="s">
        <v>693</v>
      </c>
      <c r="B113" s="303"/>
      <c r="C113" s="303"/>
      <c r="D113" s="303"/>
      <c r="E113" s="303"/>
      <c r="F113" s="303"/>
      <c r="G113" s="484" t="n">
        <f aca="false">G109</f>
        <v>12058.6056521377</v>
      </c>
      <c r="H113" s="485" t="n">
        <f aca="false">H109</f>
        <v>1125.85571709653</v>
      </c>
      <c r="I113" s="485" t="n">
        <f aca="false">I109</f>
        <v>-423.774667459729</v>
      </c>
      <c r="J113" s="485" t="n">
        <f aca="false">J109</f>
        <v>-27.5169100490174</v>
      </c>
      <c r="K113" s="486" t="n">
        <f aca="false">K109</f>
        <v>0</v>
      </c>
      <c r="L113" s="487" t="n">
        <f aca="false">L109</f>
        <v>754.890414341049</v>
      </c>
      <c r="M113" s="13" t="n">
        <f aca="false">M109</f>
        <v>0</v>
      </c>
      <c r="N113" s="297" t="n">
        <f aca="false">N109</f>
        <v>0</v>
      </c>
      <c r="O113" s="298" t="n">
        <f aca="false">O109</f>
        <v>0</v>
      </c>
      <c r="P113" s="299" t="n">
        <f aca="false">P109</f>
        <v>0</v>
      </c>
      <c r="Q113" s="13"/>
      <c r="R113" s="304" t="n">
        <f aca="false">R109</f>
        <v>0</v>
      </c>
      <c r="S113" s="4"/>
    </row>
    <row r="114" customFormat="false" ht="18.75" hidden="false" customHeight="false" outlineLevel="0" collapsed="false">
      <c r="A114" s="295" t="s">
        <v>694</v>
      </c>
      <c r="B114" s="303"/>
      <c r="C114" s="303"/>
      <c r="D114" s="303"/>
      <c r="E114" s="303"/>
      <c r="F114" s="303"/>
      <c r="G114" s="484" t="n">
        <v>0</v>
      </c>
      <c r="H114" s="485" t="n">
        <v>0</v>
      </c>
      <c r="I114" s="485" t="n">
        <v>0</v>
      </c>
      <c r="J114" s="485" t="n">
        <v>0</v>
      </c>
      <c r="K114" s="485" t="n">
        <v>0</v>
      </c>
      <c r="L114" s="487" t="n">
        <v>0</v>
      </c>
      <c r="M114" s="13"/>
      <c r="N114" s="297" t="n">
        <v>0</v>
      </c>
      <c r="O114" s="298" t="n">
        <v>0</v>
      </c>
      <c r="P114" s="299" t="n">
        <v>0</v>
      </c>
      <c r="Q114" s="13"/>
      <c r="R114" s="304" t="n">
        <v>0</v>
      </c>
      <c r="S114" s="4"/>
    </row>
    <row r="115" customFormat="false" ht="18.75" hidden="false" customHeight="false" outlineLevel="0" collapsed="false">
      <c r="A115" s="295" t="s">
        <v>695</v>
      </c>
      <c r="B115" s="303"/>
      <c r="C115" s="303"/>
      <c r="D115" s="303"/>
      <c r="E115" s="303"/>
      <c r="F115" s="303"/>
      <c r="G115" s="484" t="n">
        <f aca="false">SUM(G111:G114)</f>
        <v>18868.6606521377</v>
      </c>
      <c r="H115" s="485" t="n">
        <f aca="false">SUM(H111:H114)</f>
        <v>3645.62371709653</v>
      </c>
      <c r="I115" s="485" t="n">
        <f aca="false">SUM(I111:I114)</f>
        <v>-771.662667459729</v>
      </c>
      <c r="J115" s="485" t="n">
        <f aca="false">SUM(J111:J114)</f>
        <v>-38.2489100490174</v>
      </c>
      <c r="K115" s="485" t="n">
        <f aca="false">SUM(K111:K114)</f>
        <v>0</v>
      </c>
      <c r="L115" s="487" t="n">
        <f aca="false">SUM(L111:L114)</f>
        <v>2916.03841434105</v>
      </c>
      <c r="M115" s="13" t="n">
        <f aca="false">SUM(M109:M114)</f>
        <v>0</v>
      </c>
      <c r="N115" s="297" t="n">
        <f aca="false">SUM(N109:N114)</f>
        <v>0</v>
      </c>
      <c r="O115" s="298" t="n">
        <f aca="false">SUM(O109:O114)</f>
        <v>0</v>
      </c>
      <c r="P115" s="299" t="n">
        <f aca="false">SUM(P109:P114)</f>
        <v>0</v>
      </c>
      <c r="Q115" s="13"/>
      <c r="R115" s="304" t="n">
        <f aca="false">SUM(R109:R114)</f>
        <v>5194.044</v>
      </c>
      <c r="S115" s="4"/>
    </row>
    <row r="116" customFormat="false" ht="12.75" hidden="false" customHeight="false" outlineLevel="0" collapsed="false">
      <c r="M116" s="385"/>
    </row>
    <row r="117" customFormat="false" ht="12.75" hidden="false" customHeight="false" outlineLevel="0" collapsed="false">
      <c r="M117" s="385"/>
    </row>
    <row r="118" customFormat="false" ht="12.75" hidden="false" customHeight="false" outlineLevel="0" collapsed="false">
      <c r="M118" s="385"/>
    </row>
    <row r="119" customFormat="false" ht="12.75" hidden="false" customHeight="false" outlineLevel="0" collapsed="false">
      <c r="G119" s="0"/>
      <c r="M119" s="385"/>
      <c r="N119" s="385"/>
      <c r="O119" s="385"/>
      <c r="P119" s="385"/>
      <c r="Q119" s="385"/>
      <c r="R119" s="385"/>
    </row>
    <row r="120" customFormat="false" ht="12.75" hidden="false" customHeight="false" outlineLevel="0" collapsed="false">
      <c r="G120" s="0"/>
      <c r="M120" s="385"/>
      <c r="N120" s="385"/>
      <c r="O120" s="385"/>
      <c r="P120" s="385"/>
      <c r="Q120" s="385"/>
      <c r="R120" s="385"/>
    </row>
    <row r="121" customFormat="false" ht="27.75" hidden="false" customHeight="false" outlineLevel="0" collapsed="false">
      <c r="G121" s="8"/>
      <c r="H121" s="8" t="s">
        <v>828</v>
      </c>
      <c r="J121" s="6"/>
      <c r="K121" s="7"/>
      <c r="L121" s="7"/>
      <c r="M121" s="385"/>
      <c r="N121" s="385"/>
      <c r="O121" s="385"/>
      <c r="P121" s="385"/>
      <c r="Q121" s="385"/>
      <c r="R121" s="385"/>
    </row>
    <row r="122" customFormat="false" ht="27.75" hidden="false" customHeight="false" outlineLevel="0" collapsed="false">
      <c r="H122" s="8" t="s">
        <v>829</v>
      </c>
      <c r="J122" s="6"/>
      <c r="K122" s="7"/>
      <c r="L122" s="7"/>
      <c r="M122" s="385"/>
      <c r="N122" s="385"/>
      <c r="O122" s="385"/>
      <c r="P122" s="385"/>
      <c r="Q122" s="385"/>
      <c r="R122" s="385"/>
    </row>
    <row r="123" customFormat="false" ht="12.75" hidden="false" customHeight="false" outlineLevel="0" collapsed="false">
      <c r="G123" s="0"/>
      <c r="M123" s="385"/>
      <c r="N123" s="385"/>
      <c r="O123" s="385"/>
      <c r="P123" s="385"/>
      <c r="Q123" s="385"/>
      <c r="R123" s="385"/>
    </row>
    <row r="124" customFormat="false" ht="12.75" hidden="false" customHeight="false" outlineLevel="0" collapsed="false">
      <c r="G124" s="0"/>
      <c r="M124" s="385"/>
      <c r="N124" s="385"/>
      <c r="O124" s="385"/>
      <c r="P124" s="385"/>
      <c r="Q124" s="385"/>
      <c r="R124" s="385"/>
    </row>
    <row r="125" customFormat="false" ht="12.75" hidden="false" customHeight="false" outlineLevel="0" collapsed="false">
      <c r="G125" s="0"/>
      <c r="M125" s="385"/>
      <c r="N125" s="385"/>
      <c r="O125" s="385"/>
      <c r="P125" s="385"/>
      <c r="Q125" s="385"/>
      <c r="R125" s="385"/>
    </row>
    <row r="126" customFormat="false" ht="12.75" hidden="false" customHeight="false" outlineLevel="0" collapsed="false">
      <c r="G126" s="0"/>
      <c r="M126" s="385"/>
      <c r="N126" s="385"/>
      <c r="O126" s="385"/>
      <c r="P126" s="385"/>
      <c r="Q126" s="385"/>
      <c r="R126" s="385"/>
    </row>
    <row r="127" customFormat="false" ht="12.75" hidden="false" customHeight="false" outlineLevel="0" collapsed="false">
      <c r="A127" s="488" t="str">
        <f aca="false">A9</f>
        <v>As of 09/28/01</v>
      </c>
      <c r="B127" s="488"/>
      <c r="C127" s="488"/>
      <c r="D127" s="488"/>
      <c r="E127" s="488"/>
      <c r="F127" s="488"/>
      <c r="G127" s="488"/>
      <c r="H127" s="488"/>
      <c r="I127" s="488"/>
      <c r="J127" s="488"/>
      <c r="K127" s="488"/>
      <c r="L127" s="488"/>
      <c r="M127" s="488"/>
      <c r="N127" s="488"/>
      <c r="O127" s="488"/>
      <c r="P127" s="488"/>
      <c r="Q127" s="488"/>
      <c r="R127" s="488"/>
    </row>
    <row r="128" customFormat="false" ht="12.75" hidden="false" customHeight="false" outlineLevel="0" collapsed="false">
      <c r="A128" s="365"/>
      <c r="B128" s="365"/>
      <c r="C128" s="365"/>
      <c r="D128" s="365"/>
      <c r="E128" s="365"/>
      <c r="F128" s="365"/>
      <c r="G128" s="365"/>
      <c r="H128" s="365"/>
      <c r="I128" s="365"/>
      <c r="J128" s="365"/>
      <c r="K128" s="365"/>
      <c r="L128" s="366"/>
      <c r="M128" s="4"/>
      <c r="N128" s="366"/>
      <c r="O128" s="366"/>
      <c r="P128" s="366"/>
      <c r="Q128" s="366"/>
      <c r="R128" s="366"/>
    </row>
    <row r="129" customFormat="false" ht="12.75" hidden="false" customHeight="false" outlineLevel="0" collapsed="false">
      <c r="G129" s="0"/>
      <c r="M129" s="385"/>
      <c r="N129" s="385"/>
      <c r="O129" s="385"/>
      <c r="P129" s="385"/>
      <c r="Q129" s="385"/>
      <c r="R129" s="385"/>
    </row>
    <row r="130" customFormat="false" ht="13.5" hidden="false" customHeight="false" outlineLevel="0" collapsed="false">
      <c r="G130" s="0"/>
      <c r="M130" s="385"/>
      <c r="N130" s="385"/>
      <c r="O130" s="385"/>
      <c r="P130" s="385"/>
      <c r="Q130" s="385"/>
      <c r="R130" s="385"/>
    </row>
    <row r="131" customFormat="false" ht="16.5" hidden="false" customHeight="true" outlineLevel="0" collapsed="false">
      <c r="A131" s="367"/>
      <c r="B131" s="368"/>
      <c r="C131" s="368"/>
      <c r="D131" s="368"/>
      <c r="E131" s="368"/>
      <c r="F131" s="368"/>
      <c r="G131" s="322" t="s">
        <v>4</v>
      </c>
      <c r="H131" s="322"/>
      <c r="I131" s="322"/>
      <c r="J131" s="322"/>
      <c r="K131" s="322"/>
      <c r="L131" s="322"/>
      <c r="M131" s="489"/>
      <c r="N131" s="490" t="s">
        <v>742</v>
      </c>
      <c r="O131" s="490"/>
      <c r="P131" s="490"/>
      <c r="Q131" s="491"/>
      <c r="R131" s="378"/>
    </row>
    <row r="132" customFormat="false" ht="28.5" hidden="false" customHeight="true" outlineLevel="0" collapsed="false">
      <c r="A132" s="21" t="s">
        <v>3</v>
      </c>
      <c r="B132" s="374" t="s">
        <v>743</v>
      </c>
      <c r="C132" s="374" t="s">
        <v>744</v>
      </c>
      <c r="D132" s="374" t="s">
        <v>745</v>
      </c>
      <c r="E132" s="374" t="s">
        <v>746</v>
      </c>
      <c r="F132" s="374" t="s">
        <v>6</v>
      </c>
      <c r="G132" s="322" t="s">
        <v>747</v>
      </c>
      <c r="H132" s="27" t="s">
        <v>748</v>
      </c>
      <c r="I132" s="28" t="s">
        <v>9</v>
      </c>
      <c r="J132" s="28" t="s">
        <v>830</v>
      </c>
      <c r="K132" s="29" t="s">
        <v>11</v>
      </c>
      <c r="L132" s="322" t="s">
        <v>750</v>
      </c>
      <c r="M132" s="492"/>
      <c r="N132" s="493" t="s">
        <v>751</v>
      </c>
      <c r="O132" s="493" t="s">
        <v>752</v>
      </c>
      <c r="P132" s="493" t="s">
        <v>753</v>
      </c>
      <c r="Q132" s="494"/>
      <c r="R132" s="495" t="s">
        <v>754</v>
      </c>
    </row>
    <row r="133" customFormat="false" ht="22.5" hidden="false" customHeight="true" outlineLevel="0" collapsed="false">
      <c r="A133" s="25" t="s">
        <v>831</v>
      </c>
      <c r="B133" s="379"/>
      <c r="C133" s="379"/>
      <c r="D133" s="379"/>
      <c r="E133" s="379"/>
      <c r="F133" s="379"/>
      <c r="G133" s="322"/>
      <c r="H133" s="27"/>
      <c r="I133" s="28"/>
      <c r="J133" s="28"/>
      <c r="K133" s="29"/>
      <c r="L133" s="322"/>
      <c r="M133" s="496"/>
      <c r="N133" s="497" t="s">
        <v>756</v>
      </c>
      <c r="O133" s="498"/>
      <c r="P133" s="497" t="s">
        <v>757</v>
      </c>
      <c r="Q133" s="494"/>
      <c r="R133" s="499" t="s">
        <v>758</v>
      </c>
    </row>
    <row r="134" customFormat="false" ht="12.75" hidden="false" customHeight="false" outlineLevel="0" collapsed="false">
      <c r="A134" s="430"/>
      <c r="B134" s="385"/>
      <c r="C134" s="385"/>
      <c r="D134" s="385"/>
      <c r="E134" s="385"/>
      <c r="F134" s="385"/>
      <c r="G134" s="413"/>
      <c r="H134" s="173"/>
      <c r="I134" s="173"/>
      <c r="J134" s="173"/>
      <c r="K134" s="173"/>
      <c r="L134" s="174"/>
      <c r="M134" s="500"/>
      <c r="N134" s="385"/>
      <c r="O134" s="385"/>
      <c r="P134" s="496"/>
      <c r="Q134" s="385"/>
      <c r="R134" s="389"/>
    </row>
    <row r="135" customFormat="false" ht="15.75" hidden="false" customHeight="false" outlineLevel="0" collapsed="false">
      <c r="A135" s="501" t="s">
        <v>832</v>
      </c>
      <c r="B135" s="391"/>
      <c r="C135" s="391"/>
      <c r="D135" s="391"/>
      <c r="E135" s="391"/>
      <c r="F135" s="391"/>
      <c r="G135" s="502"/>
      <c r="H135" s="81"/>
      <c r="I135" s="81"/>
      <c r="J135" s="81"/>
      <c r="K135" s="81"/>
      <c r="L135" s="94"/>
      <c r="M135" s="503"/>
      <c r="N135" s="391"/>
      <c r="O135" s="391"/>
      <c r="P135" s="504"/>
      <c r="Q135" s="391"/>
      <c r="R135" s="396"/>
    </row>
    <row r="136" customFormat="false" ht="15.75" hidden="false" customHeight="false" outlineLevel="0" collapsed="false">
      <c r="A136" s="501"/>
      <c r="B136" s="391"/>
      <c r="C136" s="391"/>
      <c r="D136" s="391"/>
      <c r="E136" s="391"/>
      <c r="F136" s="391"/>
      <c r="G136" s="502"/>
      <c r="H136" s="81"/>
      <c r="I136" s="81"/>
      <c r="J136" s="81"/>
      <c r="K136" s="81"/>
      <c r="L136" s="94"/>
      <c r="M136" s="505"/>
      <c r="N136" s="391"/>
      <c r="O136" s="391"/>
      <c r="P136" s="504"/>
      <c r="Q136" s="391"/>
      <c r="R136" s="396"/>
    </row>
    <row r="137" customFormat="false" ht="15.75" hidden="false" customHeight="false" outlineLevel="0" collapsed="false">
      <c r="A137" s="506" t="s">
        <v>833</v>
      </c>
      <c r="B137" s="391"/>
      <c r="C137" s="391"/>
      <c r="D137" s="391"/>
      <c r="E137" s="391"/>
      <c r="F137" s="391"/>
      <c r="G137" s="507" t="n">
        <v>63689.8392920754</v>
      </c>
      <c r="H137" s="81" t="n">
        <v>17831.1723546801</v>
      </c>
      <c r="I137" s="81" t="n">
        <v>-44.8248046361316</v>
      </c>
      <c r="J137" s="81" t="n">
        <v>-59.5995500439465</v>
      </c>
      <c r="K137" s="81" t="n">
        <v>0</v>
      </c>
      <c r="L137" s="94" t="n">
        <f aca="false">SUM(H137:K137)</f>
        <v>17726.748</v>
      </c>
      <c r="M137" s="505"/>
      <c r="N137" s="508" t="n">
        <v>0</v>
      </c>
      <c r="O137" s="508" t="n">
        <v>0</v>
      </c>
      <c r="P137" s="508" t="n">
        <f aca="false">SUM(N137:O137)</f>
        <v>0</v>
      </c>
      <c r="Q137" s="509"/>
      <c r="R137" s="510" t="n">
        <f aca="false">L137+P137</f>
        <v>17726.748</v>
      </c>
    </row>
    <row r="138" customFormat="false" ht="15.75" hidden="false" customHeight="false" outlineLevel="0" collapsed="false">
      <c r="A138" s="506" t="s">
        <v>834</v>
      </c>
      <c r="B138" s="391"/>
      <c r="C138" s="391"/>
      <c r="D138" s="391"/>
      <c r="E138" s="391"/>
      <c r="F138" s="391"/>
      <c r="G138" s="507" t="n">
        <v>25745.6742767</v>
      </c>
      <c r="H138" s="81" t="n">
        <v>2362.076974</v>
      </c>
      <c r="I138" s="81" t="n">
        <v>0</v>
      </c>
      <c r="J138" s="81" t="n">
        <v>0</v>
      </c>
      <c r="K138" s="81" t="n">
        <v>0</v>
      </c>
      <c r="L138" s="94" t="n">
        <f aca="false">SUM(H138:K138)</f>
        <v>2362.076974</v>
      </c>
      <c r="M138" s="505"/>
      <c r="N138" s="508"/>
      <c r="O138" s="508"/>
      <c r="P138" s="508"/>
      <c r="Q138" s="509"/>
      <c r="R138" s="510"/>
    </row>
    <row r="139" customFormat="false" ht="15.75" hidden="false" customHeight="false" outlineLevel="0" collapsed="false">
      <c r="A139" s="506" t="s">
        <v>835</v>
      </c>
      <c r="B139" s="391"/>
      <c r="C139" s="391"/>
      <c r="D139" s="391"/>
      <c r="E139" s="391"/>
      <c r="F139" s="391"/>
      <c r="G139" s="507" t="n">
        <v>7835.06390639064</v>
      </c>
      <c r="H139" s="81" t="n">
        <v>-18</v>
      </c>
      <c r="I139" s="81" t="n">
        <v>0</v>
      </c>
      <c r="J139" s="81" t="n">
        <v>0</v>
      </c>
      <c r="K139" s="81" t="n">
        <v>0</v>
      </c>
      <c r="L139" s="94" t="n">
        <f aca="false">SUM(H139:K139)</f>
        <v>-18</v>
      </c>
      <c r="M139" s="505"/>
      <c r="N139" s="508"/>
      <c r="O139" s="508"/>
      <c r="P139" s="508"/>
      <c r="Q139" s="509"/>
      <c r="R139" s="510" t="n">
        <f aca="false">L139+P139</f>
        <v>-18</v>
      </c>
    </row>
    <row r="140" customFormat="false" ht="16.5" hidden="false" customHeight="false" outlineLevel="0" collapsed="false">
      <c r="A140" s="506" t="s">
        <v>836</v>
      </c>
      <c r="B140" s="511"/>
      <c r="C140" s="511"/>
      <c r="D140" s="511"/>
      <c r="E140" s="511"/>
      <c r="F140" s="511"/>
      <c r="G140" s="512" t="n">
        <v>15330</v>
      </c>
      <c r="H140" s="131" t="n">
        <v>1512.95030215568</v>
      </c>
      <c r="I140" s="132" t="n">
        <v>0</v>
      </c>
      <c r="J140" s="132" t="n">
        <v>-180</v>
      </c>
      <c r="K140" s="132" t="n">
        <v>0</v>
      </c>
      <c r="L140" s="133" t="n">
        <f aca="false">SUM(H140:K140)</f>
        <v>1332.95030215568</v>
      </c>
      <c r="M140" s="505"/>
      <c r="N140" s="508" t="n">
        <v>0</v>
      </c>
      <c r="O140" s="508" t="n">
        <v>0</v>
      </c>
      <c r="P140" s="508" t="n">
        <f aca="false">SUM(N140:O140)</f>
        <v>0</v>
      </c>
      <c r="Q140" s="509"/>
      <c r="R140" s="510" t="n">
        <f aca="false">L140+P140</f>
        <v>1332.95030215568</v>
      </c>
    </row>
    <row r="141" customFormat="false" ht="15" hidden="false" customHeight="false" outlineLevel="0" collapsed="false">
      <c r="A141" s="513" t="s">
        <v>837</v>
      </c>
      <c r="B141" s="391"/>
      <c r="C141" s="391"/>
      <c r="D141" s="391"/>
      <c r="E141" s="391"/>
      <c r="F141" s="391"/>
      <c r="G141" s="507" t="n">
        <f aca="false">SUM(G137:G140)</f>
        <v>112600.577475166</v>
      </c>
      <c r="H141" s="514" t="n">
        <f aca="false">SUM(H137:H140)</f>
        <v>21688.1996308358</v>
      </c>
      <c r="I141" s="514" t="n">
        <f aca="false">SUM(I137:I140)</f>
        <v>-44.8248046361316</v>
      </c>
      <c r="J141" s="514" t="n">
        <f aca="false">SUM(J137:J140)</f>
        <v>-239.599550043947</v>
      </c>
      <c r="K141" s="514" t="n">
        <v>0</v>
      </c>
      <c r="L141" s="515" t="n">
        <f aca="false">SUM(L137:L140)</f>
        <v>21403.7752761557</v>
      </c>
      <c r="M141" s="516"/>
      <c r="N141" s="508" t="n">
        <f aca="false">SUM(N137:N140)</f>
        <v>0</v>
      </c>
      <c r="O141" s="508" t="n">
        <f aca="false">SUM(O137:O140)</f>
        <v>0</v>
      </c>
      <c r="P141" s="508" t="n">
        <f aca="false">SUM(P137:P140)</f>
        <v>0</v>
      </c>
      <c r="Q141" s="508"/>
      <c r="R141" s="510" t="n">
        <f aca="false">SUM(R137:R140)</f>
        <v>19041.6983021557</v>
      </c>
    </row>
    <row r="142" customFormat="false" ht="15.75" hidden="false" customHeight="false" outlineLevel="0" collapsed="false">
      <c r="A142" s="506"/>
      <c r="B142" s="391"/>
      <c r="C142" s="391"/>
      <c r="D142" s="391"/>
      <c r="E142" s="391"/>
      <c r="F142" s="391"/>
      <c r="G142" s="517"/>
      <c r="H142" s="81"/>
      <c r="I142" s="81"/>
      <c r="J142" s="81"/>
      <c r="K142" s="81"/>
      <c r="L142" s="94"/>
      <c r="M142" s="505"/>
      <c r="N142" s="508"/>
      <c r="O142" s="508"/>
      <c r="P142" s="518"/>
      <c r="Q142" s="508"/>
      <c r="R142" s="510"/>
    </row>
    <row r="143" customFormat="false" ht="15.75" hidden="false" customHeight="false" outlineLevel="0" collapsed="false">
      <c r="A143" s="501" t="s">
        <v>838</v>
      </c>
      <c r="B143" s="391"/>
      <c r="C143" s="391"/>
      <c r="D143" s="391"/>
      <c r="E143" s="391"/>
      <c r="F143" s="391"/>
      <c r="G143" s="517"/>
      <c r="H143" s="81"/>
      <c r="I143" s="81"/>
      <c r="J143" s="81"/>
      <c r="K143" s="81"/>
      <c r="L143" s="94"/>
      <c r="M143" s="505"/>
      <c r="N143" s="508"/>
      <c r="O143" s="508"/>
      <c r="P143" s="518"/>
      <c r="Q143" s="508"/>
      <c r="R143" s="510"/>
    </row>
    <row r="144" customFormat="false" ht="15.75" hidden="false" customHeight="false" outlineLevel="0" collapsed="false">
      <c r="A144" s="506"/>
      <c r="B144" s="391"/>
      <c r="C144" s="391"/>
      <c r="D144" s="391"/>
      <c r="E144" s="391"/>
      <c r="F144" s="391"/>
      <c r="G144" s="517"/>
      <c r="H144" s="81"/>
      <c r="I144" s="81"/>
      <c r="J144" s="81"/>
      <c r="K144" s="81"/>
      <c r="L144" s="94"/>
      <c r="M144" s="505"/>
      <c r="N144" s="508"/>
      <c r="O144" s="508"/>
      <c r="P144" s="518"/>
      <c r="Q144" s="508"/>
      <c r="R144" s="510"/>
    </row>
    <row r="145" customFormat="false" ht="15.75" hidden="false" customHeight="false" outlineLevel="0" collapsed="false">
      <c r="A145" s="506" t="s">
        <v>839</v>
      </c>
      <c r="B145" s="391"/>
      <c r="C145" s="391"/>
      <c r="D145" s="391"/>
      <c r="E145" s="391"/>
      <c r="F145" s="391"/>
      <c r="G145" s="507" t="n">
        <v>266.45874108</v>
      </c>
      <c r="H145" s="81" t="n">
        <v>8.850716</v>
      </c>
      <c r="I145" s="81" t="n">
        <v>0</v>
      </c>
      <c r="J145" s="81" t="n">
        <v>0</v>
      </c>
      <c r="K145" s="81" t="n">
        <v>0</v>
      </c>
      <c r="L145" s="94" t="n">
        <f aca="false">SUM(H145:K145)</f>
        <v>8.850716</v>
      </c>
      <c r="M145" s="505"/>
      <c r="N145" s="508" t="n">
        <v>0</v>
      </c>
      <c r="O145" s="508" t="n">
        <v>0</v>
      </c>
      <c r="P145" s="508" t="n">
        <f aca="false">SUM(N145:O145)</f>
        <v>0</v>
      </c>
      <c r="Q145" s="508"/>
      <c r="R145" s="510" t="n">
        <f aca="false">L145+P145</f>
        <v>8.850716</v>
      </c>
    </row>
    <row r="146" customFormat="false" ht="15.75" hidden="false" customHeight="false" outlineLevel="0" collapsed="false">
      <c r="A146" s="506" t="s">
        <v>840</v>
      </c>
      <c r="B146" s="391"/>
      <c r="C146" s="391"/>
      <c r="D146" s="391"/>
      <c r="E146" s="391"/>
      <c r="F146" s="391"/>
      <c r="G146" s="507" t="n">
        <v>489.73753192</v>
      </c>
      <c r="H146" s="81" t="n">
        <v>77.07231</v>
      </c>
      <c r="I146" s="81" t="n">
        <v>0</v>
      </c>
      <c r="J146" s="81" t="n">
        <v>0</v>
      </c>
      <c r="K146" s="81" t="n">
        <v>0</v>
      </c>
      <c r="L146" s="94" t="n">
        <f aca="false">SUM(H146:K146)</f>
        <v>77.07231</v>
      </c>
      <c r="M146" s="505"/>
      <c r="N146" s="508"/>
      <c r="O146" s="508"/>
      <c r="P146" s="508"/>
      <c r="Q146" s="508"/>
      <c r="R146" s="510" t="n">
        <f aca="false">L146+P146</f>
        <v>77.07231</v>
      </c>
    </row>
    <row r="147" customFormat="false" ht="15.75" hidden="false" customHeight="false" outlineLevel="0" collapsed="false">
      <c r="A147" s="506" t="s">
        <v>841</v>
      </c>
      <c r="B147" s="391"/>
      <c r="C147" s="391"/>
      <c r="D147" s="391"/>
      <c r="E147" s="391"/>
      <c r="F147" s="391"/>
      <c r="G147" s="507" t="n">
        <v>37.8</v>
      </c>
      <c r="H147" s="81" t="n">
        <v>1.652</v>
      </c>
      <c r="I147" s="81" t="n">
        <v>0</v>
      </c>
      <c r="J147" s="81" t="n">
        <v>0</v>
      </c>
      <c r="K147" s="81" t="n">
        <v>0</v>
      </c>
      <c r="L147" s="94" t="n">
        <f aca="false">SUM(H147:K147)</f>
        <v>1.652</v>
      </c>
      <c r="M147" s="505"/>
      <c r="N147" s="508"/>
      <c r="O147" s="508"/>
      <c r="P147" s="508"/>
      <c r="Q147" s="508"/>
      <c r="R147" s="510"/>
    </row>
    <row r="148" customFormat="false" ht="15.75" hidden="false" customHeight="false" outlineLevel="0" collapsed="false">
      <c r="A148" s="506" t="s">
        <v>842</v>
      </c>
      <c r="B148" s="391"/>
      <c r="C148" s="391"/>
      <c r="D148" s="391"/>
      <c r="E148" s="391"/>
      <c r="F148" s="391"/>
      <c r="G148" s="507" t="n">
        <v>6300</v>
      </c>
      <c r="H148" s="81" t="n">
        <v>28</v>
      </c>
      <c r="I148" s="81" t="n">
        <v>0</v>
      </c>
      <c r="J148" s="81" t="n">
        <v>0</v>
      </c>
      <c r="K148" s="81" t="n">
        <v>0</v>
      </c>
      <c r="L148" s="94" t="n">
        <f aca="false">SUM(H148:K148)</f>
        <v>28</v>
      </c>
      <c r="M148" s="505"/>
      <c r="N148" s="508"/>
      <c r="O148" s="508"/>
      <c r="P148" s="508"/>
      <c r="Q148" s="508"/>
      <c r="R148" s="510"/>
    </row>
    <row r="149" customFormat="false" ht="15.75" hidden="false" customHeight="false" outlineLevel="0" collapsed="false">
      <c r="A149" s="506" t="s">
        <v>843</v>
      </c>
      <c r="B149" s="391"/>
      <c r="C149" s="391"/>
      <c r="D149" s="391"/>
      <c r="E149" s="391"/>
      <c r="F149" s="391"/>
      <c r="G149" s="507" t="n">
        <v>2100</v>
      </c>
      <c r="H149" s="81" t="n">
        <v>42</v>
      </c>
      <c r="I149" s="81" t="n">
        <v>0</v>
      </c>
      <c r="J149" s="81" t="n">
        <v>0</v>
      </c>
      <c r="K149" s="81" t="n">
        <v>0</v>
      </c>
      <c r="L149" s="94" t="n">
        <f aca="false">SUM(H149:K149)</f>
        <v>42</v>
      </c>
      <c r="M149" s="505"/>
      <c r="N149" s="508"/>
      <c r="O149" s="508"/>
      <c r="P149" s="508"/>
      <c r="Q149" s="508"/>
      <c r="R149" s="510"/>
    </row>
    <row r="150" customFormat="false" ht="15.75" hidden="false" customHeight="false" outlineLevel="0" collapsed="false">
      <c r="A150" s="506" t="s">
        <v>844</v>
      </c>
      <c r="B150" s="391"/>
      <c r="C150" s="391"/>
      <c r="D150" s="391"/>
      <c r="E150" s="391"/>
      <c r="F150" s="391"/>
      <c r="G150" s="507" t="n">
        <v>310.8</v>
      </c>
      <c r="H150" s="81" t="n">
        <v>2.8</v>
      </c>
      <c r="I150" s="81" t="n">
        <v>0</v>
      </c>
      <c r="J150" s="81" t="n">
        <v>0</v>
      </c>
      <c r="K150" s="81" t="n">
        <v>0</v>
      </c>
      <c r="L150" s="94" t="n">
        <f aca="false">SUM(H150:K150)</f>
        <v>2.8</v>
      </c>
      <c r="M150" s="505"/>
      <c r="N150" s="508"/>
      <c r="O150" s="508"/>
      <c r="P150" s="508"/>
      <c r="Q150" s="508"/>
      <c r="R150" s="510"/>
    </row>
    <row r="151" customFormat="false" ht="15.75" hidden="false" customHeight="false" outlineLevel="0" collapsed="false">
      <c r="A151" s="506" t="s">
        <v>845</v>
      </c>
      <c r="B151" s="391"/>
      <c r="C151" s="391"/>
      <c r="D151" s="391"/>
      <c r="E151" s="391"/>
      <c r="F151" s="391"/>
      <c r="G151" s="507" t="n">
        <v>180.6</v>
      </c>
      <c r="H151" s="81" t="n">
        <v>2.8</v>
      </c>
      <c r="I151" s="81" t="n">
        <v>0</v>
      </c>
      <c r="J151" s="81" t="n">
        <v>0</v>
      </c>
      <c r="K151" s="81" t="n">
        <v>0</v>
      </c>
      <c r="L151" s="94" t="n">
        <f aca="false">SUM(H151:K151)</f>
        <v>2.8</v>
      </c>
      <c r="M151" s="505"/>
      <c r="N151" s="508"/>
      <c r="O151" s="508"/>
      <c r="P151" s="508"/>
      <c r="Q151" s="508"/>
      <c r="R151" s="510"/>
    </row>
    <row r="152" customFormat="false" ht="15.75" hidden="false" customHeight="false" outlineLevel="0" collapsed="false">
      <c r="A152" s="506" t="s">
        <v>846</v>
      </c>
      <c r="B152" s="391"/>
      <c r="C152" s="391"/>
      <c r="D152" s="391"/>
      <c r="E152" s="391"/>
      <c r="F152" s="391"/>
      <c r="G152" s="507" t="n">
        <v>21300</v>
      </c>
      <c r="H152" s="81" t="n">
        <v>772</v>
      </c>
      <c r="I152" s="81" t="n">
        <v>-72</v>
      </c>
      <c r="J152" s="81" t="n">
        <v>0</v>
      </c>
      <c r="K152" s="81" t="n">
        <v>0</v>
      </c>
      <c r="L152" s="94" t="n">
        <f aca="false">SUM(H152:K152)</f>
        <v>700</v>
      </c>
      <c r="M152" s="505"/>
      <c r="N152" s="508"/>
      <c r="O152" s="508"/>
      <c r="P152" s="508"/>
      <c r="Q152" s="508"/>
      <c r="R152" s="510"/>
    </row>
    <row r="153" customFormat="false" ht="16.5" hidden="false" customHeight="false" outlineLevel="0" collapsed="false">
      <c r="A153" s="506" t="s">
        <v>847</v>
      </c>
      <c r="B153" s="511"/>
      <c r="C153" s="511"/>
      <c r="D153" s="511"/>
      <c r="E153" s="511"/>
      <c r="F153" s="511"/>
      <c r="G153" s="512" t="n">
        <v>100000</v>
      </c>
      <c r="H153" s="131" t="n">
        <v>170</v>
      </c>
      <c r="I153" s="132" t="n">
        <v>0</v>
      </c>
      <c r="J153" s="132" t="n">
        <v>0</v>
      </c>
      <c r="K153" s="132" t="n">
        <v>0</v>
      </c>
      <c r="L153" s="133" t="n">
        <f aca="false">SUM(H153:K153)</f>
        <v>170</v>
      </c>
      <c r="M153" s="505"/>
      <c r="N153" s="508" t="n">
        <v>0</v>
      </c>
      <c r="O153" s="508" t="n">
        <v>0</v>
      </c>
      <c r="P153" s="508" t="n">
        <f aca="false">SUM(N153:O153)</f>
        <v>0</v>
      </c>
      <c r="Q153" s="508"/>
      <c r="R153" s="510" t="n">
        <f aca="false">L153+P153</f>
        <v>170</v>
      </c>
    </row>
    <row r="154" customFormat="false" ht="15" hidden="false" customHeight="false" outlineLevel="0" collapsed="false">
      <c r="A154" s="513"/>
      <c r="B154" s="391"/>
      <c r="C154" s="391"/>
      <c r="D154" s="391"/>
      <c r="E154" s="391"/>
      <c r="F154" s="391"/>
      <c r="G154" s="507" t="n">
        <f aca="false">SUM(G145:G153)</f>
        <v>130985.396273</v>
      </c>
      <c r="H154" s="514" t="n">
        <f aca="false">SUM(H145:H153)</f>
        <v>1105.175026</v>
      </c>
      <c r="I154" s="514" t="n">
        <f aca="false">SUM(I145:I153)</f>
        <v>-72</v>
      </c>
      <c r="J154" s="514" t="n">
        <f aca="false">SUM(J145:J153)</f>
        <v>0</v>
      </c>
      <c r="K154" s="514" t="n">
        <f aca="false">SUM(K145:K153)</f>
        <v>0</v>
      </c>
      <c r="L154" s="515" t="n">
        <f aca="false">SUM(L145:L153)</f>
        <v>1033.175026</v>
      </c>
      <c r="M154" s="516"/>
      <c r="N154" s="508" t="n">
        <f aca="false">SUM(N140:N153)</f>
        <v>0</v>
      </c>
      <c r="O154" s="508" t="n">
        <f aca="false">SUM(O140:O153)</f>
        <v>0</v>
      </c>
      <c r="P154" s="508" t="n">
        <f aca="false">SUM(P140:P153)</f>
        <v>0</v>
      </c>
      <c r="Q154" s="508"/>
      <c r="R154" s="510" t="n">
        <f aca="false">SUM(R145:R153)</f>
        <v>255.923026</v>
      </c>
    </row>
    <row r="155" customFormat="false" ht="12.75" hidden="false" customHeight="false" outlineLevel="0" collapsed="false">
      <c r="A155" s="430"/>
      <c r="B155" s="385"/>
      <c r="C155" s="385"/>
      <c r="D155" s="385"/>
      <c r="E155" s="385"/>
      <c r="F155" s="385"/>
      <c r="G155" s="413"/>
      <c r="H155" s="173"/>
      <c r="I155" s="173"/>
      <c r="J155" s="173"/>
      <c r="K155" s="173"/>
      <c r="L155" s="174"/>
      <c r="M155" s="519"/>
      <c r="N155" s="520"/>
      <c r="O155" s="520"/>
      <c r="P155" s="521"/>
      <c r="Q155" s="520"/>
      <c r="R155" s="522"/>
    </row>
    <row r="156" customFormat="false" ht="13.5" hidden="false" customHeight="false" outlineLevel="0" collapsed="false">
      <c r="A156" s="430"/>
      <c r="B156" s="385"/>
      <c r="C156" s="385"/>
      <c r="D156" s="385"/>
      <c r="E156" s="385"/>
      <c r="F156" s="385"/>
      <c r="G156" s="413"/>
      <c r="H156" s="173"/>
      <c r="I156" s="173"/>
      <c r="J156" s="173"/>
      <c r="K156" s="173"/>
      <c r="L156" s="174"/>
      <c r="M156" s="519"/>
      <c r="N156" s="520"/>
      <c r="O156" s="520"/>
      <c r="P156" s="521"/>
      <c r="Q156" s="520"/>
      <c r="R156" s="522"/>
    </row>
    <row r="157" customFormat="false" ht="18.75" hidden="false" customHeight="false" outlineLevel="0" collapsed="false">
      <c r="A157" s="464" t="s">
        <v>848</v>
      </c>
      <c r="B157" s="465"/>
      <c r="C157" s="465"/>
      <c r="D157" s="465"/>
      <c r="E157" s="465"/>
      <c r="F157" s="465"/>
      <c r="G157" s="523" t="n">
        <f aca="false">G141+G154</f>
        <v>243585.973748166</v>
      </c>
      <c r="H157" s="524" t="n">
        <f aca="false">H141+H154</f>
        <v>22793.3746568358</v>
      </c>
      <c r="I157" s="524" t="n">
        <f aca="false">I141+I154</f>
        <v>-116.824804636132</v>
      </c>
      <c r="J157" s="524" t="n">
        <f aca="false">J141+J154</f>
        <v>-239.599550043947</v>
      </c>
      <c r="K157" s="524" t="n">
        <f aca="false">K141+K154</f>
        <v>0</v>
      </c>
      <c r="L157" s="525" t="n">
        <f aca="false">L141+L154</f>
        <v>22436.9503021557</v>
      </c>
      <c r="M157" s="470"/>
      <c r="N157" s="471" t="n">
        <f aca="false">N155</f>
        <v>0</v>
      </c>
      <c r="O157" s="471" t="n">
        <f aca="false">O155</f>
        <v>0</v>
      </c>
      <c r="P157" s="472" t="n">
        <f aca="false">P155</f>
        <v>0</v>
      </c>
      <c r="Q157" s="473"/>
      <c r="R157" s="474" t="n">
        <f aca="false">R155</f>
        <v>0</v>
      </c>
    </row>
    <row r="158" customFormat="false" ht="18.75" hidden="false" customHeight="false" outlineLevel="0" collapsed="false">
      <c r="A158" s="475"/>
      <c r="B158" s="476"/>
      <c r="C158" s="476"/>
      <c r="D158" s="476"/>
      <c r="E158" s="476"/>
      <c r="F158" s="476"/>
      <c r="G158" s="526"/>
      <c r="H158" s="526"/>
      <c r="I158" s="526"/>
      <c r="J158" s="526"/>
      <c r="K158" s="526"/>
      <c r="L158" s="526"/>
      <c r="M158" s="479"/>
      <c r="N158" s="471"/>
      <c r="O158" s="471"/>
      <c r="P158" s="472"/>
      <c r="Q158" s="482"/>
      <c r="R158" s="474"/>
    </row>
    <row r="159" customFormat="false" ht="18.75" hidden="false" customHeight="false" outlineLevel="0" collapsed="false">
      <c r="A159" s="295" t="s">
        <v>691</v>
      </c>
      <c r="B159" s="303"/>
      <c r="C159" s="303"/>
      <c r="D159" s="303"/>
      <c r="E159" s="303"/>
      <c r="F159" s="303"/>
      <c r="G159" s="527" t="n">
        <v>196609</v>
      </c>
      <c r="H159" s="528" t="n">
        <v>37632</v>
      </c>
      <c r="I159" s="528" t="n">
        <v>-408</v>
      </c>
      <c r="J159" s="528" t="n">
        <v>272</v>
      </c>
      <c r="K159" s="528" t="n">
        <v>0</v>
      </c>
      <c r="L159" s="529" t="n">
        <f aca="false">SUM(H159:K159)</f>
        <v>37496</v>
      </c>
      <c r="M159" s="13"/>
      <c r="N159" s="297" t="n">
        <v>0</v>
      </c>
      <c r="O159" s="298" t="n">
        <v>0</v>
      </c>
      <c r="P159" s="299" t="n">
        <v>0</v>
      </c>
      <c r="Q159" s="13"/>
      <c r="R159" s="304" t="n">
        <v>2597.022</v>
      </c>
      <c r="S159" s="4"/>
    </row>
    <row r="160" customFormat="false" ht="18.75" hidden="false" customHeight="false" outlineLevel="0" collapsed="false">
      <c r="A160" s="295" t="s">
        <v>692</v>
      </c>
      <c r="B160" s="303"/>
      <c r="C160" s="303"/>
      <c r="D160" s="303"/>
      <c r="E160" s="303"/>
      <c r="F160" s="303"/>
      <c r="G160" s="527" t="n">
        <v>561437</v>
      </c>
      <c r="H160" s="528" t="n">
        <v>47465.4014558842</v>
      </c>
      <c r="I160" s="528" t="n">
        <v>-1247.8344</v>
      </c>
      <c r="J160" s="528" t="n">
        <v>-4442.5346</v>
      </c>
      <c r="K160" s="528" t="n">
        <v>-1004.7996</v>
      </c>
      <c r="L160" s="529" t="n">
        <f aca="false">SUM(H160:K160)</f>
        <v>40770.2328558842</v>
      </c>
      <c r="M160" s="13"/>
      <c r="N160" s="297" t="n">
        <v>0</v>
      </c>
      <c r="O160" s="298" t="n">
        <v>0</v>
      </c>
      <c r="P160" s="299" t="n">
        <v>0</v>
      </c>
      <c r="Q160" s="13"/>
      <c r="R160" s="304" t="n">
        <v>2597.022</v>
      </c>
      <c r="S160" s="4"/>
    </row>
    <row r="161" customFormat="false" ht="18.75" hidden="false" customHeight="false" outlineLevel="0" collapsed="false">
      <c r="A161" s="295" t="s">
        <v>693</v>
      </c>
      <c r="B161" s="303"/>
      <c r="C161" s="303"/>
      <c r="D161" s="303"/>
      <c r="E161" s="303"/>
      <c r="F161" s="303"/>
      <c r="G161" s="527" t="n">
        <f aca="false">G157</f>
        <v>243585.973748166</v>
      </c>
      <c r="H161" s="528" t="n">
        <f aca="false">H157</f>
        <v>22793.3746568358</v>
      </c>
      <c r="I161" s="528" t="n">
        <f aca="false">I157</f>
        <v>-116.824804636132</v>
      </c>
      <c r="J161" s="528" t="n">
        <f aca="false">J157</f>
        <v>-239.599550043947</v>
      </c>
      <c r="K161" s="528" t="n">
        <f aca="false">K157</f>
        <v>0</v>
      </c>
      <c r="L161" s="529" t="n">
        <f aca="false">L157</f>
        <v>22436.9503021557</v>
      </c>
      <c r="M161" s="13" t="n">
        <f aca="false">M157</f>
        <v>0</v>
      </c>
      <c r="N161" s="297" t="n">
        <f aca="false">N157</f>
        <v>0</v>
      </c>
      <c r="O161" s="298" t="n">
        <f aca="false">O157</f>
        <v>0</v>
      </c>
      <c r="P161" s="299" t="n">
        <f aca="false">P157</f>
        <v>0</v>
      </c>
      <c r="Q161" s="13"/>
      <c r="R161" s="304" t="n">
        <f aca="false">R157</f>
        <v>0</v>
      </c>
      <c r="S161" s="4"/>
    </row>
    <row r="162" customFormat="false" ht="18.75" hidden="false" customHeight="false" outlineLevel="0" collapsed="false">
      <c r="A162" s="295" t="s">
        <v>694</v>
      </c>
      <c r="B162" s="303"/>
      <c r="C162" s="303"/>
      <c r="D162" s="303"/>
      <c r="E162" s="303"/>
      <c r="F162" s="303"/>
      <c r="G162" s="527" t="n">
        <v>0</v>
      </c>
      <c r="H162" s="528" t="n">
        <v>0</v>
      </c>
      <c r="I162" s="528" t="n">
        <v>0</v>
      </c>
      <c r="J162" s="528" t="n">
        <v>0</v>
      </c>
      <c r="K162" s="528" t="n">
        <v>0</v>
      </c>
      <c r="L162" s="529" t="n">
        <v>0</v>
      </c>
      <c r="M162" s="13"/>
      <c r="N162" s="297" t="n">
        <v>0</v>
      </c>
      <c r="O162" s="298" t="n">
        <v>0</v>
      </c>
      <c r="P162" s="299" t="n">
        <v>0</v>
      </c>
      <c r="Q162" s="13"/>
      <c r="R162" s="304" t="n">
        <v>0</v>
      </c>
      <c r="S162" s="4"/>
    </row>
    <row r="163" customFormat="false" ht="18.75" hidden="false" customHeight="false" outlineLevel="0" collapsed="false">
      <c r="A163" s="295" t="s">
        <v>695</v>
      </c>
      <c r="B163" s="303"/>
      <c r="C163" s="303"/>
      <c r="D163" s="303"/>
      <c r="E163" s="303"/>
      <c r="F163" s="303"/>
      <c r="G163" s="527" t="n">
        <f aca="false">SUM(G159:G162)</f>
        <v>1001631.97374817</v>
      </c>
      <c r="H163" s="528" t="n">
        <f aca="false">SUM(H159:H162)</f>
        <v>107890.77611272</v>
      </c>
      <c r="I163" s="528" t="n">
        <f aca="false">SUM(I159:I162)</f>
        <v>-1772.65920463613</v>
      </c>
      <c r="J163" s="528" t="n">
        <f aca="false">SUM(J159:J162)</f>
        <v>-4410.13415004395</v>
      </c>
      <c r="K163" s="528" t="n">
        <f aca="false">SUM(K159:K162)</f>
        <v>-1004.7996</v>
      </c>
      <c r="L163" s="529" t="n">
        <f aca="false">SUM(L159:L162)</f>
        <v>100703.18315804</v>
      </c>
      <c r="M163" s="13" t="n">
        <f aca="false">SUM(M157:M162)</f>
        <v>0</v>
      </c>
      <c r="N163" s="297" t="n">
        <f aca="false">SUM(N157:N162)</f>
        <v>0</v>
      </c>
      <c r="O163" s="298" t="n">
        <f aca="false">SUM(O157:O162)</f>
        <v>0</v>
      </c>
      <c r="P163" s="299" t="n">
        <f aca="false">SUM(P157:P162)</f>
        <v>0</v>
      </c>
      <c r="Q163" s="13"/>
      <c r="R163" s="304" t="n">
        <f aca="false">SUM(R157:R162)</f>
        <v>5194.044</v>
      </c>
      <c r="S163" s="4"/>
    </row>
  </sheetData>
  <mergeCells count="18">
    <mergeCell ref="A9:R9"/>
    <mergeCell ref="G13:L13"/>
    <mergeCell ref="N13:P13"/>
    <mergeCell ref="G14:G15"/>
    <mergeCell ref="H14:H15"/>
    <mergeCell ref="I14:I15"/>
    <mergeCell ref="J14:J15"/>
    <mergeCell ref="K14:K15"/>
    <mergeCell ref="L14:L15"/>
    <mergeCell ref="A127:R127"/>
    <mergeCell ref="G131:L131"/>
    <mergeCell ref="N131:P131"/>
    <mergeCell ref="G132:G133"/>
    <mergeCell ref="H132:H133"/>
    <mergeCell ref="I132:I133"/>
    <mergeCell ref="J132:J133"/>
    <mergeCell ref="K132:K133"/>
    <mergeCell ref="L132:L13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2001-10-05T12:42:38Z</dcterms:created>
  <dc:creator>kcutler</dc:creator>
  <dc:description/>
  <dc:language>en-US</dc:language>
  <cp:lastModifiedBy>kcutler</cp:lastModifiedBy>
  <cp:revision>0</cp:revision>
  <dc:subject/>
  <dc:title/>
</cp:coreProperties>
</file>