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13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60 MW" sheetId="1" state="visible" r:id="rId3"/>
    <sheet name="140 MW" sheetId="2" state="visible" r:id="rId4"/>
    <sheet name="Sheet6" sheetId="3" state="visible" r:id="rId5"/>
    <sheet name="Sheet7" sheetId="4" state="visible" r:id="rId6"/>
    <sheet name="Sheet8" sheetId="5" state="visible" r:id="rId7"/>
    <sheet name="Sheet9" sheetId="6" state="visible" r:id="rId8"/>
    <sheet name="Sheet10" sheetId="7" state="visible" r:id="rId9"/>
    <sheet name="Sheet11" sheetId="8" state="visible" r:id="rId10"/>
    <sheet name="Sheet12" sheetId="9" state="visible" r:id="rId11"/>
    <sheet name="Sheet13" sheetId="10" state="visible" r:id="rId12"/>
    <sheet name="Sheet14" sheetId="11" state="visible" r:id="rId13"/>
    <sheet name="Sheet15" sheetId="12" state="visible" r:id="rId14"/>
    <sheet name="Sheet16" sheetId="13" state="visible" r:id="rId1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<sst xmlns="http://schemas.openxmlformats.org/spreadsheetml/2006/main" count="128" uniqueCount="62">
  <si>
    <t xml:space="preserve">Pueblo 60 MW CC</t>
  </si>
  <si>
    <t xml:space="preserve">Project Economics</t>
  </si>
  <si>
    <t xml:space="preserve">Version 1</t>
  </si>
  <si>
    <t xml:space="preserve">Percent Debt Financing</t>
  </si>
  <si>
    <t xml:space="preserve">Project Life (Yrs)</t>
  </si>
  <si>
    <t xml:space="preserve">Annual Debt Interest Rate (%)</t>
  </si>
  <si>
    <t xml:space="preserve">Income Tax Rate (%)</t>
  </si>
  <si>
    <t xml:space="preserve">Debt Life (Yrs)</t>
  </si>
  <si>
    <t xml:space="preserve">Before-Tax Equity Return (%)</t>
  </si>
  <si>
    <t xml:space="preserve">After-Tax Equity Return (%)</t>
  </si>
  <si>
    <t xml:space="preserve">Debt Life</t>
  </si>
  <si>
    <t xml:space="preserve">Remainder</t>
  </si>
  <si>
    <t xml:space="preserve">Prop. of Equity Return in Period</t>
  </si>
  <si>
    <t xml:space="preserve">Capital Recovery (%)</t>
  </si>
  <si>
    <t xml:space="preserve">  Equity Portion</t>
  </si>
  <si>
    <t xml:space="preserve">  Debt Portion</t>
  </si>
  <si>
    <t xml:space="preserve">Total Capital Recovery (%)</t>
  </si>
  <si>
    <t xml:space="preserve">EPC Price ($MM)</t>
  </si>
  <si>
    <t xml:space="preserve">Capex</t>
  </si>
  <si>
    <t xml:space="preserve">$MM/yr</t>
  </si>
  <si>
    <t xml:space="preserve">Construction Period (Months)</t>
  </si>
  <si>
    <t xml:space="preserve">EPC Price</t>
  </si>
  <si>
    <t xml:space="preserve">Annual Hours of Operation</t>
  </si>
  <si>
    <t xml:space="preserve">IDC</t>
  </si>
  <si>
    <t xml:space="preserve">Average Output (MW)</t>
  </si>
  <si>
    <t xml:space="preserve">Construction Insurance</t>
  </si>
  <si>
    <t xml:space="preserve">Avg. HHV Heat Rate (Btu/kWh)</t>
  </si>
  <si>
    <t xml:space="preserve">Spare Parts</t>
  </si>
  <si>
    <t xml:space="preserve">Fuel Cost ($/MMBtu)</t>
  </si>
  <si>
    <t xml:space="preserve">O&amp;M Mobilization</t>
  </si>
  <si>
    <t xml:space="preserve">Steam Sales (klb/hr)</t>
  </si>
  <si>
    <t xml:space="preserve">Working Capital</t>
  </si>
  <si>
    <t xml:space="preserve">Steam Energy (Btu/lb)</t>
  </si>
  <si>
    <t xml:space="preserve">Owner's Engineer</t>
  </si>
  <si>
    <t xml:space="preserve">Steam Generation Efficiency (%)</t>
  </si>
  <si>
    <t xml:space="preserve">Legal Costs</t>
  </si>
  <si>
    <t xml:space="preserve">Steam Price Calculated ($/klb)</t>
  </si>
  <si>
    <t xml:space="preserve">Development Costs &amp; Fees</t>
  </si>
  <si>
    <t xml:space="preserve">Steam Price Specified ($/klb)</t>
  </si>
  <si>
    <t xml:space="preserve">Land</t>
  </si>
  <si>
    <t xml:space="preserve">  Subtotal</t>
  </si>
  <si>
    <t xml:space="preserve">Revenue Requirement</t>
  </si>
  <si>
    <t xml:space="preserve">Financing Costs</t>
  </si>
  <si>
    <t xml:space="preserve">Capital Recovery</t>
  </si>
  <si>
    <t xml:space="preserve">  Total Capex</t>
  </si>
  <si>
    <t xml:space="preserve">Fuel</t>
  </si>
  <si>
    <t xml:space="preserve">O&amp;M Expense</t>
  </si>
  <si>
    <t xml:space="preserve">Insurance &amp; Taxes</t>
  </si>
  <si>
    <t xml:space="preserve">Land Lease</t>
  </si>
  <si>
    <t xml:space="preserve">O&amp;M Expenses</t>
  </si>
  <si>
    <t xml:space="preserve">Payroll</t>
  </si>
  <si>
    <t xml:space="preserve">Less: Steam Sales</t>
  </si>
  <si>
    <t xml:space="preserve">Administration</t>
  </si>
  <si>
    <t xml:space="preserve">Power Sales</t>
  </si>
  <si>
    <t xml:space="preserve">Chemicals</t>
  </si>
  <si>
    <t xml:space="preserve">Routine Maintenance</t>
  </si>
  <si>
    <t xml:space="preserve">Power Sales (MWh/yr)</t>
  </si>
  <si>
    <t xml:space="preserve">Major Maintenance</t>
  </si>
  <si>
    <t xml:space="preserve">Fee</t>
  </si>
  <si>
    <t xml:space="preserve">Power Price ($/MWh)</t>
  </si>
  <si>
    <t xml:space="preserve">  Total O&amp;M Expenses</t>
  </si>
  <si>
    <t xml:space="preserve">Pueblo 140 MW CC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</si>
</sst>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0.0"/>
    <numFmt numFmtId="166" formatCode="0.00"/>
    <numFmt numFmtId="167" formatCode="_(\$* #,##0_);_(\$* \(#,##0\);_(\$* \-_);_(@_)"/>
    <numFmt numFmtId="168" formatCode="_(\$* #,##0.0_);_(\$* \(#,##0.0\);_(\$* \-_);_(@_)"/>
    <numFmt numFmtId="169" formatCode="_(* #,##0.00_);_(* \(#,##0.00\);_(* \-??_);_(@_)"/>
    <numFmt numFmtId="170" formatCode="_(* #,##0_);_(* \(#,##0\);_(* \-??_);_(@_)"/>
    <numFmt numFmtId="171" formatCode="_(\$* #,##0.00_);_(\$* \(#,##0.00\);_(\$* \-_);_(@_)"/>
  </numFmts>
  <fonts count="1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2"/>
    </font>
    <font>
      <b val="true"/>
      <sz val="14"/>
      <name val="Arial Narrow"/>
      <family val="2"/>
    </font>
    <font>
      <sz val="10"/>
      <name val="Arial Narrow"/>
      <family val="0"/>
    </font>
    <font>
      <u val="single"/>
      <sz val="10"/>
      <name val="Arial"/>
      <family val="2"/>
    </font>
    <font>
      <b val="true"/>
      <sz val="10"/>
      <name val="Arial"/>
      <family val="2"/>
    </font>
    <font>
      <sz val="10"/>
      <name val="Arial"/>
      <family val="2"/>
    </font>
    <font>
      <b val="true"/>
      <sz val="10"/>
      <name val="Arial"/>
      <family val="0"/>
    </font>
    <font>
      <b val="true"/>
      <u val="single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9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167" fontId="0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7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2" borderId="0" xfId="1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2" xfId="15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2" borderId="0" xfId="1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1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0" fillId="2" borderId="0" xfId="1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1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2" borderId="0" xfId="1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8" fillId="2" borderId="0" xfId="1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4" xfId="1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1" xfId="1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2" xfId="1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1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2" borderId="0" xfId="15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3" xfId="1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8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4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9.28"/>
    <col collapsed="false" customWidth="true" hidden="false" outlineLevel="0" max="3" min="2" style="0" width="10.71"/>
    <col collapsed="false" customWidth="true" hidden="false" outlineLevel="0" max="4" min="4" style="0" width="29.71"/>
    <col collapsed="false" customWidth="true" hidden="false" outlineLevel="0" max="5" min="5" style="0" width="10.71"/>
  </cols>
  <sheetData>
    <row r="1" customFormat="false" ht="18" hidden="false" customHeight="false" outlineLevel="0" collapsed="false">
      <c r="A1" s="1"/>
      <c r="B1" s="1"/>
      <c r="C1" s="2" t="s">
        <v>0</v>
      </c>
      <c r="D1" s="1"/>
      <c r="E1" s="1"/>
    </row>
    <row r="2" customFormat="false" ht="18" hidden="false" customHeight="false" outlineLevel="0" collapsed="false">
      <c r="A2" s="1"/>
      <c r="B2" s="1"/>
      <c r="C2" s="3" t="s">
        <v>1</v>
      </c>
      <c r="D2" s="1"/>
      <c r="E2" s="1"/>
    </row>
    <row r="3" customFormat="false" ht="13.5" hidden="false" customHeight="false" outlineLevel="0" collapsed="false">
      <c r="A3" s="1"/>
      <c r="B3" s="1"/>
      <c r="C3" s="4" t="s">
        <v>2</v>
      </c>
      <c r="D3" s="1"/>
      <c r="E3" s="1"/>
    </row>
    <row r="4" customFormat="false" ht="12.75" hidden="false" customHeight="false" outlineLevel="0" collapsed="false">
      <c r="A4" s="5" t="s">
        <v>3</v>
      </c>
      <c r="B4" s="6" t="n">
        <v>70</v>
      </c>
      <c r="D4" s="0" t="s">
        <v>4</v>
      </c>
      <c r="E4" s="6" t="n">
        <v>10</v>
      </c>
    </row>
    <row r="5" customFormat="false" ht="13.5" hidden="false" customHeight="false" outlineLevel="0" collapsed="false">
      <c r="A5" s="7" t="s">
        <v>5</v>
      </c>
      <c r="B5" s="8" t="n">
        <v>10</v>
      </c>
      <c r="D5" s="0" t="s">
        <v>6</v>
      </c>
      <c r="E5" s="9" t="n">
        <v>35</v>
      </c>
    </row>
    <row r="6" customFormat="false" ht="12.75" hidden="false" customHeight="false" outlineLevel="0" collapsed="false">
      <c r="A6" s="7" t="s">
        <v>7</v>
      </c>
      <c r="B6" s="8" t="n">
        <v>10</v>
      </c>
      <c r="D6" s="0" t="s">
        <v>8</v>
      </c>
      <c r="E6" s="10" t="n">
        <f aca="false">100*B7/(100-E5)</f>
        <v>30.7692307692308</v>
      </c>
    </row>
    <row r="7" customFormat="false" ht="13.5" hidden="false" customHeight="false" outlineLevel="0" collapsed="false">
      <c r="A7" s="0" t="s">
        <v>9</v>
      </c>
      <c r="B7" s="9" t="n">
        <v>20</v>
      </c>
      <c r="D7" s="11"/>
      <c r="E7" s="11"/>
    </row>
    <row r="8" customFormat="false" ht="12.75" hidden="false" customHeight="false" outlineLevel="0" collapsed="false">
      <c r="D8" s="11"/>
      <c r="E8" s="11"/>
    </row>
    <row r="9" customFormat="false" ht="13.5" hidden="false" customHeight="false" outlineLevel="0" collapsed="false">
      <c r="B9" s="12" t="s">
        <v>10</v>
      </c>
      <c r="C9" s="12" t="s">
        <v>11</v>
      </c>
      <c r="D9" s="11"/>
      <c r="E9" s="11"/>
    </row>
    <row r="10" customFormat="false" ht="13.5" hidden="false" customHeight="false" outlineLevel="0" collapsed="false">
      <c r="A10" s="0" t="s">
        <v>12</v>
      </c>
      <c r="B10" s="13" t="n">
        <v>1</v>
      </c>
      <c r="C10" s="14" t="n">
        <f aca="false">1-B10</f>
        <v>0</v>
      </c>
      <c r="D10" s="15"/>
      <c r="E10" s="15"/>
    </row>
    <row r="11" customFormat="false" ht="12.75" hidden="false" customHeight="false" outlineLevel="0" collapsed="false">
      <c r="A11" s="0" t="s">
        <v>13</v>
      </c>
      <c r="B11" s="16"/>
      <c r="C11" s="16"/>
      <c r="D11" s="15"/>
      <c r="E11" s="15"/>
    </row>
    <row r="12" customFormat="false" ht="12.75" hidden="false" customHeight="false" outlineLevel="0" collapsed="false">
      <c r="A12" s="0" t="s">
        <v>14</v>
      </c>
      <c r="B12" s="17" t="n">
        <f aca="false">-12*PMT($E$6/1200,$B$6*12,B10*(100-$B$4))</f>
        <v>9.69541308961062</v>
      </c>
      <c r="C12" s="17" t="e">
        <f aca="false">-12*((1+($E$6/1200))^(B6*12))*PMT($E$6/1200,($E$4-$B$6)*12,C10*(100-$B$4))</f>
        <v>#NUM!</v>
      </c>
      <c r="E12" s="18"/>
    </row>
    <row r="13" customFormat="false" ht="12.75" hidden="false" customHeight="false" outlineLevel="0" collapsed="false">
      <c r="A13" s="0" t="s">
        <v>15</v>
      </c>
      <c r="B13" s="19" t="n">
        <f aca="false">-12*PMT($B$5/1200,$B$6*12,$B$4)</f>
        <v>11.100661898068</v>
      </c>
      <c r="C13" s="19" t="n">
        <f aca="false">-12*PMT($B$5/1200,$B$6*12,0)</f>
        <v>0</v>
      </c>
    </row>
    <row r="14" customFormat="false" ht="12.75" hidden="false" customHeight="false" outlineLevel="0" collapsed="false">
      <c r="A14" s="20" t="s">
        <v>16</v>
      </c>
      <c r="B14" s="17" t="n">
        <f aca="false">B12+B13</f>
        <v>20.7960749876786</v>
      </c>
      <c r="C14" s="17" t="e">
        <f aca="false">C12+C13</f>
        <v>#NUM!</v>
      </c>
      <c r="E14" s="21"/>
    </row>
    <row r="15" customFormat="false" ht="12.75" hidden="false" customHeight="false" outlineLevel="0" collapsed="false">
      <c r="E15" s="16"/>
    </row>
    <row r="16" customFormat="false" ht="13.5" hidden="false" customHeight="false" outlineLevel="0" collapsed="false">
      <c r="E16" s="16"/>
    </row>
    <row r="17" customFormat="false" ht="12.75" hidden="false" customHeight="false" outlineLevel="0" collapsed="false">
      <c r="A17" s="0" t="s">
        <v>17</v>
      </c>
      <c r="B17" s="22" t="n">
        <v>72.2</v>
      </c>
      <c r="D17" s="23" t="s">
        <v>18</v>
      </c>
      <c r="E17" s="24" t="s">
        <v>19</v>
      </c>
    </row>
    <row r="18" customFormat="false" ht="12.75" hidden="false" customHeight="false" outlineLevel="0" collapsed="false">
      <c r="A18" s="0" t="s">
        <v>20</v>
      </c>
      <c r="B18" s="25" t="n">
        <v>24</v>
      </c>
      <c r="D18" s="0" t="s">
        <v>21</v>
      </c>
      <c r="E18" s="26" t="n">
        <f aca="false">B17</f>
        <v>72.2</v>
      </c>
    </row>
    <row r="19" customFormat="false" ht="12.75" hidden="false" customHeight="false" outlineLevel="0" collapsed="false">
      <c r="A19" s="0" t="s">
        <v>22</v>
      </c>
      <c r="B19" s="25" t="n">
        <v>8500</v>
      </c>
      <c r="D19" s="0" t="s">
        <v>23</v>
      </c>
      <c r="E19" s="26" t="n">
        <f aca="false">E18*(1.05)^(B18/12)-E18</f>
        <v>7.40050000000001</v>
      </c>
    </row>
    <row r="20" customFormat="false" ht="12.75" hidden="false" customHeight="false" outlineLevel="0" collapsed="false">
      <c r="A20" s="0" t="s">
        <v>24</v>
      </c>
      <c r="B20" s="27" t="n">
        <v>73.4</v>
      </c>
      <c r="D20" s="0" t="s">
        <v>25</v>
      </c>
      <c r="E20" s="26" t="n">
        <f aca="false">B17*0.005</f>
        <v>0.361</v>
      </c>
    </row>
    <row r="21" customFormat="false" ht="12.75" hidden="false" customHeight="false" outlineLevel="0" collapsed="false">
      <c r="A21" s="0" t="s">
        <v>26</v>
      </c>
      <c r="B21" s="28" t="n">
        <v>8170</v>
      </c>
      <c r="D21" s="0" t="s">
        <v>27</v>
      </c>
      <c r="E21" s="26" t="n">
        <f aca="false">0.025*B17</f>
        <v>1.805</v>
      </c>
    </row>
    <row r="22" customFormat="false" ht="12.75" hidden="false" customHeight="false" outlineLevel="0" collapsed="false">
      <c r="A22" s="0" t="s">
        <v>28</v>
      </c>
      <c r="B22" s="29" t="n">
        <v>4.4</v>
      </c>
      <c r="D22" s="0" t="s">
        <v>29</v>
      </c>
      <c r="E22" s="26" t="n">
        <f aca="false">0.01*B17</f>
        <v>0.722</v>
      </c>
    </row>
    <row r="23" customFormat="false" ht="12.75" hidden="false" customHeight="false" outlineLevel="0" collapsed="false">
      <c r="A23" s="0" t="s">
        <v>30</v>
      </c>
      <c r="B23" s="25" t="n">
        <v>0</v>
      </c>
      <c r="D23" s="0" t="s">
        <v>31</v>
      </c>
      <c r="E23" s="30" t="n">
        <f aca="false">E41/8</f>
        <v>0.48125</v>
      </c>
    </row>
    <row r="24" customFormat="false" ht="12.75" hidden="false" customHeight="false" outlineLevel="0" collapsed="false">
      <c r="A24" s="0" t="s">
        <v>32</v>
      </c>
      <c r="B24" s="25" t="n">
        <v>0</v>
      </c>
      <c r="D24" s="0" t="s">
        <v>33</v>
      </c>
      <c r="E24" s="31" t="n">
        <v>1</v>
      </c>
    </row>
    <row r="25" customFormat="false" ht="13.5" hidden="false" customHeight="false" outlineLevel="0" collapsed="false">
      <c r="A25" s="0" t="s">
        <v>34</v>
      </c>
      <c r="B25" s="32" t="n">
        <v>0</v>
      </c>
      <c r="D25" s="0" t="s">
        <v>35</v>
      </c>
      <c r="E25" s="31" t="n">
        <v>0.5</v>
      </c>
    </row>
    <row r="26" customFormat="false" ht="12.75" hidden="false" customHeight="false" outlineLevel="0" collapsed="false">
      <c r="A26" s="0" t="s">
        <v>36</v>
      </c>
      <c r="B26" s="33" t="e">
        <f aca="false">0.1*B24*B22/B25</f>
        <v>#DIV/0!</v>
      </c>
      <c r="D26" s="0" t="s">
        <v>37</v>
      </c>
      <c r="E26" s="31" t="n">
        <v>0</v>
      </c>
    </row>
    <row r="27" customFormat="false" ht="15" hidden="false" customHeight="false" outlineLevel="0" collapsed="false">
      <c r="A27" s="0" t="s">
        <v>38</v>
      </c>
      <c r="B27" s="34" t="n">
        <v>0</v>
      </c>
      <c r="D27" s="0" t="s">
        <v>39</v>
      </c>
      <c r="E27" s="35" t="n">
        <v>0</v>
      </c>
    </row>
    <row r="28" customFormat="false" ht="12.75" hidden="false" customHeight="false" outlineLevel="0" collapsed="false">
      <c r="D28" s="0" t="s">
        <v>40</v>
      </c>
      <c r="E28" s="36" t="n">
        <f aca="false">SUM(E18:E27)</f>
        <v>84.46975</v>
      </c>
    </row>
    <row r="29" customFormat="false" ht="15" hidden="false" customHeight="false" outlineLevel="0" collapsed="false">
      <c r="A29" s="23" t="s">
        <v>41</v>
      </c>
      <c r="B29" s="24" t="s">
        <v>19</v>
      </c>
      <c r="D29" s="0" t="s">
        <v>42</v>
      </c>
      <c r="E29" s="37" t="n">
        <f aca="false">0.02*E28*B4/100+0.3</f>
        <v>1.4825765</v>
      </c>
    </row>
    <row r="30" customFormat="false" ht="12.75" hidden="false" customHeight="false" outlineLevel="0" collapsed="false">
      <c r="A30" s="0" t="s">
        <v>43</v>
      </c>
      <c r="B30" s="26" t="n">
        <f aca="false">B14*E30/100</f>
        <v>17.8747102725943</v>
      </c>
      <c r="D30" s="38" t="s">
        <v>44</v>
      </c>
      <c r="E30" s="39" t="n">
        <f aca="false">E28+E29</f>
        <v>85.9523265</v>
      </c>
    </row>
    <row r="31" customFormat="false" ht="12.75" hidden="false" customHeight="false" outlineLevel="0" collapsed="false">
      <c r="A31" s="0" t="s">
        <v>45</v>
      </c>
      <c r="B31" s="26" t="n">
        <f aca="false">B20*B19*B21*B22/1000000000</f>
        <v>22.4279572</v>
      </c>
    </row>
    <row r="32" customFormat="false" ht="12.75" hidden="false" customHeight="false" outlineLevel="0" collapsed="false">
      <c r="A32" s="0" t="s">
        <v>46</v>
      </c>
      <c r="B32" s="26" t="n">
        <f aca="false">E41</f>
        <v>3.85</v>
      </c>
    </row>
    <row r="33" customFormat="false" ht="13.5" hidden="false" customHeight="false" outlineLevel="0" collapsed="false">
      <c r="A33" s="0" t="s">
        <v>47</v>
      </c>
      <c r="B33" s="26" t="n">
        <f aca="false">0.01*E30</f>
        <v>0.859523265</v>
      </c>
    </row>
    <row r="34" customFormat="false" ht="15.75" hidden="false" customHeight="false" outlineLevel="0" collapsed="false">
      <c r="A34" s="0" t="s">
        <v>48</v>
      </c>
      <c r="B34" s="40" t="n">
        <v>1</v>
      </c>
      <c r="D34" s="23" t="s">
        <v>49</v>
      </c>
      <c r="E34" s="24" t="s">
        <v>19</v>
      </c>
    </row>
    <row r="35" customFormat="false" ht="12.75" hidden="false" customHeight="false" outlineLevel="0" collapsed="false">
      <c r="A35" s="0" t="s">
        <v>40</v>
      </c>
      <c r="B35" s="26" t="n">
        <f aca="false">SUM(B30:B34)</f>
        <v>46.0121907375943</v>
      </c>
      <c r="D35" s="0" t="s">
        <v>50</v>
      </c>
      <c r="E35" s="41" t="n">
        <v>1.1</v>
      </c>
    </row>
    <row r="36" customFormat="false" ht="15" hidden="false" customHeight="false" outlineLevel="0" collapsed="false">
      <c r="A36" s="0" t="s">
        <v>51</v>
      </c>
      <c r="B36" s="37" t="n">
        <f aca="false">B23*B19*B27/1000000</f>
        <v>0</v>
      </c>
      <c r="D36" s="0" t="s">
        <v>52</v>
      </c>
      <c r="E36" s="42" t="n">
        <v>0.2</v>
      </c>
    </row>
    <row r="37" customFormat="false" ht="12.75" hidden="false" customHeight="false" outlineLevel="0" collapsed="false">
      <c r="A37" s="0" t="s">
        <v>53</v>
      </c>
      <c r="B37" s="26" t="n">
        <f aca="false">B35-B36</f>
        <v>46.0121907375943</v>
      </c>
      <c r="D37" s="0" t="s">
        <v>54</v>
      </c>
      <c r="E37" s="42" t="n">
        <v>0.2</v>
      </c>
    </row>
    <row r="38" customFormat="false" ht="12.75" hidden="false" customHeight="false" outlineLevel="0" collapsed="false">
      <c r="B38" s="43"/>
      <c r="D38" s="0" t="s">
        <v>55</v>
      </c>
      <c r="E38" s="42" t="n">
        <v>0.5</v>
      </c>
    </row>
    <row r="39" customFormat="false" ht="13.5" hidden="false" customHeight="false" outlineLevel="0" collapsed="false">
      <c r="A39" s="0" t="s">
        <v>56</v>
      </c>
      <c r="B39" s="44" t="n">
        <f aca="false">B20*B19</f>
        <v>623900</v>
      </c>
      <c r="D39" s="0" t="s">
        <v>57</v>
      </c>
      <c r="E39" s="45" t="n">
        <v>1.5</v>
      </c>
    </row>
    <row r="40" customFormat="false" ht="15" hidden="false" customHeight="false" outlineLevel="0" collapsed="false">
      <c r="D40" s="0" t="s">
        <v>58</v>
      </c>
      <c r="E40" s="37" t="n">
        <f aca="false">SUM(E35:E39)*0.1</f>
        <v>0.35</v>
      </c>
    </row>
    <row r="41" customFormat="false" ht="12.75" hidden="false" customHeight="false" outlineLevel="0" collapsed="false">
      <c r="A41" s="38" t="s">
        <v>59</v>
      </c>
      <c r="B41" s="46" t="n">
        <f aca="false">1000000*B37/B39</f>
        <v>73.7493039551119</v>
      </c>
      <c r="D41" s="38" t="s">
        <v>60</v>
      </c>
      <c r="E41" s="39" t="n">
        <f aca="false">SUM(E35:E40)</f>
        <v>3.85</v>
      </c>
    </row>
  </sheetData>
  <printOptions headings="false" gridLines="false" gridLinesSet="true" horizontalCentered="false" verticalCentered="false"/>
  <pageMargins left="0.747916666666667" right="0.747916666666667" top="0.5" bottom="0" header="0.5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&amp;L&amp;D&amp;R&amp;T</oddHeader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41"/>
  <sheetViews>
    <sheetView showFormulas="false" showGridLines="true" showRowColHeaders="true" showZeros="true" rightToLeft="false" tabSelected="true" showOutlineSymbols="true" defaultGridColor="true" view="normal" topLeftCell="A34" colorId="64" zoomScale="100" zoomScaleNormal="100" zoomScalePageLayoutView="100" workbookViewId="0">
      <selection pane="topLeft" activeCell="B58" activeCellId="0" sqref="B5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9.28"/>
    <col collapsed="false" customWidth="true" hidden="false" outlineLevel="0" max="3" min="2" style="0" width="10.71"/>
    <col collapsed="false" customWidth="true" hidden="false" outlineLevel="0" max="4" min="4" style="0" width="29.71"/>
    <col collapsed="false" customWidth="true" hidden="false" outlineLevel="0" max="5" min="5" style="0" width="10.71"/>
  </cols>
  <sheetData>
    <row r="1" customFormat="false" ht="18" hidden="false" customHeight="false" outlineLevel="0" collapsed="false">
      <c r="A1" s="1"/>
      <c r="B1" s="1"/>
      <c r="C1" s="2" t="s">
        <v>61</v>
      </c>
      <c r="D1" s="1"/>
      <c r="E1" s="1"/>
    </row>
    <row r="2" customFormat="false" ht="18" hidden="false" customHeight="false" outlineLevel="0" collapsed="false">
      <c r="A2" s="1"/>
      <c r="B2" s="1"/>
      <c r="C2" s="3" t="s">
        <v>1</v>
      </c>
      <c r="D2" s="1"/>
      <c r="E2" s="1"/>
    </row>
    <row r="3" customFormat="false" ht="13.5" hidden="false" customHeight="false" outlineLevel="0" collapsed="false">
      <c r="A3" s="1"/>
      <c r="B3" s="1"/>
      <c r="C3" s="4" t="s">
        <v>2</v>
      </c>
      <c r="D3" s="1"/>
      <c r="E3" s="1"/>
    </row>
    <row r="4" customFormat="false" ht="12.75" hidden="false" customHeight="false" outlineLevel="0" collapsed="false">
      <c r="A4" s="5" t="s">
        <v>3</v>
      </c>
      <c r="B4" s="6" t="n">
        <v>70</v>
      </c>
      <c r="D4" s="0" t="s">
        <v>4</v>
      </c>
      <c r="E4" s="6" t="n">
        <v>10</v>
      </c>
    </row>
    <row r="5" customFormat="false" ht="13.5" hidden="false" customHeight="false" outlineLevel="0" collapsed="false">
      <c r="A5" s="7" t="s">
        <v>5</v>
      </c>
      <c r="B5" s="8" t="n">
        <v>10</v>
      </c>
      <c r="D5" s="0" t="s">
        <v>6</v>
      </c>
      <c r="E5" s="9" t="n">
        <v>35</v>
      </c>
    </row>
    <row r="6" customFormat="false" ht="12.75" hidden="false" customHeight="false" outlineLevel="0" collapsed="false">
      <c r="A6" s="7" t="s">
        <v>7</v>
      </c>
      <c r="B6" s="8" t="n">
        <v>10</v>
      </c>
      <c r="D6" s="0" t="s">
        <v>8</v>
      </c>
      <c r="E6" s="10" t="n">
        <f aca="false">100*B7/(100-E5)</f>
        <v>30.7692307692308</v>
      </c>
    </row>
    <row r="7" customFormat="false" ht="13.5" hidden="false" customHeight="false" outlineLevel="0" collapsed="false">
      <c r="A7" s="0" t="s">
        <v>9</v>
      </c>
      <c r="B7" s="9" t="n">
        <v>20</v>
      </c>
      <c r="D7" s="11"/>
      <c r="E7" s="11"/>
    </row>
    <row r="8" customFormat="false" ht="12.75" hidden="false" customHeight="false" outlineLevel="0" collapsed="false">
      <c r="D8" s="11"/>
      <c r="E8" s="11"/>
    </row>
    <row r="9" customFormat="false" ht="13.5" hidden="false" customHeight="false" outlineLevel="0" collapsed="false">
      <c r="B9" s="12" t="s">
        <v>10</v>
      </c>
      <c r="C9" s="12" t="s">
        <v>11</v>
      </c>
      <c r="D9" s="11"/>
      <c r="E9" s="11"/>
    </row>
    <row r="10" customFormat="false" ht="13.5" hidden="false" customHeight="false" outlineLevel="0" collapsed="false">
      <c r="A10" s="0" t="s">
        <v>12</v>
      </c>
      <c r="B10" s="13" t="n">
        <v>1</v>
      </c>
      <c r="C10" s="14" t="n">
        <f aca="false">1-B10</f>
        <v>0</v>
      </c>
      <c r="D10" s="15"/>
      <c r="E10" s="15"/>
    </row>
    <row r="11" customFormat="false" ht="12.75" hidden="false" customHeight="false" outlineLevel="0" collapsed="false">
      <c r="A11" s="0" t="s">
        <v>13</v>
      </c>
      <c r="B11" s="16"/>
      <c r="C11" s="16"/>
      <c r="D11" s="15"/>
      <c r="E11" s="15"/>
    </row>
    <row r="12" customFormat="false" ht="12.75" hidden="false" customHeight="false" outlineLevel="0" collapsed="false">
      <c r="A12" s="0" t="s">
        <v>14</v>
      </c>
      <c r="B12" s="17" t="n">
        <f aca="false">-12*PMT($E$6/1200,$B$6*12,B10*(100-$B$4))</f>
        <v>9.69541308961062</v>
      </c>
      <c r="C12" s="17" t="e">
        <f aca="false">-12*((1+($E$6/1200))^(B6*12))*PMT($E$6/1200,($E$4-$B$6)*12,C10*(100-$B$4))</f>
        <v>#NUM!</v>
      </c>
      <c r="E12" s="18"/>
    </row>
    <row r="13" customFormat="false" ht="12.75" hidden="false" customHeight="false" outlineLevel="0" collapsed="false">
      <c r="A13" s="0" t="s">
        <v>15</v>
      </c>
      <c r="B13" s="19" t="n">
        <f aca="false">-12*PMT($B$5/1200,$B$6*12,$B$4)</f>
        <v>11.100661898068</v>
      </c>
      <c r="C13" s="19" t="n">
        <f aca="false">-12*PMT($B$5/1200,$B$6*12,0)</f>
        <v>0</v>
      </c>
    </row>
    <row r="14" customFormat="false" ht="12.75" hidden="false" customHeight="false" outlineLevel="0" collapsed="false">
      <c r="A14" s="20" t="s">
        <v>16</v>
      </c>
      <c r="B14" s="17" t="n">
        <f aca="false">B12+B13</f>
        <v>20.7960749876786</v>
      </c>
      <c r="C14" s="17" t="e">
        <f aca="false">C12+C13</f>
        <v>#NUM!</v>
      </c>
      <c r="E14" s="21"/>
    </row>
    <row r="15" customFormat="false" ht="12.75" hidden="false" customHeight="false" outlineLevel="0" collapsed="false">
      <c r="E15" s="16"/>
    </row>
    <row r="16" customFormat="false" ht="13.5" hidden="false" customHeight="false" outlineLevel="0" collapsed="false">
      <c r="E16" s="16"/>
    </row>
    <row r="17" customFormat="false" ht="12.75" hidden="false" customHeight="false" outlineLevel="0" collapsed="false">
      <c r="A17" s="0" t="s">
        <v>17</v>
      </c>
      <c r="B17" s="22" t="n">
        <v>108.6</v>
      </c>
      <c r="D17" s="23" t="s">
        <v>18</v>
      </c>
      <c r="E17" s="24" t="s">
        <v>19</v>
      </c>
    </row>
    <row r="18" customFormat="false" ht="12.75" hidden="false" customHeight="false" outlineLevel="0" collapsed="false">
      <c r="A18" s="0" t="s">
        <v>20</v>
      </c>
      <c r="B18" s="25" t="n">
        <v>24</v>
      </c>
      <c r="D18" s="0" t="s">
        <v>21</v>
      </c>
      <c r="E18" s="26" t="n">
        <f aca="false">B17</f>
        <v>108.6</v>
      </c>
    </row>
    <row r="19" customFormat="false" ht="12.75" hidden="false" customHeight="false" outlineLevel="0" collapsed="false">
      <c r="A19" s="0" t="s">
        <v>22</v>
      </c>
      <c r="B19" s="25" t="n">
        <v>8500</v>
      </c>
      <c r="D19" s="0" t="s">
        <v>23</v>
      </c>
      <c r="E19" s="26" t="n">
        <f aca="false">E18*(1.05)^(B18/12)-E18</f>
        <v>11.1315</v>
      </c>
    </row>
    <row r="20" customFormat="false" ht="12.75" hidden="false" customHeight="false" outlineLevel="0" collapsed="false">
      <c r="A20" s="0" t="s">
        <v>24</v>
      </c>
      <c r="B20" s="27" t="n">
        <v>143.7</v>
      </c>
      <c r="D20" s="0" t="s">
        <v>25</v>
      </c>
      <c r="E20" s="26" t="n">
        <f aca="false">B17*0.005</f>
        <v>0.543</v>
      </c>
    </row>
    <row r="21" customFormat="false" ht="12.75" hidden="false" customHeight="false" outlineLevel="0" collapsed="false">
      <c r="A21" s="0" t="s">
        <v>26</v>
      </c>
      <c r="B21" s="28" t="n">
        <v>7900</v>
      </c>
      <c r="D21" s="0" t="s">
        <v>27</v>
      </c>
      <c r="E21" s="26" t="n">
        <f aca="false">0.025*B17</f>
        <v>2.715</v>
      </c>
    </row>
    <row r="22" customFormat="false" ht="12.75" hidden="false" customHeight="false" outlineLevel="0" collapsed="false">
      <c r="A22" s="0" t="s">
        <v>28</v>
      </c>
      <c r="B22" s="29" t="n">
        <v>4.4</v>
      </c>
      <c r="D22" s="0" t="s">
        <v>29</v>
      </c>
      <c r="E22" s="26" t="n">
        <f aca="false">0.01*B17</f>
        <v>1.086</v>
      </c>
    </row>
    <row r="23" customFormat="false" ht="12.75" hidden="false" customHeight="false" outlineLevel="0" collapsed="false">
      <c r="A23" s="0" t="s">
        <v>30</v>
      </c>
      <c r="B23" s="25" t="n">
        <v>0</v>
      </c>
      <c r="D23" s="0" t="s">
        <v>31</v>
      </c>
      <c r="E23" s="30" t="n">
        <f aca="false">E41/8</f>
        <v>0.59125</v>
      </c>
    </row>
    <row r="24" customFormat="false" ht="12.75" hidden="false" customHeight="false" outlineLevel="0" collapsed="false">
      <c r="A24" s="0" t="s">
        <v>32</v>
      </c>
      <c r="B24" s="25" t="n">
        <v>0</v>
      </c>
      <c r="D24" s="0" t="s">
        <v>33</v>
      </c>
      <c r="E24" s="31" t="n">
        <v>1</v>
      </c>
    </row>
    <row r="25" customFormat="false" ht="13.5" hidden="false" customHeight="false" outlineLevel="0" collapsed="false">
      <c r="A25" s="0" t="s">
        <v>34</v>
      </c>
      <c r="B25" s="32" t="n">
        <v>0</v>
      </c>
      <c r="D25" s="0" t="s">
        <v>35</v>
      </c>
      <c r="E25" s="31" t="n">
        <v>0.5</v>
      </c>
    </row>
    <row r="26" customFormat="false" ht="12.75" hidden="false" customHeight="false" outlineLevel="0" collapsed="false">
      <c r="A26" s="0" t="s">
        <v>36</v>
      </c>
      <c r="B26" s="33" t="e">
        <f aca="false">0.1*B24*B22/B25</f>
        <v>#DIV/0!</v>
      </c>
      <c r="D26" s="0" t="s">
        <v>37</v>
      </c>
      <c r="E26" s="31" t="n">
        <v>0</v>
      </c>
    </row>
    <row r="27" customFormat="false" ht="15" hidden="false" customHeight="false" outlineLevel="0" collapsed="false">
      <c r="A27" s="0" t="s">
        <v>38</v>
      </c>
      <c r="B27" s="34" t="n">
        <v>0</v>
      </c>
      <c r="D27" s="0" t="s">
        <v>39</v>
      </c>
      <c r="E27" s="35" t="n">
        <v>0</v>
      </c>
    </row>
    <row r="28" customFormat="false" ht="12.75" hidden="false" customHeight="false" outlineLevel="0" collapsed="false">
      <c r="D28" s="0" t="s">
        <v>40</v>
      </c>
      <c r="E28" s="36" t="n">
        <f aca="false">SUM(E18:E27)</f>
        <v>126.16675</v>
      </c>
    </row>
    <row r="29" customFormat="false" ht="15" hidden="false" customHeight="false" outlineLevel="0" collapsed="false">
      <c r="A29" s="23" t="s">
        <v>41</v>
      </c>
      <c r="B29" s="24" t="s">
        <v>19</v>
      </c>
      <c r="D29" s="0" t="s">
        <v>42</v>
      </c>
      <c r="E29" s="37" t="n">
        <f aca="false">0.02*E28*B4/100+0.3</f>
        <v>2.0663345</v>
      </c>
    </row>
    <row r="30" customFormat="false" ht="12.75" hidden="false" customHeight="false" outlineLevel="0" collapsed="false">
      <c r="A30" s="0" t="s">
        <v>43</v>
      </c>
      <c r="B30" s="26" t="n">
        <f aca="false">B14*E30/100</f>
        <v>26.6674484116333</v>
      </c>
      <c r="D30" s="38" t="s">
        <v>44</v>
      </c>
      <c r="E30" s="39" t="n">
        <f aca="false">E28+E29</f>
        <v>128.2330845</v>
      </c>
    </row>
    <row r="31" customFormat="false" ht="12.75" hidden="false" customHeight="false" outlineLevel="0" collapsed="false">
      <c r="A31" s="0" t="s">
        <v>45</v>
      </c>
      <c r="B31" s="26" t="n">
        <f aca="false">B20*B19*B21*B22/1000000000</f>
        <v>42.457602</v>
      </c>
    </row>
    <row r="32" customFormat="false" ht="12.75" hidden="false" customHeight="false" outlineLevel="0" collapsed="false">
      <c r="A32" s="0" t="s">
        <v>46</v>
      </c>
      <c r="B32" s="26" t="n">
        <f aca="false">E41</f>
        <v>4.73</v>
      </c>
    </row>
    <row r="33" customFormat="false" ht="13.5" hidden="false" customHeight="false" outlineLevel="0" collapsed="false">
      <c r="A33" s="0" t="s">
        <v>47</v>
      </c>
      <c r="B33" s="26" t="n">
        <f aca="false">0.01*E30</f>
        <v>1.282330845</v>
      </c>
    </row>
    <row r="34" customFormat="false" ht="15.75" hidden="false" customHeight="false" outlineLevel="0" collapsed="false">
      <c r="A34" s="0" t="s">
        <v>48</v>
      </c>
      <c r="B34" s="40" t="n">
        <v>1</v>
      </c>
      <c r="D34" s="23" t="s">
        <v>49</v>
      </c>
      <c r="E34" s="24" t="s">
        <v>19</v>
      </c>
    </row>
    <row r="35" customFormat="false" ht="12.75" hidden="false" customHeight="false" outlineLevel="0" collapsed="false">
      <c r="A35" s="0" t="s">
        <v>40</v>
      </c>
      <c r="B35" s="26" t="n">
        <f aca="false">SUM(B30:B34)</f>
        <v>76.1373812566333</v>
      </c>
      <c r="D35" s="0" t="s">
        <v>50</v>
      </c>
      <c r="E35" s="41" t="n">
        <v>1.1</v>
      </c>
    </row>
    <row r="36" customFormat="false" ht="15" hidden="false" customHeight="false" outlineLevel="0" collapsed="false">
      <c r="A36" s="0" t="s">
        <v>51</v>
      </c>
      <c r="B36" s="37" t="n">
        <f aca="false">B23*B19*B27/1000000</f>
        <v>0</v>
      </c>
      <c r="D36" s="0" t="s">
        <v>52</v>
      </c>
      <c r="E36" s="42" t="n">
        <v>0.2</v>
      </c>
    </row>
    <row r="37" customFormat="false" ht="12.75" hidden="false" customHeight="false" outlineLevel="0" collapsed="false">
      <c r="A37" s="0" t="s">
        <v>53</v>
      </c>
      <c r="B37" s="26" t="n">
        <f aca="false">B35-B36</f>
        <v>76.1373812566333</v>
      </c>
      <c r="D37" s="0" t="s">
        <v>54</v>
      </c>
      <c r="E37" s="42" t="n">
        <v>0.2</v>
      </c>
    </row>
    <row r="38" customFormat="false" ht="12.75" hidden="false" customHeight="false" outlineLevel="0" collapsed="false">
      <c r="B38" s="43"/>
      <c r="D38" s="0" t="s">
        <v>55</v>
      </c>
      <c r="E38" s="42" t="n">
        <v>0.5</v>
      </c>
    </row>
    <row r="39" customFormat="false" ht="13.5" hidden="false" customHeight="false" outlineLevel="0" collapsed="false">
      <c r="A39" s="0" t="s">
        <v>56</v>
      </c>
      <c r="B39" s="44" t="n">
        <f aca="false">B20*B19</f>
        <v>1221450</v>
      </c>
      <c r="D39" s="0" t="s">
        <v>57</v>
      </c>
      <c r="E39" s="45" t="n">
        <v>2.3</v>
      </c>
    </row>
    <row r="40" customFormat="false" ht="15" hidden="false" customHeight="false" outlineLevel="0" collapsed="false">
      <c r="D40" s="0" t="s">
        <v>58</v>
      </c>
      <c r="E40" s="37" t="n">
        <f aca="false">SUM(E35:E39)*0.1</f>
        <v>0.43</v>
      </c>
    </row>
    <row r="41" customFormat="false" ht="12.75" hidden="false" customHeight="false" outlineLevel="0" collapsed="false">
      <c r="A41" s="38" t="s">
        <v>59</v>
      </c>
      <c r="B41" s="46" t="n">
        <f aca="false">1000000*B37/B39</f>
        <v>62.3336045328366</v>
      </c>
      <c r="D41" s="38" t="s">
        <v>60</v>
      </c>
      <c r="E41" s="39" t="n">
        <f aca="false">SUM(E35:E40)</f>
        <v>4.73</v>
      </c>
    </row>
  </sheetData>
  <printOptions headings="false" gridLines="false" gridLinesSet="true" horizontalCentered="false" verticalCentered="false"/>
  <pageMargins left="0.747916666666667" right="0.747916666666667" top="0.5" bottom="0" header="0.5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&amp;L&amp;D&amp;R&amp;T</oddHeader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21" colorId="64" zoomScale="100" zoomScaleNormal="100" zoomScalePageLayoutView="100" workbookViewId="0">
      <selection pane="topLeft" activeCell="E38" activeCellId="0" sqref="E38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1998-02-21T16:07:30Z</dcterms:created>
  <dc:creator>Enron Power Corp.</dc:creator>
  <dc:description/>
  <dc:language>en-US</dc:language>
  <cp:lastModifiedBy>EI</cp:lastModifiedBy>
  <cp:lastPrinted>2000-06-15T17:35:57Z</cp:lastPrinted>
  <cp:revision>0</cp:revision>
  <dc:subject/>
  <dc:title/>
</cp:coreProperties>
</file>