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y" sheetId="1" state="visible" r:id="rId3"/>
    <sheet name="Pre" sheetId="2" state="visible" r:id="rId4"/>
    <sheet name="Post" sheetId="3" state="visible" r:id="rId5"/>
    <sheet name="Tran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<sst xmlns="http://schemas.openxmlformats.org/spreadsheetml/2006/main" count="170" uniqueCount="81">
  <si>
    <t xml:space="preserve">Use 0 or 1?</t>
  </si>
  <si>
    <t xml:space="preserve">Northern Border Partners</t>
  </si>
  <si>
    <t xml:space="preserve">Boulder</t>
  </si>
  <si>
    <t xml:space="preserve">TC PipeLines</t>
  </si>
  <si>
    <t xml:space="preserve">Tempe</t>
  </si>
  <si>
    <t xml:space="preserve">Enron</t>
  </si>
  <si>
    <t xml:space="preserve">Norman</t>
  </si>
  <si>
    <t xml:space="preserve">Williams</t>
  </si>
  <si>
    <t xml:space="preserve">Austin</t>
  </si>
  <si>
    <t xml:space="preserve">TransCanada</t>
  </si>
  <si>
    <t xml:space="preserve">Tucson</t>
  </si>
  <si>
    <t xml:space="preserve">Northern Border Pipeline </t>
  </si>
  <si>
    <t xml:space="preserve">Ames</t>
  </si>
  <si>
    <t xml:space="preserve">Midwestern Gas </t>
  </si>
  <si>
    <t xml:space="preserve">Stillwater</t>
  </si>
  <si>
    <t xml:space="preserve">Crestone / Bearpaw</t>
  </si>
  <si>
    <t xml:space="preserve">College Station</t>
  </si>
  <si>
    <t xml:space="preserve">Border Midstream</t>
  </si>
  <si>
    <t xml:space="preserve">Ann Arbor</t>
  </si>
  <si>
    <t xml:space="preserve">Black Mesa</t>
  </si>
  <si>
    <t xml:space="preserve">South Bend</t>
  </si>
  <si>
    <t xml:space="preserve">Tuscarora</t>
  </si>
  <si>
    <t xml:space="preserve">Manhatten</t>
  </si>
  <si>
    <t xml:space="preserve">Common Units</t>
  </si>
  <si>
    <t xml:space="preserve">Subordinated Units</t>
  </si>
  <si>
    <t xml:space="preserve">Equiv Units O/S =</t>
  </si>
  <si>
    <t xml:space="preserve">Units O/S =</t>
  </si>
  <si>
    <t xml:space="preserve">Unit Value =</t>
  </si>
  <si>
    <t xml:space="preserve">Value =</t>
  </si>
  <si>
    <t xml:space="preserve">DPU =</t>
  </si>
  <si>
    <t xml:space="preserve">Yield =</t>
  </si>
  <si>
    <t xml:space="preserve">2002 EPU =</t>
  </si>
  <si>
    <t xml:space="preserve">PE Ratio =</t>
  </si>
  <si>
    <t xml:space="preserve">Total Value</t>
  </si>
  <si>
    <t xml:space="preserve">Total </t>
  </si>
  <si>
    <t xml:space="preserve">Total</t>
  </si>
  <si>
    <t xml:space="preserve">Other Assets, Net</t>
  </si>
  <si>
    <t xml:space="preserve">Debt O/S</t>
  </si>
  <si>
    <t xml:space="preserve">Unidentified Value</t>
  </si>
  <si>
    <t xml:space="preserve">  Total Equity Value</t>
  </si>
  <si>
    <t xml:space="preserve">GP Yield Sensitivity</t>
  </si>
  <si>
    <t xml:space="preserve">GP Value</t>
  </si>
  <si>
    <t xml:space="preserve">Common Units (Old)</t>
  </si>
  <si>
    <t xml:space="preserve">Common Units (New)</t>
  </si>
  <si>
    <t xml:space="preserve">Cash Received(Paid)</t>
  </si>
  <si>
    <t xml:space="preserve">Pre</t>
  </si>
  <si>
    <t xml:space="preserve">Post</t>
  </si>
  <si>
    <t xml:space="preserve">Gross Cash Flow</t>
  </si>
  <si>
    <t xml:space="preserve">Admin Cost Savings</t>
  </si>
  <si>
    <t xml:space="preserve">  Total Cash Flow</t>
  </si>
  <si>
    <t xml:space="preserve">  GP %</t>
  </si>
  <si>
    <t xml:space="preserve">  GP Promote</t>
  </si>
  <si>
    <t xml:space="preserve">    Cash to Units</t>
  </si>
  <si>
    <t xml:space="preserve">Per Unit</t>
  </si>
  <si>
    <t xml:space="preserve">Earnings</t>
  </si>
  <si>
    <t xml:space="preserve">  Total Earnings</t>
  </si>
  <si>
    <t xml:space="preserve">    Earnings to Units</t>
  </si>
  <si>
    <t xml:space="preserve">Units Outstanding</t>
  </si>
  <si>
    <t xml:space="preserve">Calculation of GP Promote</t>
  </si>
  <si>
    <t xml:space="preserve">LP Units Outstanding</t>
  </si>
  <si>
    <t xml:space="preserve">GP Equivalent Units</t>
  </si>
  <si>
    <t xml:space="preserve">Distributable Cash</t>
  </si>
  <si>
    <t xml:space="preserve">Payout - Level 1</t>
  </si>
  <si>
    <t xml:space="preserve">           - Level 2</t>
  </si>
  <si>
    <t xml:space="preserve">           - Level 3</t>
  </si>
  <si>
    <t xml:space="preserve">           - Level 4</t>
  </si>
  <si>
    <t xml:space="preserve">To GP - Level 1</t>
  </si>
  <si>
    <t xml:space="preserve">          - Level 2</t>
  </si>
  <si>
    <t xml:space="preserve">          - Level 3</t>
  </si>
  <si>
    <t xml:space="preserve">          - Level 4</t>
  </si>
  <si>
    <t xml:space="preserve">  Total to GP</t>
  </si>
  <si>
    <t xml:space="preserve">  Total to LP</t>
  </si>
  <si>
    <t xml:space="preserve">Target Distribution</t>
  </si>
  <si>
    <t xml:space="preserve">Cash</t>
  </si>
  <si>
    <t xml:space="preserve">17.5% GP interest in</t>
  </si>
  <si>
    <t xml:space="preserve">       32.5% GP interest in</t>
  </si>
  <si>
    <t xml:space="preserve"> Common Units</t>
  </si>
  <si>
    <t xml:space="preserve">  Sub Units</t>
  </si>
  <si>
    <t xml:space="preserve">GP Interest </t>
  </si>
  <si>
    <t xml:space="preserve">   Common Units</t>
  </si>
  <si>
    <t xml:space="preserve">=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</si>
</sst>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.00"/>
    <numFmt numFmtId="167" formatCode="_(\$* #,##0.00_);_(\$* \(#,##0.00\);_(\$* \-??_);_(@_)"/>
    <numFmt numFmtId="168" formatCode="0%"/>
    <numFmt numFmtId="169" formatCode="0.00%"/>
    <numFmt numFmtId="170" formatCode="_(* #,##0.00_);_(* \(#,##0.00\);_(* \-??_);_(@_)"/>
    <numFmt numFmtId="171" formatCode="_(* #,##0.0_);_(* \(#,##0.0\);_(* \-??_);_(@_)"/>
    <numFmt numFmtId="172" formatCode="_(\$* #,##0.0_);_(\$* \(#,##0.0\);_(\$* \-??_);_(@_)"/>
    <numFmt numFmtId="173" formatCode="0.0"/>
    <numFmt numFmtId="174" formatCode="[$-409]#,##0.00_);\(#,##0.00\)"/>
    <numFmt numFmtId="175" formatCode="#,##0.000_);\(#,##0.000\)"/>
    <numFmt numFmtId="176" formatCode="_(\$* #,##0.000_);_(\$* \(#,##0.000\);_(\$* \-??_);_(@_)"/>
    <numFmt numFmtId="177" formatCode="_(\$* #,##0.0000_);_(\$* \(#,##0.0000\);_(\$* \-??_);_(@_)"/>
    <numFmt numFmtId="178" formatCode="_(* #,##0.000_);_(* \(#,##0.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3300"/>
        <bgColor rgb="FF993366"/>
      </patternFill>
    </fill>
    <fill>
      <patternFill patternType="solid">
        <fgColor rgb="FF000080"/>
        <bgColor rgb="FF000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40320</xdr:colOff>
      <xdr:row>9</xdr:row>
      <xdr:rowOff>-360</xdr:rowOff>
    </xdr:from>
    <xdr:to>
      <xdr:col>6</xdr:col>
      <xdr:colOff>664200</xdr:colOff>
      <xdr:row>9</xdr:row>
      <xdr:rowOff>9360</xdr:rowOff>
    </xdr:to>
    <xdr:sp>
      <xdr:nvSpPr>
        <xdr:cNvPr id="0" name="Line 1"/>
        <xdr:cNvSpPr/>
      </xdr:nvSpPr>
      <xdr:spPr>
        <a:xfrm flipV="1">
          <a:off x="1670400" y="1847520"/>
          <a:ext cx="3843360" cy="972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30240</xdr:colOff>
      <xdr:row>10</xdr:row>
      <xdr:rowOff>0</xdr:rowOff>
    </xdr:from>
    <xdr:to>
      <xdr:col>6</xdr:col>
      <xdr:colOff>724680</xdr:colOff>
      <xdr:row>10</xdr:row>
      <xdr:rowOff>0</xdr:rowOff>
    </xdr:to>
    <xdr:sp>
      <xdr:nvSpPr>
        <xdr:cNvPr id="1" name="Line 4"/>
        <xdr:cNvSpPr/>
      </xdr:nvSpPr>
      <xdr:spPr>
        <a:xfrm flipH="1">
          <a:off x="1660320" y="2057400"/>
          <a:ext cx="3913920" cy="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1136880</xdr:colOff>
      <xdr:row>2</xdr:row>
      <xdr:rowOff>56880</xdr:rowOff>
    </xdr:from>
    <xdr:to>
      <xdr:col>7</xdr:col>
      <xdr:colOff>1138320</xdr:colOff>
      <xdr:row>8</xdr:row>
      <xdr:rowOff>104400</xdr:rowOff>
    </xdr:to>
    <xdr:sp>
      <xdr:nvSpPr>
        <xdr:cNvPr id="2" name="Line 5"/>
        <xdr:cNvSpPr/>
      </xdr:nvSpPr>
      <xdr:spPr>
        <a:xfrm flipH="1">
          <a:off x="6801120" y="437760"/>
          <a:ext cx="1440" cy="134316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50400</xdr:colOff>
      <xdr:row>2</xdr:row>
      <xdr:rowOff>66600</xdr:rowOff>
    </xdr:from>
    <xdr:to>
      <xdr:col>7</xdr:col>
      <xdr:colOff>61920</xdr:colOff>
      <xdr:row>8</xdr:row>
      <xdr:rowOff>95040</xdr:rowOff>
    </xdr:to>
    <xdr:sp>
      <xdr:nvSpPr>
        <xdr:cNvPr id="3" name="Line 6"/>
        <xdr:cNvSpPr/>
      </xdr:nvSpPr>
      <xdr:spPr>
        <a:xfrm flipH="1" flipV="1">
          <a:off x="5714640" y="447480"/>
          <a:ext cx="11520" cy="132408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90360</xdr:colOff>
      <xdr:row>24</xdr:row>
      <xdr:rowOff>199800</xdr:rowOff>
    </xdr:from>
    <xdr:to>
      <xdr:col>6</xdr:col>
      <xdr:colOff>715320</xdr:colOff>
      <xdr:row>24</xdr:row>
      <xdr:rowOff>199800</xdr:rowOff>
    </xdr:to>
    <xdr:sp>
      <xdr:nvSpPr>
        <xdr:cNvPr id="4" name="Line 7"/>
        <xdr:cNvSpPr/>
      </xdr:nvSpPr>
      <xdr:spPr>
        <a:xfrm>
          <a:off x="1720440" y="4876560"/>
          <a:ext cx="3844440" cy="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120240</xdr:colOff>
      <xdr:row>24</xdr:row>
      <xdr:rowOff>9720</xdr:rowOff>
    </xdr:from>
    <xdr:to>
      <xdr:col>6</xdr:col>
      <xdr:colOff>784800</xdr:colOff>
      <xdr:row>24</xdr:row>
      <xdr:rowOff>9720</xdr:rowOff>
    </xdr:to>
    <xdr:sp>
      <xdr:nvSpPr>
        <xdr:cNvPr id="5" name="Line 8"/>
        <xdr:cNvSpPr/>
      </xdr:nvSpPr>
      <xdr:spPr>
        <a:xfrm flipH="1">
          <a:off x="1750320" y="4686480"/>
          <a:ext cx="3884040" cy="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20520</xdr:colOff>
      <xdr:row>10</xdr:row>
      <xdr:rowOff>66240</xdr:rowOff>
    </xdr:from>
    <xdr:to>
      <xdr:col>7</xdr:col>
      <xdr:colOff>21960</xdr:colOff>
      <xdr:row>23</xdr:row>
      <xdr:rowOff>76320</xdr:rowOff>
    </xdr:to>
    <xdr:sp>
      <xdr:nvSpPr>
        <xdr:cNvPr id="6" name="Line 9"/>
        <xdr:cNvSpPr/>
      </xdr:nvSpPr>
      <xdr:spPr>
        <a:xfrm flipV="1">
          <a:off x="5684760" y="2123640"/>
          <a:ext cx="1440" cy="245808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1126800</xdr:colOff>
      <xdr:row>10</xdr:row>
      <xdr:rowOff>86040</xdr:rowOff>
    </xdr:from>
    <xdr:to>
      <xdr:col>7</xdr:col>
      <xdr:colOff>1138320</xdr:colOff>
      <xdr:row>23</xdr:row>
      <xdr:rowOff>95040</xdr:rowOff>
    </xdr:to>
    <xdr:sp>
      <xdr:nvSpPr>
        <xdr:cNvPr id="7" name="Line 10"/>
        <xdr:cNvSpPr/>
      </xdr:nvSpPr>
      <xdr:spPr>
        <a:xfrm>
          <a:off x="6791040" y="2143440"/>
          <a:ext cx="11520" cy="245700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3.85"/>
    <col collapsed="false" customWidth="true" hidden="false" outlineLevel="0" max="3" min="3" style="0" width="23.7"/>
  </cols>
  <sheetData>
    <row r="2" customFormat="false" ht="12.75" hidden="false" customHeight="false" outlineLevel="0" collapsed="false">
      <c r="C2" s="0" t="s">
        <v>0</v>
      </c>
    </row>
    <row r="3" customFormat="false" ht="12.75" hidden="false" customHeight="false" outlineLevel="0" collapsed="false">
      <c r="A3" s="0" t="n">
        <v>0</v>
      </c>
      <c r="B3" s="0" t="n">
        <v>1</v>
      </c>
      <c r="C3" s="1" t="n">
        <v>1</v>
      </c>
    </row>
    <row r="4" customFormat="false" ht="12.75" hidden="false" customHeight="false" outlineLevel="0" collapsed="false">
      <c r="A4" s="0" t="s">
        <v>1</v>
      </c>
      <c r="B4" s="0" t="s">
        <v>2</v>
      </c>
      <c r="C4" s="0" t="str">
        <f aca="false">IF($C$3=0,+A4,B4)</f>
        <v>Boulder</v>
      </c>
    </row>
    <row r="5" customFormat="false" ht="12.75" hidden="false" customHeight="false" outlineLevel="0" collapsed="false">
      <c r="A5" s="0" t="s">
        <v>3</v>
      </c>
      <c r="B5" s="0" t="s">
        <v>4</v>
      </c>
      <c r="C5" s="0" t="s">
        <v>4</v>
      </c>
    </row>
    <row r="6" customFormat="false" ht="12.75" hidden="false" customHeight="false" outlineLevel="0" collapsed="false">
      <c r="A6" s="0" t="s">
        <v>5</v>
      </c>
      <c r="B6" s="0" t="s">
        <v>6</v>
      </c>
      <c r="C6" s="0" t="s">
        <v>6</v>
      </c>
    </row>
    <row r="7" customFormat="false" ht="12.75" hidden="false" customHeight="false" outlineLevel="0" collapsed="false">
      <c r="A7" s="0" t="s">
        <v>7</v>
      </c>
      <c r="B7" s="0" t="s">
        <v>8</v>
      </c>
      <c r="C7" s="0" t="s">
        <v>8</v>
      </c>
    </row>
    <row r="8" customFormat="false" ht="12.75" hidden="false" customHeight="false" outlineLevel="0" collapsed="false">
      <c r="A8" s="0" t="s">
        <v>9</v>
      </c>
      <c r="B8" s="0" t="s">
        <v>10</v>
      </c>
      <c r="C8" s="0" t="s">
        <v>10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0" t="s">
        <v>12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14</v>
      </c>
    </row>
    <row r="11" customFormat="false" ht="12.75" hidden="false" customHeight="false" outlineLevel="0" collapsed="false">
      <c r="A11" s="2" t="s">
        <v>15</v>
      </c>
      <c r="B11" s="0" t="s">
        <v>16</v>
      </c>
      <c r="C11" s="0" t="s">
        <v>16</v>
      </c>
    </row>
    <row r="12" customFormat="false" ht="12.75" hidden="false" customHeight="false" outlineLevel="0" collapsed="false">
      <c r="A12" s="2" t="s">
        <v>17</v>
      </c>
      <c r="B12" s="0" t="s">
        <v>18</v>
      </c>
      <c r="C12" s="0" t="s">
        <v>18</v>
      </c>
    </row>
    <row r="13" customFormat="false" ht="12.75" hidden="false" customHeight="false" outlineLevel="0" collapsed="false">
      <c r="A13" s="2" t="s">
        <v>19</v>
      </c>
      <c r="B13" s="0" t="s">
        <v>20</v>
      </c>
      <c r="C13" s="0" t="s">
        <v>20</v>
      </c>
    </row>
    <row r="14" customFormat="false" ht="12.75" hidden="false" customHeight="false" outlineLevel="0" collapsed="false">
      <c r="A14" s="2" t="s">
        <v>21</v>
      </c>
      <c r="B14" s="0" t="s">
        <v>22</v>
      </c>
      <c r="C14" s="0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61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" activeCellId="0" sqref="M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15.56"/>
    <col collapsed="false" customWidth="true" hidden="false" outlineLevel="0" max="3" min="3" style="0" width="10.41"/>
    <col collapsed="false" customWidth="true" hidden="false" outlineLevel="0" max="4" min="4" style="0" width="2.42"/>
    <col collapsed="false" customWidth="true" hidden="false" outlineLevel="0" max="5" min="5" style="0" width="15.28"/>
    <col collapsed="false" customWidth="true" hidden="false" outlineLevel="0" max="6" min="6" style="0" width="13.7"/>
    <col collapsed="false" customWidth="true" hidden="false" outlineLevel="0" max="7" min="7" style="0" width="2.28"/>
    <col collapsed="false" customWidth="true" hidden="false" outlineLevel="0" max="8" min="8" style="0" width="11.99"/>
    <col collapsed="false" customWidth="true" hidden="false" outlineLevel="0" max="9" min="9" style="0" width="12.14"/>
    <col collapsed="false" customWidth="true" hidden="false" outlineLevel="0" max="11" min="10" style="0" width="2.28"/>
    <col collapsed="false" customWidth="true" hidden="false" outlineLevel="0" max="12" min="12" style="0" width="1.85"/>
    <col collapsed="false" customWidth="true" hidden="false" outlineLevel="0" max="13" min="13" style="0" width="15.56"/>
    <col collapsed="false" customWidth="true" hidden="false" outlineLevel="0" max="14" min="14" style="0" width="10.56"/>
    <col collapsed="false" customWidth="true" hidden="false" outlineLevel="0" max="15" min="15" style="0" width="2.13"/>
    <col collapsed="false" customWidth="true" hidden="false" outlineLevel="0" max="17" min="16" style="0" width="12.42"/>
    <col collapsed="false" customWidth="true" hidden="false" outlineLevel="0" max="18" min="18" style="0" width="2.13"/>
    <col collapsed="false" customWidth="true" hidden="false" outlineLevel="0" max="19" min="19" style="0" width="11.85"/>
    <col collapsed="false" customWidth="true" hidden="false" outlineLevel="0" max="20" min="20" style="0" width="9.7"/>
    <col collapsed="false" customWidth="true" hidden="false" outlineLevel="0" max="21" min="21" style="0" width="2.7"/>
  </cols>
  <sheetData>
    <row r="2" customFormat="false" ht="13.5" hidden="false" customHeight="false" outlineLevel="0" collapsed="false"/>
    <row r="3" customFormat="false" ht="18" hidden="false" customHeight="false" outlineLevel="0" collapsed="false">
      <c r="A3" s="3"/>
      <c r="B3" s="4" t="str">
        <f aca="false">+Key!C4</f>
        <v>Boulder</v>
      </c>
      <c r="C3" s="4"/>
      <c r="D3" s="4"/>
      <c r="E3" s="4"/>
      <c r="F3" s="4"/>
      <c r="G3" s="4"/>
      <c r="H3" s="4"/>
      <c r="I3" s="4"/>
      <c r="J3" s="5"/>
      <c r="L3" s="3"/>
      <c r="M3" s="4" t="str">
        <f aca="false">+Key!C5</f>
        <v>Tempe</v>
      </c>
      <c r="N3" s="4"/>
      <c r="O3" s="4"/>
      <c r="P3" s="4"/>
      <c r="Q3" s="4"/>
      <c r="R3" s="4"/>
      <c r="S3" s="4"/>
      <c r="T3" s="4"/>
      <c r="U3" s="5"/>
    </row>
    <row r="4" customFormat="false" ht="13.5" hidden="false" customHeight="false" outlineLevel="0" collapsed="false">
      <c r="A4" s="6"/>
      <c r="B4" s="2"/>
      <c r="C4" s="2"/>
      <c r="D4" s="2"/>
      <c r="E4" s="2"/>
      <c r="F4" s="2"/>
      <c r="G4" s="2"/>
      <c r="H4" s="2"/>
      <c r="I4" s="2"/>
      <c r="J4" s="7"/>
      <c r="L4" s="6"/>
      <c r="M4" s="2"/>
      <c r="N4" s="2"/>
      <c r="O4" s="2"/>
      <c r="P4" s="2"/>
      <c r="Q4" s="2"/>
      <c r="R4" s="2"/>
      <c r="S4" s="2"/>
      <c r="T4" s="2"/>
      <c r="U4" s="7"/>
    </row>
    <row r="5" customFormat="false" ht="12.75" hidden="false" customHeight="false" outlineLevel="0" collapsed="false">
      <c r="A5" s="6"/>
      <c r="B5" s="8" t="str">
        <f aca="false">+Key!C6</f>
        <v>Norman</v>
      </c>
      <c r="C5" s="8"/>
      <c r="D5" s="2"/>
      <c r="E5" s="8" t="str">
        <f aca="false">+Key!C7</f>
        <v>Austin</v>
      </c>
      <c r="F5" s="8"/>
      <c r="G5" s="2"/>
      <c r="H5" s="8" t="s">
        <v>23</v>
      </c>
      <c r="I5" s="8"/>
      <c r="J5" s="7"/>
      <c r="L5" s="6"/>
      <c r="M5" s="9" t="str">
        <f aca="false">+Key!C8</f>
        <v>Tucson</v>
      </c>
      <c r="N5" s="9"/>
      <c r="O5" s="2"/>
      <c r="P5" s="10" t="s">
        <v>23</v>
      </c>
      <c r="Q5" s="10"/>
      <c r="R5" s="10"/>
      <c r="S5" s="9" t="s">
        <v>24</v>
      </c>
      <c r="T5" s="9"/>
      <c r="U5" s="7"/>
    </row>
    <row r="6" customFormat="false" ht="12.75" hidden="false" customHeight="false" outlineLevel="0" collapsed="false">
      <c r="A6" s="6"/>
      <c r="B6" s="6" t="s">
        <v>25</v>
      </c>
      <c r="C6" s="11" t="n">
        <f aca="false">+I6/0.98*0.02*0.825</f>
        <v>0.700795643877551</v>
      </c>
      <c r="D6" s="12"/>
      <c r="E6" s="6" t="s">
        <v>25</v>
      </c>
      <c r="F6" s="11" t="n">
        <f aca="false">+I6/0.98*0.02*0.175</f>
        <v>0.148653621428571</v>
      </c>
      <c r="G6" s="12"/>
      <c r="H6" s="6" t="s">
        <v>26</v>
      </c>
      <c r="I6" s="13" t="n">
        <v>41.623014</v>
      </c>
      <c r="J6" s="7"/>
      <c r="L6" s="6"/>
      <c r="M6" s="6" t="s">
        <v>25</v>
      </c>
      <c r="N6" s="11" t="n">
        <f aca="false">+(Q6+T6)/0.98*0.02</f>
        <v>0.357142857142857</v>
      </c>
      <c r="O6" s="2"/>
      <c r="P6" s="6" t="s">
        <v>26</v>
      </c>
      <c r="Q6" s="13" t="n">
        <v>14.690694</v>
      </c>
      <c r="R6" s="12"/>
      <c r="S6" s="6" t="s">
        <v>26</v>
      </c>
      <c r="T6" s="13" t="n">
        <v>2.809306</v>
      </c>
      <c r="U6" s="7"/>
    </row>
    <row r="7" customFormat="false" ht="12.75" hidden="false" customHeight="false" outlineLevel="0" collapsed="false">
      <c r="A7" s="6"/>
      <c r="B7" s="6" t="s">
        <v>27</v>
      </c>
      <c r="C7" s="14" t="n">
        <f aca="false">+C8/C9</f>
        <v>121.173548196721</v>
      </c>
      <c r="D7" s="15"/>
      <c r="E7" s="6" t="s">
        <v>27</v>
      </c>
      <c r="F7" s="14" t="n">
        <f aca="false">+F8/F9</f>
        <v>121.173548196721</v>
      </c>
      <c r="G7" s="15"/>
      <c r="H7" s="6" t="s">
        <v>27</v>
      </c>
      <c r="I7" s="16" t="n">
        <v>39.62</v>
      </c>
      <c r="J7" s="7"/>
      <c r="L7" s="6"/>
      <c r="M7" s="6" t="s">
        <v>27</v>
      </c>
      <c r="N7" s="14" t="n">
        <f aca="false">+N8/N9</f>
        <v>26.35</v>
      </c>
      <c r="O7" s="2"/>
      <c r="P7" s="6" t="s">
        <v>27</v>
      </c>
      <c r="Q7" s="16" t="n">
        <v>26.35</v>
      </c>
      <c r="R7" s="15"/>
      <c r="S7" s="6" t="s">
        <v>28</v>
      </c>
      <c r="T7" s="14" t="n">
        <f aca="false">+T8/T9</f>
        <v>23.2828870779977</v>
      </c>
      <c r="U7" s="7"/>
    </row>
    <row r="8" customFormat="false" ht="12.75" hidden="false" customHeight="false" outlineLevel="0" collapsed="false">
      <c r="A8" s="6"/>
      <c r="B8" s="6" t="s">
        <v>29</v>
      </c>
      <c r="C8" s="17" t="n">
        <v>9.3281</v>
      </c>
      <c r="D8" s="18"/>
      <c r="E8" s="6" t="s">
        <v>29</v>
      </c>
      <c r="F8" s="19" t="n">
        <f aca="false">+C8</f>
        <v>9.3281</v>
      </c>
      <c r="G8" s="18"/>
      <c r="H8" s="6" t="s">
        <v>29</v>
      </c>
      <c r="I8" s="17" t="n">
        <v>3.05</v>
      </c>
      <c r="J8" s="7"/>
      <c r="L8" s="6"/>
      <c r="M8" s="6" t="s">
        <v>29</v>
      </c>
      <c r="N8" s="17" t="n">
        <v>2</v>
      </c>
      <c r="O8" s="2"/>
      <c r="P8" s="6" t="s">
        <v>29</v>
      </c>
      <c r="Q8" s="17" t="n">
        <v>2</v>
      </c>
      <c r="R8" s="18"/>
      <c r="S8" s="6" t="s">
        <v>29</v>
      </c>
      <c r="T8" s="17" t="n">
        <v>2</v>
      </c>
      <c r="U8" s="7"/>
    </row>
    <row r="9" customFormat="false" ht="12.75" hidden="false" customHeight="false" outlineLevel="0" collapsed="false">
      <c r="A9" s="6"/>
      <c r="B9" s="6" t="s">
        <v>30</v>
      </c>
      <c r="C9" s="20" t="n">
        <f aca="false">+I9</f>
        <v>0.0769813225643614</v>
      </c>
      <c r="D9" s="21"/>
      <c r="E9" s="6" t="s">
        <v>30</v>
      </c>
      <c r="F9" s="20" t="n">
        <f aca="false">+I9</f>
        <v>0.0769813225643614</v>
      </c>
      <c r="G9" s="21"/>
      <c r="H9" s="6" t="s">
        <v>30</v>
      </c>
      <c r="I9" s="22" t="n">
        <f aca="false">+I8/I7</f>
        <v>0.0769813225643614</v>
      </c>
      <c r="J9" s="7"/>
      <c r="L9" s="6"/>
      <c r="M9" s="6" t="s">
        <v>30</v>
      </c>
      <c r="N9" s="20" t="n">
        <f aca="false">+Q9</f>
        <v>0.0759013282732448</v>
      </c>
      <c r="O9" s="2"/>
      <c r="P9" s="6" t="s">
        <v>30</v>
      </c>
      <c r="Q9" s="22" t="n">
        <f aca="false">+Q8/Q7</f>
        <v>0.0759013282732448</v>
      </c>
      <c r="R9" s="21"/>
      <c r="S9" s="6" t="s">
        <v>30</v>
      </c>
      <c r="T9" s="20" t="n">
        <v>0.0859</v>
      </c>
      <c r="U9" s="7"/>
    </row>
    <row r="10" customFormat="false" ht="12.75" hidden="false" customHeight="false" outlineLevel="0" collapsed="false">
      <c r="A10" s="6"/>
      <c r="B10" s="6" t="s">
        <v>31</v>
      </c>
      <c r="C10" s="17" t="n">
        <f aca="false">8.263*0.825/C6</f>
        <v>9.72747912969493</v>
      </c>
      <c r="D10" s="18"/>
      <c r="E10" s="6" t="s">
        <v>31</v>
      </c>
      <c r="F10" s="19" t="n">
        <f aca="false">+C10</f>
        <v>9.72747912969493</v>
      </c>
      <c r="G10" s="18"/>
      <c r="H10" s="6" t="s">
        <v>31</v>
      </c>
      <c r="I10" s="17" t="n">
        <v>2.91</v>
      </c>
      <c r="J10" s="7"/>
      <c r="L10" s="6"/>
      <c r="M10" s="6" t="s">
        <v>31</v>
      </c>
      <c r="N10" s="19" t="n">
        <f aca="false">+Q10</f>
        <v>2.25</v>
      </c>
      <c r="O10" s="2"/>
      <c r="P10" s="6" t="s">
        <v>31</v>
      </c>
      <c r="Q10" s="17" t="n">
        <v>2.25</v>
      </c>
      <c r="R10" s="18"/>
      <c r="S10" s="6" t="s">
        <v>31</v>
      </c>
      <c r="T10" s="17" t="n">
        <v>2.25</v>
      </c>
      <c r="U10" s="7"/>
    </row>
    <row r="11" customFormat="false" ht="13.5" hidden="false" customHeight="false" outlineLevel="0" collapsed="false">
      <c r="A11" s="6"/>
      <c r="B11" s="23" t="s">
        <v>32</v>
      </c>
      <c r="C11" s="24" t="n">
        <f aca="false">+C7/C10</f>
        <v>12.4568294191263</v>
      </c>
      <c r="D11" s="25"/>
      <c r="E11" s="23" t="s">
        <v>32</v>
      </c>
      <c r="F11" s="24" t="n">
        <f aca="false">+F7/F10</f>
        <v>12.4568294191263</v>
      </c>
      <c r="G11" s="25"/>
      <c r="H11" s="23" t="s">
        <v>32</v>
      </c>
      <c r="I11" s="24" t="n">
        <f aca="false">+I7/I10</f>
        <v>13.6151202749141</v>
      </c>
      <c r="J11" s="7"/>
      <c r="L11" s="6"/>
      <c r="M11" s="23" t="s">
        <v>32</v>
      </c>
      <c r="N11" s="24" t="n">
        <f aca="false">+N7/N10</f>
        <v>11.7111111111111</v>
      </c>
      <c r="O11" s="2"/>
      <c r="P11" s="23" t="s">
        <v>32</v>
      </c>
      <c r="Q11" s="24" t="n">
        <f aca="false">+Q7/Q10</f>
        <v>11.7111111111111</v>
      </c>
      <c r="R11" s="25"/>
      <c r="S11" s="23" t="s">
        <v>32</v>
      </c>
      <c r="T11" s="24" t="n">
        <f aca="false">+T7/T10</f>
        <v>10.3479498124434</v>
      </c>
      <c r="U11" s="7"/>
    </row>
    <row r="12" customFormat="false" ht="12.75" hidden="false" customHeight="false" outlineLevel="0" collapsed="false">
      <c r="A12" s="6"/>
      <c r="B12" s="2"/>
      <c r="C12" s="2"/>
      <c r="D12" s="2"/>
      <c r="E12" s="2"/>
      <c r="F12" s="2"/>
      <c r="G12" s="2"/>
      <c r="H12" s="2"/>
      <c r="I12" s="2"/>
      <c r="J12" s="7"/>
      <c r="L12" s="6"/>
      <c r="M12" s="2"/>
      <c r="N12" s="2"/>
      <c r="O12" s="2"/>
      <c r="P12" s="2"/>
      <c r="Q12" s="2"/>
      <c r="R12" s="2"/>
      <c r="S12" s="2"/>
      <c r="T12" s="2"/>
      <c r="U12" s="7"/>
    </row>
    <row r="13" customFormat="false" ht="12.75" hidden="false" customHeight="false" outlineLevel="0" collapsed="false">
      <c r="A13" s="6"/>
      <c r="B13" s="26" t="s">
        <v>33</v>
      </c>
      <c r="C13" s="26" t="n">
        <f aca="false">+C6*C7</f>
        <v>84.9178947294488</v>
      </c>
      <c r="D13" s="26"/>
      <c r="E13" s="26" t="s">
        <v>33</v>
      </c>
      <c r="F13" s="26" t="n">
        <f aca="false">+F6*F7</f>
        <v>18.0128867607922</v>
      </c>
      <c r="G13" s="26"/>
      <c r="H13" s="26" t="s">
        <v>33</v>
      </c>
      <c r="I13" s="26" t="n">
        <f aca="false">+I6*I7</f>
        <v>1649.10381468</v>
      </c>
      <c r="J13" s="7"/>
      <c r="L13" s="6"/>
      <c r="M13" s="26" t="s">
        <v>33</v>
      </c>
      <c r="N13" s="26" t="n">
        <f aca="false">+N6*N7</f>
        <v>9.41071428571429</v>
      </c>
      <c r="O13" s="26"/>
      <c r="P13" s="26" t="s">
        <v>33</v>
      </c>
      <c r="Q13" s="26" t="n">
        <f aca="false">+Q6*Q7</f>
        <v>387.0997869</v>
      </c>
      <c r="R13" s="26"/>
      <c r="S13" s="26" t="s">
        <v>33</v>
      </c>
      <c r="T13" s="26" t="n">
        <f aca="false">+T6*T7</f>
        <v>65.4087543655413</v>
      </c>
      <c r="U13" s="7"/>
    </row>
    <row r="14" customFormat="false" ht="12.75" hidden="false" customHeight="false" outlineLevel="0" collapsed="false">
      <c r="A14" s="6"/>
      <c r="B14" s="27"/>
      <c r="C14" s="27"/>
      <c r="D14" s="27"/>
      <c r="E14" s="27"/>
      <c r="F14" s="27"/>
      <c r="G14" s="27"/>
      <c r="H14" s="27"/>
      <c r="I14" s="27"/>
      <c r="J14" s="7"/>
      <c r="L14" s="6"/>
      <c r="M14" s="27"/>
      <c r="N14" s="27"/>
      <c r="O14" s="27"/>
      <c r="P14" s="27"/>
      <c r="Q14" s="27"/>
      <c r="R14" s="27"/>
      <c r="S14" s="27"/>
      <c r="T14" s="27"/>
      <c r="U14" s="7"/>
    </row>
    <row r="15" customFormat="false" ht="12.75" hidden="false" customHeight="false" outlineLevel="0" collapsed="false">
      <c r="A15" s="6"/>
      <c r="B15" s="27"/>
      <c r="C15" s="27"/>
      <c r="D15" s="27"/>
      <c r="E15" s="27"/>
      <c r="F15" s="27"/>
      <c r="G15" s="27"/>
      <c r="H15" s="27"/>
      <c r="I15" s="27"/>
      <c r="J15" s="7"/>
      <c r="L15" s="6"/>
      <c r="M15" s="27"/>
      <c r="N15" s="27"/>
      <c r="O15" s="27"/>
      <c r="P15" s="27"/>
      <c r="Q15" s="27"/>
      <c r="R15" s="27"/>
      <c r="S15" s="27"/>
      <c r="T15" s="27"/>
      <c r="U15" s="7"/>
    </row>
    <row r="16" customFormat="false" ht="15.75" hidden="false" customHeight="false" outlineLevel="0" collapsed="false">
      <c r="A16" s="6"/>
      <c r="B16" s="27"/>
      <c r="C16" s="28" t="s">
        <v>34</v>
      </c>
      <c r="D16" s="28"/>
      <c r="E16" s="28"/>
      <c r="F16" s="28" t="n">
        <f aca="false">+C13+F13+I13</f>
        <v>1752.03459617024</v>
      </c>
      <c r="G16" s="27"/>
      <c r="H16" s="27"/>
      <c r="I16" s="27"/>
      <c r="J16" s="7"/>
      <c r="L16" s="6"/>
      <c r="M16" s="27"/>
      <c r="N16" s="28" t="s">
        <v>35</v>
      </c>
      <c r="O16" s="28"/>
      <c r="P16" s="28"/>
      <c r="Q16" s="28" t="n">
        <f aca="false">+N13+Q13+T13</f>
        <v>461.919255551256</v>
      </c>
      <c r="R16" s="27"/>
      <c r="S16" s="27"/>
      <c r="T16" s="27"/>
      <c r="U16" s="7"/>
    </row>
    <row r="17" customFormat="false" ht="13.5" hidden="false" customHeight="false" outlineLevel="0" collapsed="false">
      <c r="A17" s="23"/>
      <c r="B17" s="29"/>
      <c r="C17" s="29"/>
      <c r="D17" s="29"/>
      <c r="E17" s="29"/>
      <c r="F17" s="29"/>
      <c r="G17" s="29"/>
      <c r="H17" s="29"/>
      <c r="I17" s="29"/>
      <c r="J17" s="30"/>
      <c r="L17" s="23"/>
      <c r="M17" s="29"/>
      <c r="N17" s="29"/>
      <c r="O17" s="29"/>
      <c r="P17" s="29"/>
      <c r="Q17" s="29"/>
      <c r="R17" s="29"/>
      <c r="S17" s="29"/>
      <c r="T17" s="29"/>
      <c r="U17" s="30"/>
    </row>
    <row r="18" customFormat="false" ht="13.5" hidden="false" customHeight="false" outlineLevel="0" collapsed="false"/>
    <row r="19" customFormat="false" ht="12.75" hidden="false" customHeight="false" outlineLevel="0" collapsed="false">
      <c r="F19" s="3"/>
      <c r="G19" s="31"/>
      <c r="H19" s="31"/>
      <c r="I19" s="31"/>
      <c r="J19" s="31"/>
      <c r="K19" s="31"/>
      <c r="L19" s="31"/>
      <c r="M19" s="31"/>
      <c r="N19" s="5"/>
    </row>
    <row r="20" customFormat="false" ht="12.75" hidden="false" customHeight="false" outlineLevel="0" collapsed="false">
      <c r="F20" s="32" t="str">
        <f aca="false">+Key!C9</f>
        <v>Ames</v>
      </c>
      <c r="G20" s="2"/>
      <c r="H20" s="2"/>
      <c r="I20" s="2"/>
      <c r="J20" s="2"/>
      <c r="K20" s="2"/>
      <c r="L20" s="2"/>
      <c r="M20" s="33" t="n">
        <v>1700</v>
      </c>
      <c r="N20" s="7"/>
    </row>
    <row r="21" customFormat="false" ht="12.75" hidden="false" customHeight="false" outlineLevel="0" collapsed="false">
      <c r="F21" s="6"/>
      <c r="G21" s="2"/>
      <c r="H21" s="2"/>
      <c r="I21" s="2"/>
      <c r="J21" s="2"/>
      <c r="K21" s="2"/>
      <c r="L21" s="2"/>
      <c r="M21" s="2"/>
      <c r="N21" s="7"/>
    </row>
    <row r="22" customFormat="false" ht="12.75" hidden="false" customHeight="false" outlineLevel="0" collapsed="false">
      <c r="F22" s="6"/>
      <c r="G22" s="2"/>
      <c r="H22" s="2"/>
      <c r="I22" s="2"/>
      <c r="J22" s="2"/>
      <c r="K22" s="2"/>
      <c r="L22" s="2"/>
      <c r="M22" s="2"/>
      <c r="N22" s="7"/>
    </row>
    <row r="23" customFormat="false" ht="13.5" hidden="false" customHeight="false" outlineLevel="0" collapsed="false">
      <c r="F23" s="23"/>
      <c r="G23" s="29"/>
      <c r="H23" s="29"/>
      <c r="I23" s="29"/>
      <c r="J23" s="29"/>
      <c r="K23" s="29"/>
      <c r="L23" s="29"/>
      <c r="M23" s="29"/>
      <c r="N23" s="30"/>
    </row>
    <row r="24" customFormat="false" ht="13.5" hidden="false" customHeight="false" outlineLevel="0" collapsed="false"/>
    <row r="25" customFormat="false" ht="12.75" hidden="false" customHeight="false" outlineLevel="0" collapsed="false">
      <c r="A25" s="3"/>
      <c r="B25" s="31"/>
      <c r="C25" s="31"/>
      <c r="D25" s="31"/>
      <c r="E25" s="31"/>
      <c r="F25" s="31"/>
      <c r="G25" s="5"/>
      <c r="L25" s="3"/>
      <c r="M25" s="31"/>
      <c r="N25" s="31"/>
      <c r="O25" s="31"/>
      <c r="P25" s="31"/>
      <c r="Q25" s="31"/>
      <c r="R25" s="5"/>
    </row>
    <row r="26" customFormat="false" ht="12.75" hidden="false" customHeight="false" outlineLevel="0" collapsed="false">
      <c r="A26" s="6"/>
      <c r="B26" s="2" t="str">
        <f aca="false">+Key!C9</f>
        <v>Ames</v>
      </c>
      <c r="C26" s="2"/>
      <c r="D26" s="2"/>
      <c r="E26" s="2"/>
      <c r="F26" s="34" t="n">
        <f aca="false">+M20*0.7</f>
        <v>1190</v>
      </c>
      <c r="G26" s="7"/>
      <c r="L26" s="6"/>
      <c r="M26" s="2" t="str">
        <f aca="false">+Key!C9</f>
        <v>Ames</v>
      </c>
      <c r="N26" s="2"/>
      <c r="O26" s="2"/>
      <c r="P26" s="2"/>
      <c r="Q26" s="34" t="n">
        <f aca="false">+M20*0.3</f>
        <v>510</v>
      </c>
      <c r="R26" s="7"/>
    </row>
    <row r="27" customFormat="false" ht="12.75" hidden="false" customHeight="false" outlineLevel="0" collapsed="false">
      <c r="A27" s="6"/>
      <c r="B27" s="2"/>
      <c r="C27" s="2"/>
      <c r="D27" s="2"/>
      <c r="E27" s="2"/>
      <c r="F27" s="25"/>
      <c r="G27" s="7"/>
      <c r="L27" s="6"/>
      <c r="M27" s="2"/>
      <c r="N27" s="2"/>
      <c r="O27" s="2"/>
      <c r="P27" s="2"/>
      <c r="Q27" s="35"/>
      <c r="R27" s="7"/>
    </row>
    <row r="28" customFormat="false" ht="12.75" hidden="false" customHeight="false" outlineLevel="0" collapsed="false">
      <c r="A28" s="6"/>
      <c r="B28" s="2" t="str">
        <f aca="false">+Key!C10</f>
        <v>Stillwater</v>
      </c>
      <c r="C28" s="2"/>
      <c r="D28" s="2"/>
      <c r="E28" s="2"/>
      <c r="F28" s="36" t="n">
        <v>100</v>
      </c>
      <c r="G28" s="7"/>
      <c r="L28" s="6"/>
      <c r="M28" s="2" t="str">
        <f aca="false">+Key!C14</f>
        <v>Manhatten</v>
      </c>
      <c r="N28" s="2"/>
      <c r="O28" s="2"/>
      <c r="P28" s="2"/>
      <c r="Q28" s="36" t="n">
        <v>28</v>
      </c>
      <c r="R28" s="7"/>
    </row>
    <row r="29" customFormat="false" ht="12.75" hidden="false" customHeight="false" outlineLevel="0" collapsed="false">
      <c r="A29" s="6"/>
      <c r="B29" s="2"/>
      <c r="C29" s="2"/>
      <c r="D29" s="2"/>
      <c r="E29" s="2"/>
      <c r="F29" s="25"/>
      <c r="G29" s="7"/>
      <c r="L29" s="6"/>
      <c r="M29" s="2"/>
      <c r="N29" s="2"/>
      <c r="O29" s="2"/>
      <c r="P29" s="2"/>
      <c r="Q29" s="36"/>
      <c r="R29" s="7"/>
    </row>
    <row r="30" customFormat="false" ht="12.75" hidden="false" customHeight="false" outlineLevel="0" collapsed="false">
      <c r="A30" s="6"/>
      <c r="B30" s="2" t="str">
        <f aca="false">+Key!C11</f>
        <v>College Station</v>
      </c>
      <c r="C30" s="2"/>
      <c r="D30" s="2"/>
      <c r="E30" s="2"/>
      <c r="F30" s="36" t="n">
        <f aca="false">370+210</f>
        <v>580</v>
      </c>
      <c r="G30" s="7"/>
      <c r="L30" s="6"/>
      <c r="M30" s="2" t="s">
        <v>36</v>
      </c>
      <c r="N30" s="2"/>
      <c r="O30" s="2"/>
      <c r="P30" s="2"/>
      <c r="Q30" s="36" t="n">
        <f aca="false">1.387-0.352</f>
        <v>1.035</v>
      </c>
      <c r="R30" s="7"/>
    </row>
    <row r="31" customFormat="false" ht="12.75" hidden="false" customHeight="false" outlineLevel="0" collapsed="false">
      <c r="A31" s="6"/>
      <c r="B31" s="2"/>
      <c r="C31" s="2"/>
      <c r="D31" s="2"/>
      <c r="E31" s="2"/>
      <c r="F31" s="25"/>
      <c r="G31" s="7"/>
      <c r="L31" s="6"/>
      <c r="M31" s="2"/>
      <c r="N31" s="2"/>
      <c r="O31" s="2"/>
      <c r="P31" s="2"/>
      <c r="Q31" s="36"/>
      <c r="R31" s="7"/>
    </row>
    <row r="32" customFormat="false" ht="12.75" hidden="false" customHeight="false" outlineLevel="0" collapsed="false">
      <c r="A32" s="6"/>
      <c r="B32" s="2" t="str">
        <f aca="false">+Key!C12</f>
        <v>Ann Arbor</v>
      </c>
      <c r="C32" s="2"/>
      <c r="D32" s="2"/>
      <c r="E32" s="2"/>
      <c r="F32" s="36" t="n">
        <v>47</v>
      </c>
      <c r="G32" s="7"/>
      <c r="L32" s="6"/>
      <c r="M32" s="2" t="s">
        <v>37</v>
      </c>
      <c r="N32" s="2"/>
      <c r="O32" s="2"/>
      <c r="P32" s="2"/>
      <c r="Q32" s="36" t="n">
        <v>-21.5</v>
      </c>
      <c r="R32" s="7"/>
    </row>
    <row r="33" customFormat="false" ht="12.75" hidden="false" customHeight="false" outlineLevel="0" collapsed="false">
      <c r="A33" s="6"/>
      <c r="B33" s="2"/>
      <c r="C33" s="2"/>
      <c r="D33" s="2"/>
      <c r="E33" s="2"/>
      <c r="F33" s="25"/>
      <c r="G33" s="7"/>
      <c r="L33" s="6"/>
      <c r="M33" s="2"/>
      <c r="N33" s="2"/>
      <c r="O33" s="2"/>
      <c r="P33" s="2"/>
      <c r="Q33" s="36"/>
      <c r="R33" s="7"/>
    </row>
    <row r="34" customFormat="false" ht="12.75" hidden="false" customHeight="false" outlineLevel="0" collapsed="false">
      <c r="A34" s="6"/>
      <c r="B34" s="2" t="str">
        <f aca="false">+Key!C13</f>
        <v>South Bend</v>
      </c>
      <c r="C34" s="2"/>
      <c r="D34" s="2"/>
      <c r="E34" s="2"/>
      <c r="F34" s="36" t="n">
        <v>25</v>
      </c>
      <c r="G34" s="7"/>
      <c r="L34" s="6"/>
      <c r="M34" s="2"/>
      <c r="N34" s="2"/>
      <c r="O34" s="2"/>
      <c r="P34" s="2"/>
      <c r="Q34" s="36"/>
      <c r="R34" s="7"/>
    </row>
    <row r="35" customFormat="false" ht="12.75" hidden="false" customHeight="false" outlineLevel="0" collapsed="false">
      <c r="A35" s="6"/>
      <c r="B35" s="2"/>
      <c r="C35" s="2"/>
      <c r="D35" s="2"/>
      <c r="E35" s="2"/>
      <c r="F35" s="36"/>
      <c r="G35" s="7"/>
      <c r="L35" s="6"/>
      <c r="M35" s="2"/>
      <c r="N35" s="2"/>
      <c r="O35" s="2"/>
      <c r="P35" s="2"/>
      <c r="Q35" s="36"/>
      <c r="R35" s="7"/>
    </row>
    <row r="36" customFormat="false" ht="12.75" hidden="false" customHeight="false" outlineLevel="0" collapsed="false">
      <c r="A36" s="6"/>
      <c r="B36" s="2" t="s">
        <v>36</v>
      </c>
      <c r="C36" s="2"/>
      <c r="D36" s="2"/>
      <c r="E36" s="2"/>
      <c r="F36" s="36" t="n">
        <f aca="false">3.567+0.307+0.066-0.763+0.107-0.421-0.532-1.394-0.04-5.391</f>
        <v>-4.494</v>
      </c>
      <c r="G36" s="7"/>
      <c r="L36" s="6"/>
      <c r="M36" s="2"/>
      <c r="N36" s="2"/>
      <c r="O36" s="2"/>
      <c r="P36" s="2"/>
      <c r="Q36" s="36"/>
      <c r="R36" s="7"/>
    </row>
    <row r="37" customFormat="false" ht="12.75" hidden="false" customHeight="false" outlineLevel="0" collapsed="false">
      <c r="A37" s="6"/>
      <c r="B37" s="2"/>
      <c r="C37" s="2"/>
      <c r="D37" s="2"/>
      <c r="E37" s="2"/>
      <c r="F37" s="36"/>
      <c r="G37" s="7"/>
      <c r="L37" s="6"/>
      <c r="M37" s="2"/>
      <c r="N37" s="2"/>
      <c r="O37" s="2"/>
      <c r="P37" s="2"/>
      <c r="Q37" s="36"/>
      <c r="R37" s="7"/>
    </row>
    <row r="38" customFormat="false" ht="12.75" hidden="false" customHeight="false" outlineLevel="0" collapsed="false">
      <c r="A38" s="6"/>
      <c r="B38" s="2" t="s">
        <v>37</v>
      </c>
      <c r="C38" s="2"/>
      <c r="D38" s="2"/>
      <c r="E38" s="2"/>
      <c r="F38" s="36" t="n">
        <v>-507</v>
      </c>
      <c r="G38" s="7"/>
      <c r="L38" s="6"/>
      <c r="M38" s="2"/>
      <c r="N38" s="2"/>
      <c r="O38" s="2"/>
      <c r="P38" s="2"/>
      <c r="Q38" s="36"/>
      <c r="R38" s="7"/>
    </row>
    <row r="39" customFormat="false" ht="12.75" hidden="false" customHeight="false" outlineLevel="0" collapsed="false">
      <c r="A39" s="6"/>
      <c r="B39" s="2"/>
      <c r="C39" s="2"/>
      <c r="D39" s="2"/>
      <c r="E39" s="2"/>
      <c r="F39" s="25"/>
      <c r="G39" s="7"/>
      <c r="L39" s="6"/>
      <c r="M39" s="2"/>
      <c r="N39" s="2"/>
      <c r="O39" s="2"/>
      <c r="P39" s="2"/>
      <c r="Q39" s="25"/>
      <c r="R39" s="7"/>
    </row>
    <row r="40" customFormat="false" ht="12.75" hidden="false" customHeight="false" outlineLevel="0" collapsed="false">
      <c r="A40" s="6"/>
      <c r="B40" s="2" t="s">
        <v>38</v>
      </c>
      <c r="C40" s="2"/>
      <c r="D40" s="2"/>
      <c r="E40" s="2"/>
      <c r="F40" s="37" t="n">
        <f aca="false">+F42-SUM(F26:F39)</f>
        <v>321.528596170241</v>
      </c>
      <c r="G40" s="7"/>
      <c r="L40" s="6"/>
      <c r="M40" s="2" t="s">
        <v>38</v>
      </c>
      <c r="N40" s="2"/>
      <c r="O40" s="2"/>
      <c r="P40" s="2"/>
      <c r="Q40" s="37" t="n">
        <f aca="false">+Q42-SUM(Q26:Q39)</f>
        <v>-55.6157444487444</v>
      </c>
      <c r="R40" s="7"/>
    </row>
    <row r="41" customFormat="false" ht="12.75" hidden="false" customHeight="false" outlineLevel="0" collapsed="false">
      <c r="A41" s="6"/>
      <c r="B41" s="2"/>
      <c r="C41" s="2"/>
      <c r="D41" s="2"/>
      <c r="E41" s="2"/>
      <c r="F41" s="25"/>
      <c r="G41" s="7"/>
      <c r="L41" s="6"/>
      <c r="M41" s="2"/>
      <c r="N41" s="2"/>
      <c r="O41" s="2"/>
      <c r="P41" s="2"/>
      <c r="Q41" s="25"/>
      <c r="R41" s="7"/>
    </row>
    <row r="42" customFormat="false" ht="13.5" hidden="false" customHeight="false" outlineLevel="0" collapsed="false">
      <c r="A42" s="6"/>
      <c r="B42" s="2" t="s">
        <v>39</v>
      </c>
      <c r="C42" s="2"/>
      <c r="D42" s="2"/>
      <c r="E42" s="2"/>
      <c r="F42" s="38" t="n">
        <f aca="false">+F16</f>
        <v>1752.03459617024</v>
      </c>
      <c r="G42" s="7"/>
      <c r="L42" s="6"/>
      <c r="M42" s="2" t="s">
        <v>39</v>
      </c>
      <c r="N42" s="2"/>
      <c r="O42" s="2"/>
      <c r="P42" s="2"/>
      <c r="Q42" s="38" t="n">
        <f aca="false">+Q16</f>
        <v>461.919255551256</v>
      </c>
      <c r="R42" s="7"/>
    </row>
    <row r="43" customFormat="false" ht="14.25" hidden="false" customHeight="false" outlineLevel="0" collapsed="false">
      <c r="A43" s="23"/>
      <c r="B43" s="29"/>
      <c r="C43" s="29"/>
      <c r="D43" s="29"/>
      <c r="E43" s="29"/>
      <c r="F43" s="29"/>
      <c r="G43" s="30"/>
      <c r="L43" s="23"/>
      <c r="M43" s="29"/>
      <c r="N43" s="29"/>
      <c r="O43" s="29"/>
      <c r="P43" s="29"/>
      <c r="Q43" s="29"/>
      <c r="R43" s="30"/>
    </row>
    <row r="46" customFormat="false" ht="13.5" hidden="false" customHeight="false" outlineLevel="0" collapsed="false"/>
    <row r="47" customFormat="false" ht="12.75" hidden="false" customHeight="false" outlineLevel="0" collapsed="false">
      <c r="A47" s="3"/>
      <c r="B47" s="31"/>
      <c r="C47" s="31"/>
      <c r="D47" s="31"/>
      <c r="E47" s="5"/>
      <c r="L47" s="3"/>
      <c r="M47" s="31"/>
      <c r="N47" s="31"/>
      <c r="O47" s="31"/>
      <c r="P47" s="5"/>
    </row>
    <row r="48" customFormat="false" ht="12.75" hidden="false" customHeight="false" outlineLevel="0" collapsed="false">
      <c r="A48" s="6"/>
      <c r="B48" s="39" t="s">
        <v>40</v>
      </c>
      <c r="C48" s="2"/>
      <c r="D48" s="2"/>
      <c r="E48" s="40" t="s">
        <v>41</v>
      </c>
      <c r="L48" s="6"/>
      <c r="M48" s="39" t="s">
        <v>40</v>
      </c>
      <c r="N48" s="2"/>
      <c r="O48" s="2"/>
      <c r="P48" s="40" t="s">
        <v>41</v>
      </c>
    </row>
    <row r="49" customFormat="false" ht="12.75" hidden="false" customHeight="false" outlineLevel="0" collapsed="false">
      <c r="A49" s="6"/>
      <c r="B49" s="2"/>
      <c r="C49" s="2"/>
      <c r="D49" s="2"/>
      <c r="E49" s="7"/>
      <c r="L49" s="6"/>
      <c r="M49" s="2"/>
      <c r="N49" s="2"/>
      <c r="O49" s="2"/>
      <c r="P49" s="7"/>
    </row>
    <row r="50" customFormat="false" ht="12.75" hidden="false" customHeight="false" outlineLevel="0" collapsed="false">
      <c r="A50" s="6"/>
      <c r="B50" s="2" t="n">
        <v>250</v>
      </c>
      <c r="C50" s="21" t="n">
        <f aca="false">+C$55+(B50/10000)</f>
        <v>0.101981322564361</v>
      </c>
      <c r="D50" s="2"/>
      <c r="E50" s="41" t="n">
        <f aca="false">+$C$8/C50*($C$6+$F$6)</f>
        <v>77.6980283492723</v>
      </c>
      <c r="L50" s="6"/>
      <c r="M50" s="2" t="n">
        <v>250</v>
      </c>
      <c r="N50" s="21" t="n">
        <f aca="false">+N$55+(M50/10000)</f>
        <v>0.100901328273245</v>
      </c>
      <c r="O50" s="2"/>
      <c r="P50" s="41" t="n">
        <f aca="false">+$N$8/N50*$N$6</f>
        <v>7.07905164886829</v>
      </c>
    </row>
    <row r="51" customFormat="false" ht="12.75" hidden="false" customHeight="false" outlineLevel="0" collapsed="false">
      <c r="A51" s="6"/>
      <c r="B51" s="2" t="n">
        <v>200</v>
      </c>
      <c r="C51" s="21" t="n">
        <f aca="false">+C$55+(B51/10000)</f>
        <v>0.0969813225643614</v>
      </c>
      <c r="D51" s="2"/>
      <c r="E51" s="42" t="n">
        <f aca="false">+$C$8/C51*($C$6+$F$6)</f>
        <v>81.7038526819787</v>
      </c>
      <c r="L51" s="6"/>
      <c r="M51" s="2" t="n">
        <v>200</v>
      </c>
      <c r="N51" s="21" t="n">
        <f aca="false">+N$55+(M51/10000)</f>
        <v>0.0959013282732448</v>
      </c>
      <c r="O51" s="2"/>
      <c r="P51" s="43" t="n">
        <f aca="false">+$N$8/N51*$N$6</f>
        <v>7.44813160721352</v>
      </c>
    </row>
    <row r="52" customFormat="false" ht="12.75" hidden="false" customHeight="false" outlineLevel="0" collapsed="false">
      <c r="A52" s="6"/>
      <c r="B52" s="2" t="n">
        <v>150</v>
      </c>
      <c r="C52" s="21" t="n">
        <f aca="false">+C$55+(B52/10000)</f>
        <v>0.0919813225643614</v>
      </c>
      <c r="D52" s="2"/>
      <c r="E52" s="42" t="n">
        <f aca="false">+$C$8/C52*($C$6+$F$6)</f>
        <v>86.1451811171514</v>
      </c>
      <c r="L52" s="6"/>
      <c r="M52" s="2" t="n">
        <v>150</v>
      </c>
      <c r="N52" s="21" t="n">
        <f aca="false">+N$55+(M52/10000)</f>
        <v>0.0909013282732448</v>
      </c>
      <c r="O52" s="2"/>
      <c r="P52" s="43" t="n">
        <f aca="false">+$N$8/N52*$N$6</f>
        <v>7.85781382796308</v>
      </c>
    </row>
    <row r="53" customFormat="false" ht="12.75" hidden="false" customHeight="false" outlineLevel="0" collapsed="false">
      <c r="A53" s="6"/>
      <c r="B53" s="2" t="n">
        <v>100</v>
      </c>
      <c r="C53" s="21" t="n">
        <f aca="false">+C$55+(B53/10000)</f>
        <v>0.0869813225643614</v>
      </c>
      <c r="D53" s="2"/>
      <c r="E53" s="42" t="n">
        <f aca="false">+$C$8/C53*($C$6+$F$6)</f>
        <v>91.0971166923669</v>
      </c>
      <c r="L53" s="6"/>
      <c r="M53" s="2" t="n">
        <v>100</v>
      </c>
      <c r="N53" s="21" t="n">
        <f aca="false">+N$55+(M53/10000)</f>
        <v>0.0859013282732448</v>
      </c>
      <c r="O53" s="2"/>
      <c r="P53" s="43" t="n">
        <f aca="false">+$N$8/N53*$N$6</f>
        <v>8.31518823566537</v>
      </c>
    </row>
    <row r="54" customFormat="false" ht="12.75" hidden="false" customHeight="false" outlineLevel="0" collapsed="false">
      <c r="A54" s="6"/>
      <c r="B54" s="2" t="n">
        <v>50</v>
      </c>
      <c r="C54" s="21" t="n">
        <f aca="false">+C$55+(B54/10000)</f>
        <v>0.0819813225643614</v>
      </c>
      <c r="D54" s="2"/>
      <c r="E54" s="42" t="n">
        <f aca="false">+$C$8/C54*($C$6+$F$6)</f>
        <v>96.6530844325097</v>
      </c>
      <c r="L54" s="6"/>
      <c r="M54" s="2" t="n">
        <v>50</v>
      </c>
      <c r="N54" s="21" t="n">
        <f aca="false">+N$55+(M54/10000)</f>
        <v>0.0809013282732448</v>
      </c>
      <c r="O54" s="2"/>
      <c r="P54" s="43" t="n">
        <f aca="false">+$N$8/N54*$N$6</f>
        <v>8.8290974886495</v>
      </c>
    </row>
    <row r="55" customFormat="false" ht="12.75" hidden="false" customHeight="false" outlineLevel="0" collapsed="false">
      <c r="A55" s="6"/>
      <c r="B55" s="2" t="n">
        <v>0</v>
      </c>
      <c r="C55" s="44" t="n">
        <f aca="false">+I9</f>
        <v>0.0769813225643614</v>
      </c>
      <c r="D55" s="2"/>
      <c r="E55" s="42" t="n">
        <f aca="false">+$C$8/C55*($C$6+$F$6)</f>
        <v>102.930781490241</v>
      </c>
      <c r="L55" s="6"/>
      <c r="M55" s="2" t="n">
        <v>0</v>
      </c>
      <c r="N55" s="44" t="n">
        <f aca="false">+Q9</f>
        <v>0.0759013282732448</v>
      </c>
      <c r="O55" s="2"/>
      <c r="P55" s="43" t="n">
        <f aca="false">+$N$8/N55*$N$6</f>
        <v>9.41071428571429</v>
      </c>
    </row>
    <row r="56" customFormat="false" ht="12.75" hidden="false" customHeight="false" outlineLevel="0" collapsed="false">
      <c r="A56" s="6"/>
      <c r="B56" s="2" t="n">
        <v>-50</v>
      </c>
      <c r="C56" s="21" t="n">
        <f aca="false">+C$55+(B56/10000)</f>
        <v>0.0719813225643614</v>
      </c>
      <c r="D56" s="2"/>
      <c r="E56" s="42" t="n">
        <f aca="false">+$C$8/C56*($C$6+$F$6)</f>
        <v>110.080607154962</v>
      </c>
      <c r="L56" s="6"/>
      <c r="M56" s="2" t="n">
        <v>-50</v>
      </c>
      <c r="N56" s="21" t="n">
        <f aca="false">+N$55+(M56/10000)</f>
        <v>0.0709013282732448</v>
      </c>
      <c r="O56" s="2"/>
      <c r="P56" s="43" t="n">
        <f aca="false">+$N$8/N56*$N$6</f>
        <v>10.0743629446961</v>
      </c>
    </row>
    <row r="57" customFormat="false" ht="12.75" hidden="false" customHeight="false" outlineLevel="0" collapsed="false">
      <c r="A57" s="6"/>
      <c r="B57" s="2" t="n">
        <v>-100</v>
      </c>
      <c r="C57" s="21" t="n">
        <f aca="false">+C$55+(B57/10000)</f>
        <v>0.0669813225643614</v>
      </c>
      <c r="D57" s="2"/>
      <c r="E57" s="42" t="n">
        <f aca="false">+$C$8/C57*($C$6+$F$6)</f>
        <v>118.297868545194</v>
      </c>
      <c r="L57" s="6"/>
      <c r="M57" s="2" t="n">
        <v>-100</v>
      </c>
      <c r="N57" s="21" t="n">
        <f aca="false">+N$55+(M57/10000)</f>
        <v>0.0659013282732448</v>
      </c>
      <c r="O57" s="2"/>
      <c r="P57" s="43" t="n">
        <f aca="false">+$N$8/N57*$N$6</f>
        <v>10.8387149849862</v>
      </c>
    </row>
    <row r="58" customFormat="false" ht="12.75" hidden="false" customHeight="false" outlineLevel="0" collapsed="false">
      <c r="A58" s="6"/>
      <c r="B58" s="2" t="n">
        <v>-150</v>
      </c>
      <c r="C58" s="21" t="n">
        <f aca="false">+C$55+(B58/10000)</f>
        <v>0.0619813225643614</v>
      </c>
      <c r="D58" s="2"/>
      <c r="E58" s="42" t="n">
        <f aca="false">+$C$8/C58*($C$6+$F$6)</f>
        <v>127.840894060852</v>
      </c>
      <c r="L58" s="6"/>
      <c r="M58" s="2" t="n">
        <v>-150</v>
      </c>
      <c r="N58" s="21" t="n">
        <f aca="false">+N$55+(M58/10000)</f>
        <v>0.0609013282732448</v>
      </c>
      <c r="O58" s="2"/>
      <c r="P58" s="43" t="n">
        <f aca="false">+$N$8/N58*$N$6</f>
        <v>11.7285736541072</v>
      </c>
    </row>
    <row r="59" customFormat="false" ht="12.75" hidden="false" customHeight="false" outlineLevel="0" collapsed="false">
      <c r="A59" s="6"/>
      <c r="B59" s="2" t="n">
        <v>-200</v>
      </c>
      <c r="C59" s="21" t="n">
        <f aca="false">+C$55+(B59/10000)</f>
        <v>0.0569813225643614</v>
      </c>
      <c r="D59" s="2"/>
      <c r="E59" s="42" t="n">
        <f aca="false">+$C$8/C59*($C$6+$F$6)</f>
        <v>139.058683356323</v>
      </c>
      <c r="L59" s="6"/>
      <c r="M59" s="2" t="n">
        <v>-200</v>
      </c>
      <c r="N59" s="21" t="n">
        <f aca="false">+N$55+(M59/10000)</f>
        <v>0.0559013282732448</v>
      </c>
      <c r="O59" s="2"/>
      <c r="P59" s="43" t="n">
        <f aca="false">+$N$8/N59*$N$6</f>
        <v>12.7776161381049</v>
      </c>
    </row>
    <row r="60" customFormat="false" ht="12.75" hidden="false" customHeight="false" outlineLevel="0" collapsed="false">
      <c r="A60" s="6"/>
      <c r="B60" s="2" t="n">
        <v>-250</v>
      </c>
      <c r="C60" s="21" t="n">
        <f aca="false">+C$55+(B60/10000)</f>
        <v>0.0519813225643614</v>
      </c>
      <c r="D60" s="2"/>
      <c r="E60" s="42" t="n">
        <f aca="false">+$C$8/C60*($C$6+$F$6)</f>
        <v>152.434514952772</v>
      </c>
      <c r="L60" s="6"/>
      <c r="M60" s="2" t="n">
        <v>-250</v>
      </c>
      <c r="N60" s="21" t="n">
        <f aca="false">+N$55+(M60/10000)</f>
        <v>0.0509013282732448</v>
      </c>
      <c r="O60" s="2"/>
      <c r="P60" s="43" t="n">
        <f aca="false">+$N$8/N60*$N$6</f>
        <v>14.0327519637864</v>
      </c>
    </row>
    <row r="61" customFormat="false" ht="13.5" hidden="false" customHeight="false" outlineLevel="0" collapsed="false">
      <c r="A61" s="23"/>
      <c r="B61" s="29"/>
      <c r="C61" s="29"/>
      <c r="D61" s="29"/>
      <c r="E61" s="30"/>
      <c r="L61" s="23"/>
      <c r="M61" s="29"/>
      <c r="N61" s="29"/>
      <c r="O61" s="29"/>
      <c r="P61" s="30"/>
    </row>
  </sheetData>
  <mergeCells count="8">
    <mergeCell ref="B3:I3"/>
    <mergeCell ref="M3:T3"/>
    <mergeCell ref="B5:C5"/>
    <mergeCell ref="E5:F5"/>
    <mergeCell ref="H5:I5"/>
    <mergeCell ref="M5:N5"/>
    <mergeCell ref="P5:R5"/>
    <mergeCell ref="S5:T5"/>
  </mergeCells>
  <printOptions headings="false" gridLines="false" gridLinesSet="true" horizontalCentered="false" verticalCentered="false"/>
  <pageMargins left="0.220138888888889" right="0.209722222222222" top="0.984027777777778" bottom="0.984027777777778" header="0.511811023622047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&amp;L&amp;D / &amp;T&amp;C&amp;A&amp;R&amp;F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8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23" activeCellId="0" sqref="E23: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7"/>
    <col collapsed="false" customWidth="true" hidden="false" outlineLevel="0" max="4" min="4" style="0" width="2.99"/>
    <col collapsed="false" customWidth="true" hidden="false" outlineLevel="0" max="5" min="5" style="0" width="17.85"/>
    <col collapsed="false" customWidth="true" hidden="false" outlineLevel="0" max="6" min="6" style="0" width="13.7"/>
    <col collapsed="false" customWidth="true" hidden="false" outlineLevel="0" max="7" min="7" style="0" width="3.14"/>
    <col collapsed="false" customWidth="true" hidden="false" outlineLevel="0" max="8" min="8" style="0" width="12.56"/>
    <col collapsed="false" customWidth="true" hidden="false" outlineLevel="0" max="9" min="9" style="0" width="12.7"/>
    <col collapsed="false" customWidth="true" hidden="false" outlineLevel="0" max="10" min="10" style="0" width="3.28"/>
    <col collapsed="false" customWidth="true" hidden="false" outlineLevel="0" max="11" min="11" style="0" width="11.7"/>
    <col collapsed="false" customWidth="true" hidden="false" outlineLevel="0" max="12" min="12" style="0" width="11.56"/>
    <col collapsed="false" customWidth="true" hidden="false" outlineLevel="0" max="13" min="13" style="0" width="9.28"/>
    <col collapsed="false" customWidth="true" hidden="false" outlineLevel="0" max="14" min="14" style="0" width="2.56"/>
  </cols>
  <sheetData>
    <row r="3" customFormat="false" ht="13.5" hidden="false" customHeight="false" outlineLevel="0" collapsed="false"/>
    <row r="4" customFormat="false" ht="18" hidden="false" customHeight="false" outlineLevel="0" collapsed="false">
      <c r="A4" s="3"/>
      <c r="B4" s="4" t="str">
        <f aca="false">+Key!C4</f>
        <v>Boulder</v>
      </c>
      <c r="C4" s="4"/>
      <c r="D4" s="4"/>
      <c r="E4" s="4"/>
      <c r="F4" s="4"/>
      <c r="G4" s="4"/>
      <c r="H4" s="4"/>
      <c r="I4" s="4"/>
      <c r="J4" s="31"/>
      <c r="K4" s="31"/>
      <c r="L4" s="31"/>
      <c r="M4" s="31"/>
      <c r="N4" s="5"/>
    </row>
    <row r="5" customFormat="false" ht="13.5" hidden="false" customHeight="false" outlineLevel="0" collapsed="false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customFormat="false" ht="12.75" hidden="false" customHeight="false" outlineLevel="0" collapsed="false">
      <c r="A6" s="6"/>
      <c r="B6" s="45" t="str">
        <f aca="false">+Key!C6</f>
        <v>Norman</v>
      </c>
      <c r="C6" s="45"/>
      <c r="D6" s="2"/>
      <c r="E6" s="45" t="str">
        <f aca="false">+Key!C8</f>
        <v>Tucson</v>
      </c>
      <c r="F6" s="45"/>
      <c r="G6" s="2"/>
      <c r="H6" s="45" t="s">
        <v>42</v>
      </c>
      <c r="I6" s="45"/>
      <c r="J6" s="2"/>
      <c r="K6" s="8" t="s">
        <v>43</v>
      </c>
      <c r="L6" s="8"/>
      <c r="M6" s="8"/>
      <c r="N6" s="7"/>
    </row>
    <row r="7" customFormat="false" ht="13.5" hidden="false" customHeight="false" outlineLevel="0" collapsed="false">
      <c r="A7" s="6"/>
      <c r="B7" s="6" t="s">
        <v>44</v>
      </c>
      <c r="C7" s="46" t="n">
        <f aca="false">+Trans!F13</f>
        <v>28.8333114288157</v>
      </c>
      <c r="D7" s="47"/>
      <c r="E7" s="6" t="s">
        <v>44</v>
      </c>
      <c r="F7" s="46" t="n">
        <f aca="false">-Trans!F13-Trans!G6</f>
        <v>-46.8461981896079</v>
      </c>
      <c r="G7" s="47"/>
      <c r="H7" s="48"/>
      <c r="I7" s="49"/>
      <c r="J7" s="47"/>
      <c r="K7" s="48"/>
      <c r="L7" s="50" t="str">
        <f aca="false">+Key!C4</f>
        <v>Boulder</v>
      </c>
      <c r="M7" s="51" t="str">
        <f aca="false">+Key!C5</f>
        <v>Tempe</v>
      </c>
      <c r="N7" s="7"/>
    </row>
    <row r="8" customFormat="false" ht="12.75" hidden="false" customHeight="false" outlineLevel="0" collapsed="false">
      <c r="A8" s="6"/>
      <c r="B8" s="6" t="s">
        <v>25</v>
      </c>
      <c r="C8" s="11" t="n">
        <f aca="false">+(I8+L8)/0.98*0.02*0.5</f>
        <v>0.54131202678513</v>
      </c>
      <c r="D8" s="12"/>
      <c r="E8" s="6" t="s">
        <v>25</v>
      </c>
      <c r="F8" s="11" t="n">
        <f aca="false">+C8</f>
        <v>0.54131202678513</v>
      </c>
      <c r="G8" s="12"/>
      <c r="H8" s="6" t="s">
        <v>26</v>
      </c>
      <c r="I8" s="13" t="n">
        <v>41.623014</v>
      </c>
      <c r="J8" s="2"/>
      <c r="K8" s="6" t="s">
        <v>26</v>
      </c>
      <c r="L8" s="13" t="n">
        <f aca="false">+Trans!G14+Trans!D20</f>
        <v>11.4255646249427</v>
      </c>
      <c r="M8" s="13"/>
      <c r="N8" s="7"/>
    </row>
    <row r="9" customFormat="false" ht="12.75" hidden="false" customHeight="false" outlineLevel="0" collapsed="false">
      <c r="A9" s="6"/>
      <c r="B9" s="6" t="s">
        <v>27</v>
      </c>
      <c r="C9" s="14" t="n">
        <f aca="false">+C10/C11</f>
        <v>101.569936211957</v>
      </c>
      <c r="D9" s="15"/>
      <c r="E9" s="6" t="s">
        <v>27</v>
      </c>
      <c r="F9" s="14" t="n">
        <f aca="false">+F10/F11</f>
        <v>101.569936211957</v>
      </c>
      <c r="G9" s="15"/>
      <c r="H9" s="6" t="s">
        <v>27</v>
      </c>
      <c r="I9" s="52" t="n">
        <f aca="false">+I10/I11</f>
        <v>40.6666666666667</v>
      </c>
      <c r="J9" s="2"/>
      <c r="K9" s="6" t="s">
        <v>27</v>
      </c>
      <c r="L9" s="52" t="n">
        <f aca="false">+L10/L11</f>
        <v>40.6666666666667</v>
      </c>
      <c r="M9" s="52" t="n">
        <f aca="false">+M10/M11</f>
        <v>27.0461046609457</v>
      </c>
      <c r="N9" s="7"/>
    </row>
    <row r="10" customFormat="false" ht="12.75" hidden="false" customHeight="false" outlineLevel="0" collapsed="false">
      <c r="A10" s="6"/>
      <c r="B10" s="6" t="s">
        <v>29</v>
      </c>
      <c r="C10" s="53" t="n">
        <f aca="false">-SUM(H29:H30)/(C8+F8)</f>
        <v>9.14129425907616</v>
      </c>
      <c r="D10" s="18"/>
      <c r="E10" s="6" t="s">
        <v>29</v>
      </c>
      <c r="F10" s="19" t="n">
        <f aca="false">+C10</f>
        <v>9.14129425907616</v>
      </c>
      <c r="G10" s="18"/>
      <c r="H10" s="6" t="s">
        <v>29</v>
      </c>
      <c r="I10" s="17" t="n">
        <v>3.05</v>
      </c>
      <c r="J10" s="2"/>
      <c r="K10" s="6" t="s">
        <v>29</v>
      </c>
      <c r="L10" s="17" t="n">
        <v>3.05</v>
      </c>
      <c r="M10" s="52" t="n">
        <f aca="false">+L10/Pre!I$7*Pre!Q$7</f>
        <v>2.02845784957092</v>
      </c>
      <c r="N10" s="7"/>
    </row>
    <row r="11" customFormat="false" ht="12.75" hidden="false" customHeight="false" outlineLevel="0" collapsed="false">
      <c r="A11" s="6"/>
      <c r="B11" s="6" t="s">
        <v>30</v>
      </c>
      <c r="C11" s="20" t="n">
        <v>0.09</v>
      </c>
      <c r="D11" s="21"/>
      <c r="E11" s="6" t="s">
        <v>30</v>
      </c>
      <c r="F11" s="20" t="n">
        <v>0.09</v>
      </c>
      <c r="G11" s="21"/>
      <c r="H11" s="6" t="s">
        <v>30</v>
      </c>
      <c r="I11" s="20" t="n">
        <v>0.075</v>
      </c>
      <c r="J11" s="2"/>
      <c r="K11" s="6" t="s">
        <v>30</v>
      </c>
      <c r="L11" s="54" t="n">
        <f aca="false">+I11</f>
        <v>0.075</v>
      </c>
      <c r="M11" s="55" t="n">
        <f aca="false">+I11</f>
        <v>0.075</v>
      </c>
      <c r="N11" s="7"/>
    </row>
    <row r="12" customFormat="false" ht="12.75" hidden="false" customHeight="false" outlineLevel="0" collapsed="false">
      <c r="A12" s="6"/>
      <c r="B12" s="6" t="s">
        <v>31</v>
      </c>
      <c r="C12" s="53" t="n">
        <f aca="false">-SUM(H38:H39)/(C8+F8)</f>
        <v>9.11314628042389</v>
      </c>
      <c r="D12" s="18"/>
      <c r="E12" s="6" t="s">
        <v>31</v>
      </c>
      <c r="F12" s="19" t="n">
        <f aca="false">+C12</f>
        <v>9.11314628042389</v>
      </c>
      <c r="G12" s="18"/>
      <c r="H12" s="6" t="s">
        <v>31</v>
      </c>
      <c r="I12" s="53" t="n">
        <f aca="false">+H42</f>
        <v>3.01041865665732</v>
      </c>
      <c r="J12" s="2"/>
      <c r="K12" s="6" t="s">
        <v>31</v>
      </c>
      <c r="L12" s="17" t="n">
        <f aca="false">+H42</f>
        <v>3.01041865665732</v>
      </c>
      <c r="M12" s="52" t="n">
        <f aca="false">+L12/Pre!I$7*Pre!Q$7</f>
        <v>2.00213355888239</v>
      </c>
      <c r="N12" s="7"/>
    </row>
    <row r="13" customFormat="false" ht="13.5" hidden="false" customHeight="false" outlineLevel="0" collapsed="false">
      <c r="A13" s="6"/>
      <c r="B13" s="23" t="s">
        <v>32</v>
      </c>
      <c r="C13" s="24" t="n">
        <f aca="false">+C9/C12</f>
        <v>11.145430248403</v>
      </c>
      <c r="D13" s="25"/>
      <c r="E13" s="23" t="s">
        <v>32</v>
      </c>
      <c r="F13" s="24" t="n">
        <f aca="false">+F9/F12</f>
        <v>11.145430248403</v>
      </c>
      <c r="G13" s="25"/>
      <c r="H13" s="23" t="s">
        <v>32</v>
      </c>
      <c r="I13" s="24" t="n">
        <f aca="false">+I9/I12</f>
        <v>13.5086415893468</v>
      </c>
      <c r="J13" s="2"/>
      <c r="K13" s="23" t="s">
        <v>32</v>
      </c>
      <c r="L13" s="24" t="n">
        <f aca="false">+L9/L12</f>
        <v>13.5086415893468</v>
      </c>
      <c r="M13" s="24" t="n">
        <f aca="false">+M9/M12</f>
        <v>13.5086415893468</v>
      </c>
      <c r="N13" s="7"/>
    </row>
    <row r="14" customFormat="false" ht="12.75" hidden="false" customHeight="false" outlineLevel="0" collapsed="false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7"/>
    </row>
    <row r="15" customFormat="false" ht="12.75" hidden="false" customHeight="false" outlineLevel="0" collapsed="false">
      <c r="A15" s="6"/>
      <c r="B15" s="26" t="s">
        <v>33</v>
      </c>
      <c r="C15" s="26" t="n">
        <f aca="false">+C8*C9</f>
        <v>54.981028031331</v>
      </c>
      <c r="D15" s="26"/>
      <c r="E15" s="26" t="s">
        <v>33</v>
      </c>
      <c r="F15" s="26" t="n">
        <f aca="false">+F8*F9</f>
        <v>54.981028031331</v>
      </c>
      <c r="G15" s="26"/>
      <c r="H15" s="26" t="s">
        <v>33</v>
      </c>
      <c r="I15" s="26" t="n">
        <f aca="false">+I8*I9</f>
        <v>1692.669236</v>
      </c>
      <c r="J15" s="2"/>
      <c r="K15" s="26" t="s">
        <v>33</v>
      </c>
      <c r="L15" s="26" t="n">
        <f aca="false">+L8*L9</f>
        <v>464.639628081004</v>
      </c>
      <c r="M15" s="26"/>
      <c r="N15" s="7"/>
    </row>
    <row r="16" customFormat="false" ht="12.75" hidden="false" customHeight="false" outlineLevel="0" collapsed="false">
      <c r="A16" s="6"/>
      <c r="B16" s="27"/>
      <c r="C16" s="27"/>
      <c r="D16" s="27"/>
      <c r="E16" s="27"/>
      <c r="F16" s="27"/>
      <c r="G16" s="27"/>
      <c r="H16" s="27"/>
      <c r="I16" s="27"/>
      <c r="J16" s="2"/>
      <c r="K16" s="2"/>
      <c r="L16" s="2"/>
      <c r="M16" s="2"/>
      <c r="N16" s="7"/>
    </row>
    <row r="17" customFormat="false" ht="12.75" hidden="false" customHeight="false" outlineLevel="0" collapsed="false">
      <c r="A17" s="6"/>
      <c r="B17" s="27"/>
      <c r="C17" s="27"/>
      <c r="D17" s="27"/>
      <c r="E17" s="27"/>
      <c r="F17" s="27"/>
      <c r="G17" s="27"/>
      <c r="H17" s="27"/>
      <c r="I17" s="27"/>
      <c r="J17" s="2"/>
      <c r="K17" s="2"/>
      <c r="L17" s="2"/>
      <c r="M17" s="2"/>
      <c r="N17" s="7"/>
    </row>
    <row r="18" customFormat="false" ht="15.75" hidden="false" customHeight="false" outlineLevel="0" collapsed="false">
      <c r="A18" s="6"/>
      <c r="B18" s="27"/>
      <c r="C18" s="28" t="s">
        <v>35</v>
      </c>
      <c r="D18" s="28"/>
      <c r="E18" s="28"/>
      <c r="F18" s="28" t="n">
        <f aca="false">+C15+F15+I15+L15</f>
        <v>2267.27092014367</v>
      </c>
      <c r="G18" s="27"/>
      <c r="H18" s="27"/>
      <c r="I18" s="27"/>
      <c r="J18" s="2"/>
      <c r="K18" s="2"/>
      <c r="L18" s="2"/>
      <c r="M18" s="2"/>
      <c r="N18" s="7"/>
    </row>
    <row r="19" customFormat="false" ht="13.5" hidden="false" customHeight="false" outlineLevel="0" collapsed="false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  <row r="23" customFormat="false" ht="12.75" hidden="false" customHeight="false" outlineLevel="0" collapsed="false">
      <c r="E23" s="56" t="str">
        <f aca="false">+Key!C4</f>
        <v>Boulder</v>
      </c>
      <c r="F23" s="56"/>
      <c r="G23" s="56"/>
      <c r="H23" s="56" t="str">
        <f aca="false">+E23</f>
        <v>Boulder</v>
      </c>
    </row>
    <row r="24" customFormat="false" ht="12.75" hidden="false" customHeight="false" outlineLevel="0" collapsed="false">
      <c r="E24" s="56" t="s">
        <v>45</v>
      </c>
      <c r="F24" s="56" t="str">
        <f aca="false">+Key!C5</f>
        <v>Tempe</v>
      </c>
      <c r="G24" s="56"/>
      <c r="H24" s="56" t="s">
        <v>46</v>
      </c>
    </row>
    <row r="26" customFormat="false" ht="12.75" hidden="false" customHeight="false" outlineLevel="0" collapsed="false">
      <c r="B26" s="0" t="s">
        <v>47</v>
      </c>
      <c r="E26" s="57" t="n">
        <f aca="false">(+Pre!I8*Pre!I6)+(Pre!F8*Pre!F6)+(Pre!C8*Pre!C6)</f>
        <v>134.873940391702</v>
      </c>
      <c r="F26" s="57" t="n">
        <f aca="false">+Pre!T8*Pre!T6+Pre!Q8*Pre!Q6+Pre!N8*Pre!N6</f>
        <v>35.7142857142857</v>
      </c>
      <c r="H26" s="57" t="n">
        <f aca="false">+E26+F26</f>
        <v>170.588226105988</v>
      </c>
    </row>
    <row r="27" customFormat="false" ht="12.75" hidden="false" customHeight="false" outlineLevel="0" collapsed="false">
      <c r="B27" s="0" t="s">
        <v>48</v>
      </c>
      <c r="F27" s="0" t="n">
        <v>0.5</v>
      </c>
      <c r="H27" s="57" t="n">
        <f aca="false">+E27+F27</f>
        <v>0.5</v>
      </c>
    </row>
    <row r="28" customFormat="false" ht="12.75" hidden="false" customHeight="false" outlineLevel="0" collapsed="false">
      <c r="B28" s="0" t="s">
        <v>49</v>
      </c>
      <c r="E28" s="57" t="n">
        <f aca="false">SUM(E26:E27)</f>
        <v>134.873940391702</v>
      </c>
      <c r="F28" s="57" t="n">
        <f aca="false">SUM(F26:F27)</f>
        <v>36.2142857142857</v>
      </c>
      <c r="G28" s="57"/>
      <c r="H28" s="57" t="n">
        <f aca="false">SUM(H26:H27)</f>
        <v>171.088226105988</v>
      </c>
    </row>
    <row r="29" customFormat="false" ht="12.75" hidden="false" customHeight="false" outlineLevel="0" collapsed="false">
      <c r="B29" s="0" t="s">
        <v>50</v>
      </c>
      <c r="E29" s="57" t="n">
        <f aca="false">-+E28*0.02</f>
        <v>-2.69747880783404</v>
      </c>
      <c r="F29" s="57" t="n">
        <f aca="false">+H29-E29</f>
        <v>-0.724285714285714</v>
      </c>
      <c r="G29" s="57"/>
      <c r="H29" s="57" t="n">
        <f aca="false">-+H28*0.02</f>
        <v>-3.42176452211975</v>
      </c>
    </row>
    <row r="30" customFormat="false" ht="12.75" hidden="false" customHeight="false" outlineLevel="0" collapsed="false">
      <c r="B30" s="0" t="s">
        <v>51</v>
      </c>
      <c r="E30" s="57" t="n">
        <f aca="false">+-E62-E29</f>
        <v>-5.22623015897502</v>
      </c>
      <c r="F30" s="57" t="n">
        <f aca="false">+H30-E30</f>
        <v>-1.2485903645448</v>
      </c>
      <c r="G30" s="57"/>
      <c r="H30" s="57" t="n">
        <f aca="false">+-H62-H29</f>
        <v>-6.47482052351982</v>
      </c>
    </row>
    <row r="31" customFormat="false" ht="12.75" hidden="false" customHeight="false" outlineLevel="0" collapsed="false">
      <c r="B31" s="0" t="s">
        <v>52</v>
      </c>
      <c r="E31" s="57" t="n">
        <f aca="false">SUM(E28:E30)</f>
        <v>126.950231424893</v>
      </c>
      <c r="F31" s="57" t="n">
        <f aca="false">SUM(F28:F30)</f>
        <v>34.2414096354552</v>
      </c>
      <c r="G31" s="57"/>
      <c r="H31" s="57" t="n">
        <f aca="false">SUM(H28:H30)</f>
        <v>161.191641060348</v>
      </c>
    </row>
    <row r="33" customFormat="false" ht="12.75" hidden="false" customHeight="false" outlineLevel="0" collapsed="false">
      <c r="B33" s="0" t="s">
        <v>53</v>
      </c>
      <c r="E33" s="18" t="n">
        <f aca="false">+E31/E44</f>
        <v>3.05000093037215</v>
      </c>
      <c r="F33" s="18" t="n">
        <f aca="false">+F31/F44</f>
        <v>2.99691181656827</v>
      </c>
      <c r="G33" s="18"/>
      <c r="H33" s="18" t="n">
        <f aca="false">+H31/H44</f>
        <v>3.03856663530959</v>
      </c>
    </row>
    <row r="35" customFormat="false" ht="12.75" hidden="false" customHeight="false" outlineLevel="0" collapsed="false">
      <c r="B35" s="0" t="s">
        <v>54</v>
      </c>
      <c r="E35" s="57" t="n">
        <f aca="false">+Pre!C10*Pre!C6+Pre!F10*Pre!F6+Pre!I10*Pre!I6</f>
        <v>129.38597074</v>
      </c>
      <c r="F35" s="57" t="n">
        <f aca="false">+Pre!N10*Pre!N6+Pre!Q10*Pre!Q6+Pre!T10*Pre!T6</f>
        <v>40.1785714285714</v>
      </c>
      <c r="H35" s="57" t="n">
        <f aca="false">+E35+F35</f>
        <v>169.564542168571</v>
      </c>
    </row>
    <row r="36" customFormat="false" ht="12.75" hidden="false" customHeight="false" outlineLevel="0" collapsed="false">
      <c r="B36" s="0" t="s">
        <v>48</v>
      </c>
      <c r="F36" s="0" t="n">
        <f aca="false">+E27</f>
        <v>0</v>
      </c>
      <c r="H36" s="57" t="n">
        <f aca="false">+E36+F36</f>
        <v>0</v>
      </c>
    </row>
    <row r="37" customFormat="false" ht="12.75" hidden="false" customHeight="false" outlineLevel="0" collapsed="false">
      <c r="B37" s="0" t="s">
        <v>55</v>
      </c>
      <c r="E37" s="57" t="n">
        <f aca="false">SUM(E35:E36)</f>
        <v>129.38597074</v>
      </c>
      <c r="F37" s="57" t="n">
        <f aca="false">SUM(F35:F36)</f>
        <v>40.1785714285714</v>
      </c>
      <c r="H37" s="57" t="n">
        <f aca="false">SUM(H35:H36)</f>
        <v>169.564542168571</v>
      </c>
    </row>
    <row r="38" customFormat="false" ht="12.75" hidden="false" customHeight="false" outlineLevel="0" collapsed="false">
      <c r="B38" s="0" t="s">
        <v>50</v>
      </c>
      <c r="E38" s="57" t="n">
        <f aca="false">-+E37*0.02</f>
        <v>-2.5877194148</v>
      </c>
      <c r="F38" s="57" t="n">
        <f aca="false">-+F37*0.02</f>
        <v>-0.803571428571429</v>
      </c>
      <c r="H38" s="57" t="n">
        <f aca="false">+E38+F38</f>
        <v>-3.39129084337143</v>
      </c>
    </row>
    <row r="39" customFormat="false" ht="12.75" hidden="false" customHeight="false" outlineLevel="0" collapsed="false">
      <c r="B39" s="0" t="s">
        <v>51</v>
      </c>
      <c r="E39" s="57" t="n">
        <f aca="false">+E30</f>
        <v>-5.22623015897502</v>
      </c>
      <c r="F39" s="57" t="n">
        <f aca="false">+F30</f>
        <v>-1.2485903645448</v>
      </c>
      <c r="H39" s="57" t="n">
        <f aca="false">+E39+F39</f>
        <v>-6.47482052351982</v>
      </c>
    </row>
    <row r="40" customFormat="false" ht="12.75" hidden="false" customHeight="false" outlineLevel="0" collapsed="false">
      <c r="B40" s="0" t="s">
        <v>56</v>
      </c>
      <c r="E40" s="57" t="n">
        <f aca="false">SUM(E37:E39)</f>
        <v>121.572021166225</v>
      </c>
      <c r="F40" s="57" t="n">
        <f aca="false">SUM(F37:F39)</f>
        <v>38.1264096354552</v>
      </c>
      <c r="H40" s="57" t="n">
        <f aca="false">+E40+F40</f>
        <v>159.69843080168</v>
      </c>
    </row>
    <row r="42" customFormat="false" ht="12.75" hidden="false" customHeight="false" outlineLevel="0" collapsed="false">
      <c r="B42" s="0" t="s">
        <v>53</v>
      </c>
      <c r="E42" s="18" t="n">
        <f aca="false">+E40/E44</f>
        <v>2.92078851296605</v>
      </c>
      <c r="F42" s="18" t="n">
        <f aca="false">+F40/F44</f>
        <v>3.33693877606914</v>
      </c>
      <c r="H42" s="18" t="n">
        <f aca="false">+H40/H44</f>
        <v>3.01041865665732</v>
      </c>
    </row>
    <row r="44" customFormat="false" ht="12.75" hidden="false" customHeight="false" outlineLevel="0" collapsed="false">
      <c r="B44" s="0" t="s">
        <v>57</v>
      </c>
      <c r="E44" s="58" t="n">
        <f aca="false">+I8</f>
        <v>41.623014</v>
      </c>
      <c r="F44" s="58" t="n">
        <f aca="false">+L8</f>
        <v>11.4255646249427</v>
      </c>
      <c r="G44" s="58"/>
      <c r="H44" s="58" t="n">
        <f aca="false">+E44+F44</f>
        <v>53.0485786249427</v>
      </c>
    </row>
    <row r="48" customFormat="false" ht="12.75" hidden="false" customHeight="false" outlineLevel="0" collapsed="false">
      <c r="A48" s="0" t="s">
        <v>58</v>
      </c>
    </row>
    <row r="49" customFormat="false" ht="12.75" hidden="false" customHeight="false" outlineLevel="0" collapsed="false">
      <c r="B49" s="59" t="s">
        <v>59</v>
      </c>
      <c r="C49" s="60"/>
      <c r="D49" s="60"/>
      <c r="E49" s="61" t="n">
        <f aca="false">+E44</f>
        <v>41.623014</v>
      </c>
      <c r="F49" s="62"/>
      <c r="G49" s="62"/>
      <c r="H49" s="62" t="n">
        <f aca="false">+H44</f>
        <v>53.0485786249427</v>
      </c>
    </row>
    <row r="50" customFormat="false" ht="12.75" hidden="false" customHeight="false" outlineLevel="0" collapsed="false">
      <c r="B50" s="60" t="s">
        <v>60</v>
      </c>
      <c r="C50" s="60"/>
      <c r="D50" s="60"/>
      <c r="E50" s="63" t="n">
        <f aca="false">+E49/0.98*0.02</f>
        <v>0.849449265306122</v>
      </c>
      <c r="H50" s="63" t="n">
        <f aca="false">+H49/0.98*0.02</f>
        <v>1.08262405357026</v>
      </c>
    </row>
    <row r="52" customFormat="false" ht="13.5" hidden="false" customHeight="false" outlineLevel="0" collapsed="false">
      <c r="B52" s="0" t="s">
        <v>61</v>
      </c>
      <c r="E52" s="64" t="n">
        <f aca="false">+E28</f>
        <v>134.873940391702</v>
      </c>
      <c r="H52" s="64" t="n">
        <f aca="false">+H28</f>
        <v>171.088226105988</v>
      </c>
    </row>
    <row r="53" customFormat="false" ht="13.5" hidden="false" customHeight="false" outlineLevel="0" collapsed="false">
      <c r="B53" s="0" t="s">
        <v>62</v>
      </c>
      <c r="D53" s="60"/>
      <c r="E53" s="60" t="n">
        <f aca="false">MIN(E71,E52)</f>
        <v>102.783361102041</v>
      </c>
      <c r="F53" s="60"/>
      <c r="G53" s="60"/>
      <c r="H53" s="60" t="n">
        <f aca="false">MIN(H71,H52)</f>
        <v>130.997510482001</v>
      </c>
    </row>
    <row r="54" customFormat="false" ht="12.75" hidden="false" customHeight="false" outlineLevel="0" collapsed="false">
      <c r="B54" s="0" t="s">
        <v>63</v>
      </c>
      <c r="D54" s="60"/>
      <c r="E54" s="60" t="n">
        <f aca="false">MIN(E72,E52-E53)</f>
        <v>21.5460307764706</v>
      </c>
      <c r="F54" s="60"/>
      <c r="G54" s="60"/>
      <c r="H54" s="60" t="n">
        <f aca="false">MIN(H72,H52-H53)</f>
        <v>27.4604406999704</v>
      </c>
    </row>
    <row r="55" customFormat="false" ht="12.75" hidden="false" customHeight="false" outlineLevel="0" collapsed="false">
      <c r="B55" s="0" t="s">
        <v>64</v>
      </c>
      <c r="D55" s="60"/>
      <c r="E55" s="60" t="n">
        <f aca="false">MIN(E73,E52-E53-E54)</f>
        <v>10.5445485131906</v>
      </c>
      <c r="F55" s="60"/>
      <c r="G55" s="60"/>
      <c r="H55" s="60" t="n">
        <f aca="false">MIN(H73,H52-H53-H54)</f>
        <v>12.630274924016</v>
      </c>
    </row>
    <row r="56" customFormat="false" ht="12.75" hidden="false" customHeight="false" outlineLevel="0" collapsed="false">
      <c r="B56" s="0" t="s">
        <v>65</v>
      </c>
      <c r="D56" s="60"/>
      <c r="E56" s="60" t="n">
        <f aca="false">E52-E53-E54-E55</f>
        <v>0</v>
      </c>
      <c r="F56" s="60"/>
      <c r="G56" s="60"/>
      <c r="H56" s="60" t="n">
        <f aca="false">H52-H53-H54-H55</f>
        <v>0</v>
      </c>
    </row>
    <row r="57" customFormat="false" ht="12.75" hidden="false" customHeight="false" outlineLevel="0" collapsed="false">
      <c r="D57" s="60"/>
      <c r="E57" s="60"/>
      <c r="F57" s="60"/>
      <c r="G57" s="60"/>
      <c r="H57" s="60"/>
    </row>
    <row r="58" customFormat="false" ht="12.75" hidden="false" customHeight="false" outlineLevel="0" collapsed="false">
      <c r="B58" s="0" t="s">
        <v>66</v>
      </c>
      <c r="D58" s="60"/>
      <c r="E58" s="60" t="n">
        <f aca="false">+E53*$C71</f>
        <v>2.05566722204082</v>
      </c>
      <c r="F58" s="60"/>
      <c r="G58" s="60"/>
      <c r="H58" s="60" t="n">
        <f aca="false">+H53*$C71</f>
        <v>2.61995020964003</v>
      </c>
    </row>
    <row r="59" customFormat="false" ht="12.75" hidden="false" customHeight="false" outlineLevel="0" collapsed="false">
      <c r="B59" s="0" t="s">
        <v>67</v>
      </c>
      <c r="D59" s="60"/>
      <c r="E59" s="60" t="n">
        <f aca="false">+E54*$C72</f>
        <v>3.23190461647059</v>
      </c>
      <c r="F59" s="60"/>
      <c r="G59" s="60"/>
      <c r="H59" s="60" t="n">
        <f aca="false">+H54*$C72</f>
        <v>4.11906610499555</v>
      </c>
    </row>
    <row r="60" customFormat="false" ht="12.75" hidden="false" customHeight="false" outlineLevel="0" collapsed="false">
      <c r="B60" s="0" t="s">
        <v>68</v>
      </c>
      <c r="D60" s="60"/>
      <c r="E60" s="60" t="n">
        <f aca="false">+E55*$C73</f>
        <v>2.63613712829765</v>
      </c>
      <c r="F60" s="60"/>
      <c r="G60" s="60"/>
      <c r="H60" s="60" t="n">
        <f aca="false">+H55*$C73</f>
        <v>3.15756873100399</v>
      </c>
    </row>
    <row r="61" customFormat="false" ht="12.75" hidden="false" customHeight="false" outlineLevel="0" collapsed="false">
      <c r="B61" s="0" t="s">
        <v>69</v>
      </c>
      <c r="D61" s="60"/>
      <c r="E61" s="60" t="n">
        <f aca="false">+E56*$C74</f>
        <v>0</v>
      </c>
      <c r="F61" s="60"/>
      <c r="G61" s="60"/>
      <c r="H61" s="60" t="n">
        <f aca="false">+H56*$C74</f>
        <v>0</v>
      </c>
    </row>
    <row r="62" customFormat="false" ht="12.75" hidden="false" customHeight="false" outlineLevel="0" collapsed="false">
      <c r="B62" s="0" t="s">
        <v>70</v>
      </c>
      <c r="D62" s="60"/>
      <c r="E62" s="60" t="n">
        <f aca="false">SUM(E58:E61)</f>
        <v>7.92370896680906</v>
      </c>
      <c r="F62" s="60"/>
      <c r="G62" s="60"/>
      <c r="H62" s="60" t="n">
        <f aca="false">SUM(H58:H61)</f>
        <v>9.89658504563957</v>
      </c>
    </row>
    <row r="63" customFormat="false" ht="12.75" hidden="false" customHeight="false" outlineLevel="0" collapsed="false">
      <c r="D63" s="60"/>
      <c r="E63" s="60"/>
      <c r="F63" s="60"/>
      <c r="G63" s="60"/>
      <c r="H63" s="60"/>
    </row>
    <row r="64" customFormat="false" ht="12.75" hidden="false" customHeight="false" outlineLevel="0" collapsed="false">
      <c r="B64" s="0" t="s">
        <v>71</v>
      </c>
      <c r="D64" s="60"/>
      <c r="E64" s="60" t="n">
        <f aca="false">+E52-E62</f>
        <v>126.950231424893</v>
      </c>
      <c r="F64" s="60"/>
      <c r="G64" s="60"/>
      <c r="H64" s="60" t="n">
        <f aca="false">+H52-H62</f>
        <v>161.191641060348</v>
      </c>
    </row>
    <row r="65" customFormat="false" ht="12.75" hidden="false" customHeight="false" outlineLevel="0" collapsed="false">
      <c r="A65" s="60"/>
      <c r="B65" s="60"/>
      <c r="C65" s="60"/>
      <c r="D65" s="60"/>
      <c r="E65" s="60"/>
      <c r="F65" s="60"/>
      <c r="G65" s="60"/>
      <c r="H65" s="60"/>
    </row>
    <row r="66" customFormat="false" ht="12.75" hidden="false" customHeight="false" outlineLevel="0" collapsed="false">
      <c r="A66" s="60"/>
      <c r="B66" s="60" t="s">
        <v>53</v>
      </c>
      <c r="C66" s="60"/>
      <c r="D66" s="60"/>
      <c r="E66" s="60" t="n">
        <f aca="false">+E64/E44</f>
        <v>3.05000093037215</v>
      </c>
      <c r="F66" s="60"/>
      <c r="G66" s="60"/>
      <c r="H66" s="60" t="n">
        <f aca="false">+H64/H44</f>
        <v>3.03856663530959</v>
      </c>
    </row>
    <row r="67" customFormat="false" ht="12.75" hidden="false" customHeight="false" outlineLevel="0" collapsed="false">
      <c r="A67" s="60"/>
      <c r="B67" s="60"/>
      <c r="C67" s="60"/>
      <c r="D67" s="60"/>
      <c r="E67" s="60"/>
      <c r="F67" s="60"/>
      <c r="G67" s="60"/>
      <c r="H67" s="60"/>
    </row>
    <row r="68" customFormat="false" ht="12.75" hidden="false" customHeight="false" outlineLevel="0" collapsed="false">
      <c r="A68" s="60"/>
      <c r="C68" s="60"/>
      <c r="D68" s="65"/>
      <c r="E68" s="65"/>
      <c r="F68" s="65"/>
      <c r="G68" s="65"/>
      <c r="H68" s="65"/>
    </row>
    <row r="69" customFormat="false" ht="12.75" hidden="false" customHeight="false" outlineLevel="0" collapsed="false">
      <c r="A69" s="60"/>
      <c r="B69" s="60"/>
      <c r="C69" s="60"/>
      <c r="D69" s="65"/>
      <c r="E69" s="65"/>
      <c r="F69" s="65"/>
      <c r="G69" s="60"/>
      <c r="H69" s="65"/>
    </row>
    <row r="70" customFormat="false" ht="12.75" hidden="false" customHeight="false" outlineLevel="0" collapsed="false">
      <c r="A70" s="60"/>
      <c r="B70" s="60" t="s">
        <v>72</v>
      </c>
      <c r="C70" s="60"/>
      <c r="D70" s="65"/>
      <c r="E70" s="65"/>
      <c r="F70" s="60"/>
      <c r="G70" s="60"/>
      <c r="H70" s="65"/>
    </row>
    <row r="71" customFormat="false" ht="12.75" hidden="false" customHeight="false" outlineLevel="0" collapsed="false">
      <c r="A71" s="66"/>
      <c r="B71" s="67" t="n">
        <f aca="false">0.605*4</f>
        <v>2.42</v>
      </c>
      <c r="C71" s="68" t="n">
        <v>0.02</v>
      </c>
      <c r="E71" s="57" t="n">
        <f aca="false">+E$49*$B71/(1-$C71)</f>
        <v>102.783361102041</v>
      </c>
      <c r="F71" s="57"/>
      <c r="G71" s="63"/>
      <c r="H71" s="57" t="n">
        <f aca="false">+H$49*$B71/(1-$C71)</f>
        <v>130.997510482001</v>
      </c>
    </row>
    <row r="72" customFormat="false" ht="12.75" hidden="false" customHeight="false" outlineLevel="0" collapsed="false">
      <c r="A72" s="66"/>
      <c r="B72" s="67" t="n">
        <f aca="false">0.715*4</f>
        <v>2.86</v>
      </c>
      <c r="C72" s="68" t="n">
        <v>0.15</v>
      </c>
      <c r="E72" s="57" t="n">
        <f aca="false">+($B72-$B71)*E$49/(1-$C72)</f>
        <v>21.5460307764706</v>
      </c>
      <c r="F72" s="57"/>
      <c r="G72" s="63"/>
      <c r="H72" s="57" t="n">
        <f aca="false">+($B72-$B71)*H$49/(1-$C72)</f>
        <v>27.4604406999704</v>
      </c>
    </row>
    <row r="73" customFormat="false" ht="12.75" hidden="false" customHeight="false" outlineLevel="0" collapsed="false">
      <c r="A73" s="66"/>
      <c r="B73" s="67" t="n">
        <f aca="false">3.74</f>
        <v>3.74</v>
      </c>
      <c r="C73" s="68" t="n">
        <v>0.25</v>
      </c>
      <c r="E73" s="57" t="n">
        <f aca="false">+($B73-$B72)*E$49/(1-$C73)</f>
        <v>48.83766976</v>
      </c>
      <c r="F73" s="57"/>
      <c r="G73" s="63"/>
      <c r="H73" s="57" t="n">
        <f aca="false">+($B73-$B72)*H$49/(1-$C73)</f>
        <v>62.2436655865995</v>
      </c>
    </row>
    <row r="74" customFormat="false" ht="12.75" hidden="false" customHeight="false" outlineLevel="0" collapsed="false">
      <c r="A74" s="66"/>
      <c r="B74" s="67"/>
      <c r="C74" s="68" t="n">
        <v>0.5</v>
      </c>
      <c r="E74" s="57"/>
      <c r="F74" s="57"/>
      <c r="G74" s="63"/>
      <c r="H74" s="57"/>
    </row>
    <row r="75" customFormat="false" ht="12.75" hidden="false" customHeight="false" outlineLevel="0" collapsed="false">
      <c r="A75" s="66"/>
      <c r="B75" s="66"/>
      <c r="C75" s="60"/>
      <c r="D75" s="57"/>
      <c r="E75" s="57"/>
      <c r="F75" s="57"/>
      <c r="G75" s="60"/>
    </row>
    <row r="76" customFormat="false" ht="12.75" hidden="false" customHeight="false" outlineLevel="0" collapsed="false">
      <c r="A76" s="66"/>
      <c r="B76" s="66"/>
      <c r="C76" s="60"/>
      <c r="D76" s="57"/>
      <c r="E76" s="57"/>
      <c r="F76" s="57"/>
      <c r="G76" s="60"/>
    </row>
    <row r="77" customFormat="false" ht="12.75" hidden="false" customHeight="false" outlineLevel="0" collapsed="false">
      <c r="A77" s="60"/>
      <c r="B77" s="60"/>
      <c r="C77" s="60"/>
      <c r="D77" s="60"/>
      <c r="E77" s="60"/>
      <c r="F77" s="60"/>
      <c r="G77" s="60"/>
    </row>
    <row r="78" customFormat="false" ht="12.75" hidden="false" customHeight="false" outlineLevel="0" collapsed="false">
      <c r="A78" s="60"/>
      <c r="B78" s="60"/>
      <c r="C78" s="60"/>
      <c r="D78" s="60"/>
      <c r="E78" s="69"/>
      <c r="F78" s="60"/>
      <c r="G78" s="60"/>
    </row>
    <row r="79" customFormat="false" ht="12.75" hidden="false" customHeight="false" outlineLevel="0" collapsed="false">
      <c r="A79" s="60"/>
      <c r="B79" s="60"/>
      <c r="C79" s="60"/>
      <c r="D79" s="60"/>
      <c r="E79" s="60"/>
      <c r="F79" s="60"/>
      <c r="G79" s="60"/>
    </row>
    <row r="80" customFormat="false" ht="12.75" hidden="false" customHeight="false" outlineLevel="0" collapsed="false">
      <c r="A80" s="60"/>
      <c r="B80" s="60"/>
      <c r="C80" s="60"/>
      <c r="D80" s="60"/>
      <c r="E80" s="70"/>
      <c r="F80" s="60"/>
      <c r="G80" s="60"/>
    </row>
    <row r="81" customFormat="false" ht="12.75" hidden="false" customHeight="false" outlineLevel="0" collapsed="false">
      <c r="A81" s="60"/>
      <c r="B81" s="60"/>
      <c r="C81" s="60"/>
      <c r="D81" s="60"/>
      <c r="E81" s="60"/>
      <c r="F81" s="60"/>
      <c r="G81" s="60"/>
    </row>
    <row r="82" customFormat="false" ht="12.75" hidden="false" customHeight="false" outlineLevel="0" collapsed="false">
      <c r="A82" s="60"/>
      <c r="B82" s="60"/>
      <c r="C82" s="60"/>
      <c r="D82" s="60"/>
      <c r="E82" s="70"/>
      <c r="F82" s="60"/>
      <c r="G82" s="60"/>
    </row>
    <row r="83" customFormat="false" ht="12.75" hidden="false" customHeight="false" outlineLevel="0" collapsed="false">
      <c r="A83" s="60"/>
      <c r="B83" s="60"/>
      <c r="C83" s="60"/>
      <c r="D83" s="60"/>
      <c r="E83" s="60"/>
      <c r="F83" s="60"/>
      <c r="G83" s="60"/>
    </row>
  </sheetData>
  <mergeCells count="5">
    <mergeCell ref="B4:I4"/>
    <mergeCell ref="B6:C6"/>
    <mergeCell ref="E6:F6"/>
    <mergeCell ref="H6:I6"/>
    <mergeCell ref="K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/ &amp;T&amp;C&amp;A&amp;R&amp;F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1" width="9.14"/>
    <col collapsed="false" customWidth="true" hidden="false" outlineLevel="0" max="2" min="2" style="71" width="13.99"/>
    <col collapsed="false" customWidth="false" hidden="false" outlineLevel="0" max="3" min="3" style="71" width="9.14"/>
    <col collapsed="false" customWidth="true" hidden="false" outlineLevel="0" max="4" min="4" style="71" width="11.13"/>
    <col collapsed="false" customWidth="true" hidden="false" outlineLevel="0" max="5" min="5" style="71" width="11.56"/>
    <col collapsed="false" customWidth="true" hidden="false" outlineLevel="0" max="6" min="6" style="71" width="13.85"/>
    <col collapsed="false" customWidth="true" hidden="false" outlineLevel="0" max="7" min="7" style="71" width="11.56"/>
    <col collapsed="false" customWidth="true" hidden="false" outlineLevel="0" max="8" min="8" style="71" width="16.7"/>
    <col collapsed="false" customWidth="false" hidden="false" outlineLevel="0" max="9" min="9" style="71" width="9.14"/>
    <col collapsed="false" customWidth="true" hidden="false" outlineLevel="0" max="10" min="10" style="71" width="16.56"/>
    <col collapsed="false" customWidth="false" hidden="false" outlineLevel="0" max="257" min="11" style="71" width="9.14"/>
  </cols>
  <sheetData>
    <row r="1" customFormat="false" ht="13.5" hidden="false" customHeight="false" outlineLevel="0" collapsed="false"/>
    <row r="2" customFormat="false" ht="16.5" hidden="false" customHeight="false" outlineLevel="0" collapsed="false">
      <c r="H2" s="72" t="str">
        <f aca="false">+Key!C7</f>
        <v>Austin</v>
      </c>
    </row>
    <row r="3" customFormat="false" ht="12.75" hidden="false" customHeight="false" outlineLevel="0" collapsed="false">
      <c r="G3" s="73"/>
    </row>
    <row r="5" customFormat="false" ht="38.25" hidden="false" customHeight="false" outlineLevel="0" collapsed="false">
      <c r="G5" s="71" t="s">
        <v>73</v>
      </c>
      <c r="I5" s="71" t="s">
        <v>74</v>
      </c>
    </row>
    <row r="6" customFormat="false" ht="12.75" hidden="false" customHeight="false" outlineLevel="0" collapsed="false">
      <c r="G6" s="73" t="n">
        <f aca="false">+Pre!F13</f>
        <v>18.0128867607922</v>
      </c>
      <c r="I6" s="71" t="str">
        <f aca="false">+Key!C4</f>
        <v>Boulder</v>
      </c>
    </row>
    <row r="9" customFormat="false" ht="13.5" hidden="false" customHeight="false" outlineLevel="0" collapsed="false">
      <c r="D9" s="74" t="s">
        <v>75</v>
      </c>
      <c r="F9" s="75" t="str">
        <f aca="false">+Key!C4</f>
        <v>Boulder</v>
      </c>
    </row>
    <row r="10" customFormat="false" ht="16.5" hidden="false" customHeight="false" outlineLevel="0" collapsed="false">
      <c r="B10" s="72" t="str">
        <f aca="false">+Key!C6</f>
        <v>Norman</v>
      </c>
      <c r="H10" s="72" t="str">
        <f aca="false">+Key!C8</f>
        <v>Tucson</v>
      </c>
    </row>
    <row r="11" customFormat="false" ht="12.75" hidden="false" customHeight="false" outlineLevel="0" collapsed="false">
      <c r="E11" s="71" t="s">
        <v>73</v>
      </c>
      <c r="F11" s="73" t="n">
        <f aca="false">+Pre!C13/0.825*0.325</f>
        <v>33.4525039843283</v>
      </c>
    </row>
    <row r="12" customFormat="false" ht="12.75" hidden="false" customHeight="false" outlineLevel="0" collapsed="false">
      <c r="F12" s="76" t="n">
        <f aca="false">-+(-G17-D21)/0.98*0.01</f>
        <v>-4.61919255551256</v>
      </c>
    </row>
    <row r="13" customFormat="false" ht="13.5" hidden="false" customHeight="false" outlineLevel="0" collapsed="false">
      <c r="F13" s="77" t="n">
        <f aca="false">SUM(F11:F12)</f>
        <v>28.8333114288157</v>
      </c>
    </row>
    <row r="14" customFormat="false" ht="13.5" hidden="false" customHeight="false" outlineLevel="0" collapsed="false">
      <c r="G14" s="78" t="n">
        <f aca="false">-((I17+J17)+(-D21/0.98*0.02))*0.98/Pre!I7</f>
        <v>1.65525198233797</v>
      </c>
      <c r="I14" s="79" t="n">
        <f aca="false">+Pre!T6</f>
        <v>2.809306</v>
      </c>
    </row>
    <row r="15" customFormat="false" ht="12.75" hidden="false" customHeight="false" outlineLevel="0" collapsed="false">
      <c r="G15" s="78" t="str">
        <f aca="false">+Key!C4</f>
        <v>Boulder</v>
      </c>
      <c r="I15" s="79" t="str">
        <f aca="false">+Key!C5</f>
        <v>Tempe</v>
      </c>
      <c r="J15" s="79" t="str">
        <f aca="false">+I15</f>
        <v>Tempe</v>
      </c>
    </row>
    <row r="16" customFormat="false" ht="25.5" hidden="false" customHeight="false" outlineLevel="0" collapsed="false">
      <c r="G16" s="71" t="s">
        <v>76</v>
      </c>
      <c r="I16" s="71" t="s">
        <v>77</v>
      </c>
      <c r="J16" s="71" t="s">
        <v>78</v>
      </c>
    </row>
    <row r="17" customFormat="false" ht="12.75" hidden="false" customHeight="false" outlineLevel="0" collapsed="false">
      <c r="E17" s="75"/>
      <c r="G17" s="80" t="n">
        <f aca="false">-G14*Pre!I7</f>
        <v>-65.5810835402305</v>
      </c>
      <c r="I17" s="73" t="n">
        <f aca="false">-Pre!T13</f>
        <v>-65.4087543655413</v>
      </c>
      <c r="J17" s="73" t="n">
        <f aca="false">-Pre!N13</f>
        <v>-9.41071428571429</v>
      </c>
      <c r="K17" s="80"/>
    </row>
    <row r="20" customFormat="false" ht="12.75" hidden="false" customHeight="false" outlineLevel="0" collapsed="false">
      <c r="D20" s="78" t="n">
        <f aca="false">+D26/(Pre!I7/Pre!Q7)</f>
        <v>9.77031264260475</v>
      </c>
      <c r="E20" s="81" t="str">
        <f aca="false">+Key!C4</f>
        <v>Boulder</v>
      </c>
      <c r="F20" s="74" t="s">
        <v>76</v>
      </c>
    </row>
    <row r="21" customFormat="false" ht="12.75" hidden="false" customHeight="false" outlineLevel="0" collapsed="false">
      <c r="D21" s="80" t="n">
        <f aca="false">-D20*Pre!I7</f>
        <v>-387.0997869</v>
      </c>
    </row>
    <row r="22" customFormat="false" ht="12.75" hidden="false" customHeight="false" outlineLevel="0" collapsed="false">
      <c r="D22" s="71" t="str">
        <f aca="false">+Key!C5</f>
        <v>Tempe</v>
      </c>
      <c r="F22" s="71" t="str">
        <f aca="false">+E20</f>
        <v>Boulder</v>
      </c>
    </row>
    <row r="23" customFormat="false" ht="25.5" hidden="false" customHeight="false" outlineLevel="0" collapsed="false">
      <c r="D23" s="71" t="s">
        <v>23</v>
      </c>
      <c r="F23" s="71" t="s">
        <v>79</v>
      </c>
    </row>
    <row r="24" customFormat="false" ht="13.5" hidden="false" customHeight="false" outlineLevel="0" collapsed="false">
      <c r="D24" s="71" t="n">
        <f aca="false">+D26/D20</f>
        <v>1.50360531309298</v>
      </c>
      <c r="E24" s="71" t="s">
        <v>80</v>
      </c>
      <c r="F24" s="71" t="n">
        <v>1</v>
      </c>
    </row>
    <row r="25" customFormat="false" ht="16.5" hidden="false" customHeight="false" outlineLevel="0" collapsed="false">
      <c r="B25" s="72" t="str">
        <f aca="false">+Key!C5</f>
        <v>Tempe</v>
      </c>
      <c r="H25" s="72" t="str">
        <f aca="false">+Key!C4</f>
        <v>Boulder</v>
      </c>
    </row>
    <row r="26" customFormat="false" ht="12.75" hidden="false" customHeight="false" outlineLevel="0" collapsed="false">
      <c r="D26" s="79" t="n">
        <f aca="false">+Pre!Q6</f>
        <v>14.690694</v>
      </c>
      <c r="E26" s="71" t="str">
        <f aca="false">+D22</f>
        <v>Tempe</v>
      </c>
      <c r="F26" s="74" t="s">
        <v>76</v>
      </c>
    </row>
    <row r="27" customFormat="false" ht="12.75" hidden="false" customHeight="false" outlineLevel="0" collapsed="false">
      <c r="D27" s="73" t="n">
        <f aca="false">-Pre!Q13</f>
        <v>-387.0997869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/ &amp;T&amp;C&amp;A&amp;R&amp;F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2001-07-12T14:36:11Z</dcterms:created>
  <dc:creator>jpeters1</dc:creator>
  <dc:description/>
  <dc:language>en-US</dc:language>
  <cp:lastModifiedBy>jpeters1</cp:lastModifiedBy>
  <cp:lastPrinted>2001-09-12T13:13:45Z</cp:lastPrinted>
  <dcterms:modified xsi:type="dcterms:W3CDTF">2001-09-12T13:13:50Z</dcterms:modified>
  <cp:revision>0</cp:revision>
  <dc:subject/>
  <dc:title/>
</cp:coreProperties>
</file>