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7.xml" ContentType="application/vnd.ms-excel.controlproperties+xml"/>
  <Override PartName="/xl/ctrlProps/ctrlProps8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IN" sheetId="1" state="visible" r:id="rId3"/>
    <sheet name="CALC" sheetId="2" state="visible" r:id="rId4"/>
    <sheet name="FetchingMacros" sheetId="3" state="hidden" r:id="rId5"/>
    <sheet name="PricingMacros" sheetId="4" state="hidden" r:id="rId6"/>
    <sheet name="SavingMacros" sheetId="5" state="hidden" r:id="rId7"/>
  </sheets>
  <definedNames>
    <definedName function="false" hidden="false" name="CalcMode" vbProcedure="false">MAIN!$W$14</definedName>
    <definedName function="false" hidden="false" name="CollarValue" vbProcedure="false">MAIN!$C$26</definedName>
    <definedName function="false" hidden="false" name="CostlessCollarSpecification" vbProcedure="false">MAIN!$W$9</definedName>
    <definedName function="false" hidden="false" name="DateCurve" vbProcedure="false">MAIN!$B$6</definedName>
    <definedName function="false" hidden="false" name="DateEnd" vbProcedure="false">MAIN!$G$5</definedName>
    <definedName function="false" hidden="false" name="DateEnd2" vbProcedure="false">MAIN!$S$5</definedName>
    <definedName function="false" hidden="false" name="DateIR" vbProcedure="false">MAIN!$B$5</definedName>
    <definedName function="false" hidden="false" name="DateStart" vbProcedure="false">MAIN!$G$4</definedName>
    <definedName function="false" hidden="false" name="DateStart2" vbProcedure="false">MAIN!$S$4</definedName>
    <definedName function="false" hidden="false" name="DateToday" vbProcedure="false">MAIN!$B$3</definedName>
    <definedName function="false" hidden="false" name="DaysForThetaCalculation" vbProcedure="false">MAIN!$W$13</definedName>
    <definedName function="false" hidden="false" name="Escalation" vbProcedure="false">MAIN!$Q$30</definedName>
    <definedName function="false" hidden="false" name="EuroExpDateToggle" vbProcedure="false">MAIN!$W$10</definedName>
    <definedName function="false" hidden="false" name="ExtendableFirstAdjustment" vbProcedure="false">MAIN!$W$18</definedName>
    <definedName function="false" hidden="false" name="ExtendableSwapValue" vbProcedure="false">MAIN!$W$17</definedName>
    <definedName function="false" hidden="false" name="FirstPricingMonth" vbProcedure="false">CALC!$I$5</definedName>
    <definedName function="false" hidden="false" name="HorizontalPriceOffset" vbProcedure="false">MAIN!$AE$15</definedName>
    <definedName function="false" hidden="false" name="HorizontalVolOffset" vbProcedure="false">MAIN!$AE$16</definedName>
    <definedName function="false" hidden="false" name="NominalVolume" vbProcedure="false">MAIN!$O$29</definedName>
    <definedName function="false" hidden="false" name="OptControl" vbProcedure="false">MAIN!$W$6</definedName>
    <definedName function="false" hidden="false" name="ParticipatingFirstAdjustment" vbProcedure="false">MAIN!$W$21</definedName>
    <definedName function="false" hidden="false" name="ParticipatingSwapPrice" vbProcedure="false">MAIN!$S$16</definedName>
    <definedName function="false" hidden="false" name="ParticipatingSwapValue" vbProcedure="false">MAIN!$W$20</definedName>
    <definedName function="false" hidden="false" name="ParticipationRate" vbProcedure="false">MAIN!$P$16</definedName>
    <definedName function="false" hidden="false" name="ParticipationType" vbProcedure="false">MAIN!$W$8</definedName>
    <definedName function="false" hidden="false" name="PositionGCHOPrice" vbProcedure="false">CALC!$CM$5</definedName>
    <definedName function="false" hidden="false" name="PositionGCHUPrice" vbProcedure="false">CALC!$BZ$5</definedName>
    <definedName function="false" hidden="false" name="PositionHOPrice" vbProcedure="false">CALC!$CF$5</definedName>
    <definedName function="false" hidden="false" name="PositionHOVol" vbProcedure="false">CALC!$DB$5</definedName>
    <definedName function="false" hidden="false" name="PositionHUPrice" vbProcedure="false">CALC!$BS$5</definedName>
    <definedName function="false" hidden="false" name="PositionHUVol" vbProcedure="false">CALC!$CX$5</definedName>
    <definedName function="false" hidden="false" name="PositionIR" vbProcedure="false">CALC!$AE$5</definedName>
    <definedName function="false" hidden="false" name="PositionKEROPrice" vbProcedure="false">CALC!$CS$5</definedName>
    <definedName function="false" hidden="false" name="PositionResid1GC" vbProcedure="false">CALC!$DL$5</definedName>
    <definedName function="false" hidden="false" name="PositionResid1NY" vbProcedure="false">CALC!$DH$5</definedName>
    <definedName function="false" hidden="false" name="PositionResid2NY" vbProcedure="false">CALC!$DT$5</definedName>
    <definedName function="false" hidden="false" name="PositionResid3GC" vbProcedure="false">CALC!$DP$5</definedName>
    <definedName function="false" hidden="false" name="PositionWTIPrice" vbProcedure="false">CALC!$R$5</definedName>
    <definedName function="false" hidden="false" name="PositionWTIVol" vbProcedure="false">CALC!$W$5</definedName>
    <definedName function="false" hidden="false" name="PriceSpreadAsian" vbProcedure="false">MAIN!$F$15</definedName>
    <definedName function="false" hidden="false" name="PriceSpreadEuro" vbProcedure="false">MAIN!$F$16</definedName>
    <definedName function="false" hidden="false" name="Product" vbProcedure="false">MAIN!$W$5</definedName>
    <definedName function="false" hidden="false" name="ProductGroup" vbProcedure="false">MAIN!$W$4</definedName>
    <definedName function="false" hidden="false" name="ProductSpreadTable" vbProcedure="false">CALC!$DY$12:$EF$28</definedName>
    <definedName function="false" hidden="false" name="ResidSpreadTable" vbProcedure="false">CALC!$DY$36:$EC$53</definedName>
    <definedName function="false" hidden="false" name="SkewFlag" vbProcedure="false">MAIN!$W$11</definedName>
    <definedName function="false" hidden="false" name="Strike1" vbProcedure="false">MAIN!$G$19</definedName>
    <definedName function="false" hidden="false" name="Strike2" vbProcedure="false">MAIN!$G$20</definedName>
    <definedName function="false" hidden="false" name="StrikeSpec1" vbProcedure="false">MAIN!$F$19</definedName>
    <definedName function="false" hidden="false" name="StrikeSpec2" vbProcedure="false">MAIN!$F$20</definedName>
    <definedName function="false" hidden="false" name="SwaptionPremium" vbProcedure="false">MAIN!$S$12</definedName>
    <definedName function="false" hidden="false" name="SwaptionStrike" vbProcedure="false">MAIN!$S$9</definedName>
    <definedName function="false" hidden="false" name="SwaptionType" vbProcedure="false">MAIN!$W$7</definedName>
    <definedName function="false" hidden="false" name="SwaptionUnderlyingPrice" vbProcedure="false">MAIN!$S$11</definedName>
    <definedName function="false" hidden="false" name="UnderlyingPriceAsian" vbProcedure="false">MAIN!$K$26</definedName>
    <definedName function="false" hidden="false" name="VolOverrideAsian" vbProcedure="false">MAIN!$D$15</definedName>
    <definedName function="false" hidden="false" name="VolOverrideEuro" vbProcedure="false">MAIN!$D$16</definedName>
    <definedName function="false" hidden="false" name="VolSkewTable" vbProcedure="false">CALC!$A$5:$G$10</definedName>
    <definedName function="false" hidden="false" name="VolSpreadAsian" vbProcedure="false">MAIN!$C$15</definedName>
    <definedName function="false" hidden="false" name="VolSpreadEuro" vbProcedure="false">MAIN!$C$16</definedName>
    <definedName function="false" hidden="false" name="Volume" vbProcedure="false">MAIN!$N$29</definedName>
    <definedName function="false" hidden="false" name="VolumeSwaption" vbProcedure="false">MAIN!$N$30</definedName>
    <definedName function="false" hidden="false" name="YearStart" vbProcedure="false">MAIN!$F$4</definedName>
    <definedName function="true" hidden="false" name="xEURO" vbProcedure="true"/>
    <definedName function="true" hidden="false" name="xASN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<sst xmlns="http://schemas.openxmlformats.org/spreadsheetml/2006/main" count="412" uniqueCount="193">
  <si>
    <t xml:space="preserve">Pricing as of</t>
  </si>
  <si>
    <t xml:space="preserve">Swap/Option Term</t>
  </si>
  <si>
    <t xml:space="preserve">Futures Volatilities</t>
  </si>
  <si>
    <t xml:space="preserve">Swaption Term</t>
  </si>
  <si>
    <t xml:space="preserve">Month</t>
  </si>
  <si>
    <t xml:space="preserve">Year</t>
  </si>
  <si>
    <t xml:space="preserve">Date</t>
  </si>
  <si>
    <t xml:space="preserve">Gasoline</t>
  </si>
  <si>
    <t xml:space="preserve">Heating Oil</t>
  </si>
  <si>
    <t xml:space="preserve">Controls</t>
  </si>
  <si>
    <t xml:space="preserve">Code Table</t>
  </si>
  <si>
    <t xml:space="preserve">Rudy</t>
  </si>
  <si>
    <t xml:space="preserve">Gas</t>
  </si>
  <si>
    <t xml:space="preserve">HO</t>
  </si>
  <si>
    <t xml:space="preserve">Jet</t>
  </si>
  <si>
    <t xml:space="preserve">Start</t>
  </si>
  <si>
    <t xml:space="preserve">Current</t>
  </si>
  <si>
    <t xml:space="preserve">Change</t>
  </si>
  <si>
    <t xml:space="preserve">Product Group</t>
  </si>
  <si>
    <t xml:space="preserve">Jan</t>
  </si>
  <si>
    <t xml:space="preserve">F</t>
  </si>
  <si>
    <t xml:space="preserve">Hector</t>
  </si>
  <si>
    <t xml:space="preserve">IR</t>
  </si>
  <si>
    <t xml:space="preserve">End</t>
  </si>
  <si>
    <t xml:space="preserve">Vols</t>
  </si>
  <si>
    <t xml:space="preserve">to Prev</t>
  </si>
  <si>
    <t xml:space="preserve">Product</t>
  </si>
  <si>
    <t xml:space="preserve">Feb</t>
  </si>
  <si>
    <t xml:space="preserve">G</t>
  </si>
  <si>
    <t xml:space="preserve"> </t>
  </si>
  <si>
    <t xml:space="preserve">Crude</t>
  </si>
  <si>
    <t xml:space="preserve">Option Control</t>
  </si>
  <si>
    <t xml:space="preserve">Mar</t>
  </si>
  <si>
    <t xml:space="preserve">H</t>
  </si>
  <si>
    <t xml:space="preserve">NYH</t>
  </si>
  <si>
    <t xml:space="preserve">GC</t>
  </si>
  <si>
    <t xml:space="preserve">Fuel</t>
  </si>
  <si>
    <t xml:space="preserve">Swap Pricing Results</t>
  </si>
  <si>
    <t xml:space="preserve">Swaption &amp; Extendable Pricing</t>
  </si>
  <si>
    <t xml:space="preserve">Swaption Type</t>
  </si>
  <si>
    <t xml:space="preserve">Apr</t>
  </si>
  <si>
    <t xml:space="preserve">J</t>
  </si>
  <si>
    <t xml:space="preserve">WTI</t>
  </si>
  <si>
    <t xml:space="preserve">Vol</t>
  </si>
  <si>
    <t xml:space="preserve">Participation Type</t>
  </si>
  <si>
    <t xml:space="preserve">May</t>
  </si>
  <si>
    <t xml:space="preserve">K</t>
  </si>
  <si>
    <t xml:space="preserve">Swap</t>
  </si>
  <si>
    <t xml:space="preserve">Expiry</t>
  </si>
  <si>
    <t xml:space="preserve">Strike</t>
  </si>
  <si>
    <t xml:space="preserve">Costless Collar Specification</t>
  </si>
  <si>
    <t xml:space="preserve">Jun</t>
  </si>
  <si>
    <t xml:space="preserve">M</t>
  </si>
  <si>
    <t xml:space="preserve">Swap 2 Price</t>
  </si>
  <si>
    <t xml:space="preserve">Swap 1</t>
  </si>
  <si>
    <t xml:space="preserve">Euro Expiration Dates</t>
  </si>
  <si>
    <t xml:space="preserve">Jul</t>
  </si>
  <si>
    <t xml:space="preserve">N</t>
  </si>
  <si>
    <t xml:space="preserve">Up/Down</t>
  </si>
  <si>
    <t xml:space="preserve">Regular</t>
  </si>
  <si>
    <t xml:space="preserve">Swap 2</t>
  </si>
  <si>
    <t xml:space="preserve">Skew On/Off</t>
  </si>
  <si>
    <t xml:space="preserve">Aug</t>
  </si>
  <si>
    <t xml:space="preserve">Q</t>
  </si>
  <si>
    <t xml:space="preserve">Option Input Adjustments</t>
  </si>
  <si>
    <t xml:space="preserve">Override</t>
  </si>
  <si>
    <t xml:space="preserve">Prem</t>
  </si>
  <si>
    <t xml:space="preserve">Sep</t>
  </si>
  <si>
    <t xml:space="preserve">U</t>
  </si>
  <si>
    <t xml:space="preserve">Price Spread</t>
  </si>
  <si>
    <t xml:space="preserve">Price</t>
  </si>
  <si>
    <t xml:space="preserve">Days for Theta Calculation</t>
  </si>
  <si>
    <t xml:space="preserve">Oct</t>
  </si>
  <si>
    <t xml:space="preserve">V</t>
  </si>
  <si>
    <t xml:space="preserve">Spread</t>
  </si>
  <si>
    <t xml:space="preserve">Specify</t>
  </si>
  <si>
    <t xml:space="preserve">Used</t>
  </si>
  <si>
    <t xml:space="preserve">Participating Swap Pricing</t>
  </si>
  <si>
    <t xml:space="preserve">Calc Mode (1-Auto, 2-Man)</t>
  </si>
  <si>
    <t xml:space="preserve">Nov</t>
  </si>
  <si>
    <t xml:space="preserve">X</t>
  </si>
  <si>
    <t xml:space="preserve">Asian</t>
  </si>
  <si>
    <t xml:space="preserve">Rate</t>
  </si>
  <si>
    <t xml:space="preserve">Dec</t>
  </si>
  <si>
    <t xml:space="preserve">Z</t>
  </si>
  <si>
    <t xml:space="preserve">Horizontal Price Offset</t>
  </si>
  <si>
    <t xml:space="preserve">Euro</t>
  </si>
  <si>
    <t xml:space="preserve">Extendable Swap</t>
  </si>
  <si>
    <t xml:space="preserve">Horizontal Vol Offset</t>
  </si>
  <si>
    <t xml:space="preserve">Combination Type</t>
  </si>
  <si>
    <t xml:space="preserve">Strikes</t>
  </si>
  <si>
    <t xml:space="preserve">Value</t>
  </si>
  <si>
    <t xml:space="preserve">Costless Collar Pricing</t>
  </si>
  <si>
    <t xml:space="preserve">Euro Exp Date</t>
  </si>
  <si>
    <t xml:space="preserve">Vol Skew</t>
  </si>
  <si>
    <t xml:space="preserve">First Adjustment</t>
  </si>
  <si>
    <t xml:space="preserve">Participating Swap</t>
  </si>
  <si>
    <t xml:space="preserve">Option Pricing Results</t>
  </si>
  <si>
    <t xml:space="preserve">Delta</t>
  </si>
  <si>
    <t xml:space="preserve">Gamma</t>
  </si>
  <si>
    <t xml:space="preserve">Vega</t>
  </si>
  <si>
    <t xml:space="preserve">Delta*</t>
  </si>
  <si>
    <t xml:space="preserve">Gamma*</t>
  </si>
  <si>
    <t xml:space="preserve">Effect. Vol</t>
  </si>
  <si>
    <t xml:space="preserve">Crack Spreads</t>
  </si>
  <si>
    <t xml:space="preserve">Calculation Mode</t>
  </si>
  <si>
    <t xml:space="preserve">Swap Price</t>
  </si>
  <si>
    <t xml:space="preserve">Volumes</t>
  </si>
  <si>
    <t xml:space="preserve">Monthly</t>
  </si>
  <si>
    <t xml:space="preserve">Total</t>
  </si>
  <si>
    <t xml:space="preserve">Volume</t>
  </si>
  <si>
    <t xml:space="preserve">Nom</t>
  </si>
  <si>
    <t xml:space="preserve">PV</t>
  </si>
  <si>
    <t xml:space="preserve">Esca-</t>
  </si>
  <si>
    <t xml:space="preserve">Fut Price</t>
  </si>
  <si>
    <t xml:space="preserve">Swap/Opt</t>
  </si>
  <si>
    <t xml:space="preserve">lation</t>
  </si>
  <si>
    <t xml:space="preserve">Swaption</t>
  </si>
  <si>
    <t xml:space="preserve">Trading</t>
  </si>
  <si>
    <t xml:space="preserve">Days</t>
  </si>
  <si>
    <t xml:space="preserve">Years to</t>
  </si>
  <si>
    <t xml:space="preserve">WTI NYMEX</t>
  </si>
  <si>
    <t xml:space="preserve">Volatility Information</t>
  </si>
  <si>
    <t xml:space="preserve">Asian Options</t>
  </si>
  <si>
    <t xml:space="preserve">Euro Options</t>
  </si>
  <si>
    <t xml:space="preserve">Gasoline Price, Nymex</t>
  </si>
  <si>
    <t xml:space="preserve">Gasoline Price, Gulf Coast</t>
  </si>
  <si>
    <t xml:space="preserve">Heating Oil Price, Nymex</t>
  </si>
  <si>
    <t xml:space="preserve">Heating Oil Price, Gulf Coast</t>
  </si>
  <si>
    <t xml:space="preserve">Jet Fuel Price, Gulf Coast</t>
  </si>
  <si>
    <t xml:space="preserve">Gasoline Vol, Nymex</t>
  </si>
  <si>
    <t xml:space="preserve">Heating Oil Vol, Nymex</t>
  </si>
  <si>
    <t xml:space="preserve">Resid, 1% NY Harbor</t>
  </si>
  <si>
    <t xml:space="preserve">Resid, 1% Gulf Coast</t>
  </si>
  <si>
    <t xml:space="preserve">Resid, 3% Gulf Coast</t>
  </si>
  <si>
    <t xml:space="preserve">Resid, 2.2% NY Harbor</t>
  </si>
  <si>
    <t xml:space="preserve">Vol Skew Table</t>
  </si>
  <si>
    <t xml:space="preserve">Deal</t>
  </si>
  <si>
    <t xml:space="preserve">Futures</t>
  </si>
  <si>
    <t xml:space="preserve">Y</t>
  </si>
  <si>
    <t xml:space="preserve">to Euro</t>
  </si>
  <si>
    <t xml:space="preserve">Closing</t>
  </si>
  <si>
    <t xml:space="preserve">Interest</t>
  </si>
  <si>
    <t xml:space="preserve">Discount</t>
  </si>
  <si>
    <t xml:space="preserve">Escal</t>
  </si>
  <si>
    <t xml:space="preserve">Period 1</t>
  </si>
  <si>
    <t xml:space="preserve">Period 2</t>
  </si>
  <si>
    <t xml:space="preserve">Under-</t>
  </si>
  <si>
    <t xml:space="preserve">Moneyness</t>
  </si>
  <si>
    <t xml:space="preserve">Previous</t>
  </si>
  <si>
    <t xml:space="preserve">Vol Skew, Strike Above</t>
  </si>
  <si>
    <t xml:space="preserve">Vol Skew, Strike Below</t>
  </si>
  <si>
    <t xml:space="preserve">Weight</t>
  </si>
  <si>
    <t xml:space="preserve">in</t>
  </si>
  <si>
    <t xml:space="preserve">Opt</t>
  </si>
  <si>
    <t xml:space="preserve">Option</t>
  </si>
  <si>
    <t xml:space="preserve">Nymex</t>
  </si>
  <si>
    <t xml:space="preserve">Skew</t>
  </si>
  <si>
    <t xml:space="preserve">Strike Is Above Underlying</t>
  </si>
  <si>
    <t xml:space="preserve">Strike Is Below Underlying</t>
  </si>
  <si>
    <t xml:space="preserve">Factor</t>
  </si>
  <si>
    <t xml:space="preserve">lying</t>
  </si>
  <si>
    <t xml:space="preserve">ATM</t>
  </si>
  <si>
    <t xml:space="preserve">Premium</t>
  </si>
  <si>
    <t xml:space="preserve">Theta</t>
  </si>
  <si>
    <t xml:space="preserve">Fut</t>
  </si>
  <si>
    <t xml:space="preserve">Out</t>
  </si>
  <si>
    <t xml:space="preserve">Dates</t>
  </si>
  <si>
    <t xml:space="preserve">Split</t>
  </si>
  <si>
    <t xml:space="preserve">(cents)</t>
  </si>
  <si>
    <t xml:space="preserve">Prev</t>
  </si>
  <si>
    <t xml:space="preserve">Curr</t>
  </si>
  <si>
    <t xml:space="preserve">Match</t>
  </si>
  <si>
    <t xml:space="preserve">$/bbl</t>
  </si>
  <si>
    <t xml:space="preserve">c/gal</t>
  </si>
  <si>
    <t xml:space="preserve">to WTI</t>
  </si>
  <si>
    <t xml:space="preserve">Ch</t>
  </si>
  <si>
    <t xml:space="preserve">to Nymex</t>
  </si>
  <si>
    <t xml:space="preserve">to HONH</t>
  </si>
  <si>
    <t xml:space="preserve">Rudy's WTI-Product Spreads</t>
  </si>
  <si>
    <t xml:space="preserve">Price Spreads Annual Escalators</t>
  </si>
  <si>
    <t xml:space="preserve">to-WTI Vol Spreads</t>
  </si>
  <si>
    <t xml:space="preserve">Gasoline to WTI</t>
  </si>
  <si>
    <t xml:space="preserve">Heating Oil to WTI</t>
  </si>
  <si>
    <t xml:space="preserve">JetFuel</t>
  </si>
  <si>
    <t xml:space="preserve">Heating</t>
  </si>
  <si>
    <t xml:space="preserve">Gulf Coast</t>
  </si>
  <si>
    <t xml:space="preserve">Oil</t>
  </si>
  <si>
    <t xml:space="preserve">Hector's WTI-Resid Spreads</t>
  </si>
  <si>
    <t xml:space="preserve">New York</t>
  </si>
  <si>
    <t xml:space="preserve">Gulf</t>
  </si>
  <si>
    <t xml:space="preserve">Harbor</t>
  </si>
  <si>
    <t xml:space="preserve">Coast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</si>
</sst>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mm/dd/yy"/>
    <numFmt numFmtId="166" formatCode="[$-409]mmm\-yy"/>
    <numFmt numFmtId="167" formatCode="0.0%"/>
    <numFmt numFmtId="168" formatCode="0.0000"/>
    <numFmt numFmtId="169" formatCode="0.000"/>
    <numFmt numFmtId="170" formatCode="0%"/>
    <numFmt numFmtId="171" formatCode="#,##0"/>
    <numFmt numFmtId="172" formatCode="0"/>
    <numFmt numFmtId="173" formatCode="0.00%"/>
    <numFmt numFmtId="174" formatCode="dd\-mmm\-yy_)"/>
    <numFmt numFmtId="175" formatCode="dd\-mmm\-yy"/>
    <numFmt numFmtId="176" formatCode="#,##0.00"/>
    <numFmt numFmtId="177" formatCode="_(* #,##0.000_);_(* \(#,##0.000\);_(* \-_);_(@_)"/>
    <numFmt numFmtId="178" formatCode="0.00"/>
  </numFmts>
  <fonts count="29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0"/>
    </font>
    <font>
      <b val="true"/>
      <sz val="9"/>
      <name val="Times New Roman"/>
      <family val="1"/>
    </font>
    <font>
      <b val="true"/>
      <sz val="11"/>
      <color rgb="FFE3E3E3"/>
      <name val="Times New Roman"/>
      <family val="1"/>
    </font>
    <font>
      <b val="true"/>
      <sz val="10"/>
      <name val="Arial"/>
      <family val="2"/>
    </font>
    <font>
      <b val="true"/>
      <sz val="10"/>
      <color rgb="FF0000FF"/>
      <name val="Times New Roman"/>
      <family val="0"/>
    </font>
    <font>
      <b val="true"/>
      <sz val="11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E3E3E3"/>
      <name val="Times New Roman"/>
      <family val="1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8"/>
      <name val="Times New Roman"/>
      <family val="1"/>
    </font>
    <font>
      <sz val="9"/>
      <name val="Times New Roman"/>
      <family val="1"/>
    </font>
    <font>
      <b val="true"/>
      <sz val="12"/>
      <name val="Times New Roman"/>
      <family val="1"/>
    </font>
    <font>
      <b val="true"/>
      <sz val="12"/>
      <color rgb="FFE3E3E3"/>
      <name val="Times New Roman"/>
      <family val="1"/>
    </font>
    <font>
      <b val="true"/>
      <sz val="10"/>
      <color rgb="FF993366"/>
      <name val="Arial"/>
      <family val="2"/>
    </font>
    <font>
      <b val="true"/>
      <sz val="10"/>
      <color rgb="FF336666"/>
      <name val="Arial"/>
      <family val="2"/>
    </font>
    <font>
      <b val="true"/>
      <sz val="10"/>
      <color rgb="FF000000"/>
      <name val="Times New Roman"/>
      <family val="1"/>
    </font>
    <font>
      <b val="true"/>
      <sz val="8"/>
      <color rgb="FF000000"/>
      <name val="Times New Roman"/>
      <family val="1"/>
    </font>
    <font>
      <b val="true"/>
      <sz val="8"/>
      <name val="Arial"/>
      <family val="2"/>
    </font>
    <font>
      <b val="true"/>
      <sz val="10"/>
      <color rgb="FF000000"/>
      <name val="Arial"/>
      <family val="2"/>
    </font>
    <font>
      <sz val="8"/>
      <name val="Times New Roman"/>
      <family val="1"/>
    </font>
    <font>
      <sz val="10"/>
      <color rgb="FF0000FF"/>
      <name val="Times New Roman"/>
      <family val="1"/>
    </font>
    <font>
      <sz val="8"/>
      <color rgb="FF0000FF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99CCFF"/>
      </patternFill>
    </fill>
    <fill>
      <patternFill patternType="solid">
        <fgColor rgb="FFFFFFC0"/>
        <bgColor rgb="FFFFFF99"/>
      </patternFill>
    </fill>
    <fill>
      <patternFill patternType="solid">
        <fgColor rgb="FFFFFFFF"/>
        <bgColor rgb="FFFFFFC0"/>
      </patternFill>
    </fill>
    <fill>
      <patternFill patternType="solid">
        <fgColor rgb="FFE3E3E3"/>
        <bgColor rgb="FFCCFFCC"/>
      </patternFill>
    </fill>
  </fills>
  <borders count="6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3" fillId="0" borderId="2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13" fillId="3" borderId="2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13" fillId="0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3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3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3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4" fillId="0" borderId="3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3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3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3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13" fillId="3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3" borderId="2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13" fillId="3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3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5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3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4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3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3" fillId="3" borderId="1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13" fillId="3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13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3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5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9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3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3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3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23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4" fillId="0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23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3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1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10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5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0" fillId="0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0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5" fontId="26" fillId="0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4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0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4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4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0" fillId="0" borderId="4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8" fillId="3" borderId="4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7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3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9720</xdr:rowOff>
        </xdr:from>
        <xdr:to>
          <xdr:col>18</xdr:col>
          <xdr:colOff>592200</xdr:colOff>
          <xdr:row>13</xdr:row>
          <xdr:rowOff>18720</xdr:rowOff>
        </xdr:to>
        <xdr:sp>
          <xdr:nvSpPr>
            <xdr:cNvPr id="1001" name="Button 2" descr="Calculate Extendable Swa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Calculate Extendable Swap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18</xdr:col>
          <xdr:colOff>644760</xdr:colOff>
          <xdr:row>17</xdr:row>
          <xdr:rowOff>-19440</xdr:rowOff>
        </xdr:to>
        <xdr:sp>
          <xdr:nvSpPr>
            <xdr:cNvPr id="1002" name="Button 3" descr="Calculate Participating Swa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Calculate Participating Swap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74160</xdr:colOff>
          <xdr:row>17</xdr:row>
          <xdr:rowOff>9360</xdr:rowOff>
        </xdr:from>
        <xdr:to>
          <xdr:col>3</xdr:col>
          <xdr:colOff>286200</xdr:colOff>
          <xdr:row>18</xdr:row>
          <xdr:rowOff>47880</xdr:rowOff>
        </xdr:to>
        <xdr:sp>
          <xdr:nvSpPr>
            <xdr:cNvPr id="0" name="Option Button 15" descr="Call+Put, Specified Strik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Call+Put, Specified Strikes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31320</xdr:colOff>
          <xdr:row>17</xdr:row>
          <xdr:rowOff>190800</xdr:rowOff>
        </xdr:from>
        <xdr:to>
          <xdr:col>3</xdr:col>
          <xdr:colOff>349560</xdr:colOff>
          <xdr:row>18</xdr:row>
          <xdr:rowOff>209520</xdr:rowOff>
        </xdr:to>
        <xdr:sp>
          <xdr:nvSpPr>
            <xdr:cNvPr id="0" name="Option Button 16" descr="Call+Put, At-the-Money Strik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Call+Put, At-the-Money Strike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63360</xdr:colOff>
          <xdr:row>18</xdr:row>
          <xdr:rowOff>171000</xdr:rowOff>
        </xdr:from>
        <xdr:to>
          <xdr:col>2</xdr:col>
          <xdr:colOff>159120</xdr:colOff>
          <xdr:row>19</xdr:row>
          <xdr:rowOff>162000</xdr:rowOff>
        </xdr:to>
        <xdr:sp>
          <xdr:nvSpPr>
            <xdr:cNvPr id="0" name="Option Button 17" descr="Call Spread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Call Spread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168840</xdr:colOff>
          <xdr:row>18</xdr:row>
          <xdr:rowOff>161640</xdr:rowOff>
        </xdr:from>
        <xdr:to>
          <xdr:col>3</xdr:col>
          <xdr:colOff>381240</xdr:colOff>
          <xdr:row>19</xdr:row>
          <xdr:rowOff>162000</xdr:rowOff>
        </xdr:to>
        <xdr:sp>
          <xdr:nvSpPr>
            <xdr:cNvPr id="0" name="Option Button 18" descr="Put Spread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Put Spread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63360</xdr:colOff>
          <xdr:row>7</xdr:row>
          <xdr:rowOff>9720</xdr:rowOff>
        </xdr:from>
        <xdr:to>
          <xdr:col>16</xdr:col>
          <xdr:colOff>720</xdr:colOff>
          <xdr:row>8</xdr:row>
          <xdr:rowOff>-19440</xdr:rowOff>
        </xdr:to>
        <xdr:sp>
          <xdr:nvSpPr>
            <xdr:cNvPr id="0" name="Option Button 21" descr="Cal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52560</xdr:colOff>
          <xdr:row>7</xdr:row>
          <xdr:rowOff>9720</xdr:rowOff>
        </xdr:from>
        <xdr:to>
          <xdr:col>17</xdr:col>
          <xdr:colOff>-189360</xdr:colOff>
          <xdr:row>8</xdr:row>
          <xdr:rowOff>-19440</xdr:rowOff>
        </xdr:to>
        <xdr:sp>
          <xdr:nvSpPr>
            <xdr:cNvPr id="0" name="Option Button 22" descr="Pu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666360</xdr:colOff>
          <xdr:row>8</xdr:row>
          <xdr:rowOff>0</xdr:rowOff>
        </xdr:to>
        <xdr:sp>
          <xdr:nvSpPr>
            <xdr:cNvPr id="0" name="Group Box 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9360</xdr:rowOff>
        </xdr:from>
        <xdr:to>
          <xdr:col>3</xdr:col>
          <xdr:colOff>602640</xdr:colOff>
          <xdr:row>19</xdr:row>
          <xdr:rowOff>190800</xdr:rowOff>
        </xdr:to>
        <xdr:sp>
          <xdr:nvSpPr>
            <xdr:cNvPr id="0" name="Group Box 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0</xdr:rowOff>
        </xdr:from>
        <xdr:to>
          <xdr:col>18</xdr:col>
          <xdr:colOff>720</xdr:colOff>
          <xdr:row>15</xdr:row>
          <xdr:rowOff>199800</xdr:rowOff>
        </xdr:to>
        <xdr:sp>
          <xdr:nvSpPr>
            <xdr:cNvPr id="0" name="Group Box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158400</xdr:colOff>
          <xdr:row>14</xdr:row>
          <xdr:rowOff>9360</xdr:rowOff>
        </xdr:from>
        <xdr:to>
          <xdr:col>17</xdr:col>
          <xdr:colOff>296640</xdr:colOff>
          <xdr:row>15</xdr:row>
          <xdr:rowOff>28800</xdr:rowOff>
        </xdr:to>
        <xdr:sp>
          <xdr:nvSpPr>
            <xdr:cNvPr id="0" name="Option Button 28" descr="Ups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Upside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158400</xdr:colOff>
          <xdr:row>14</xdr:row>
          <xdr:rowOff>161640</xdr:rowOff>
        </xdr:from>
        <xdr:to>
          <xdr:col>17</xdr:col>
          <xdr:colOff>275400</xdr:colOff>
          <xdr:row>15</xdr:row>
          <xdr:rowOff>181080</xdr:rowOff>
        </xdr:to>
        <xdr:sp>
          <xdr:nvSpPr>
            <xdr:cNvPr id="0" name="Option Button 29" descr="Downs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Downside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3</xdr:row>
          <xdr:rowOff>9360</xdr:rowOff>
        </xdr:from>
        <xdr:to>
          <xdr:col>2</xdr:col>
          <xdr:colOff>720</xdr:colOff>
          <xdr:row>4</xdr:row>
          <xdr:rowOff>9360</xdr:rowOff>
        </xdr:to>
        <xdr:sp>
          <xdr:nvSpPr>
            <xdr:cNvPr id="1003" name="Button 32" descr="Curve 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Curve Date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190440</xdr:colOff>
          <xdr:row>23</xdr:row>
          <xdr:rowOff>38160</xdr:rowOff>
        </xdr:from>
        <xdr:to>
          <xdr:col>22</xdr:col>
          <xdr:colOff>-517320</xdr:colOff>
          <xdr:row>24</xdr:row>
          <xdr:rowOff>18720</xdr:rowOff>
        </xdr:to>
        <xdr:sp>
          <xdr:nvSpPr>
            <xdr:cNvPr id="0" name="Option Button 33" descr="Automati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Automatic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1237680</xdr:colOff>
          <xdr:row>23</xdr:row>
          <xdr:rowOff>38160</xdr:rowOff>
        </xdr:from>
        <xdr:to>
          <xdr:col>22</xdr:col>
          <xdr:colOff>497520</xdr:colOff>
          <xdr:row>24</xdr:row>
          <xdr:rowOff>18720</xdr:rowOff>
        </xdr:to>
        <xdr:sp>
          <xdr:nvSpPr>
            <xdr:cNvPr id="0" name="Option Button 34" descr="Manua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Manual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20520</xdr:colOff>
          <xdr:row>23</xdr:row>
          <xdr:rowOff>18720</xdr:rowOff>
        </xdr:from>
        <xdr:to>
          <xdr:col>23</xdr:col>
          <xdr:colOff>11160</xdr:colOff>
          <xdr:row>24</xdr:row>
          <xdr:rowOff>47520</xdr:rowOff>
        </xdr:to>
        <xdr:sp>
          <xdr:nvSpPr>
            <xdr:cNvPr id="0" name="Group Box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180720</xdr:rowOff>
        </xdr:from>
        <xdr:to>
          <xdr:col>2</xdr:col>
          <xdr:colOff>-62640</xdr:colOff>
          <xdr:row>6</xdr:row>
          <xdr:rowOff>190800</xdr:rowOff>
        </xdr:to>
        <xdr:sp>
          <xdr:nvSpPr>
            <xdr:cNvPr id="0" name="Drop Down 1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12</xdr:row>
          <xdr:rowOff>104760</xdr:rowOff>
        </xdr:from>
        <xdr:to>
          <xdr:col>2</xdr:col>
          <xdr:colOff>-73440</xdr:colOff>
          <xdr:row>13</xdr:row>
          <xdr:rowOff>114480</xdr:rowOff>
        </xdr:to>
        <xdr:sp>
          <xdr:nvSpPr>
            <xdr:cNvPr id="0" name="Drop Down 1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570600</xdr:colOff>
          <xdr:row>19</xdr:row>
          <xdr:rowOff>190800</xdr:rowOff>
        </xdr:to>
        <xdr:sp>
          <xdr:nvSpPr>
            <xdr:cNvPr id="0" name="Group Box 18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42120</xdr:colOff>
          <xdr:row>18</xdr:row>
          <xdr:rowOff>9360</xdr:rowOff>
        </xdr:from>
        <xdr:to>
          <xdr:col>9</xdr:col>
          <xdr:colOff>539640</xdr:colOff>
          <xdr:row>19</xdr:row>
          <xdr:rowOff>9360</xdr:rowOff>
        </xdr:to>
        <xdr:sp>
          <xdr:nvSpPr>
            <xdr:cNvPr id="0" name="Option Button 190" descr="Cap Specified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Cap Specified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42120</xdr:colOff>
          <xdr:row>18</xdr:row>
          <xdr:rowOff>171000</xdr:rowOff>
        </xdr:from>
        <xdr:to>
          <xdr:col>9</xdr:col>
          <xdr:colOff>518040</xdr:colOff>
          <xdr:row>19</xdr:row>
          <xdr:rowOff>171360</xdr:rowOff>
        </xdr:to>
        <xdr:sp>
          <xdr:nvSpPr>
            <xdr:cNvPr id="0" name="Option Button 191" descr="Floor Specified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Floor Specified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21240</xdr:colOff>
          <xdr:row>18</xdr:row>
          <xdr:rowOff>0</xdr:rowOff>
        </xdr:from>
        <xdr:to>
          <xdr:col>11</xdr:col>
          <xdr:colOff>497520</xdr:colOff>
          <xdr:row>19</xdr:row>
          <xdr:rowOff>190800</xdr:rowOff>
        </xdr:to>
        <xdr:sp>
          <xdr:nvSpPr>
            <xdr:cNvPr id="1004" name="Button 192" descr="Calculate Costless&#10;Colla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Calculate Costless
Collar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0</xdr:rowOff>
        </xdr:from>
        <xdr:to>
          <xdr:col>14</xdr:col>
          <xdr:colOff>720</xdr:colOff>
          <xdr:row>19</xdr:row>
          <xdr:rowOff>190800</xdr:rowOff>
        </xdr:to>
        <xdr:sp>
          <xdr:nvSpPr>
            <xdr:cNvPr id="0" name="Group Box 20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42480</xdr:colOff>
          <xdr:row>18</xdr:row>
          <xdr:rowOff>9360</xdr:rowOff>
        </xdr:from>
        <xdr:to>
          <xdr:col>13</xdr:col>
          <xdr:colOff>465840</xdr:colOff>
          <xdr:row>19</xdr:row>
          <xdr:rowOff>9360</xdr:rowOff>
        </xdr:to>
        <xdr:sp>
          <xdr:nvSpPr>
            <xdr:cNvPr id="0" name="Option Button 201" descr="Exchan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Exchange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42480</xdr:colOff>
          <xdr:row>18</xdr:row>
          <xdr:rowOff>171000</xdr:rowOff>
        </xdr:from>
        <xdr:to>
          <xdr:col>13</xdr:col>
          <xdr:colOff>444240</xdr:colOff>
          <xdr:row>19</xdr:row>
          <xdr:rowOff>171360</xdr:rowOff>
        </xdr:to>
        <xdr:sp>
          <xdr:nvSpPr>
            <xdr:cNvPr id="0" name="Option Button 202" descr="Penultim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Penultimate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720</xdr:colOff>
          <xdr:row>19</xdr:row>
          <xdr:rowOff>190800</xdr:rowOff>
        </xdr:to>
        <xdr:sp>
          <xdr:nvSpPr>
            <xdr:cNvPr id="0" name="Group Box 2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42480</xdr:colOff>
          <xdr:row>18</xdr:row>
          <xdr:rowOff>9360</xdr:rowOff>
        </xdr:from>
        <xdr:to>
          <xdr:col>16</xdr:col>
          <xdr:colOff>-63000</xdr:colOff>
          <xdr:row>19</xdr:row>
          <xdr:rowOff>9360</xdr:rowOff>
        </xdr:to>
        <xdr:sp>
          <xdr:nvSpPr>
            <xdr:cNvPr id="0" name="Option Button 244" descr="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42480</xdr:colOff>
          <xdr:row>18</xdr:row>
          <xdr:rowOff>171000</xdr:rowOff>
        </xdr:from>
        <xdr:to>
          <xdr:col>16</xdr:col>
          <xdr:colOff>-73800</xdr:colOff>
          <xdr:row>19</xdr:row>
          <xdr:rowOff>171360</xdr:rowOff>
        </xdr:to>
        <xdr:sp>
          <xdr:nvSpPr>
            <xdr:cNvPr id="0" name="Option Button 245" descr="Off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Off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128</xdr:col>
          <xdr:colOff>61920</xdr:colOff>
          <xdr:row>4</xdr:row>
          <xdr:rowOff>66960</xdr:rowOff>
        </xdr:from>
        <xdr:to>
          <xdr:col>135</xdr:col>
          <xdr:colOff>539640</xdr:colOff>
          <xdr:row>6</xdr:row>
          <xdr:rowOff>104760</xdr:rowOff>
        </xdr:to>
        <xdr:sp>
          <xdr:nvSpPr>
            <xdr:cNvPr id="1001" name="Button 1494" descr="Save Gasoline, Heating Oil and Jet Fuel Spread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Gasoline, Heating Oil and Jet Fuel Spreads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</xdr:col>
          <xdr:colOff>30960</xdr:colOff>
          <xdr:row>29</xdr:row>
          <xdr:rowOff>19080</xdr:rowOff>
        </xdr:from>
        <xdr:to>
          <xdr:col>132</xdr:col>
          <xdr:colOff>634680</xdr:colOff>
          <xdr:row>30</xdr:row>
          <xdr:rowOff>133200</xdr:rowOff>
        </xdr:to>
        <xdr:sp>
          <xdr:nvSpPr>
            <xdr:cNvPr id="1002" name="Button 1495" descr="Save Resid Spread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Resid Spreads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7.xml"/><Relationship Id="rId4" Type="http://schemas.openxmlformats.org/officeDocument/2006/relationships/ctrlProp" Target="../ctrlProps/ctrlProps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0.65"/>
    <col collapsed="false" customWidth="true" hidden="false" outlineLevel="0" max="2" min="2" style="1" width="13.32"/>
    <col collapsed="false" customWidth="true" hidden="false" outlineLevel="0" max="7" min="3" style="1" width="9.65"/>
    <col collapsed="false" customWidth="true" hidden="false" outlineLevel="0" max="8" min="8" style="1" width="0.49"/>
    <col collapsed="false" customWidth="true" hidden="false" outlineLevel="0" max="9" min="9" style="1" width="8.49"/>
    <col collapsed="false" customWidth="true" hidden="false" outlineLevel="0" max="10" min="10" style="1" width="9.15"/>
    <col collapsed="false" customWidth="true" hidden="false" outlineLevel="0" max="11" min="11" style="1" width="10.82"/>
    <col collapsed="false" customWidth="true" hidden="false" outlineLevel="0" max="12" min="12" style="1" width="10.15"/>
    <col collapsed="false" customWidth="true" hidden="false" outlineLevel="0" max="13" min="13" style="2" width="9.65"/>
    <col collapsed="false" customWidth="true" hidden="false" outlineLevel="0" max="14" min="14" style="1" width="10.15"/>
    <col collapsed="false" customWidth="true" hidden="false" outlineLevel="0" max="16" min="15" style="1" width="8.99"/>
    <col collapsed="false" customWidth="true" hidden="false" outlineLevel="0" max="17" min="17" style="1" width="10.65"/>
    <col collapsed="false" customWidth="true" hidden="false" outlineLevel="0" max="18" min="18" style="1" width="9.49"/>
    <col collapsed="false" customWidth="true" hidden="false" outlineLevel="0" max="19" min="19" style="1" width="10.15"/>
    <col collapsed="false" customWidth="true" hidden="false" outlineLevel="0" max="20" min="20" style="1" width="1.82"/>
    <col collapsed="false" customWidth="true" hidden="false" outlineLevel="0" max="21" min="21" style="3" width="1.82"/>
    <col collapsed="false" customWidth="true" hidden="false" outlineLevel="0" max="22" min="22" style="1" width="25.82"/>
    <col collapsed="false" customWidth="true" hidden="false" outlineLevel="0" max="23" min="23" style="1" width="9.82"/>
    <col collapsed="false" customWidth="false" hidden="false" outlineLevel="0" max="24" min="24" style="1" width="9.32"/>
    <col collapsed="false" customWidth="true" hidden="false" outlineLevel="0" max="26" min="25" style="1" width="5.65"/>
    <col collapsed="false" customWidth="false" hidden="false" outlineLevel="0" max="27" min="27" style="1" width="9.32"/>
    <col collapsed="false" customWidth="true" hidden="false" outlineLevel="0" max="28" min="28" style="1" width="7.32"/>
    <col collapsed="false" customWidth="true" hidden="false" outlineLevel="0" max="29" min="29" style="1" width="11.32"/>
    <col collapsed="false" customWidth="false" hidden="false" outlineLevel="0" max="257" min="30" style="1" width="9.32"/>
  </cols>
  <sheetData>
    <row r="1" customFormat="false" ht="3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6"/>
      <c r="Q1" s="6"/>
      <c r="R1" s="6"/>
      <c r="S1" s="6"/>
      <c r="T1" s="4"/>
    </row>
    <row r="2" customFormat="false" ht="16.5" hidden="false" customHeight="false" outlineLevel="0" collapsed="false">
      <c r="A2" s="4"/>
      <c r="B2" s="7" t="s">
        <v>0</v>
      </c>
      <c r="C2" s="4"/>
      <c r="D2" s="8" t="s">
        <v>1</v>
      </c>
      <c r="E2" s="8"/>
      <c r="F2" s="8"/>
      <c r="G2" s="8"/>
      <c r="H2" s="9"/>
      <c r="I2" s="8" t="s">
        <v>2</v>
      </c>
      <c r="J2" s="8"/>
      <c r="K2" s="8"/>
      <c r="L2" s="8"/>
      <c r="M2" s="8"/>
      <c r="N2" s="8"/>
      <c r="O2" s="5"/>
      <c r="P2" s="8" t="s">
        <v>3</v>
      </c>
      <c r="Q2" s="8"/>
      <c r="R2" s="8"/>
      <c r="S2" s="8"/>
      <c r="T2" s="9"/>
      <c r="U2" s="10"/>
    </row>
    <row r="3" customFormat="false" ht="15.75" hidden="false" customHeight="true" outlineLevel="0" collapsed="false">
      <c r="A3" s="4"/>
      <c r="B3" s="11" t="n">
        <f aca="true">TODAY()</f>
        <v>45926</v>
      </c>
      <c r="C3" s="4"/>
      <c r="D3" s="12"/>
      <c r="E3" s="13" t="s">
        <v>4</v>
      </c>
      <c r="F3" s="13" t="s">
        <v>5</v>
      </c>
      <c r="G3" s="14" t="s">
        <v>6</v>
      </c>
      <c r="H3" s="9"/>
      <c r="I3" s="15"/>
      <c r="J3" s="16"/>
      <c r="K3" s="17" t="s">
        <v>7</v>
      </c>
      <c r="L3" s="17"/>
      <c r="M3" s="17" t="s">
        <v>8</v>
      </c>
      <c r="N3" s="17"/>
      <c r="O3" s="5"/>
      <c r="P3" s="12"/>
      <c r="Q3" s="13" t="s">
        <v>4</v>
      </c>
      <c r="R3" s="13" t="s">
        <v>5</v>
      </c>
      <c r="S3" s="14" t="s">
        <v>6</v>
      </c>
      <c r="T3" s="9"/>
      <c r="U3" s="10"/>
      <c r="V3" s="18" t="s">
        <v>9</v>
      </c>
      <c r="W3" s="18"/>
      <c r="Y3" s="19" t="s">
        <v>10</v>
      </c>
      <c r="Z3" s="19"/>
      <c r="AB3" s="20" t="s">
        <v>11</v>
      </c>
      <c r="AC3" s="21" t="s">
        <v>12</v>
      </c>
      <c r="AD3" s="21" t="s">
        <v>12</v>
      </c>
      <c r="AE3" s="21" t="s">
        <v>13</v>
      </c>
      <c r="AF3" s="21" t="s">
        <v>13</v>
      </c>
      <c r="AG3" s="22" t="s">
        <v>14</v>
      </c>
    </row>
    <row r="4" customFormat="false" ht="15.75" hidden="false" customHeight="true" outlineLevel="0" collapsed="false">
      <c r="A4" s="4"/>
      <c r="B4" s="4"/>
      <c r="C4" s="4"/>
      <c r="D4" s="23" t="s">
        <v>15</v>
      </c>
      <c r="E4" s="24" t="n">
        <v>4</v>
      </c>
      <c r="F4" s="24" t="n">
        <v>100</v>
      </c>
      <c r="G4" s="25" t="n">
        <f aca="false">DATE(F4+1900,E4,1)</f>
        <v>36617</v>
      </c>
      <c r="H4" s="9"/>
      <c r="I4" s="26" t="s">
        <v>4</v>
      </c>
      <c r="J4" s="26"/>
      <c r="K4" s="27" t="s">
        <v>16</v>
      </c>
      <c r="L4" s="28" t="s">
        <v>17</v>
      </c>
      <c r="M4" s="27" t="s">
        <v>16</v>
      </c>
      <c r="N4" s="28" t="s">
        <v>17</v>
      </c>
      <c r="O4" s="5"/>
      <c r="P4" s="23" t="s">
        <v>15</v>
      </c>
      <c r="Q4" s="24" t="n">
        <v>1</v>
      </c>
      <c r="R4" s="24" t="n">
        <v>100</v>
      </c>
      <c r="S4" s="25" t="n">
        <f aca="false">DATE(R4+1900,Q4,1)</f>
        <v>36526</v>
      </c>
      <c r="T4" s="9"/>
      <c r="U4" s="10"/>
      <c r="V4" s="29" t="s">
        <v>18</v>
      </c>
      <c r="W4" s="30" t="n">
        <v>1</v>
      </c>
      <c r="Y4" s="31" t="s">
        <v>19</v>
      </c>
      <c r="Z4" s="32" t="s">
        <v>20</v>
      </c>
      <c r="AB4" s="33" t="s">
        <v>21</v>
      </c>
      <c r="AC4" s="34" t="n">
        <v>0.01</v>
      </c>
      <c r="AD4" s="34" t="n">
        <v>0.01</v>
      </c>
      <c r="AE4" s="34" t="n">
        <v>0.03</v>
      </c>
      <c r="AF4" s="34" t="n">
        <v>0.022</v>
      </c>
      <c r="AG4" s="35"/>
    </row>
    <row r="5" customFormat="false" ht="15.75" hidden="false" customHeight="true" outlineLevel="0" collapsed="false">
      <c r="A5" s="4"/>
      <c r="B5" s="11" t="n">
        <f aca="false">DateToday-1-IF(WEEKDAY(DateToday)&lt;=2,WEEKDAY(DateToday),0)</f>
        <v>45925</v>
      </c>
      <c r="C5" s="36" t="s">
        <v>22</v>
      </c>
      <c r="D5" s="37" t="s">
        <v>23</v>
      </c>
      <c r="E5" s="38" t="n">
        <f aca="false">E4</f>
        <v>4</v>
      </c>
      <c r="F5" s="38" t="n">
        <f aca="false">YearStart</f>
        <v>100</v>
      </c>
      <c r="G5" s="39" t="n">
        <f aca="false">EOMONTH(DATE(F5+1900,E5,1),0)</f>
        <v>36646</v>
      </c>
      <c r="H5" s="9"/>
      <c r="I5" s="40"/>
      <c r="J5" s="41"/>
      <c r="K5" s="42" t="s">
        <v>24</v>
      </c>
      <c r="L5" s="43" t="s">
        <v>25</v>
      </c>
      <c r="M5" s="42" t="s">
        <v>24</v>
      </c>
      <c r="N5" s="43" t="s">
        <v>25</v>
      </c>
      <c r="O5" s="5"/>
      <c r="P5" s="37" t="s">
        <v>23</v>
      </c>
      <c r="Q5" s="38" t="n">
        <v>12</v>
      </c>
      <c r="R5" s="38" t="n">
        <v>100</v>
      </c>
      <c r="S5" s="39" t="n">
        <f aca="false">EOMONTH(DATE(R5+1900,Q5,1),0)</f>
        <v>36891</v>
      </c>
      <c r="T5" s="9"/>
      <c r="U5" s="10"/>
      <c r="V5" s="29" t="s">
        <v>26</v>
      </c>
      <c r="W5" s="30" t="n">
        <v>3</v>
      </c>
      <c r="Y5" s="44" t="s">
        <v>27</v>
      </c>
      <c r="Z5" s="45" t="s">
        <v>28</v>
      </c>
      <c r="AB5" s="46"/>
      <c r="AC5" s="47"/>
      <c r="AD5" s="47"/>
      <c r="AE5" s="47"/>
      <c r="AF5" s="47"/>
      <c r="AG5" s="47"/>
      <c r="AI5" s="1" t="s">
        <v>29</v>
      </c>
      <c r="AJ5" s="1" t="s">
        <v>29</v>
      </c>
      <c r="AK5" s="1" t="s">
        <v>29</v>
      </c>
      <c r="AL5" s="1" t="s">
        <v>29</v>
      </c>
      <c r="AM5" s="1" t="s">
        <v>29</v>
      </c>
    </row>
    <row r="6" customFormat="false" ht="15" hidden="false" customHeight="true" outlineLevel="0" collapsed="false">
      <c r="A6" s="4"/>
      <c r="B6" s="11" t="n">
        <f aca="false">DateToday-1-IF(WEEKDAY(DateToday)&lt;=2,WEEKDAY(DateToday),0)</f>
        <v>45925</v>
      </c>
      <c r="C6" s="36" t="s">
        <v>30</v>
      </c>
      <c r="D6" s="48" t="str">
        <f aca="false">CONCATENATE("Term: ",F5-F4+INT((E5-E4+1)/12)," Years, ",MOD(E5-E4+1,12)," Months")</f>
        <v>Term: 0 Years, 1 Months</v>
      </c>
      <c r="E6" s="48"/>
      <c r="F6" s="48"/>
      <c r="G6" s="48"/>
      <c r="H6" s="9"/>
      <c r="I6" s="49" t="str">
        <f aca="false">IF(J6="","",CONCATENATE(INDEX($Z$4:$Z$15,MONTH(J6)),RIGHT(YEAR(J6))))</f>
        <v>V5</v>
      </c>
      <c r="J6" s="50" t="n">
        <f aca="false">CALC!I6</f>
        <v>45931</v>
      </c>
      <c r="K6" s="51" t="n">
        <f aca="false">CALC!CX6</f>
        <v>0.429</v>
      </c>
      <c r="L6" s="52" t="n">
        <f aca="false">K6-CALC!CX6</f>
        <v>0</v>
      </c>
      <c r="M6" s="53" t="n">
        <f aca="false">CALC!DB6</f>
        <v>0.372</v>
      </c>
      <c r="N6" s="54" t="n">
        <f aca="false">M6-CALC!DB6</f>
        <v>0</v>
      </c>
      <c r="O6" s="5"/>
      <c r="P6" s="48" t="str">
        <f aca="false">CONCATENATE("Term: ",R5-R4+INT((Q5-Q4+1)/12)," Years, ",MOD(Q5-Q4+1,12)," Months")</f>
        <v>Term: 1 Years, 0 Months</v>
      </c>
      <c r="Q6" s="48"/>
      <c r="R6" s="48"/>
      <c r="S6" s="48"/>
      <c r="T6" s="9"/>
      <c r="U6" s="10"/>
      <c r="V6" s="29" t="s">
        <v>31</v>
      </c>
      <c r="W6" s="30" t="n">
        <v>2</v>
      </c>
      <c r="Y6" s="44" t="s">
        <v>32</v>
      </c>
      <c r="Z6" s="45" t="s">
        <v>33</v>
      </c>
      <c r="AB6" s="20" t="s">
        <v>11</v>
      </c>
      <c r="AC6" s="21" t="s">
        <v>34</v>
      </c>
      <c r="AD6" s="21" t="s">
        <v>35</v>
      </c>
      <c r="AE6" s="21" t="s">
        <v>34</v>
      </c>
      <c r="AF6" s="21" t="s">
        <v>35</v>
      </c>
      <c r="AG6" s="22" t="s">
        <v>36</v>
      </c>
    </row>
    <row r="7" customFormat="false" ht="16.5" hidden="false" customHeight="true" outlineLevel="0" collapsed="false">
      <c r="A7" s="4"/>
      <c r="B7" s="8" t="s">
        <v>37</v>
      </c>
      <c r="C7" s="8"/>
      <c r="D7" s="8"/>
      <c r="E7" s="8"/>
      <c r="F7" s="8"/>
      <c r="G7" s="8"/>
      <c r="H7" s="9"/>
      <c r="I7" s="55" t="str">
        <f aca="false">IF(J7="","",CONCATENATE(INDEX($Z$4:$Z$15,MONTH(J7)),RIGHT(YEAR(J7))))</f>
        <v>X5</v>
      </c>
      <c r="J7" s="50" t="n">
        <f aca="false">CALC!I7</f>
        <v>45962</v>
      </c>
      <c r="K7" s="51" t="n">
        <f aca="false">CALC!CX7</f>
        <v>0.397</v>
      </c>
      <c r="L7" s="52" t="n">
        <f aca="false">K7-CALC!CX7</f>
        <v>0</v>
      </c>
      <c r="M7" s="53" t="n">
        <f aca="false">CALC!DB7</f>
        <v>0.353</v>
      </c>
      <c r="N7" s="54" t="n">
        <f aca="false">M7-CALC!DB7</f>
        <v>0</v>
      </c>
      <c r="O7" s="5"/>
      <c r="P7" s="8" t="s">
        <v>38</v>
      </c>
      <c r="Q7" s="8"/>
      <c r="R7" s="8"/>
      <c r="S7" s="8"/>
      <c r="T7" s="9"/>
      <c r="U7" s="10"/>
      <c r="V7" s="29" t="s">
        <v>39</v>
      </c>
      <c r="W7" s="30" t="n">
        <v>1</v>
      </c>
      <c r="Y7" s="44" t="s">
        <v>40</v>
      </c>
      <c r="Z7" s="45" t="s">
        <v>41</v>
      </c>
      <c r="AB7" s="33" t="s">
        <v>21</v>
      </c>
      <c r="AC7" s="56" t="s">
        <v>34</v>
      </c>
      <c r="AD7" s="56" t="s">
        <v>35</v>
      </c>
      <c r="AE7" s="56" t="s">
        <v>35</v>
      </c>
      <c r="AF7" s="56" t="s">
        <v>34</v>
      </c>
      <c r="AG7" s="57" t="s">
        <v>29</v>
      </c>
    </row>
    <row r="8" customFormat="false" ht="19.5" hidden="false" customHeight="true" outlineLevel="0" collapsed="false">
      <c r="A8" s="4"/>
      <c r="B8" s="58" t="s">
        <v>42</v>
      </c>
      <c r="C8" s="59" t="str">
        <f aca="false">INDEX(AC3:AC4,ProductGroup)</f>
        <v>Gas</v>
      </c>
      <c r="D8" s="60" t="str">
        <f aca="false">INDEX(AD3:AD4,ProductGroup)</f>
        <v>Gas</v>
      </c>
      <c r="E8" s="60" t="str">
        <f aca="false">INDEX(AE3:AE4,ProductGroup)</f>
        <v>HO</v>
      </c>
      <c r="F8" s="60" t="str">
        <f aca="false">INDEX(AF3:AF4,ProductGroup)</f>
        <v>HO</v>
      </c>
      <c r="G8" s="61" t="str">
        <f aca="false">IF(ProductGroup=1,INDEX(AG3:AG4,ProductGroup),"")</f>
        <v>Jet</v>
      </c>
      <c r="H8" s="9"/>
      <c r="I8" s="55" t="str">
        <f aca="false">IF(J8="","",CONCATENATE(INDEX($Z$4:$Z$15,MONTH(J8)),RIGHT(YEAR(J8))))</f>
        <v>Z5</v>
      </c>
      <c r="J8" s="50" t="n">
        <f aca="false">CALC!I8</f>
        <v>45992</v>
      </c>
      <c r="K8" s="51" t="n">
        <f aca="false">CALC!CX8</f>
        <v>0.38</v>
      </c>
      <c r="L8" s="52" t="n">
        <f aca="false">K8-CALC!CX8</f>
        <v>0</v>
      </c>
      <c r="M8" s="53" t="n">
        <f aca="false">CALC!DB8</f>
        <v>0.328</v>
      </c>
      <c r="N8" s="54" t="n">
        <f aca="false">M8-CALC!DB8</f>
        <v>0</v>
      </c>
      <c r="O8" s="5"/>
      <c r="P8" s="62"/>
      <c r="Q8" s="63"/>
      <c r="R8" s="64" t="s">
        <v>43</v>
      </c>
      <c r="S8" s="65" t="n">
        <v>0</v>
      </c>
      <c r="T8" s="9"/>
      <c r="U8" s="10"/>
      <c r="V8" s="29" t="s">
        <v>44</v>
      </c>
      <c r="W8" s="30" t="n">
        <v>1</v>
      </c>
      <c r="Y8" s="44" t="s">
        <v>45</v>
      </c>
      <c r="Z8" s="45" t="s">
        <v>46</v>
      </c>
    </row>
    <row r="9" customFormat="false" ht="15" hidden="false" customHeight="true" outlineLevel="0" collapsed="false">
      <c r="A9" s="4"/>
      <c r="B9" s="66" t="s">
        <v>47</v>
      </c>
      <c r="C9" s="67" t="str">
        <f aca="false">INDEX(AC6:AC7,ProductGroup)</f>
        <v>NYH</v>
      </c>
      <c r="D9" s="68" t="str">
        <f aca="false">INDEX(AD6:AD7,ProductGroup)</f>
        <v>GC</v>
      </c>
      <c r="E9" s="68" t="str">
        <f aca="false">INDEX(AE6:AE7,ProductGroup)</f>
        <v>NYH</v>
      </c>
      <c r="F9" s="68" t="str">
        <f aca="false">INDEX(AF6:AF7,ProductGroup)</f>
        <v>GC</v>
      </c>
      <c r="G9" s="69" t="str">
        <f aca="false">IF(ProductGroup=1,INDEX(AG6:AG7,ProductGroup),"")</f>
        <v>Fuel</v>
      </c>
      <c r="H9" s="9"/>
      <c r="I9" s="55" t="str">
        <f aca="false">IF(J9="","",CONCATENATE(INDEX($Z$4:$Z$15,MONTH(J9)),RIGHT(YEAR(J9))))</f>
        <v>F6</v>
      </c>
      <c r="J9" s="50" t="n">
        <f aca="false">CALC!I9</f>
        <v>46023</v>
      </c>
      <c r="K9" s="51" t="n">
        <f aca="false">CALC!CX9</f>
        <v>0.368</v>
      </c>
      <c r="L9" s="52" t="n">
        <f aca="false">K9-CALC!CX9</f>
        <v>0</v>
      </c>
      <c r="M9" s="53" t="n">
        <f aca="false">CALC!DB9</f>
        <v>0.315</v>
      </c>
      <c r="N9" s="54" t="n">
        <f aca="false">M9-CALC!DB9</f>
        <v>0</v>
      </c>
      <c r="O9" s="5"/>
      <c r="P9" s="64" t="s">
        <v>48</v>
      </c>
      <c r="Q9" s="70" t="n">
        <f aca="false">S4-1</f>
        <v>36525</v>
      </c>
      <c r="R9" s="64" t="s">
        <v>49</v>
      </c>
      <c r="S9" s="71" t="e">
        <f aca="false">IF(Q12,Q12,Q11)</f>
        <v>#DIV/0!</v>
      </c>
      <c r="T9" s="9"/>
      <c r="U9" s="10"/>
      <c r="V9" s="29" t="s">
        <v>50</v>
      </c>
      <c r="W9" s="30" t="n">
        <v>1</v>
      </c>
      <c r="Y9" s="44" t="s">
        <v>51</v>
      </c>
      <c r="Z9" s="45" t="s">
        <v>52</v>
      </c>
      <c r="AB9" s="31" t="n">
        <v>1</v>
      </c>
      <c r="AC9" s="72" t="str">
        <f aca="false">CONCATENATE(TEXT(INDEX($AC$3:$AG$4,ProductGroup,AB9),"0.0%")," ",INDEX($AC$6:$AG$7,ProductGroup,AB9))</f>
        <v>Gas NYH</v>
      </c>
      <c r="AD9" s="73" t="n">
        <v>0</v>
      </c>
      <c r="AE9" s="74" t="n">
        <v>38</v>
      </c>
    </row>
    <row r="10" customFormat="false" ht="16.5" hidden="false" customHeight="true" outlineLevel="0" collapsed="false">
      <c r="A10" s="4"/>
      <c r="B10" s="75" t="e">
        <f aca="false">SUMPRODUCT(CALC!V5:V184,CALC!AI5:AI184)/P29</f>
        <v>#DIV/0!</v>
      </c>
      <c r="C10" s="76" t="e">
        <f aca="false">SUMPRODUCT(IF(ProductGroup=1,CALC!BY5:BY184,CALC!DK5:DK184),CALC!AI5:AI184)/P29</f>
        <v>#DIV/0!</v>
      </c>
      <c r="D10" s="77" t="e">
        <f aca="false">SUMPRODUCT(IF(ProductGroup=1,CALC!CD5:CD184,CALC!DO5:DO184),CALC!AI5:AI184)/P29</f>
        <v>#DIV/0!</v>
      </c>
      <c r="E10" s="77" t="e">
        <f aca="false">SUMPRODUCT(IF(ProductGroup=1,CALC!CL5:CL184,CALC!DS5:DS184),CALC!AI5:AI184)/P29</f>
        <v>#DIV/0!</v>
      </c>
      <c r="F10" s="77" t="e">
        <f aca="false">SUMPRODUCT(IF(ProductGroup=1,CALC!CQ5:CQ184,CALC!DW5:DW184),CALC!AI5:AI184)/P29</f>
        <v>#DIV/0!</v>
      </c>
      <c r="G10" s="78" t="e">
        <f aca="false">IF(ProductGroup=1,SUMPRODUCT(CALC!CW5:CW184,CALC!AI5:AI184)/P29,"")</f>
        <v>#DIV/0!</v>
      </c>
      <c r="H10" s="9"/>
      <c r="I10" s="55" t="str">
        <f aca="false">IF(J10="","",CONCATENATE(INDEX($Z$4:$Z$15,MONTH(J10)),RIGHT(YEAR(J10))))</f>
        <v>G6</v>
      </c>
      <c r="J10" s="50" t="n">
        <f aca="false">CALC!I10</f>
        <v>46054</v>
      </c>
      <c r="K10" s="51" t="n">
        <f aca="false">CALC!CX10</f>
        <v>0.35</v>
      </c>
      <c r="L10" s="52" t="n">
        <f aca="false">K10-CALC!CX10</f>
        <v>0</v>
      </c>
      <c r="M10" s="53" t="n">
        <f aca="false">CALC!DB10</f>
        <v>0.306</v>
      </c>
      <c r="N10" s="54" t="n">
        <f aca="false">M10-CALC!DB10</f>
        <v>0</v>
      </c>
      <c r="O10" s="5"/>
      <c r="P10" s="79" t="s">
        <v>53</v>
      </c>
      <c r="Q10" s="79"/>
      <c r="R10" s="80" t="s">
        <v>54</v>
      </c>
      <c r="S10" s="81" t="e">
        <f aca="false">UnderlyingPriceAsian</f>
        <v>#DIV/0!</v>
      </c>
      <c r="T10" s="9"/>
      <c r="U10" s="10"/>
      <c r="V10" s="29" t="s">
        <v>55</v>
      </c>
      <c r="W10" s="30" t="n">
        <v>1</v>
      </c>
      <c r="Y10" s="44" t="s">
        <v>56</v>
      </c>
      <c r="Z10" s="45" t="s">
        <v>57</v>
      </c>
      <c r="AB10" s="44" t="n">
        <v>2</v>
      </c>
      <c r="AC10" s="82" t="str">
        <f aca="false">CONCATENATE(TEXT(INDEX($AC$3:$AG$4,ProductGroup,AB10),"0.0%")," ",INDEX($AC$6:$AG$7,ProductGroup,AB10))</f>
        <v>Gas GC</v>
      </c>
      <c r="AD10" s="83" t="n">
        <v>5</v>
      </c>
      <c r="AE10" s="84" t="n">
        <v>42</v>
      </c>
    </row>
    <row r="11" customFormat="false" ht="15.75" hidden="false" customHeight="true" outlineLevel="0" collapsed="false">
      <c r="A11" s="4"/>
      <c r="B11" s="85" t="s">
        <v>58</v>
      </c>
      <c r="C11" s="86"/>
      <c r="D11" s="87" t="e">
        <f aca="false">D10-C10</f>
        <v>#DIV/0!</v>
      </c>
      <c r="E11" s="87"/>
      <c r="F11" s="87" t="e">
        <f aca="false">F10-E10</f>
        <v>#DIV/0!</v>
      </c>
      <c r="G11" s="88"/>
      <c r="H11" s="9"/>
      <c r="I11" s="55" t="str">
        <f aca="false">IF(J11="","",CONCATENATE(INDEX($Z$4:$Z$15,MONTH(J11)),RIGHT(YEAR(J11))))</f>
        <v>H6</v>
      </c>
      <c r="J11" s="50" t="n">
        <f aca="false">CALC!I11</f>
        <v>46082</v>
      </c>
      <c r="K11" s="89" t="n">
        <f aca="false">CALC!CX11</f>
        <v>0.336</v>
      </c>
      <c r="L11" s="90" t="n">
        <f aca="false">K11-CALC!CX11</f>
        <v>0</v>
      </c>
      <c r="M11" s="53" t="n">
        <f aca="false">CALC!DB11</f>
        <v>0.303</v>
      </c>
      <c r="N11" s="54" t="n">
        <f aca="false">M11-CALC!DB11</f>
        <v>0</v>
      </c>
      <c r="O11" s="5"/>
      <c r="P11" s="91" t="s">
        <v>59</v>
      </c>
      <c r="Q11" s="92" t="e">
        <f aca="true">SUMPRODUCT(OFFSET(CALC!BY5:BY184,0,HorizontalPriceOffset),CALC!AK5:AK184)/P30</f>
        <v>#DIV/0!</v>
      </c>
      <c r="R11" s="93" t="s">
        <v>60</v>
      </c>
      <c r="S11" s="94" t="e">
        <f aca="false">IF(Q12,Q12,Q11)</f>
        <v>#DIV/0!</v>
      </c>
      <c r="T11" s="9"/>
      <c r="U11" s="10"/>
      <c r="V11" s="95" t="s">
        <v>61</v>
      </c>
      <c r="W11" s="96" t="n">
        <v>1</v>
      </c>
      <c r="Y11" s="44" t="s">
        <v>62</v>
      </c>
      <c r="Z11" s="45" t="s">
        <v>63</v>
      </c>
      <c r="AB11" s="44" t="n">
        <v>3</v>
      </c>
      <c r="AC11" s="82" t="str">
        <f aca="false">CONCATENATE(TEXT(INDEX($AC$3:$AG$4,ProductGroup,AB11),"0.0%")," ",INDEX($AC$6:$AG$7,ProductGroup,AB11))</f>
        <v>HO NYH</v>
      </c>
      <c r="AD11" s="83" t="n">
        <v>13</v>
      </c>
      <c r="AE11" s="84" t="n">
        <v>46</v>
      </c>
    </row>
    <row r="12" customFormat="false" ht="15.75" hidden="false" customHeight="true" outlineLevel="0" collapsed="false">
      <c r="A12" s="4"/>
      <c r="B12" s="8" t="s">
        <v>64</v>
      </c>
      <c r="C12" s="8"/>
      <c r="D12" s="8"/>
      <c r="E12" s="8"/>
      <c r="F12" s="8"/>
      <c r="G12" s="8"/>
      <c r="H12" s="9"/>
      <c r="I12" s="55" t="str">
        <f aca="false">IF(J12="","",CONCATENATE(INDEX($Z$4:$Z$15,MONTH(J12)),RIGHT(YEAR(J12))))</f>
        <v>J6</v>
      </c>
      <c r="J12" s="50" t="n">
        <f aca="false">CALC!I12</f>
        <v>46113</v>
      </c>
      <c r="K12" s="97"/>
      <c r="L12" s="52"/>
      <c r="M12" s="53" t="n">
        <f aca="false">CALC!DB12</f>
        <v>0.304</v>
      </c>
      <c r="N12" s="54" t="n">
        <f aca="false">M12-CALC!DB12</f>
        <v>0</v>
      </c>
      <c r="O12" s="5"/>
      <c r="P12" s="98" t="s">
        <v>65</v>
      </c>
      <c r="Q12" s="99" t="n">
        <v>0</v>
      </c>
      <c r="R12" s="93" t="s">
        <v>66</v>
      </c>
      <c r="S12" s="94" t="e">
        <f aca="false">xEURO(SwaptionUnderlyingPrice,SwaptionStrike,0,0,S8,Q9-DateToday+1,IF(SwaptionType=1,1,0),0)*P30/O30</f>
        <v>#NAME?</v>
      </c>
      <c r="T12" s="9"/>
      <c r="U12" s="10"/>
      <c r="W12" s="100"/>
      <c r="Y12" s="44" t="s">
        <v>67</v>
      </c>
      <c r="Z12" s="45" t="s">
        <v>68</v>
      </c>
      <c r="AB12" s="44" t="n">
        <v>4</v>
      </c>
      <c r="AC12" s="82" t="str">
        <f aca="false">CONCATENATE(TEXT(INDEX($AC$3:$AG$4,ProductGroup,AB12),"0.0%")," ",INDEX($AC$6:$AG$7,ProductGroup,AB12))</f>
        <v>HO GC</v>
      </c>
      <c r="AD12" s="83" t="n">
        <v>18</v>
      </c>
      <c r="AE12" s="84" t="n">
        <v>50</v>
      </c>
    </row>
    <row r="13" customFormat="false" ht="15.75" hidden="false" customHeight="true" outlineLevel="0" collapsed="false">
      <c r="A13" s="4"/>
      <c r="B13" s="101"/>
      <c r="C13" s="102" t="s">
        <v>43</v>
      </c>
      <c r="D13" s="102" t="s">
        <v>43</v>
      </c>
      <c r="E13" s="103" t="s">
        <v>69</v>
      </c>
      <c r="F13" s="103"/>
      <c r="G13" s="104" t="s">
        <v>70</v>
      </c>
      <c r="H13" s="9"/>
      <c r="I13" s="55" t="str">
        <f aca="false">IF(J13="","",CONCATENATE(INDEX($Z$4:$Z$15,MONTH(J13)),RIGHT(YEAR(J13))))</f>
        <v>K6</v>
      </c>
      <c r="J13" s="50" t="n">
        <f aca="false">CALC!I13</f>
        <v>46143</v>
      </c>
      <c r="K13" s="105"/>
      <c r="L13" s="106"/>
      <c r="M13" s="53" t="n">
        <f aca="false">CALC!DB13</f>
        <v>0.296</v>
      </c>
      <c r="N13" s="54" t="n">
        <f aca="false">M13-CALC!DB13</f>
        <v>0</v>
      </c>
      <c r="O13" s="5"/>
      <c r="P13" s="5"/>
      <c r="Q13" s="5"/>
      <c r="R13" s="5"/>
      <c r="S13" s="5"/>
      <c r="T13" s="9"/>
      <c r="U13" s="10"/>
      <c r="V13" s="107" t="s">
        <v>71</v>
      </c>
      <c r="W13" s="108" t="n">
        <v>1</v>
      </c>
      <c r="Y13" s="44" t="s">
        <v>72</v>
      </c>
      <c r="Z13" s="45" t="s">
        <v>73</v>
      </c>
      <c r="AB13" s="109" t="n">
        <v>5</v>
      </c>
      <c r="AC13" s="110" t="str">
        <f aca="false">CONCATENATE(TEXT(INDEX($AC$3:$AG$4,ProductGroup,AB13),"0.0%")," ",INDEX($AC$6:$AG$7,ProductGroup,AB13))</f>
        <v>Jet Fuel</v>
      </c>
      <c r="AD13" s="111" t="n">
        <v>24</v>
      </c>
      <c r="AE13" s="57"/>
    </row>
    <row r="14" customFormat="false" ht="18.75" hidden="false" customHeight="true" outlineLevel="0" collapsed="false">
      <c r="A14" s="112"/>
      <c r="B14" s="113"/>
      <c r="C14" s="114" t="s">
        <v>74</v>
      </c>
      <c r="D14" s="114" t="s">
        <v>65</v>
      </c>
      <c r="E14" s="115" t="s">
        <v>75</v>
      </c>
      <c r="F14" s="116" t="s">
        <v>76</v>
      </c>
      <c r="G14" s="117" t="s">
        <v>65</v>
      </c>
      <c r="H14" s="9"/>
      <c r="I14" s="55" t="str">
        <f aca="false">IF(J14="","",CONCATENATE(INDEX($Z$4:$Z$15,MONTH(J14)),RIGHT(YEAR(J14))))</f>
        <v>M6</v>
      </c>
      <c r="J14" s="50" t="n">
        <f aca="false">CALC!I14</f>
        <v>46174</v>
      </c>
      <c r="K14" s="105"/>
      <c r="L14" s="106"/>
      <c r="M14" s="53" t="n">
        <f aca="false">CALC!DB14</f>
        <v>0.293</v>
      </c>
      <c r="N14" s="54" t="n">
        <f aca="false">M14-CALC!DB14</f>
        <v>0</v>
      </c>
      <c r="O14" s="5"/>
      <c r="P14" s="8" t="s">
        <v>77</v>
      </c>
      <c r="Q14" s="8"/>
      <c r="R14" s="8"/>
      <c r="S14" s="8"/>
      <c r="T14" s="9"/>
      <c r="U14" s="10"/>
      <c r="V14" s="95" t="s">
        <v>78</v>
      </c>
      <c r="W14" s="96" t="n">
        <v>1</v>
      </c>
      <c r="Y14" s="44" t="s">
        <v>79</v>
      </c>
      <c r="Z14" s="45" t="s">
        <v>80</v>
      </c>
    </row>
    <row r="15" customFormat="false" ht="15.75" hidden="false" customHeight="true" outlineLevel="0" collapsed="false">
      <c r="A15" s="4"/>
      <c r="B15" s="118" t="s">
        <v>81</v>
      </c>
      <c r="C15" s="119" t="n">
        <v>0</v>
      </c>
      <c r="D15" s="120" t="n">
        <v>0</v>
      </c>
      <c r="E15" s="121" t="n">
        <v>0</v>
      </c>
      <c r="F15" s="122" t="n">
        <f aca="false">IF(G15,G15-INDEX(C10:G10,Product),E15)</f>
        <v>0</v>
      </c>
      <c r="G15" s="123" t="n">
        <v>0</v>
      </c>
      <c r="H15" s="9"/>
      <c r="I15" s="55" t="str">
        <f aca="false">IF(J15="","",CONCATENATE(INDEX($Z$4:$Z$15,MONTH(J15)),RIGHT(YEAR(J15))))</f>
        <v>N6</v>
      </c>
      <c r="J15" s="50" t="n">
        <f aca="false">CALC!I15</f>
        <v>46204</v>
      </c>
      <c r="K15" s="105"/>
      <c r="L15" s="106"/>
      <c r="M15" s="53" t="n">
        <f aca="false">CALC!DB15</f>
        <v>0.306</v>
      </c>
      <c r="N15" s="54" t="n">
        <f aca="false">M15-CALC!DB15</f>
        <v>0</v>
      </c>
      <c r="O15" s="5"/>
      <c r="P15" s="118" t="s">
        <v>82</v>
      </c>
      <c r="Q15" s="124"/>
      <c r="R15" s="125"/>
      <c r="S15" s="14" t="s">
        <v>70</v>
      </c>
      <c r="T15" s="9"/>
      <c r="U15" s="10"/>
      <c r="W15" s="100"/>
      <c r="X15" s="126"/>
      <c r="Y15" s="109" t="s">
        <v>83</v>
      </c>
      <c r="Z15" s="127" t="s">
        <v>84</v>
      </c>
      <c r="AA15" s="126"/>
      <c r="AB15" s="128" t="s">
        <v>85</v>
      </c>
      <c r="AC15" s="129"/>
      <c r="AD15" s="129"/>
      <c r="AE15" s="130" t="n">
        <f aca="false">INDEX(AD9:AE13,Product,ProductGroup)</f>
        <v>13</v>
      </c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  <c r="EA15" s="126"/>
      <c r="EB15" s="126"/>
      <c r="EC15" s="126"/>
      <c r="ED15" s="126"/>
      <c r="EE15" s="126"/>
      <c r="EF15" s="126"/>
      <c r="EG15" s="126"/>
      <c r="EH15" s="126"/>
      <c r="EI15" s="126"/>
      <c r="EJ15" s="126"/>
      <c r="EK15" s="126"/>
      <c r="EL15" s="126"/>
      <c r="EM15" s="126"/>
      <c r="EN15" s="126"/>
      <c r="EO15" s="126"/>
      <c r="EP15" s="126"/>
      <c r="EQ15" s="126"/>
      <c r="ER15" s="126"/>
      <c r="ES15" s="126"/>
      <c r="ET15" s="126"/>
      <c r="EU15" s="126"/>
      <c r="EV15" s="126"/>
      <c r="EW15" s="126"/>
      <c r="EX15" s="126"/>
      <c r="EY15" s="126"/>
      <c r="EZ15" s="126"/>
      <c r="FA15" s="126"/>
      <c r="FB15" s="126"/>
      <c r="FC15" s="126"/>
      <c r="FD15" s="126"/>
      <c r="FE15" s="126"/>
      <c r="FF15" s="126"/>
      <c r="FG15" s="126"/>
      <c r="FH15" s="126"/>
      <c r="FI15" s="126"/>
      <c r="FJ15" s="126"/>
      <c r="FK15" s="126"/>
      <c r="FL15" s="126"/>
      <c r="FM15" s="126"/>
      <c r="FN15" s="126"/>
      <c r="FO15" s="126"/>
      <c r="FP15" s="126"/>
      <c r="FQ15" s="126"/>
      <c r="FR15" s="126"/>
      <c r="FS15" s="126"/>
      <c r="FT15" s="126"/>
      <c r="FU15" s="126"/>
      <c r="FV15" s="126"/>
      <c r="FW15" s="126"/>
      <c r="FX15" s="126"/>
      <c r="FY15" s="126"/>
      <c r="FZ15" s="126"/>
      <c r="GA15" s="126"/>
      <c r="GB15" s="126"/>
      <c r="GC15" s="126"/>
      <c r="GD15" s="126"/>
      <c r="GE15" s="126"/>
      <c r="GF15" s="126"/>
      <c r="GG15" s="126"/>
      <c r="GH15" s="126"/>
      <c r="GI15" s="126"/>
      <c r="GJ15" s="126"/>
      <c r="GK15" s="126"/>
      <c r="GL15" s="126"/>
      <c r="GM15" s="126"/>
      <c r="GN15" s="126"/>
      <c r="GO15" s="126"/>
      <c r="GP15" s="126"/>
      <c r="GQ15" s="126"/>
      <c r="GR15" s="126"/>
      <c r="GS15" s="126"/>
      <c r="GT15" s="126"/>
      <c r="GU15" s="126"/>
      <c r="GV15" s="126"/>
      <c r="GW15" s="126"/>
      <c r="GX15" s="126"/>
      <c r="GY15" s="126"/>
      <c r="GZ15" s="126"/>
      <c r="HA15" s="126"/>
      <c r="HB15" s="126"/>
      <c r="HC15" s="126"/>
      <c r="HD15" s="126"/>
      <c r="HE15" s="126"/>
      <c r="HF15" s="126"/>
      <c r="HG15" s="126"/>
      <c r="HH15" s="126"/>
      <c r="HI15" s="126"/>
      <c r="HJ15" s="126"/>
      <c r="HK15" s="126"/>
      <c r="HL15" s="126"/>
      <c r="HM15" s="126"/>
      <c r="HN15" s="126"/>
      <c r="HO15" s="126"/>
      <c r="HP15" s="126"/>
      <c r="HQ15" s="126"/>
      <c r="HR15" s="126"/>
      <c r="HS15" s="126"/>
      <c r="HT15" s="126"/>
      <c r="HU15" s="126"/>
      <c r="HV15" s="126"/>
      <c r="HW15" s="126"/>
      <c r="HX15" s="126"/>
      <c r="HY15" s="126"/>
      <c r="HZ15" s="126"/>
      <c r="IA15" s="126"/>
      <c r="IB15" s="126"/>
      <c r="IC15" s="126"/>
      <c r="ID15" s="126"/>
      <c r="IE15" s="126"/>
      <c r="IF15" s="126"/>
      <c r="IG15" s="126"/>
      <c r="IH15" s="126"/>
      <c r="II15" s="126"/>
      <c r="IJ15" s="126"/>
      <c r="IK15" s="126"/>
      <c r="IL15" s="126"/>
      <c r="IM15" s="126"/>
      <c r="IN15" s="126"/>
      <c r="IO15" s="126"/>
      <c r="IP15" s="126"/>
      <c r="IQ15" s="126"/>
      <c r="IR15" s="126"/>
      <c r="IS15" s="126"/>
      <c r="IT15" s="126"/>
      <c r="IU15" s="126"/>
      <c r="IV15" s="126"/>
      <c r="IW15" s="126"/>
    </row>
    <row r="16" customFormat="false" ht="16.5" hidden="false" customHeight="true" outlineLevel="0" collapsed="false">
      <c r="A16" s="4"/>
      <c r="B16" s="37" t="s">
        <v>86</v>
      </c>
      <c r="C16" s="131" t="n">
        <v>0</v>
      </c>
      <c r="D16" s="132" t="n">
        <v>0</v>
      </c>
      <c r="E16" s="133" t="n">
        <v>0</v>
      </c>
      <c r="F16" s="134" t="n">
        <f aca="false">IF(G16,G16-SUMPRODUCT(IF(Product=1,CALC!BX6:BX184,CALC!CK6:CK184),CALC!AI6:AI184)/P29,E16)</f>
        <v>0</v>
      </c>
      <c r="G16" s="99" t="n">
        <v>0</v>
      </c>
      <c r="H16" s="9"/>
      <c r="I16" s="55" t="str">
        <f aca="false">IF(J16="","",CONCATENATE(INDEX($Z$4:$Z$15,MONTH(J16)),RIGHT(YEAR(J16))))</f>
        <v>Q6</v>
      </c>
      <c r="J16" s="50" t="n">
        <f aca="false">CALC!I16</f>
        <v>46235</v>
      </c>
      <c r="K16" s="105"/>
      <c r="L16" s="106"/>
      <c r="M16" s="53" t="n">
        <f aca="false">CALC!DB16</f>
        <v>0.309</v>
      </c>
      <c r="N16" s="54" t="n">
        <f aca="false">M16-CALC!DB16</f>
        <v>0</v>
      </c>
      <c r="O16" s="5"/>
      <c r="P16" s="135" t="n">
        <v>0.5</v>
      </c>
      <c r="Q16" s="136"/>
      <c r="R16" s="136"/>
      <c r="S16" s="137" t="e">
        <f aca="false">INDEX(C10:G10,Product)</f>
        <v>#DIV/0!</v>
      </c>
      <c r="T16" s="9"/>
      <c r="U16" s="10"/>
      <c r="V16" s="138" t="s">
        <v>87</v>
      </c>
      <c r="W16" s="138"/>
      <c r="AB16" s="128" t="s">
        <v>88</v>
      </c>
      <c r="AC16" s="129"/>
      <c r="AD16" s="129"/>
      <c r="AE16" s="130" t="n">
        <f aca="false">IF(Product&gt;2,4,0)</f>
        <v>4</v>
      </c>
    </row>
    <row r="17" customFormat="false" ht="19.5" hidden="false" customHeight="true" outlineLevel="0" collapsed="false">
      <c r="A17" s="4"/>
      <c r="B17" s="8" t="s">
        <v>89</v>
      </c>
      <c r="C17" s="8"/>
      <c r="D17" s="8"/>
      <c r="E17" s="8" t="s">
        <v>90</v>
      </c>
      <c r="F17" s="8"/>
      <c r="G17" s="8"/>
      <c r="H17" s="9"/>
      <c r="I17" s="139" t="str">
        <f aca="false">IF(J17="","",CONCATENATE(INDEX($Z$4:$Z$15,MONTH(J17)),RIGHT(YEAR(J17))))</f>
        <v>U6</v>
      </c>
      <c r="J17" s="140" t="n">
        <f aca="false">CALC!I17</f>
        <v>46266</v>
      </c>
      <c r="K17" s="141"/>
      <c r="L17" s="142"/>
      <c r="M17" s="143" t="n">
        <f aca="false">CALC!DB17</f>
        <v>0.289</v>
      </c>
      <c r="N17" s="144" t="n">
        <f aca="false">M17-CALC!DB17</f>
        <v>0</v>
      </c>
      <c r="O17" s="5"/>
      <c r="P17" s="9"/>
      <c r="Q17" s="9"/>
      <c r="R17" s="9"/>
      <c r="S17" s="9"/>
      <c r="T17" s="9"/>
      <c r="U17" s="10"/>
      <c r="V17" s="29" t="s">
        <v>91</v>
      </c>
      <c r="W17" s="145" t="e">
        <f aca="false">(IF(SwaptionType=1,-1,1)*(SwaptionStrike-UnderlyingPriceAsian)*P29+SwaptionPremium*O30)/(O29+O30)</f>
        <v>#DIV/0!</v>
      </c>
    </row>
    <row r="18" customFormat="false" ht="15.75" hidden="false" customHeight="true" outlineLevel="0" collapsed="false">
      <c r="A18" s="4"/>
      <c r="B18" s="62"/>
      <c r="C18" s="125"/>
      <c r="D18" s="146"/>
      <c r="E18" s="147"/>
      <c r="F18" s="13" t="s">
        <v>75</v>
      </c>
      <c r="G18" s="14" t="s">
        <v>76</v>
      </c>
      <c r="H18" s="9"/>
      <c r="I18" s="8" t="s">
        <v>92</v>
      </c>
      <c r="J18" s="8"/>
      <c r="K18" s="8"/>
      <c r="L18" s="8"/>
      <c r="M18" s="8" t="s">
        <v>93</v>
      </c>
      <c r="N18" s="8"/>
      <c r="O18" s="5"/>
      <c r="P18" s="148" t="s">
        <v>94</v>
      </c>
      <c r="Q18" s="112"/>
      <c r="R18" s="5"/>
      <c r="S18" s="5"/>
      <c r="T18" s="9"/>
      <c r="U18" s="10"/>
      <c r="V18" s="95" t="s">
        <v>95</v>
      </c>
      <c r="W18" s="149" t="e">
        <f aca="false">SwaptionPremium*O30/P29</f>
        <v>#NAME?</v>
      </c>
      <c r="Y18" s="0"/>
      <c r="Z18" s="0"/>
    </row>
    <row r="19" customFormat="false" ht="17.25" hidden="false" customHeight="true" outlineLevel="0" collapsed="false">
      <c r="A19" s="4"/>
      <c r="B19" s="150"/>
      <c r="C19" s="151"/>
      <c r="D19" s="152"/>
      <c r="E19" s="118" t="str">
        <f aca="false">CONCATENATE(IF(OptControl=4,"Put 1","Call"),IF(OptControl=3," 1",""))</f>
        <v>Call</v>
      </c>
      <c r="F19" s="153" t="n">
        <v>50</v>
      </c>
      <c r="G19" s="154" t="e">
        <f aca="false">IF(OptControl=2,INDEX(C10:G10,Product)+PriceSpreadAsian,F19)</f>
        <v>#DIV/0!</v>
      </c>
      <c r="H19" s="9"/>
      <c r="I19" s="124"/>
      <c r="J19" s="125"/>
      <c r="K19" s="5"/>
      <c r="L19" s="5"/>
      <c r="M19" s="155"/>
      <c r="N19" s="146"/>
      <c r="O19" s="5"/>
      <c r="P19" s="156"/>
      <c r="Q19" s="5"/>
      <c r="R19" s="5"/>
      <c r="S19" s="5"/>
      <c r="T19" s="9"/>
      <c r="U19" s="10"/>
      <c r="V19" s="138" t="s">
        <v>96</v>
      </c>
      <c r="W19" s="138"/>
    </row>
    <row r="20" customFormat="false" ht="15.75" hidden="false" customHeight="true" outlineLevel="0" collapsed="false">
      <c r="A20" s="4"/>
      <c r="B20" s="157"/>
      <c r="C20" s="136"/>
      <c r="D20" s="158"/>
      <c r="E20" s="37" t="str">
        <f aca="false">CONCATENATE(IF(OptControl=3,"Call 2","Put"),IF(OptControl=4," 2",""))</f>
        <v>Put</v>
      </c>
      <c r="F20" s="159" t="n">
        <v>50</v>
      </c>
      <c r="G20" s="94" t="e">
        <f aca="false">IF(OptControl=2,INDEX(C10:G10,Product)+PriceSpreadAsian,F20)</f>
        <v>#DIV/0!</v>
      </c>
      <c r="H20" s="160"/>
      <c r="I20" s="136"/>
      <c r="J20" s="136"/>
      <c r="K20" s="5"/>
      <c r="L20" s="5"/>
      <c r="M20" s="161"/>
      <c r="N20" s="158"/>
      <c r="O20" s="5"/>
      <c r="P20" s="162"/>
      <c r="Q20" s="5"/>
      <c r="R20" s="5"/>
      <c r="S20" s="5"/>
      <c r="T20" s="9"/>
      <c r="U20" s="1"/>
      <c r="V20" s="29" t="s">
        <v>91</v>
      </c>
      <c r="W20" s="145" t="e">
        <f aca="false">IF(ParticipationType=1,1,-1)*(ParticipatingSwapPrice-UnderlyingPriceAsian)*P29/O29*(1-ParticipationRate)+IF(ParticipationType=1,C24,C23)*ParticipationRate</f>
        <v>#DIV/0!</v>
      </c>
      <c r="X20" s="0"/>
    </row>
    <row r="21" customFormat="false" ht="13.5" hidden="false" customHeight="true" outlineLevel="0" collapsed="false">
      <c r="A21" s="4"/>
      <c r="B21" s="8" t="s">
        <v>97</v>
      </c>
      <c r="C21" s="8"/>
      <c r="D21" s="8"/>
      <c r="E21" s="8"/>
      <c r="F21" s="8"/>
      <c r="G21" s="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1"/>
      <c r="V21" s="95" t="s">
        <v>95</v>
      </c>
      <c r="W21" s="149" t="e">
        <f aca="false">IF(ParticipationType=1,C24,C23)*O29/P29*ParticipationRate/(1-ParticipationRate)</f>
        <v>#DIV/0!</v>
      </c>
    </row>
    <row r="22" customFormat="false" ht="16.5" hidden="false" customHeight="true" outlineLevel="0" collapsed="false">
      <c r="A22" s="4"/>
      <c r="B22" s="15"/>
      <c r="C22" s="163" t="s">
        <v>66</v>
      </c>
      <c r="D22" s="13" t="s">
        <v>98</v>
      </c>
      <c r="E22" s="13" t="s">
        <v>99</v>
      </c>
      <c r="F22" s="13" t="s">
        <v>100</v>
      </c>
      <c r="G22" s="164" t="str">
        <f aca="false">CONCATENATE(DaysForThetaCalculation,"-d Theta")</f>
        <v>1-d Theta</v>
      </c>
      <c r="H22" s="5"/>
      <c r="I22" s="165" t="s">
        <v>101</v>
      </c>
      <c r="J22" s="166" t="s">
        <v>102</v>
      </c>
      <c r="K22" s="167" t="s">
        <v>103</v>
      </c>
      <c r="L22" s="9"/>
      <c r="M22" s="8" t="s">
        <v>104</v>
      </c>
      <c r="N22" s="8"/>
      <c r="O22" s="8"/>
      <c r="P22" s="8"/>
      <c r="Q22" s="8"/>
      <c r="R22" s="5"/>
      <c r="S22" s="5"/>
      <c r="T22" s="9"/>
      <c r="U22" s="1"/>
    </row>
    <row r="23" customFormat="false" ht="15" hidden="false" customHeight="true" outlineLevel="0" collapsed="false">
      <c r="A23" s="4"/>
      <c r="B23" s="168" t="str">
        <f aca="false">CONCATENATE("Asian ",IF(OptControl=4,"Put 1","Call"),IF(OptControl=3," 1",""))</f>
        <v>Asian Call</v>
      </c>
      <c r="C23" s="122" t="e">
        <f aca="false">SUMPRODUCT(CALC!$AH5:$AH184,CALC!AR5:AR184)/$O$29</f>
        <v>#DIV/0!</v>
      </c>
      <c r="D23" s="169" t="e">
        <f aca="false">I23*NominalVolume/$P$29</f>
        <v>#DIV/0!</v>
      </c>
      <c r="E23" s="169" t="e">
        <f aca="false">J23*NominalVolume/$P$29</f>
        <v>#DIV/0!</v>
      </c>
      <c r="F23" s="170" t="e">
        <f aca="false">SUMPRODUCT(CALC!$AH5:$AH184,CALC!AU5:AU184)/$O$29</f>
        <v>#DIV/0!</v>
      </c>
      <c r="G23" s="171" t="e">
        <f aca="false">SUMPRODUCT(CALC!$AH5:$AH184,CALC!AV5:AV184)/$O$29</f>
        <v>#DIV/0!</v>
      </c>
      <c r="H23" s="172"/>
      <c r="I23" s="173" t="e">
        <f aca="false">SUMPRODUCT(CALC!$AH5:$AH184,CALC!AS5:AS184)/$O$29</f>
        <v>#DIV/0!</v>
      </c>
      <c r="J23" s="171" t="e">
        <f aca="false">SUMPRODUCT(CALC!$AH5:$AH184,CALC!AT5:AT184)/$O$29</f>
        <v>#DIV/0!</v>
      </c>
      <c r="K23" s="174" t="e">
        <f aca="false">AVERAGE(CALC!AP5:AP184)</f>
        <v>#DIV/0!</v>
      </c>
      <c r="L23" s="9"/>
      <c r="M23" s="59" t="str">
        <f aca="false">C8</f>
        <v>Gas</v>
      </c>
      <c r="N23" s="60" t="str">
        <f aca="false">D8</f>
        <v>Gas</v>
      </c>
      <c r="O23" s="60" t="str">
        <f aca="false">E8</f>
        <v>HO</v>
      </c>
      <c r="P23" s="60" t="str">
        <f aca="false">F8</f>
        <v>HO</v>
      </c>
      <c r="Q23" s="61" t="str">
        <f aca="false">G8</f>
        <v>Jet</v>
      </c>
      <c r="R23" s="5"/>
      <c r="S23" s="5"/>
      <c r="T23" s="9"/>
      <c r="U23" s="1"/>
      <c r="V23" s="175" t="s">
        <v>105</v>
      </c>
      <c r="W23" s="175"/>
    </row>
    <row r="24" customFormat="false" ht="18.75" hidden="false" customHeight="true" outlineLevel="0" collapsed="false">
      <c r="A24" s="4"/>
      <c r="B24" s="176" t="str">
        <f aca="false">CONCATENATE(IF(OptControl=3,"Call 2","Put"),IF(OptControl=4," 2",""))</f>
        <v>Put</v>
      </c>
      <c r="C24" s="177" t="e">
        <f aca="false">SUMPRODUCT(CALC!$AH5:$AH184,CALC!AW5:AW184)/$O$29</f>
        <v>#DIV/0!</v>
      </c>
      <c r="D24" s="178" t="e">
        <f aca="false">I24*NominalVolume/$P$29</f>
        <v>#DIV/0!</v>
      </c>
      <c r="E24" s="178" t="e">
        <f aca="false">J24*NominalVolume/$P$29</f>
        <v>#DIV/0!</v>
      </c>
      <c r="F24" s="179" t="e">
        <f aca="false">SUMPRODUCT(CALC!$AH5:$AH184,CALC!AZ5:AZ184)/$O$29</f>
        <v>#DIV/0!</v>
      </c>
      <c r="G24" s="180" t="e">
        <f aca="false">SUMPRODUCT(CALC!$AH5:$AH184,CALC!BA5:BA184)/$O$29</f>
        <v>#DIV/0!</v>
      </c>
      <c r="H24" s="172"/>
      <c r="I24" s="181" t="e">
        <f aca="false">SUMPRODUCT(CALC!$AH5:$AH184,CALC!AX5:AX184)/$O$29</f>
        <v>#DIV/0!</v>
      </c>
      <c r="J24" s="180" t="e">
        <f aca="false">SUMPRODUCT(CALC!$AH5:$AH184,CALC!AY5:AY184)/$O$29</f>
        <v>#DIV/0!</v>
      </c>
      <c r="K24" s="182" t="e">
        <f aca="false">AVERAGE(CALC!AQ5:AQ184)</f>
        <v>#DIV/0!</v>
      </c>
      <c r="L24" s="9"/>
      <c r="M24" s="183" t="str">
        <f aca="false">C9</f>
        <v>NYH</v>
      </c>
      <c r="N24" s="184" t="str">
        <f aca="false">D9</f>
        <v>GC</v>
      </c>
      <c r="O24" s="184" t="str">
        <f aca="false">E9</f>
        <v>NYH</v>
      </c>
      <c r="P24" s="184" t="str">
        <f aca="false">F9</f>
        <v>GC</v>
      </c>
      <c r="Q24" s="185" t="str">
        <f aca="false">G9</f>
        <v>Fuel</v>
      </c>
      <c r="R24" s="5"/>
      <c r="S24" s="5"/>
      <c r="T24" s="9"/>
      <c r="U24" s="1"/>
      <c r="V24" s="151"/>
      <c r="W24" s="151"/>
      <c r="X24" s="186"/>
    </row>
    <row r="25" customFormat="false" ht="15.75" hidden="false" customHeight="true" outlineLevel="0" collapsed="false">
      <c r="A25" s="4"/>
      <c r="B25" s="176" t="str">
        <f aca="false">IF(OptControl=3,"Call Spread",IF(OptControl=4,"Put Spread","Straddle"))</f>
        <v>Straddle</v>
      </c>
      <c r="C25" s="177" t="e">
        <f aca="false">C23+C24*IF(OptControl&gt;2,-1,1)</f>
        <v>#DIV/0!</v>
      </c>
      <c r="D25" s="178" t="e">
        <f aca="false">I25*NominalVolume/$P$29</f>
        <v>#DIV/0!</v>
      </c>
      <c r="E25" s="178" t="e">
        <f aca="false">J25*NominalVolume/$P$29</f>
        <v>#DIV/0!</v>
      </c>
      <c r="F25" s="179" t="e">
        <f aca="false">F23+F24*IF(OptControl&gt;2,-1,1)</f>
        <v>#DIV/0!</v>
      </c>
      <c r="G25" s="180" t="e">
        <f aca="false">G23+G24*IF(OptControl&gt;2,-1,1)</f>
        <v>#DIV/0!</v>
      </c>
      <c r="H25" s="172"/>
      <c r="I25" s="181" t="e">
        <f aca="false">I23+I24*IF(OptControl&gt;2,-1,1)</f>
        <v>#DIV/0!</v>
      </c>
      <c r="J25" s="180" t="e">
        <f aca="false">J23+J24*IF(OptControl&gt;2,-1,1)</f>
        <v>#DIV/0!</v>
      </c>
      <c r="K25" s="187" t="s">
        <v>106</v>
      </c>
      <c r="L25" s="9"/>
      <c r="M25" s="188" t="e">
        <f aca="false">C10*42/100-$B10</f>
        <v>#DIV/0!</v>
      </c>
      <c r="N25" s="134" t="e">
        <f aca="false">D10*42/100-$B10</f>
        <v>#DIV/0!</v>
      </c>
      <c r="O25" s="134" t="e">
        <f aca="false">E10*42/100-$B10</f>
        <v>#DIV/0!</v>
      </c>
      <c r="P25" s="134" t="e">
        <f aca="false">F10*42/100-$B10</f>
        <v>#DIV/0!</v>
      </c>
      <c r="Q25" s="94" t="e">
        <f aca="false">G10*42/100-$B10</f>
        <v>#DIV/0!</v>
      </c>
      <c r="R25" s="5"/>
      <c r="S25" s="5"/>
      <c r="T25" s="9"/>
      <c r="U25" s="1"/>
      <c r="V25" s="189"/>
      <c r="W25" s="190"/>
      <c r="X25" s="186"/>
    </row>
    <row r="26" customFormat="false" ht="15.75" hidden="false" customHeight="true" outlineLevel="0" collapsed="false">
      <c r="A26" s="4"/>
      <c r="B26" s="191" t="str">
        <f aca="false">IF(OptControl&gt;2,"","Fence")</f>
        <v>Fence</v>
      </c>
      <c r="C26" s="134" t="e">
        <f aca="false">IF(OptControl&gt;2,"",C23-C24)</f>
        <v>#DIV/0!</v>
      </c>
      <c r="D26" s="192" t="e">
        <f aca="false">IF(I26="","",I26*NominalVolume/$P$29)</f>
        <v>#DIV/0!</v>
      </c>
      <c r="E26" s="192" t="e">
        <f aca="false">IF(J26="","",J26*NominalVolume/$P$29)</f>
        <v>#DIV/0!</v>
      </c>
      <c r="F26" s="193" t="e">
        <f aca="false">IF(OptControl&gt;2,"",F23-F24)</f>
        <v>#DIV/0!</v>
      </c>
      <c r="G26" s="194" t="e">
        <f aca="false">IF(OptControl&gt;2,"",G23-G24)</f>
        <v>#DIV/0!</v>
      </c>
      <c r="H26" s="172"/>
      <c r="I26" s="195" t="e">
        <f aca="false">IF(OptControl&gt;2,"",I23-I24)</f>
        <v>#DIV/0!</v>
      </c>
      <c r="J26" s="194" t="e">
        <f aca="false">IF(OptControl&gt;2,"",J23-J24)</f>
        <v>#DIV/0!</v>
      </c>
      <c r="K26" s="196" t="e">
        <f aca="false">INDEX(C10:G10,Product)+PriceSpreadAsian</f>
        <v>#DIV/0!</v>
      </c>
      <c r="L26" s="9"/>
      <c r="M26" s="8" t="s">
        <v>107</v>
      </c>
      <c r="N26" s="8"/>
      <c r="O26" s="8"/>
      <c r="P26" s="8"/>
      <c r="Q26" s="8"/>
      <c r="R26" s="5"/>
      <c r="S26" s="5"/>
      <c r="T26" s="9"/>
      <c r="U26" s="1"/>
    </row>
    <row r="27" customFormat="false" ht="15" hidden="false" customHeight="true" outlineLevel="0" collapsed="false">
      <c r="A27" s="4"/>
      <c r="B27" s="176" t="str">
        <f aca="false">CONCATENATE("Euro ",IF(OptControl=4,"Put 1","Call"),IF(OptControl=3," 1",""))</f>
        <v>Euro Call</v>
      </c>
      <c r="C27" s="177" t="e">
        <f aca="false">SUMPRODUCT(CALC!$AH5:$AH184,CALC!BH5:BH184)/$O$29</f>
        <v>#DIV/0!</v>
      </c>
      <c r="D27" s="179" t="e">
        <f aca="false">SUMPRODUCT(CALC!$AH5:$AH184,CALC!BI5:BI184)/$O$29</f>
        <v>#DIV/0!</v>
      </c>
      <c r="E27" s="179" t="e">
        <f aca="false">SUMPRODUCT(CALC!$AH5:$AH184,CALC!BJ5:BJ184)/$O$29</f>
        <v>#DIV/0!</v>
      </c>
      <c r="F27" s="179" t="e">
        <f aca="false">SUMPRODUCT(CALC!$AH5:$AH184,CALC!BK5:BK184)/$O$29</f>
        <v>#DIV/0!</v>
      </c>
      <c r="G27" s="180" t="e">
        <f aca="false">SUMPRODUCT(CALC!$AH5:$AH184,CALC!BL5:BL184)/$O$29</f>
        <v>#DIV/0!</v>
      </c>
      <c r="H27" s="172"/>
      <c r="I27" s="197"/>
      <c r="J27" s="171"/>
      <c r="K27" s="174" t="e">
        <f aca="false">AVERAGE(CALC!BF5:BF184)</f>
        <v>#DIV/0!</v>
      </c>
      <c r="L27" s="9"/>
      <c r="M27" s="198"/>
      <c r="N27" s="199" t="s">
        <v>108</v>
      </c>
      <c r="O27" s="200" t="s">
        <v>109</v>
      </c>
      <c r="P27" s="200"/>
      <c r="Q27" s="201" t="s">
        <v>110</v>
      </c>
      <c r="R27" s="5"/>
      <c r="S27" s="5"/>
      <c r="T27" s="9"/>
      <c r="U27" s="1"/>
    </row>
    <row r="28" customFormat="false" ht="15" hidden="false" customHeight="true" outlineLevel="0" collapsed="false">
      <c r="A28" s="4"/>
      <c r="B28" s="176" t="str">
        <f aca="false">B24</f>
        <v>Put</v>
      </c>
      <c r="C28" s="177" t="e">
        <f aca="false">SUMPRODUCT(CALC!$AH5:$AH184,CALC!BM5:BM184)/$O$29</f>
        <v>#DIV/0!</v>
      </c>
      <c r="D28" s="179" t="e">
        <f aca="false">SUMPRODUCT(CALC!$AH5:$AH184,CALC!BN5:BN184)/$O$29</f>
        <v>#DIV/0!</v>
      </c>
      <c r="E28" s="179" t="e">
        <f aca="false">SUMPRODUCT(CALC!$AH5:$AH184,CALC!BO5:BO184)/$O$29</f>
        <v>#DIV/0!</v>
      </c>
      <c r="F28" s="179" t="e">
        <f aca="false">SUMPRODUCT(CALC!$AH5:$AH184,CALC!BP5:BP184)/$O$29</f>
        <v>#DIV/0!</v>
      </c>
      <c r="G28" s="180" t="e">
        <f aca="false">SUMPRODUCT(CALC!$AH5:$AH184,CALC!BQ5:BQ184)/$O$29</f>
        <v>#DIV/0!</v>
      </c>
      <c r="H28" s="172"/>
      <c r="I28" s="202"/>
      <c r="J28" s="180"/>
      <c r="K28" s="182" t="e">
        <f aca="false">AVERAGE(CALC!BG5:BG184)</f>
        <v>#DIV/0!</v>
      </c>
      <c r="L28" s="9"/>
      <c r="M28" s="203"/>
      <c r="N28" s="204"/>
      <c r="O28" s="205" t="s">
        <v>111</v>
      </c>
      <c r="P28" s="206" t="s">
        <v>112</v>
      </c>
      <c r="Q28" s="207" t="s">
        <v>113</v>
      </c>
      <c r="R28" s="5"/>
      <c r="S28" s="5"/>
      <c r="T28" s="6"/>
      <c r="U28" s="1"/>
    </row>
    <row r="29" customFormat="false" ht="15" hidden="false" customHeight="true" outlineLevel="0" collapsed="false">
      <c r="A29" s="4"/>
      <c r="B29" s="176" t="str">
        <f aca="false">B25</f>
        <v>Straddle</v>
      </c>
      <c r="C29" s="177" t="e">
        <f aca="false">C27+C28*IF(OptControl&gt;2,-1,1)</f>
        <v>#DIV/0!</v>
      </c>
      <c r="D29" s="179" t="e">
        <f aca="false">D27+D28*IF(OptControl&gt;2,-1,1)</f>
        <v>#DIV/0!</v>
      </c>
      <c r="E29" s="179" t="e">
        <f aca="false">E27+E28*IF(OptControl&gt;2,-1,1)</f>
        <v>#DIV/0!</v>
      </c>
      <c r="F29" s="179" t="e">
        <f aca="false">F27+F28*IF(OptControl&gt;2,-1,1)</f>
        <v>#DIV/0!</v>
      </c>
      <c r="G29" s="180" t="e">
        <f aca="false">G27+G28*IF(OptControl&gt;2,-1,1)</f>
        <v>#DIV/0!</v>
      </c>
      <c r="H29" s="172"/>
      <c r="I29" s="202"/>
      <c r="J29" s="180"/>
      <c r="K29" s="187" t="s">
        <v>114</v>
      </c>
      <c r="L29" s="9"/>
      <c r="M29" s="208" t="s">
        <v>115</v>
      </c>
      <c r="N29" s="209" t="n">
        <v>1</v>
      </c>
      <c r="O29" s="210" t="n">
        <f aca="false">CALC!AH4</f>
        <v>0</v>
      </c>
      <c r="P29" s="211" t="n">
        <f aca="false">CALC!AI4</f>
        <v>0</v>
      </c>
      <c r="Q29" s="207" t="s">
        <v>116</v>
      </c>
      <c r="R29" s="5"/>
      <c r="S29" s="5"/>
      <c r="T29" s="212"/>
      <c r="U29" s="1"/>
      <c r="X29" s="213"/>
    </row>
    <row r="30" customFormat="false" ht="18.75" hidden="false" customHeight="true" outlineLevel="0" collapsed="false">
      <c r="A30" s="9"/>
      <c r="B30" s="191" t="str">
        <f aca="false">B26</f>
        <v>Fence</v>
      </c>
      <c r="C30" s="134" t="e">
        <f aca="false">IF(OptControl&gt;2,"",C27-C28)</f>
        <v>#DIV/0!</v>
      </c>
      <c r="D30" s="193" t="e">
        <f aca="false">IF(OptControl&gt;2,"",D27-D28)</f>
        <v>#DIV/0!</v>
      </c>
      <c r="E30" s="193" t="e">
        <f aca="false">IF(OptControl&gt;2,"",E27-E28)</f>
        <v>#DIV/0!</v>
      </c>
      <c r="F30" s="193" t="e">
        <f aca="false">IF(OptControl&gt;2,"",F27-F28)</f>
        <v>#DIV/0!</v>
      </c>
      <c r="G30" s="194" t="e">
        <f aca="false">IF(OptControl&gt;2,"",G27-G28)</f>
        <v>#DIV/0!</v>
      </c>
      <c r="H30" s="172"/>
      <c r="I30" s="188"/>
      <c r="J30" s="194"/>
      <c r="K30" s="196" t="e">
        <f aca="false">IF(ProductGroup=1,IF(Product=1,SUMPRODUCT(CALC!BX5:BX184,CALC!AI5:AI184)/P29+PriceSpreadEuro,IF(Product=3,SUMPRODUCT(CALC!CK5:CK184,CALC!AI5:AI184)/P29+PriceSpreadEuro,"N/A")),"N/A")</f>
        <v>#DIV/0!</v>
      </c>
      <c r="L30" s="9"/>
      <c r="M30" s="214" t="s">
        <v>117</v>
      </c>
      <c r="N30" s="215" t="n">
        <v>1</v>
      </c>
      <c r="O30" s="216" t="n">
        <f aca="false">CALC!AJ4</f>
        <v>0</v>
      </c>
      <c r="P30" s="217" t="n">
        <f aca="false">CALC!AK4</f>
        <v>0</v>
      </c>
      <c r="Q30" s="218" t="n">
        <v>0</v>
      </c>
      <c r="R30" s="5"/>
      <c r="S30" s="5"/>
      <c r="T30" s="9"/>
      <c r="U30" s="1"/>
    </row>
    <row r="31" customFormat="false" ht="15.75" hidden="false" customHeight="true" outlineLevel="0" collapsed="false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10"/>
    </row>
    <row r="32" customFormat="false" ht="17.25" hidden="false" customHeight="true" outlineLevel="0" collapsed="false">
      <c r="A32" s="219"/>
      <c r="B32" s="3"/>
      <c r="C32" s="3"/>
      <c r="D32" s="3"/>
      <c r="E32" s="3"/>
      <c r="F32" s="3"/>
      <c r="G32" s="220"/>
      <c r="H32" s="219"/>
      <c r="I32" s="3"/>
      <c r="J32" s="3"/>
      <c r="K32" s="3"/>
      <c r="L32" s="3"/>
      <c r="R32" s="3"/>
      <c r="S32" s="3"/>
      <c r="T32" s="219"/>
      <c r="U32" s="10"/>
    </row>
    <row r="33" customFormat="false" ht="16.5" hidden="false" customHeight="true" outlineLevel="0" collapsed="false">
      <c r="A33" s="219"/>
      <c r="B33" s="3"/>
      <c r="C33" s="3"/>
      <c r="D33" s="3"/>
      <c r="E33" s="3"/>
      <c r="F33" s="3"/>
      <c r="G33" s="220"/>
      <c r="H33" s="219"/>
      <c r="I33" s="3"/>
      <c r="J33" s="3"/>
      <c r="K33" s="3"/>
      <c r="L33" s="3"/>
      <c r="M33" s="219"/>
      <c r="N33" s="3"/>
      <c r="O33" s="3"/>
      <c r="T33" s="219"/>
      <c r="U33" s="10"/>
    </row>
    <row r="34" customFormat="false" ht="18.75" hidden="false" customHeight="true" outlineLevel="0" collapsed="false">
      <c r="A34" s="219"/>
      <c r="B34" s="3"/>
      <c r="C34" s="3"/>
      <c r="D34" s="3"/>
      <c r="E34" s="3"/>
      <c r="F34" s="3"/>
      <c r="G34" s="220"/>
      <c r="H34" s="219"/>
      <c r="I34" s="3"/>
      <c r="J34" s="3"/>
      <c r="K34" s="3"/>
      <c r="L34" s="3"/>
      <c r="M34" s="219"/>
      <c r="N34" s="3"/>
      <c r="O34" s="3"/>
      <c r="T34" s="219"/>
      <c r="U34" s="10"/>
    </row>
    <row r="35" customFormat="false" ht="14.25" hidden="false" customHeight="true" outlineLevel="0" collapsed="false">
      <c r="A35" s="219"/>
      <c r="B35" s="3"/>
      <c r="C35" s="3"/>
      <c r="D35" s="3"/>
      <c r="E35" s="3"/>
      <c r="F35" s="3"/>
      <c r="G35" s="220"/>
      <c r="H35" s="219"/>
      <c r="I35" s="3"/>
      <c r="J35" s="3"/>
      <c r="K35" s="3"/>
      <c r="L35" s="3"/>
      <c r="M35" s="219"/>
      <c r="N35" s="3"/>
      <c r="O35" s="3"/>
      <c r="P35" s="3"/>
      <c r="Q35" s="3"/>
      <c r="R35" s="3"/>
      <c r="S35" s="3"/>
      <c r="T35" s="219"/>
      <c r="U35" s="10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customFormat="false" ht="15.75" hidden="false" customHeight="true" outlineLevel="0" collapsed="false">
      <c r="A36" s="219"/>
      <c r="B36" s="3"/>
      <c r="C36" s="3"/>
      <c r="D36" s="3"/>
      <c r="E36" s="3"/>
      <c r="F36" s="3"/>
      <c r="G36" s="219"/>
      <c r="H36" s="219"/>
      <c r="I36" s="219"/>
      <c r="J36" s="3"/>
      <c r="K36" s="3"/>
      <c r="L36" s="3"/>
      <c r="M36" s="219"/>
      <c r="N36" s="3"/>
      <c r="O36" s="3"/>
      <c r="P36" s="3"/>
      <c r="Q36" s="3"/>
      <c r="R36" s="3"/>
      <c r="S36" s="3"/>
      <c r="T36" s="219"/>
      <c r="U36" s="10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5.75" hidden="false" customHeight="true" outlineLevel="0" collapsed="false">
      <c r="A37" s="219"/>
      <c r="B37" s="3"/>
      <c r="C37" s="3"/>
      <c r="D37" s="3"/>
      <c r="E37" s="3"/>
      <c r="F37" s="3"/>
      <c r="G37" s="219"/>
      <c r="H37" s="219"/>
      <c r="I37" s="219"/>
      <c r="J37" s="3"/>
      <c r="K37" s="3"/>
      <c r="L37" s="3"/>
      <c r="M37" s="219"/>
      <c r="N37" s="3"/>
      <c r="O37" s="3"/>
      <c r="P37" s="3"/>
      <c r="Q37" s="3"/>
      <c r="R37" s="3"/>
      <c r="S37" s="3"/>
      <c r="T37" s="219"/>
      <c r="U37" s="10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4.25" hidden="false" customHeight="true" outlineLevel="0" collapsed="false">
      <c r="A38" s="219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T38" s="219"/>
    </row>
    <row r="39" customFormat="false" ht="14.25" hidden="false" customHeight="tru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T39" s="3"/>
    </row>
    <row r="40" customFormat="false" ht="14.25" hidden="false" customHeight="true" outlineLevel="0" collapsed="false">
      <c r="A40" s="3"/>
      <c r="B40" s="3"/>
      <c r="C40" s="3"/>
      <c r="D40" s="3"/>
      <c r="E40" s="3"/>
      <c r="F40" s="10"/>
      <c r="G40" s="3"/>
      <c r="H40" s="3"/>
      <c r="I40" s="3"/>
      <c r="J40" s="3"/>
      <c r="K40" s="3"/>
      <c r="L40" s="3"/>
      <c r="M40" s="219"/>
      <c r="T40" s="3"/>
    </row>
    <row r="41" customFormat="false" ht="14.25" hidden="false" customHeight="true" outlineLevel="0" collapsed="false">
      <c r="A41" s="3"/>
      <c r="B41" s="3"/>
      <c r="C41" s="3"/>
      <c r="D41" s="3"/>
      <c r="E41" s="3"/>
      <c r="F41" s="10"/>
      <c r="G41" s="3"/>
      <c r="H41" s="3"/>
      <c r="I41" s="3"/>
      <c r="J41" s="3"/>
      <c r="K41" s="3"/>
      <c r="L41" s="3"/>
      <c r="M41" s="219"/>
      <c r="N41" s="3"/>
      <c r="O41" s="3"/>
      <c r="P41" s="3"/>
      <c r="Q41" s="3"/>
      <c r="R41" s="10"/>
      <c r="S41" s="3"/>
      <c r="T41" s="3"/>
    </row>
    <row r="42" customFormat="false" ht="14.25" hidden="false" customHeight="true" outlineLevel="0" collapsed="false">
      <c r="A42" s="3"/>
      <c r="B42" s="3"/>
      <c r="C42" s="3"/>
      <c r="D42" s="3"/>
      <c r="E42" s="3"/>
      <c r="F42" s="10"/>
      <c r="G42" s="3"/>
      <c r="H42" s="3"/>
      <c r="I42" s="3"/>
      <c r="J42" s="3"/>
      <c r="K42" s="3"/>
      <c r="L42" s="3"/>
      <c r="M42" s="10"/>
      <c r="N42" s="3"/>
      <c r="O42" s="3"/>
      <c r="P42" s="3"/>
      <c r="Q42" s="3"/>
      <c r="R42" s="10"/>
      <c r="S42" s="3"/>
      <c r="T42" s="3"/>
    </row>
    <row r="43" customFormat="false" ht="14.25" hidden="false" customHeight="tru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10"/>
      <c r="N43" s="3"/>
      <c r="O43" s="3"/>
      <c r="P43" s="3"/>
      <c r="Q43" s="3"/>
      <c r="R43" s="10"/>
      <c r="S43" s="3"/>
      <c r="T43" s="3"/>
    </row>
    <row r="44" customFormat="false" ht="14.25" hidden="false" customHeight="tru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219"/>
      <c r="N44" s="3"/>
      <c r="O44" s="3"/>
      <c r="P44" s="3"/>
      <c r="Q44" s="3"/>
      <c r="R44" s="3"/>
      <c r="S44" s="3"/>
      <c r="T44" s="3"/>
    </row>
    <row r="45" customFormat="false" ht="14.25" hidden="false" customHeight="tru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219"/>
      <c r="N45" s="3"/>
      <c r="O45" s="3"/>
      <c r="P45" s="3"/>
      <c r="Q45" s="3"/>
      <c r="R45" s="10"/>
      <c r="S45" s="3"/>
      <c r="T45" s="3"/>
    </row>
    <row r="46" customFormat="false" ht="14.25" hidden="false" customHeight="tru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219"/>
      <c r="N46" s="3"/>
      <c r="O46" s="3"/>
      <c r="P46" s="3"/>
      <c r="Q46" s="3"/>
      <c r="R46" s="10"/>
      <c r="S46" s="3"/>
      <c r="T46" s="3"/>
    </row>
    <row r="47" customFormat="false" ht="14.25" hidden="false" customHeight="tru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219"/>
      <c r="N47" s="3"/>
      <c r="O47" s="3"/>
      <c r="P47" s="3"/>
      <c r="Q47" s="3"/>
      <c r="R47" s="10"/>
      <c r="S47" s="3"/>
      <c r="T47" s="3"/>
    </row>
    <row r="48" customFormat="false" ht="14.25" hidden="false" customHeight="true" outlineLevel="0" collapsed="false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219"/>
      <c r="N48" s="3"/>
      <c r="O48" s="10"/>
      <c r="P48" s="10"/>
      <c r="Q48" s="10"/>
      <c r="R48" s="10"/>
      <c r="S48" s="10"/>
      <c r="T48" s="3"/>
    </row>
    <row r="49" customFormat="false" ht="14.25" hidden="false" customHeight="tru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10"/>
      <c r="N49" s="3"/>
      <c r="O49" s="3"/>
      <c r="P49" s="3"/>
      <c r="Q49" s="3"/>
      <c r="R49" s="3"/>
      <c r="S49" s="3"/>
      <c r="T49" s="3"/>
    </row>
    <row r="50" customFormat="false" ht="14.25" hidden="false" customHeight="tru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10"/>
      <c r="N50" s="3"/>
      <c r="O50" s="3"/>
      <c r="P50" s="3"/>
      <c r="Q50" s="3"/>
      <c r="R50" s="3"/>
      <c r="S50" s="3"/>
      <c r="T50" s="3"/>
    </row>
    <row r="51" customFormat="false" ht="14.25" hidden="false" customHeight="tru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10"/>
      <c r="N51" s="3"/>
      <c r="O51" s="3"/>
      <c r="P51" s="3"/>
      <c r="Q51" s="3"/>
      <c r="R51" s="3"/>
      <c r="S51" s="3"/>
      <c r="T51" s="3"/>
    </row>
    <row r="52" customFormat="false" ht="14.25" hidden="false" customHeight="tru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10"/>
      <c r="N52" s="3"/>
      <c r="O52" s="3"/>
      <c r="P52" s="3"/>
      <c r="Q52" s="3"/>
      <c r="R52" s="3"/>
      <c r="S52" s="3"/>
      <c r="T52" s="3"/>
    </row>
    <row r="53" customFormat="false" ht="12.75" hidden="false" customHeight="false" outlineLevel="0" collapsed="false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219"/>
      <c r="N53" s="3"/>
      <c r="O53" s="3"/>
      <c r="P53" s="3"/>
      <c r="Q53" s="3"/>
      <c r="R53" s="3"/>
      <c r="S53" s="3"/>
      <c r="T53" s="3"/>
    </row>
    <row r="54" customFormat="false" ht="12.75" hidden="false" customHeight="fals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219"/>
      <c r="N54" s="3"/>
      <c r="O54" s="3"/>
      <c r="P54" s="3"/>
      <c r="Q54" s="3"/>
      <c r="R54" s="3"/>
      <c r="S54" s="3"/>
      <c r="T54" s="3"/>
    </row>
    <row r="55" customFormat="false" ht="12.75" hidden="false" customHeight="false" outlineLevel="0" collapsed="false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219"/>
      <c r="N55" s="3"/>
      <c r="O55" s="3"/>
      <c r="P55" s="3"/>
      <c r="Q55" s="3"/>
      <c r="R55" s="3"/>
      <c r="S55" s="3"/>
      <c r="T55" s="3"/>
    </row>
    <row r="56" customFormat="false" ht="12.75" hidden="false" customHeight="fals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219"/>
      <c r="N56" s="3"/>
      <c r="O56" s="3"/>
      <c r="P56" s="3"/>
      <c r="Q56" s="3"/>
      <c r="R56" s="3"/>
      <c r="S56" s="3"/>
      <c r="T56" s="3"/>
    </row>
    <row r="57" customFormat="false" ht="12.75" hidden="false" customHeight="false" outlineLevel="0" collapsed="false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219"/>
      <c r="N57" s="3"/>
      <c r="O57" s="3"/>
      <c r="P57" s="3"/>
      <c r="Q57" s="3"/>
      <c r="R57" s="3"/>
      <c r="S57" s="3"/>
      <c r="T57" s="3"/>
    </row>
    <row r="58" customFormat="false" ht="12.75" hidden="false" customHeight="fals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219"/>
      <c r="N58" s="3"/>
      <c r="O58" s="3"/>
      <c r="P58" s="3"/>
      <c r="Q58" s="3"/>
      <c r="R58" s="3"/>
      <c r="S58" s="3"/>
      <c r="T58" s="3"/>
    </row>
    <row r="59" customFormat="false" ht="12.75" hidden="false" customHeight="false" outlineLevel="0" collapsed="false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219"/>
      <c r="N59" s="3"/>
      <c r="O59" s="3"/>
      <c r="P59" s="3"/>
      <c r="Q59" s="3"/>
      <c r="R59" s="3"/>
      <c r="S59" s="3"/>
      <c r="T59" s="3"/>
    </row>
    <row r="60" customFormat="false" ht="12.75" hidden="false" customHeight="false" outlineLevel="0" collapsed="false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219"/>
      <c r="N60" s="3"/>
      <c r="O60" s="3"/>
      <c r="P60" s="3"/>
      <c r="Q60" s="3"/>
      <c r="R60" s="3"/>
      <c r="S60" s="3"/>
      <c r="T60" s="3"/>
    </row>
    <row r="61" customFormat="false" ht="12.75" hidden="false" customHeight="false" outlineLevel="0" collapsed="false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219"/>
      <c r="N61" s="3"/>
      <c r="O61" s="3"/>
      <c r="P61" s="3"/>
      <c r="Q61" s="3"/>
      <c r="R61" s="3"/>
      <c r="S61" s="3"/>
      <c r="T61" s="3"/>
    </row>
    <row r="62" customFormat="false" ht="12.75" hidden="false" customHeight="false" outlineLevel="0" collapsed="false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219"/>
      <c r="N62" s="3"/>
      <c r="O62" s="3"/>
      <c r="P62" s="3"/>
      <c r="Q62" s="3"/>
      <c r="R62" s="3"/>
      <c r="S62" s="3"/>
      <c r="T62" s="3"/>
    </row>
    <row r="63" customFormat="false" ht="12.75" hidden="false" customHeight="false" outlineLevel="0" collapsed="false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219"/>
      <c r="N63" s="3"/>
      <c r="O63" s="3"/>
      <c r="P63" s="3"/>
      <c r="Q63" s="3"/>
      <c r="R63" s="3"/>
      <c r="S63" s="3"/>
      <c r="T63" s="3"/>
    </row>
    <row r="64" customFormat="false" ht="12.75" hidden="false" customHeight="false" outlineLevel="0" collapsed="false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219"/>
      <c r="N64" s="3"/>
      <c r="O64" s="3"/>
      <c r="P64" s="3"/>
      <c r="Q64" s="3"/>
      <c r="R64" s="3"/>
      <c r="S64" s="3"/>
      <c r="T64" s="3"/>
    </row>
    <row r="65" customFormat="false" ht="12.75" hidden="false" customHeight="false" outlineLevel="0" collapsed="false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219"/>
      <c r="N65" s="3"/>
      <c r="O65" s="3"/>
      <c r="P65" s="3"/>
      <c r="Q65" s="3"/>
      <c r="R65" s="3"/>
      <c r="S65" s="3"/>
      <c r="T65" s="3"/>
    </row>
    <row r="66" customFormat="false" ht="12.75" hidden="false" customHeight="fals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219"/>
      <c r="N66" s="3"/>
      <c r="O66" s="3"/>
      <c r="P66" s="3"/>
      <c r="Q66" s="3"/>
      <c r="R66" s="3"/>
      <c r="S66" s="3"/>
      <c r="T66" s="3"/>
    </row>
    <row r="67" customFormat="false" ht="12.75" hidden="false" customHeight="false" outlineLevel="0" collapsed="false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219"/>
      <c r="N67" s="3"/>
      <c r="O67" s="3"/>
      <c r="P67" s="3"/>
      <c r="Q67" s="3"/>
      <c r="R67" s="3"/>
      <c r="S67" s="3"/>
      <c r="T67" s="3"/>
    </row>
    <row r="68" customFormat="false" ht="12.75" hidden="false" customHeight="false" outlineLevel="0" collapsed="false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219"/>
      <c r="N68" s="3"/>
      <c r="O68" s="3"/>
      <c r="P68" s="3"/>
      <c r="Q68" s="3"/>
      <c r="R68" s="3"/>
      <c r="S68" s="3"/>
      <c r="T68" s="3"/>
    </row>
    <row r="69" customFormat="false" ht="12.75" hidden="false" customHeight="false" outlineLevel="0" collapsed="false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219"/>
      <c r="N69" s="3"/>
      <c r="O69" s="3"/>
      <c r="P69" s="3"/>
      <c r="Q69" s="3"/>
      <c r="R69" s="3"/>
      <c r="S69" s="3"/>
      <c r="T69" s="3"/>
    </row>
    <row r="70" customFormat="false" ht="12.75" hidden="false" customHeight="false" outlineLevel="0" collapsed="false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219"/>
      <c r="N70" s="3"/>
      <c r="O70" s="3"/>
      <c r="P70" s="3"/>
      <c r="Q70" s="3"/>
      <c r="R70" s="3"/>
      <c r="S70" s="3"/>
      <c r="T70" s="3"/>
    </row>
    <row r="78" customFormat="false" ht="12.75" hidden="false" customHeight="false" outlineLevel="0" collapsed="false">
      <c r="L78" s="0"/>
      <c r="M78" s="221"/>
      <c r="N78" s="0"/>
      <c r="O78" s="0"/>
      <c r="P78" s="0"/>
    </row>
    <row r="79" customFormat="false" ht="12.75" hidden="false" customHeight="false" outlineLevel="0" collapsed="false">
      <c r="L79" s="0"/>
      <c r="M79" s="221"/>
      <c r="N79" s="0"/>
      <c r="O79" s="0"/>
      <c r="P79" s="0"/>
    </row>
    <row r="80" customFormat="false" ht="12.75" hidden="false" customHeight="false" outlineLevel="0" collapsed="false">
      <c r="L80" s="0"/>
      <c r="M80" s="221"/>
      <c r="N80" s="0"/>
      <c r="O80" s="0"/>
      <c r="P80" s="0"/>
    </row>
    <row r="81" customFormat="false" ht="12.75" hidden="false" customHeight="false" outlineLevel="0" collapsed="false">
      <c r="L81" s="0"/>
      <c r="M81" s="221"/>
      <c r="N81" s="0"/>
      <c r="O81" s="0"/>
      <c r="P81" s="0"/>
    </row>
    <row r="82" customFormat="false" ht="12.75" hidden="false" customHeight="false" outlineLevel="0" collapsed="false">
      <c r="L82" s="0"/>
      <c r="M82" s="221"/>
      <c r="N82" s="0"/>
      <c r="O82" s="0"/>
      <c r="P82" s="0"/>
    </row>
    <row r="83" customFormat="false" ht="12.75" hidden="false" customHeight="false" outlineLevel="0" collapsed="false">
      <c r="L83" s="0"/>
      <c r="M83" s="221"/>
      <c r="N83" s="0"/>
      <c r="O83" s="0"/>
      <c r="P83" s="0"/>
    </row>
    <row r="84" customFormat="false" ht="12.75" hidden="false" customHeight="false" outlineLevel="0" collapsed="false">
      <c r="L84" s="0"/>
      <c r="M84" s="221"/>
      <c r="N84" s="0"/>
      <c r="O84" s="0"/>
      <c r="P84" s="0"/>
    </row>
    <row r="85" customFormat="false" ht="12.75" hidden="false" customHeight="false" outlineLevel="0" collapsed="false">
      <c r="L85" s="0"/>
    </row>
  </sheetData>
  <sheetProtection sheet="true" objects="true" scenarios="true"/>
  <mergeCells count="27">
    <mergeCell ref="D2:G2"/>
    <mergeCell ref="I2:N2"/>
    <mergeCell ref="P2:S2"/>
    <mergeCell ref="K3:L3"/>
    <mergeCell ref="M3:N3"/>
    <mergeCell ref="V3:W3"/>
    <mergeCell ref="Y3:Z3"/>
    <mergeCell ref="I4:J4"/>
    <mergeCell ref="D6:G6"/>
    <mergeCell ref="P6:S6"/>
    <mergeCell ref="B7:G7"/>
    <mergeCell ref="P7:S7"/>
    <mergeCell ref="P10:Q10"/>
    <mergeCell ref="B12:G12"/>
    <mergeCell ref="E13:F13"/>
    <mergeCell ref="P14:S14"/>
    <mergeCell ref="V16:W16"/>
    <mergeCell ref="B17:D17"/>
    <mergeCell ref="E17:G17"/>
    <mergeCell ref="I18:L18"/>
    <mergeCell ref="M18:N18"/>
    <mergeCell ref="V19:W19"/>
    <mergeCell ref="B21:G21"/>
    <mergeCell ref="M22:Q22"/>
    <mergeCell ref="V23:W23"/>
    <mergeCell ref="M26:Q26"/>
    <mergeCell ref="O27:P27"/>
  </mergeCells>
  <printOptions headings="false" gridLines="false" gridLinesSet="true" horizontalCentered="true" verticalCentered="true"/>
  <pageMargins left="0.2" right="0.2" top="0.170138888888889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 macro="xls.PricingMacros.ExtendableSwap">
                <anchor moveWithCells="true" sizeWithCells="false">
                  <from>
                    <xdr:col>15</xdr:col>
                    <xdr:colOff>0</xdr:colOff>
                    <xdr:row>12</xdr:row>
                    <xdr:rowOff>9720</xdr:rowOff>
                  </from>
                  <to>
                    <xdr:col>18</xdr:col>
                    <xdr:colOff>592200</xdr:colOff>
                    <xdr:row>13</xdr:row>
                    <xdr:rowOff>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 macro="xls.PricingMacros.ParticipatingSwap">
                <anchor moveWithCells="true" sizeWithCells="false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18</xdr:col>
                    <xdr:colOff>644760</xdr:colOff>
                    <xdr:row>17</xdr:row>
                    <xdr:rowOff>-19440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2">
              <controlPr defaultSize="0" print="false" autoFill="0" autoPict="0">
                <anchor moveWithCells="true" sizeWithCells="false">
                  <from>
                    <xdr:col>1</xdr:col>
                    <xdr:colOff>10440</xdr:colOff>
                    <xdr:row>3</xdr:row>
                    <xdr:rowOff>9360</xdr:rowOff>
                  </from>
                  <to>
                    <xdr:col>2</xdr:col>
                    <xdr:colOff>720</xdr:colOff>
                    <xdr:row>4</xdr:row>
                    <xdr:rowOff>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192">
              <controlPr defaultSize="0" print="true" autoFill="0" autoPict="0" macro="xls.PricingMacros.CostlessCollar">
                <anchor moveWithCells="true" sizeWithCells="false">
                  <from>
                    <xdr:col>10</xdr:col>
                    <xdr:colOff>21240</xdr:colOff>
                    <xdr:row>18</xdr:row>
                    <xdr:rowOff>0</xdr:rowOff>
                  </from>
                  <to>
                    <xdr:col>11</xdr:col>
                    <xdr:colOff>497520</xdr:colOff>
                    <xdr:row>19</xdr:row>
                    <xdr:rowOff>190800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G504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pane xSplit="1" ySplit="4" topLeftCell="BS5" activePane="bottomRight" state="frozen"/>
      <selection pane="topLeft" activeCell="I1" activeCellId="0" sqref="I1"/>
      <selection pane="topRight" activeCell="BS1" activeCellId="0" sqref="BS1"/>
      <selection pane="bottomLeft" activeCell="I5" activeCellId="0" sqref="I5"/>
      <selection pane="bottomRight" activeCell="DY36" activeCellId="0" sqref="DY36:EC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65"/>
    <col collapsed="false" customWidth="true" hidden="false" outlineLevel="0" max="7" min="2" style="0" width="10.15"/>
    <col collapsed="false" customWidth="true" hidden="false" outlineLevel="0" max="8" min="8" style="0" width="1.49"/>
    <col collapsed="false" customWidth="true" hidden="false" outlineLevel="0" max="9" min="9" style="221" width="7.99"/>
    <col collapsed="false" customWidth="true" hidden="false" outlineLevel="0" max="10" min="10" style="0" width="10.65"/>
    <col collapsed="false" customWidth="true" hidden="false" outlineLevel="0" max="11" min="11" style="222" width="7.82"/>
    <col collapsed="false" customWidth="true" hidden="false" outlineLevel="0" max="12" min="12" style="223" width="4.15"/>
    <col collapsed="false" customWidth="true" hidden="false" outlineLevel="0" max="13" min="13" style="223" width="3.15"/>
    <col collapsed="false" customWidth="true" hidden="false" outlineLevel="0" max="14" min="14" style="224" width="8.15"/>
    <col collapsed="false" customWidth="true" hidden="false" outlineLevel="0" max="15" min="15" style="222" width="7.99"/>
    <col collapsed="false" customWidth="true" hidden="false" outlineLevel="0" max="16" min="16" style="222" width="5.65"/>
    <col collapsed="false" customWidth="true" hidden="false" outlineLevel="0" max="17" min="17" style="222" width="5.82"/>
    <col collapsed="false" customWidth="true" hidden="false" outlineLevel="0" max="18" min="18" style="225" width="7.99"/>
    <col collapsed="false" customWidth="true" hidden="false" outlineLevel="0" max="19" min="19" style="0" width="7.99"/>
    <col collapsed="false" customWidth="true" hidden="false" outlineLevel="0" max="20" min="20" style="0" width="7.65"/>
    <col collapsed="false" customWidth="true" hidden="false" outlineLevel="0" max="22" min="21" style="0" width="6.65"/>
    <col collapsed="false" customWidth="true" hidden="false" outlineLevel="0" max="23" min="23" style="100" width="7.99"/>
    <col collapsed="false" customWidth="true" hidden="false" outlineLevel="0" max="24" min="24" style="1" width="6.15"/>
    <col collapsed="false" customWidth="true" hidden="false" outlineLevel="0" max="30" min="25" style="1" width="8.32"/>
    <col collapsed="false" customWidth="true" hidden="false" outlineLevel="0" max="31" min="31" style="225" width="7.82"/>
    <col collapsed="false" customWidth="true" hidden="false" outlineLevel="0" max="33" min="33" style="0" width="6.32"/>
    <col collapsed="false" customWidth="true" hidden="false" outlineLevel="0" max="37" min="34" style="0" width="8.82"/>
    <col collapsed="false" customWidth="true" hidden="false" outlineLevel="0" max="38" min="38" style="0" width="7.32"/>
    <col collapsed="false" customWidth="true" hidden="false" outlineLevel="0" max="40" min="39" style="0" width="6.32"/>
    <col collapsed="false" customWidth="true" hidden="false" outlineLevel="0" max="43" min="41" style="0" width="6.65"/>
    <col collapsed="false" customWidth="true" hidden="false" outlineLevel="0" max="53" min="44" style="0" width="8.15"/>
    <col collapsed="false" customWidth="true" hidden="false" outlineLevel="0" max="54" min="54" style="0" width="7.32"/>
    <col collapsed="false" customWidth="true" hidden="false" outlineLevel="0" max="56" min="55" style="0" width="6.32"/>
    <col collapsed="false" customWidth="true" hidden="false" outlineLevel="0" max="59" min="57" style="0" width="7.32"/>
    <col collapsed="false" customWidth="true" hidden="false" outlineLevel="0" max="69" min="60" style="0" width="8.49"/>
    <col collapsed="false" customWidth="true" hidden="false" outlineLevel="0" max="70" min="70" style="226" width="2.65"/>
    <col collapsed="false" customWidth="true" hidden="false" outlineLevel="0" max="73" min="71" style="0" width="7.49"/>
    <col collapsed="false" customWidth="true" hidden="false" outlineLevel="0" max="74" min="74" style="0" width="4.99"/>
    <col collapsed="false" customWidth="true" hidden="false" outlineLevel="0" max="75" min="75" style="0" width="7.65"/>
    <col collapsed="false" customWidth="true" hidden="false" outlineLevel="0" max="77" min="76" style="0" width="7.99"/>
    <col collapsed="false" customWidth="true" hidden="false" outlineLevel="0" max="79" min="79" style="0" width="7.82"/>
    <col collapsed="false" customWidth="true" hidden="false" outlineLevel="0" max="80" min="80" style="0" width="8.99"/>
    <col collapsed="false" customWidth="true" hidden="false" outlineLevel="0" max="81" min="81" style="0" width="8.82"/>
    <col collapsed="false" customWidth="true" hidden="false" outlineLevel="0" max="82" min="82" style="0" width="8.65"/>
    <col collapsed="false" customWidth="true" hidden="false" outlineLevel="0" max="83" min="83" style="0" width="9.49"/>
    <col collapsed="false" customWidth="true" hidden="false" outlineLevel="0" max="85" min="85" style="0" width="7.82"/>
    <col collapsed="false" customWidth="true" hidden="false" outlineLevel="0" max="86" min="86" style="0" width="8.99"/>
    <col collapsed="false" customWidth="true" hidden="false" outlineLevel="0" max="87" min="87" style="0" width="4.65"/>
    <col collapsed="false" customWidth="true" hidden="false" outlineLevel="0" max="88" min="88" style="0" width="8.82"/>
    <col collapsed="false" customWidth="true" hidden="false" outlineLevel="0" max="90" min="89" style="0" width="8.65"/>
    <col collapsed="false" customWidth="true" hidden="false" outlineLevel="0" max="92" min="92" style="0" width="7.82"/>
    <col collapsed="false" customWidth="true" hidden="false" outlineLevel="0" max="93" min="93" style="0" width="8.99"/>
    <col collapsed="false" customWidth="true" hidden="false" outlineLevel="0" max="94" min="94" style="0" width="8.82"/>
    <col collapsed="false" customWidth="true" hidden="false" outlineLevel="0" max="95" min="95" style="0" width="8.65"/>
    <col collapsed="false" customWidth="true" hidden="false" outlineLevel="0" max="96" min="96" style="0" width="9.49"/>
    <col collapsed="false" customWidth="true" hidden="false" outlineLevel="0" max="98" min="98" style="0" width="7.82"/>
    <col collapsed="false" customWidth="true" hidden="false" outlineLevel="0" max="100" min="99" style="0" width="9.49"/>
    <col collapsed="false" customWidth="true" hidden="false" outlineLevel="0" max="101" min="101" style="0" width="8.65"/>
    <col collapsed="false" customWidth="true" hidden="false" outlineLevel="0" max="109" min="102" style="0" width="7.65"/>
    <col collapsed="false" customWidth="true" hidden="false" outlineLevel="0" max="110" min="110" style="0" width="2.49"/>
    <col collapsed="false" customWidth="true" hidden="false" outlineLevel="0" max="111" min="111" style="0" width="2.32"/>
    <col collapsed="false" customWidth="true" hidden="false" outlineLevel="0" max="127" min="112" style="0" width="7.65"/>
    <col collapsed="false" customWidth="true" hidden="false" outlineLevel="0" max="131" min="131" style="0" width="10.49"/>
    <col collapsed="false" customWidth="true" hidden="false" outlineLevel="0" max="133" min="133" style="0" width="10.49"/>
    <col collapsed="false" customWidth="true" hidden="false" outlineLevel="0" max="136" min="135" style="0" width="9.15"/>
  </cols>
  <sheetData>
    <row r="1" customFormat="false" ht="24.75" hidden="false" customHeight="true" outlineLevel="0" collapsed="false">
      <c r="I1" s="227"/>
      <c r="J1" s="228" t="s">
        <v>42</v>
      </c>
      <c r="K1" s="229" t="s">
        <v>42</v>
      </c>
      <c r="L1" s="230"/>
      <c r="M1" s="230"/>
      <c r="N1" s="231" t="s">
        <v>118</v>
      </c>
      <c r="O1" s="231" t="s">
        <v>119</v>
      </c>
      <c r="P1" s="230" t="s">
        <v>120</v>
      </c>
      <c r="Q1" s="230"/>
      <c r="R1" s="232" t="s">
        <v>121</v>
      </c>
      <c r="S1" s="232"/>
      <c r="T1" s="232"/>
      <c r="U1" s="138" t="s">
        <v>42</v>
      </c>
      <c r="V1" s="138"/>
      <c r="W1" s="233" t="s">
        <v>122</v>
      </c>
      <c r="X1" s="233"/>
      <c r="Y1" s="233"/>
      <c r="Z1" s="233"/>
      <c r="AA1" s="233"/>
      <c r="AB1" s="233"/>
      <c r="AC1" s="233"/>
      <c r="AD1" s="233"/>
      <c r="AE1" s="234"/>
      <c r="AF1" s="235"/>
      <c r="AG1" s="138" t="s">
        <v>107</v>
      </c>
      <c r="AH1" s="138"/>
      <c r="AI1" s="138"/>
      <c r="AJ1" s="138"/>
      <c r="AK1" s="138"/>
      <c r="AL1" s="236" t="s">
        <v>123</v>
      </c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 t="s">
        <v>124</v>
      </c>
      <c r="BC1" s="236"/>
      <c r="BD1" s="236"/>
      <c r="BE1" s="236"/>
      <c r="BF1" s="236"/>
      <c r="BG1" s="236"/>
      <c r="BH1" s="236"/>
      <c r="BI1" s="236"/>
      <c r="BJ1" s="236"/>
      <c r="BK1" s="236"/>
      <c r="BL1" s="236"/>
      <c r="BM1" s="236"/>
      <c r="BN1" s="236"/>
      <c r="BO1" s="236"/>
      <c r="BP1" s="236"/>
      <c r="BQ1" s="236"/>
      <c r="BR1" s="237"/>
      <c r="BS1" s="238" t="s">
        <v>125</v>
      </c>
      <c r="BT1" s="238"/>
      <c r="BU1" s="238"/>
      <c r="BV1" s="238"/>
      <c r="BW1" s="238"/>
      <c r="BX1" s="238"/>
      <c r="BY1" s="238"/>
      <c r="BZ1" s="238" t="s">
        <v>126</v>
      </c>
      <c r="CA1" s="238"/>
      <c r="CB1" s="238"/>
      <c r="CC1" s="238"/>
      <c r="CD1" s="238"/>
      <c r="CE1" s="238"/>
      <c r="CF1" s="238" t="s">
        <v>127</v>
      </c>
      <c r="CG1" s="238"/>
      <c r="CH1" s="238"/>
      <c r="CI1" s="238"/>
      <c r="CJ1" s="238"/>
      <c r="CK1" s="238"/>
      <c r="CL1" s="238"/>
      <c r="CM1" s="238" t="s">
        <v>128</v>
      </c>
      <c r="CN1" s="238"/>
      <c r="CO1" s="238"/>
      <c r="CP1" s="238"/>
      <c r="CQ1" s="238"/>
      <c r="CR1" s="238"/>
      <c r="CS1" s="238" t="s">
        <v>129</v>
      </c>
      <c r="CT1" s="238"/>
      <c r="CU1" s="238"/>
      <c r="CV1" s="238"/>
      <c r="CW1" s="238"/>
      <c r="CX1" s="238" t="s">
        <v>130</v>
      </c>
      <c r="CY1" s="238"/>
      <c r="CZ1" s="238"/>
      <c r="DA1" s="238"/>
      <c r="DB1" s="238" t="s">
        <v>131</v>
      </c>
      <c r="DC1" s="238"/>
      <c r="DD1" s="238"/>
      <c r="DE1" s="238"/>
      <c r="DF1" s="1"/>
      <c r="DG1" s="239"/>
      <c r="DH1" s="238" t="s">
        <v>132</v>
      </c>
      <c r="DI1" s="238"/>
      <c r="DJ1" s="238"/>
      <c r="DK1" s="238"/>
      <c r="DL1" s="238" t="s">
        <v>133</v>
      </c>
      <c r="DM1" s="238"/>
      <c r="DN1" s="238"/>
      <c r="DO1" s="238"/>
      <c r="DP1" s="238" t="s">
        <v>134</v>
      </c>
      <c r="DQ1" s="238"/>
      <c r="DR1" s="238"/>
      <c r="DS1" s="238"/>
      <c r="DT1" s="238" t="s">
        <v>135</v>
      </c>
      <c r="DU1" s="238"/>
      <c r="DV1" s="238"/>
      <c r="DW1" s="238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customFormat="false" ht="15" hidden="false" customHeight="false" outlineLevel="0" collapsed="false">
      <c r="A2" s="240" t="s">
        <v>136</v>
      </c>
      <c r="B2" s="240"/>
      <c r="C2" s="240"/>
      <c r="D2" s="240"/>
      <c r="E2" s="240"/>
      <c r="F2" s="240"/>
      <c r="G2" s="240"/>
      <c r="I2" s="241" t="s">
        <v>137</v>
      </c>
      <c r="J2" s="242" t="s">
        <v>138</v>
      </c>
      <c r="K2" s="243" t="s">
        <v>47</v>
      </c>
      <c r="L2" s="244" t="s">
        <v>139</v>
      </c>
      <c r="M2" s="244" t="s">
        <v>52</v>
      </c>
      <c r="N2" s="245" t="s">
        <v>119</v>
      </c>
      <c r="O2" s="245" t="s">
        <v>140</v>
      </c>
      <c r="P2" s="244" t="s">
        <v>81</v>
      </c>
      <c r="Q2" s="244"/>
      <c r="R2" s="246" t="s">
        <v>141</v>
      </c>
      <c r="S2" s="247"/>
      <c r="T2" s="248" t="s">
        <v>16</v>
      </c>
      <c r="U2" s="249" t="s">
        <v>47</v>
      </c>
      <c r="V2" s="249"/>
      <c r="W2" s="250" t="s">
        <v>42</v>
      </c>
      <c r="X2" s="251" t="s">
        <v>43</v>
      </c>
      <c r="Y2" s="252" t="s">
        <v>136</v>
      </c>
      <c r="Z2" s="252"/>
      <c r="AA2" s="252"/>
      <c r="AB2" s="252"/>
      <c r="AC2" s="252"/>
      <c r="AD2" s="252"/>
      <c r="AE2" s="253" t="s">
        <v>142</v>
      </c>
      <c r="AF2" s="243" t="s">
        <v>143</v>
      </c>
      <c r="AG2" s="254" t="s">
        <v>144</v>
      </c>
      <c r="AH2" s="255" t="s">
        <v>145</v>
      </c>
      <c r="AI2" s="255"/>
      <c r="AJ2" s="256" t="s">
        <v>146</v>
      </c>
      <c r="AK2" s="256"/>
      <c r="AL2" s="254" t="s">
        <v>147</v>
      </c>
      <c r="AM2" s="257" t="s">
        <v>148</v>
      </c>
      <c r="AN2" s="257"/>
      <c r="AO2" s="258" t="s">
        <v>24</v>
      </c>
      <c r="AP2" s="258"/>
      <c r="AQ2" s="258"/>
      <c r="AR2" s="258" t="str">
        <f aca="false">CONCATENATE(IF(OptControl=4,"Put 1","Call"),IF(OptControl=3," 1",""))</f>
        <v>Call</v>
      </c>
      <c r="AS2" s="258"/>
      <c r="AT2" s="258"/>
      <c r="AU2" s="258"/>
      <c r="AV2" s="258"/>
      <c r="AW2" s="259" t="str">
        <f aca="false">CONCATENATE(IF(OptControl=3,"Call 2","Put"),IF(OptControl=4," 2",""))</f>
        <v>Put</v>
      </c>
      <c r="AX2" s="259"/>
      <c r="AY2" s="259"/>
      <c r="AZ2" s="259"/>
      <c r="BA2" s="259"/>
      <c r="BB2" s="254" t="s">
        <v>147</v>
      </c>
      <c r="BC2" s="257" t="s">
        <v>148</v>
      </c>
      <c r="BD2" s="257"/>
      <c r="BE2" s="258" t="s">
        <v>24</v>
      </c>
      <c r="BF2" s="258"/>
      <c r="BG2" s="258"/>
      <c r="BH2" s="258" t="str">
        <f aca="false">AR2</f>
        <v>Call</v>
      </c>
      <c r="BI2" s="258"/>
      <c r="BJ2" s="258"/>
      <c r="BK2" s="258"/>
      <c r="BL2" s="258"/>
      <c r="BM2" s="259" t="str">
        <f aca="false">AW2</f>
        <v>Put</v>
      </c>
      <c r="BN2" s="259"/>
      <c r="BO2" s="259"/>
      <c r="BP2" s="259"/>
      <c r="BQ2" s="259"/>
      <c r="BR2" s="260"/>
      <c r="BS2" s="261" t="s">
        <v>149</v>
      </c>
      <c r="BT2" s="261"/>
      <c r="BU2" s="261"/>
      <c r="BV2" s="262"/>
      <c r="BW2" s="263" t="s">
        <v>16</v>
      </c>
      <c r="BX2" s="263"/>
      <c r="BY2" s="263"/>
      <c r="BZ2" s="261" t="s">
        <v>149</v>
      </c>
      <c r="CA2" s="261"/>
      <c r="CB2" s="261"/>
      <c r="CC2" s="263" t="s">
        <v>16</v>
      </c>
      <c r="CD2" s="263"/>
      <c r="CE2" s="263"/>
      <c r="CF2" s="261" t="s">
        <v>149</v>
      </c>
      <c r="CG2" s="261"/>
      <c r="CH2" s="261"/>
      <c r="CI2" s="262"/>
      <c r="CJ2" s="263" t="s">
        <v>16</v>
      </c>
      <c r="CK2" s="263"/>
      <c r="CL2" s="263"/>
      <c r="CM2" s="261" t="s">
        <v>149</v>
      </c>
      <c r="CN2" s="261"/>
      <c r="CO2" s="261"/>
      <c r="CP2" s="263" t="s">
        <v>16</v>
      </c>
      <c r="CQ2" s="263"/>
      <c r="CR2" s="263"/>
      <c r="CS2" s="261" t="s">
        <v>149</v>
      </c>
      <c r="CT2" s="261"/>
      <c r="CU2" s="261"/>
      <c r="CV2" s="263" t="s">
        <v>16</v>
      </c>
      <c r="CW2" s="263"/>
      <c r="CX2" s="264" t="s">
        <v>149</v>
      </c>
      <c r="CY2" s="264"/>
      <c r="CZ2" s="263" t="s">
        <v>16</v>
      </c>
      <c r="DA2" s="263"/>
      <c r="DB2" s="264" t="s">
        <v>149</v>
      </c>
      <c r="DC2" s="264"/>
      <c r="DD2" s="263" t="s">
        <v>16</v>
      </c>
      <c r="DE2" s="263"/>
      <c r="DF2" s="265"/>
      <c r="DG2" s="266"/>
      <c r="DH2" s="264" t="s">
        <v>149</v>
      </c>
      <c r="DI2" s="264"/>
      <c r="DJ2" s="263" t="s">
        <v>16</v>
      </c>
      <c r="DK2" s="263"/>
      <c r="DL2" s="264" t="s">
        <v>149</v>
      </c>
      <c r="DM2" s="264"/>
      <c r="DN2" s="263" t="s">
        <v>16</v>
      </c>
      <c r="DO2" s="263"/>
      <c r="DP2" s="264" t="s">
        <v>149</v>
      </c>
      <c r="DQ2" s="264"/>
      <c r="DR2" s="263" t="s">
        <v>16</v>
      </c>
      <c r="DS2" s="263"/>
      <c r="DT2" s="264" t="s">
        <v>149</v>
      </c>
      <c r="DU2" s="264"/>
      <c r="DV2" s="263" t="s">
        <v>16</v>
      </c>
      <c r="DW2" s="263"/>
      <c r="DX2" s="265"/>
      <c r="EG2" s="265"/>
    </row>
    <row r="3" customFormat="false" ht="12.75" hidden="false" customHeight="false" outlineLevel="0" collapsed="false">
      <c r="A3" s="267" t="s">
        <v>119</v>
      </c>
      <c r="B3" s="268" t="s">
        <v>150</v>
      </c>
      <c r="C3" s="268"/>
      <c r="D3" s="268"/>
      <c r="E3" s="269" t="s">
        <v>151</v>
      </c>
      <c r="F3" s="269"/>
      <c r="G3" s="269"/>
      <c r="I3" s="241" t="s">
        <v>4</v>
      </c>
      <c r="J3" s="242" t="s">
        <v>48</v>
      </c>
      <c r="K3" s="243" t="s">
        <v>152</v>
      </c>
      <c r="L3" s="244"/>
      <c r="M3" s="244"/>
      <c r="N3" s="245" t="s">
        <v>153</v>
      </c>
      <c r="O3" s="245" t="s">
        <v>154</v>
      </c>
      <c r="P3" s="244" t="s">
        <v>155</v>
      </c>
      <c r="Q3" s="244"/>
      <c r="R3" s="253" t="s">
        <v>138</v>
      </c>
      <c r="S3" s="245" t="s">
        <v>17</v>
      </c>
      <c r="T3" s="243" t="s">
        <v>138</v>
      </c>
      <c r="U3" s="270" t="s">
        <v>70</v>
      </c>
      <c r="V3" s="270"/>
      <c r="W3" s="271" t="s">
        <v>156</v>
      </c>
      <c r="X3" s="272" t="s">
        <v>157</v>
      </c>
      <c r="Y3" s="273" t="s">
        <v>158</v>
      </c>
      <c r="Z3" s="273"/>
      <c r="AA3" s="273"/>
      <c r="AB3" s="248" t="s">
        <v>159</v>
      </c>
      <c r="AC3" s="248"/>
      <c r="AD3" s="248"/>
      <c r="AE3" s="253" t="s">
        <v>82</v>
      </c>
      <c r="AF3" s="243" t="s">
        <v>160</v>
      </c>
      <c r="AG3" s="274"/>
      <c r="AH3" s="255" t="s">
        <v>111</v>
      </c>
      <c r="AI3" s="255" t="s">
        <v>112</v>
      </c>
      <c r="AJ3" s="255" t="s">
        <v>111</v>
      </c>
      <c r="AK3" s="256" t="s">
        <v>112</v>
      </c>
      <c r="AL3" s="274" t="s">
        <v>161</v>
      </c>
      <c r="AM3" s="247" t="str">
        <f aca="false">AR2</f>
        <v>Call</v>
      </c>
      <c r="AN3" s="247" t="str">
        <f aca="false">AW2</f>
        <v>Put</v>
      </c>
      <c r="AO3" s="247" t="s">
        <v>162</v>
      </c>
      <c r="AP3" s="247" t="str">
        <f aca="false">AR2</f>
        <v>Call</v>
      </c>
      <c r="AQ3" s="247" t="str">
        <f aca="false">AW2</f>
        <v>Put</v>
      </c>
      <c r="AR3" s="247" t="s">
        <v>163</v>
      </c>
      <c r="AS3" s="247" t="s">
        <v>98</v>
      </c>
      <c r="AT3" s="247" t="s">
        <v>99</v>
      </c>
      <c r="AU3" s="247" t="s">
        <v>100</v>
      </c>
      <c r="AV3" s="247" t="s">
        <v>164</v>
      </c>
      <c r="AW3" s="247" t="s">
        <v>163</v>
      </c>
      <c r="AX3" s="247" t="s">
        <v>98</v>
      </c>
      <c r="AY3" s="247" t="s">
        <v>99</v>
      </c>
      <c r="AZ3" s="247" t="s">
        <v>100</v>
      </c>
      <c r="BA3" s="248" t="s">
        <v>164</v>
      </c>
      <c r="BB3" s="274" t="s">
        <v>161</v>
      </c>
      <c r="BC3" s="247" t="str">
        <f aca="false">AR2</f>
        <v>Call</v>
      </c>
      <c r="BD3" s="247" t="str">
        <f aca="false">AW2</f>
        <v>Put</v>
      </c>
      <c r="BE3" s="247" t="s">
        <v>162</v>
      </c>
      <c r="BF3" s="247" t="str">
        <f aca="false">AR2</f>
        <v>Call</v>
      </c>
      <c r="BG3" s="247" t="str">
        <f aca="false">AW2</f>
        <v>Put</v>
      </c>
      <c r="BH3" s="247" t="s">
        <v>163</v>
      </c>
      <c r="BI3" s="247" t="s">
        <v>98</v>
      </c>
      <c r="BJ3" s="247" t="s">
        <v>99</v>
      </c>
      <c r="BK3" s="247" t="s">
        <v>100</v>
      </c>
      <c r="BL3" s="247" t="s">
        <v>164</v>
      </c>
      <c r="BM3" s="247" t="s">
        <v>163</v>
      </c>
      <c r="BN3" s="247" t="s">
        <v>98</v>
      </c>
      <c r="BO3" s="247" t="s">
        <v>99</v>
      </c>
      <c r="BP3" s="247" t="s">
        <v>100</v>
      </c>
      <c r="BQ3" s="248" t="s">
        <v>164</v>
      </c>
      <c r="BR3" s="275"/>
      <c r="BS3" s="276" t="s">
        <v>138</v>
      </c>
      <c r="BT3" s="276"/>
      <c r="BU3" s="277" t="s">
        <v>74</v>
      </c>
      <c r="BV3" s="245" t="s">
        <v>165</v>
      </c>
      <c r="BW3" s="277" t="s">
        <v>74</v>
      </c>
      <c r="BX3" s="278" t="s">
        <v>138</v>
      </c>
      <c r="BY3" s="279" t="s">
        <v>47</v>
      </c>
      <c r="BZ3" s="276" t="s">
        <v>47</v>
      </c>
      <c r="CA3" s="276"/>
      <c r="CB3" s="277" t="s">
        <v>74</v>
      </c>
      <c r="CC3" s="277" t="s">
        <v>74</v>
      </c>
      <c r="CD3" s="278" t="s">
        <v>47</v>
      </c>
      <c r="CE3" s="280" t="s">
        <v>74</v>
      </c>
      <c r="CF3" s="276" t="s">
        <v>138</v>
      </c>
      <c r="CG3" s="276"/>
      <c r="CH3" s="277" t="s">
        <v>74</v>
      </c>
      <c r="CI3" s="245" t="s">
        <v>165</v>
      </c>
      <c r="CJ3" s="277" t="s">
        <v>74</v>
      </c>
      <c r="CK3" s="278" t="s">
        <v>138</v>
      </c>
      <c r="CL3" s="279" t="s">
        <v>47</v>
      </c>
      <c r="CM3" s="276" t="s">
        <v>47</v>
      </c>
      <c r="CN3" s="276"/>
      <c r="CO3" s="277" t="s">
        <v>74</v>
      </c>
      <c r="CP3" s="277" t="s">
        <v>74</v>
      </c>
      <c r="CQ3" s="278" t="s">
        <v>47</v>
      </c>
      <c r="CR3" s="279" t="s">
        <v>74</v>
      </c>
      <c r="CS3" s="276" t="s">
        <v>47</v>
      </c>
      <c r="CT3" s="276"/>
      <c r="CU3" s="277" t="s">
        <v>74</v>
      </c>
      <c r="CV3" s="277" t="s">
        <v>74</v>
      </c>
      <c r="CW3" s="280" t="s">
        <v>47</v>
      </c>
      <c r="CX3" s="276" t="s">
        <v>43</v>
      </c>
      <c r="CY3" s="278" t="s">
        <v>74</v>
      </c>
      <c r="CZ3" s="278" t="s">
        <v>74</v>
      </c>
      <c r="DA3" s="280" t="s">
        <v>43</v>
      </c>
      <c r="DB3" s="276" t="s">
        <v>43</v>
      </c>
      <c r="DC3" s="278" t="s">
        <v>74</v>
      </c>
      <c r="DD3" s="278" t="s">
        <v>74</v>
      </c>
      <c r="DE3" s="280" t="s">
        <v>43</v>
      </c>
      <c r="DF3" s="265"/>
      <c r="DG3" s="266"/>
      <c r="DH3" s="276" t="s">
        <v>47</v>
      </c>
      <c r="DI3" s="278" t="s">
        <v>74</v>
      </c>
      <c r="DJ3" s="278" t="s">
        <v>74</v>
      </c>
      <c r="DK3" s="280" t="s">
        <v>47</v>
      </c>
      <c r="DL3" s="276" t="s">
        <v>47</v>
      </c>
      <c r="DM3" s="278" t="s">
        <v>74</v>
      </c>
      <c r="DN3" s="278" t="s">
        <v>74</v>
      </c>
      <c r="DO3" s="280" t="s">
        <v>47</v>
      </c>
      <c r="DP3" s="276" t="s">
        <v>47</v>
      </c>
      <c r="DQ3" s="278" t="s">
        <v>74</v>
      </c>
      <c r="DR3" s="278" t="s">
        <v>74</v>
      </c>
      <c r="DS3" s="280" t="s">
        <v>47</v>
      </c>
      <c r="DT3" s="276" t="s">
        <v>47</v>
      </c>
      <c r="DU3" s="278" t="s">
        <v>74</v>
      </c>
      <c r="DV3" s="278" t="s">
        <v>74</v>
      </c>
      <c r="DW3" s="280" t="s">
        <v>47</v>
      </c>
      <c r="DX3" s="265"/>
      <c r="EG3" s="265"/>
    </row>
    <row r="4" customFormat="false" ht="13.5" hidden="false" customHeight="false" outlineLevel="0" collapsed="false">
      <c r="A4" s="267" t="s">
        <v>166</v>
      </c>
      <c r="B4" s="281" t="n">
        <v>0.3</v>
      </c>
      <c r="C4" s="281" t="n">
        <v>0.2</v>
      </c>
      <c r="D4" s="281" t="n">
        <v>0.1</v>
      </c>
      <c r="E4" s="281" t="n">
        <v>0.1</v>
      </c>
      <c r="F4" s="281" t="n">
        <v>0.2</v>
      </c>
      <c r="G4" s="282" t="n">
        <v>0.3</v>
      </c>
      <c r="I4" s="283"/>
      <c r="J4" s="284" t="s">
        <v>167</v>
      </c>
      <c r="K4" s="285" t="s">
        <v>168</v>
      </c>
      <c r="L4" s="286"/>
      <c r="M4" s="286"/>
      <c r="N4" s="287" t="s">
        <v>4</v>
      </c>
      <c r="O4" s="287" t="s">
        <v>48</v>
      </c>
      <c r="P4" s="288" t="s">
        <v>15</v>
      </c>
      <c r="Q4" s="289" t="s">
        <v>23</v>
      </c>
      <c r="R4" s="290" t="s">
        <v>70</v>
      </c>
      <c r="S4" s="287" t="s">
        <v>169</v>
      </c>
      <c r="T4" s="285" t="s">
        <v>70</v>
      </c>
      <c r="U4" s="95" t="s">
        <v>170</v>
      </c>
      <c r="V4" s="289" t="s">
        <v>171</v>
      </c>
      <c r="W4" s="291" t="s">
        <v>43</v>
      </c>
      <c r="X4" s="292" t="s">
        <v>172</v>
      </c>
      <c r="Y4" s="293" t="n">
        <v>0.3</v>
      </c>
      <c r="Z4" s="293" t="n">
        <v>0.2</v>
      </c>
      <c r="AA4" s="293" t="n">
        <v>0.1</v>
      </c>
      <c r="AB4" s="293" t="n">
        <v>0.1</v>
      </c>
      <c r="AC4" s="293" t="n">
        <v>0.2</v>
      </c>
      <c r="AD4" s="294" t="n">
        <v>0.3</v>
      </c>
      <c r="AE4" s="290"/>
      <c r="AF4" s="285"/>
      <c r="AG4" s="295"/>
      <c r="AH4" s="296" t="n">
        <f aca="false">SUM(AH5:AH184)</f>
        <v>0</v>
      </c>
      <c r="AI4" s="296" t="n">
        <f aca="false">SUM(AI5:AI184)</f>
        <v>0</v>
      </c>
      <c r="AJ4" s="296" t="n">
        <f aca="false">SUM(AJ5:AJ184)</f>
        <v>0</v>
      </c>
      <c r="AK4" s="297" t="n">
        <f aca="false">SUM(AK5:AK184)</f>
        <v>0</v>
      </c>
      <c r="AL4" s="295" t="s">
        <v>70</v>
      </c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5"/>
      <c r="BB4" s="295" t="s">
        <v>70</v>
      </c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5"/>
      <c r="BR4" s="275"/>
      <c r="BS4" s="298" t="s">
        <v>173</v>
      </c>
      <c r="BT4" s="56" t="s">
        <v>174</v>
      </c>
      <c r="BU4" s="299" t="s">
        <v>175</v>
      </c>
      <c r="BV4" s="287" t="s">
        <v>176</v>
      </c>
      <c r="BW4" s="299" t="s">
        <v>175</v>
      </c>
      <c r="BX4" s="300" t="s">
        <v>174</v>
      </c>
      <c r="BY4" s="301" t="s">
        <v>174</v>
      </c>
      <c r="BZ4" s="298" t="s">
        <v>173</v>
      </c>
      <c r="CA4" s="56" t="s">
        <v>174</v>
      </c>
      <c r="CB4" s="299" t="s">
        <v>175</v>
      </c>
      <c r="CC4" s="299" t="s">
        <v>175</v>
      </c>
      <c r="CD4" s="300" t="s">
        <v>174</v>
      </c>
      <c r="CE4" s="302" t="s">
        <v>177</v>
      </c>
      <c r="CF4" s="298" t="s">
        <v>173</v>
      </c>
      <c r="CG4" s="56" t="s">
        <v>174</v>
      </c>
      <c r="CH4" s="299" t="s">
        <v>175</v>
      </c>
      <c r="CI4" s="287" t="s">
        <v>176</v>
      </c>
      <c r="CJ4" s="299" t="s">
        <v>175</v>
      </c>
      <c r="CK4" s="300" t="s">
        <v>174</v>
      </c>
      <c r="CL4" s="301" t="s">
        <v>174</v>
      </c>
      <c r="CM4" s="298" t="s">
        <v>173</v>
      </c>
      <c r="CN4" s="56" t="s">
        <v>174</v>
      </c>
      <c r="CO4" s="299" t="s">
        <v>175</v>
      </c>
      <c r="CP4" s="299" t="s">
        <v>175</v>
      </c>
      <c r="CQ4" s="300" t="s">
        <v>174</v>
      </c>
      <c r="CR4" s="301" t="s">
        <v>177</v>
      </c>
      <c r="CS4" s="298" t="s">
        <v>173</v>
      </c>
      <c r="CT4" s="56" t="s">
        <v>174</v>
      </c>
      <c r="CU4" s="299" t="s">
        <v>178</v>
      </c>
      <c r="CV4" s="299" t="s">
        <v>178</v>
      </c>
      <c r="CW4" s="302" t="s">
        <v>174</v>
      </c>
      <c r="CX4" s="295"/>
      <c r="CY4" s="287" t="s">
        <v>175</v>
      </c>
      <c r="CZ4" s="287" t="s">
        <v>175</v>
      </c>
      <c r="DA4" s="285"/>
      <c r="DB4" s="295"/>
      <c r="DC4" s="287" t="s">
        <v>175</v>
      </c>
      <c r="DD4" s="287" t="s">
        <v>175</v>
      </c>
      <c r="DE4" s="285"/>
      <c r="DF4" s="265"/>
      <c r="DG4" s="266"/>
      <c r="DH4" s="295" t="s">
        <v>173</v>
      </c>
      <c r="DI4" s="287" t="s">
        <v>175</v>
      </c>
      <c r="DJ4" s="287" t="s">
        <v>175</v>
      </c>
      <c r="DK4" s="285" t="s">
        <v>173</v>
      </c>
      <c r="DL4" s="295" t="s">
        <v>173</v>
      </c>
      <c r="DM4" s="287" t="s">
        <v>175</v>
      </c>
      <c r="DN4" s="287" t="s">
        <v>175</v>
      </c>
      <c r="DO4" s="285" t="s">
        <v>173</v>
      </c>
      <c r="DP4" s="295" t="s">
        <v>173</v>
      </c>
      <c r="DQ4" s="287" t="s">
        <v>175</v>
      </c>
      <c r="DR4" s="287" t="s">
        <v>175</v>
      </c>
      <c r="DS4" s="285" t="s">
        <v>173</v>
      </c>
      <c r="DT4" s="295" t="s">
        <v>173</v>
      </c>
      <c r="DU4" s="287" t="s">
        <v>175</v>
      </c>
      <c r="DV4" s="287" t="s">
        <v>175</v>
      </c>
      <c r="DW4" s="285" t="s">
        <v>173</v>
      </c>
      <c r="DX4" s="265"/>
      <c r="EG4" s="265"/>
    </row>
    <row r="5" customFormat="false" ht="13.5" hidden="false" customHeight="false" outlineLevel="0" collapsed="false">
      <c r="A5" s="303" t="n">
        <v>30</v>
      </c>
      <c r="B5" s="304" t="n">
        <v>0.01845703125</v>
      </c>
      <c r="C5" s="304" t="n">
        <v>0.01212890625</v>
      </c>
      <c r="D5" s="304" t="n">
        <v>0.00580078125</v>
      </c>
      <c r="E5" s="304" t="n">
        <v>0.013068</v>
      </c>
      <c r="F5" s="304" t="n">
        <v>0.027324</v>
      </c>
      <c r="G5" s="305" t="n">
        <v>0.04158</v>
      </c>
      <c r="I5" s="306" t="n">
        <f aca="false">EOMONTH(DateToday,-1)+1</f>
        <v>45901</v>
      </c>
      <c r="J5" s="307" t="n">
        <f aca="false">VLOOKUP(I5,$B$12:$C$332,2)</f>
        <v>45644</v>
      </c>
      <c r="K5" s="308" t="n">
        <f aca="false">IF(DateToday&lt;=J6,NETWORKDAYS(DateToday,J6)/NETWORKDAYS(DateToday,I6-1),0)</f>
        <v>0</v>
      </c>
      <c r="L5" s="309" t="n">
        <f aca="false">YEAR(I5)-1900</f>
        <v>125</v>
      </c>
      <c r="M5" s="310" t="n">
        <f aca="false">MONTH(I5)</f>
        <v>9</v>
      </c>
      <c r="N5" s="311" t="n">
        <f aca="false">NETWORKDAYS(I5,I6-1)</f>
        <v>22</v>
      </c>
      <c r="O5" s="312" t="n">
        <f aca="false">I5-DateToday-IF(EuroExpDateToggle=1,3+IF(WEEKDAY(I5-1)=7,1,IF(WEEKDAY(I5-1)&lt;5,2,0)),1+IF(WEEKDAY(I5-1)=7,1,IF(WEEKDAY(I5-1)&lt;3,2,0)))</f>
        <v>-30</v>
      </c>
      <c r="P5" s="313" t="n">
        <f aca="false">(I5-DateToday+1)/365.25</f>
        <v>-0.0657084188911704</v>
      </c>
      <c r="Q5" s="313" t="n">
        <f aca="false">(I6-DateToday)/365.25</f>
        <v>0.0136892539356605</v>
      </c>
      <c r="R5" s="314" t="n">
        <v>29.62</v>
      </c>
      <c r="S5" s="315" t="n">
        <v>0</v>
      </c>
      <c r="T5" s="316" t="n">
        <f aca="false">R5+S5/100</f>
        <v>29.62</v>
      </c>
      <c r="U5" s="316" t="n">
        <f aca="false">R6*K5+R7*(1-K5)</f>
        <v>29.28</v>
      </c>
      <c r="V5" s="317" t="n">
        <f aca="false">T6*K5+T7*(1-K5)</f>
        <v>29.28</v>
      </c>
      <c r="W5" s="318" t="n">
        <v>0.44575</v>
      </c>
      <c r="X5" s="319" t="n">
        <f aca="false">IF($I5-DateToday+1&gt;=$A$10,"",IF($I5-DateToday+1&lt;$A$5,1,MATCH($I5-DateToday+1,$A$5:$A$10)))</f>
        <v>1</v>
      </c>
      <c r="Y5" s="320" t="n">
        <f aca="false">INDEX(B$5:B$10,$X5)^((INDEX($A$5:$A$10,$X5+1)-($I5-DateToday+1))/(INDEX($A$5:$A$10,$X5+1)-INDEX($A$5:$A$10,$X5)))/INDEX(B$5:B$10,$X5+1)^((INDEX($A$5:$A$10,$X5)-($I5-DateToday+1))/(INDEX($A$5:$A$10,$X5+1)-INDEX($A$5:$A$10,$X5)))</f>
        <v>0.0216877434084769</v>
      </c>
      <c r="Z5" s="320" t="n">
        <f aca="false">INDEX(C$5:C$10,$X5)^((INDEX($A$5:$A$10,$X5+1)-($I5-DateToday+1))/(INDEX($A$5:$A$10,$X5+1)-INDEX($A$5:$A$10,$X5)))/INDEX(C$5:C$10,$X5+1)^((INDEX($A$5:$A$10,$X5)-($I5-DateToday+1))/(INDEX($A$5:$A$10,$X5+1)-INDEX($A$5:$A$10,$X5)))</f>
        <v>0.0142868673854713</v>
      </c>
      <c r="AA5" s="320" t="n">
        <f aca="false">INDEX(D$5:D$10,$X5)^((INDEX($A$5:$A$10,$X5+1)-($I5-DateToday+1))/(INDEX($A$5:$A$10,$X5+1)-INDEX($A$5:$A$10,$X5)))/INDEX(D$5:D$10,$X5+1)^((INDEX($A$5:$A$10,$X5)-($I5-DateToday+1))/(INDEX($A$5:$A$10,$X5+1)-INDEX($A$5:$A$10,$X5)))</f>
        <v>0.00688641706658492</v>
      </c>
      <c r="AB5" s="320" t="n">
        <f aca="false">INDEX(E$5:E$10,$X5)^((INDEX($A$5:$A$10,$X5+1)-($I5-DateToday+1))/(INDEX($A$5:$A$10,$X5+1)-INDEX($A$5:$A$10,$X5)))/INDEX(E$5:E$10,$X5+1)^((INDEX($A$5:$A$10,$X5)-($I5-DateToday+1))/(INDEX($A$5:$A$10,$X5+1)-INDEX($A$5:$A$10,$X5)))</f>
        <v>0.0155137203676025</v>
      </c>
      <c r="AC5" s="320" t="n">
        <f aca="false">INDEX(F$5:F$10,$X5)^((INDEX($A$5:$A$10,$X5+1)-($I5-DateToday+1))/(INDEX($A$5:$A$10,$X5+1)-INDEX($A$5:$A$10,$X5)))/INDEX(F$5:F$10,$X5+1)^((INDEX($A$5:$A$10,$X5)-($I5-DateToday+1))/(INDEX($A$5:$A$10,$X5+1)-INDEX($A$5:$A$10,$X5)))</f>
        <v>0.0321854548459896</v>
      </c>
      <c r="AD5" s="320" t="n">
        <f aca="false">INDEX(G$5:G$10,$X5)^((INDEX($A$5:$A$10,$X5+1)-($I5-DateToday+1))/(INDEX($A$5:$A$10,$X5+1)-INDEX($A$5:$A$10,$X5)))/INDEX(G$5:G$10,$X5+1)^((INDEX($A$5:$A$10,$X5)-($I5-DateToday+1))/(INDEX($A$5:$A$10,$X5+1)-INDEX($A$5:$A$10,$X5)))</f>
        <v>0.0488581483506169</v>
      </c>
      <c r="AE5" s="321" t="n">
        <v>1</v>
      </c>
      <c r="AF5" s="308" t="n">
        <v>1</v>
      </c>
      <c r="AG5" s="308" t="n">
        <v>1</v>
      </c>
      <c r="AH5" s="322" t="n">
        <f aca="false">IF(OR(DateStart&gt;=I6,DateEnd&lt;I5),0,Volume*AG5)</f>
        <v>0</v>
      </c>
      <c r="AI5" s="322" t="n">
        <f aca="false">AH5*AF5</f>
        <v>0</v>
      </c>
      <c r="AJ5" s="322" t="n">
        <f aca="false">IF(OR(DateStart2&gt;=I6,DateEnd2&lt;I5),0,VolumeSwaption*AG5)</f>
        <v>0</v>
      </c>
      <c r="AK5" s="322" t="n">
        <f aca="false">AJ5*AF5</f>
        <v>0</v>
      </c>
      <c r="AL5" s="316" t="str">
        <f aca="true">IF(AH5,OFFSET(BY5,0,HorizontalPriceOffset)+PriceSpreadAsian,"")</f>
        <v/>
      </c>
      <c r="AM5" s="316" t="str">
        <f aca="false">IF(AH5,Strike1/AL5-1,"")</f>
        <v/>
      </c>
      <c r="AN5" s="316" t="str">
        <f aca="false">IF(AH5,Strike2/AL5-1,"")</f>
        <v/>
      </c>
      <c r="AO5" s="323" t="str">
        <f aca="false">IF(AH5,IF(VolOverrideAsian,VolOverrideAsian,IF(ProductGroup=1,IF(Product&lt;3,DA6,DE6),W6)+VolSpreadAsian),"")</f>
        <v/>
      </c>
      <c r="AP5" s="323" t="str">
        <f aca="false">IF($AH5,$AO5+IF(SkewFlag=1,IF(AM5&gt;0,$AA5*MIN(AM5/10%,1)+($Z5-$AA5)*MAX(0,MIN(AM5/10%-1,1))+($Y5-$Z5)*MAX(0,AM5/10%-2),$AB5*MIN(-AM5/10%,1)+($AC5-$AB5)*MAX(0,MIN(-AM5/10%-1,1))+($AD5-$AC5)*MAX(0,-AM5/10%-2)),0),"")</f>
        <v/>
      </c>
      <c r="AQ5" s="323" t="str">
        <f aca="false">IF($AH5,$AO5+IF(SkewFlag=1,IF(AN5&gt;0,$AA5*MIN(AN5/10%,1)+($Z5-$AA5)*MAX(0,MIN(AN5/10%-1,1))+($Y5-$Z5)*MAX(0,AN5/10%-2),$AB5*MIN(-AN5/10%,1)+($AC5-$AB5)*MAX(0,MIN(-AN5/10%-1,1))+($AD5-$AC5)*MAX(0,-AN5/10%-2)),0),"")</f>
        <v/>
      </c>
      <c r="AR5" s="324" t="n">
        <f aca="false">IF(AH5,xASN(AL5,Strike1,AE5,AP5,0,N5,0,P5,Q5,IF(OptControl=4,0,1),0),0)</f>
        <v>0</v>
      </c>
      <c r="AS5" s="324" t="n">
        <f aca="false">IF(AH5,xASN(AL5,Strike1,AE5,AP5,0,N5,0,P5,Q5,IF(OptControl=4,0,1),1),0)</f>
        <v>0</v>
      </c>
      <c r="AT5" s="324" t="n">
        <f aca="false">IF(AH5,xASN(AL5,Strike1,AE5,AP5,0,N5,0,P5,Q5,IF(OptControl=4,0,1),2),0)</f>
        <v>0</v>
      </c>
      <c r="AU5" s="324" t="n">
        <f aca="false">IF(AH5,xASN(AL5,Strike1,AE5,AP5,0,N5,0,P5,Q5,IF(OptControl=4,0,1),3)/100,0)</f>
        <v>0</v>
      </c>
      <c r="AV5" s="324" t="n">
        <f aca="false">IF(AH5,xASN(AL5,Strike1,AE5,AP5,0,N5,0,P5-DaysForThetaCalculation/365.25,Q5-DaysForThetaCalculation/365.25,IF(OptControl=4,0,1),0)-xASN(AL5,Strike1,AE5,AP5,0,N5,0,P5,Q5,IF(OptControl=4,0,1),0),0)</f>
        <v>0</v>
      </c>
      <c r="AW5" s="324" t="n">
        <f aca="false">IF(AH5,xASN(AL5,Strike2,AE5,AQ5,0,N5,0,P5,Q5,IF(OptControl=3,1,0),0),0)</f>
        <v>0</v>
      </c>
      <c r="AX5" s="324" t="n">
        <f aca="false">IF(AH5,xASN(AL5,Strike2,AE5,AQ5,0,N5,0,P5,Q5,IF(OptControl=3,1,0),1),0)</f>
        <v>0</v>
      </c>
      <c r="AY5" s="324" t="n">
        <f aca="false">IF(AH5,xASN(AL5,Strike2,AE5,AQ5,0,N5,0,P5,Q5,IF(OptControl=3,1,0),2),0)</f>
        <v>0</v>
      </c>
      <c r="AZ5" s="324" t="n">
        <f aca="false">IF(AH5,xASN(AL5,Strike2,AE5,AQ5,0,N5,0,P5,Q5,IF(OptControl=3,1,0),3)/100,0)</f>
        <v>0</v>
      </c>
      <c r="BA5" s="324" t="n">
        <f aca="false">IF(AH5,xASN(AL5,Strike2,AE5,AQ5,0,N5,0,P5-DaysForThetaCalculation/365.25,Q5-DaysForThetaCalculation/365.25,IF(OptControl=3,1,0),0)-xASN(AL5,Strike2,AE5,AQ5,0,N5,0,P5,Q5,IF(OptControl=3,1,0),0),0)</f>
        <v>0</v>
      </c>
      <c r="BB5" s="325"/>
      <c r="BC5" s="316"/>
      <c r="BD5" s="316"/>
      <c r="BE5" s="326"/>
      <c r="BF5" s="323"/>
      <c r="BG5" s="323"/>
      <c r="BH5" s="324"/>
      <c r="BI5" s="324"/>
      <c r="BJ5" s="324"/>
      <c r="BK5" s="324"/>
      <c r="BL5" s="324"/>
      <c r="BM5" s="324"/>
      <c r="BN5" s="324"/>
      <c r="BO5" s="324"/>
      <c r="BP5" s="324"/>
      <c r="BQ5" s="327"/>
      <c r="BR5" s="328"/>
      <c r="BS5" s="314" t="n">
        <v>0</v>
      </c>
      <c r="BT5" s="329" t="n">
        <f aca="false">BS5*100/42</f>
        <v>0</v>
      </c>
      <c r="BU5" s="329" t="n">
        <f aca="false">BS6-$U5</f>
        <v>10.192</v>
      </c>
      <c r="BV5" s="330"/>
      <c r="BW5" s="331" t="n">
        <f aca="false">BS6+BV6/10000*42-$V5</f>
        <v>10.192</v>
      </c>
      <c r="BX5" s="332"/>
      <c r="BY5" s="332" t="n">
        <f aca="false">BX6</f>
        <v>93.9809523809524</v>
      </c>
      <c r="BZ5" s="314" t="n">
        <v>35.692</v>
      </c>
      <c r="CA5" s="329" t="n">
        <f aca="false">BZ5*100/42</f>
        <v>84.9809523809524</v>
      </c>
      <c r="CB5" s="329" t="n">
        <f aca="false">BZ5-$U5</f>
        <v>6.412</v>
      </c>
      <c r="CC5" s="331" t="n">
        <f aca="false">CB5</f>
        <v>6.412</v>
      </c>
      <c r="CD5" s="329" t="n">
        <f aca="false">($V5+CC5)*100/42</f>
        <v>84.9809523809524</v>
      </c>
      <c r="CE5" s="333" t="n">
        <f aca="false">CD5-BY5</f>
        <v>-9.00000000000001</v>
      </c>
      <c r="CF5" s="314" t="n">
        <v>0</v>
      </c>
      <c r="CG5" s="329" t="n">
        <f aca="false">CF5*100/42</f>
        <v>0</v>
      </c>
      <c r="CH5" s="329" t="n">
        <f aca="false">CF6-$U5</f>
        <v>0.973000000000003</v>
      </c>
      <c r="CI5" s="330"/>
      <c r="CJ5" s="331" t="n">
        <f aca="false">CF6+CI6/10000*42-$V5</f>
        <v>0.973000000000003</v>
      </c>
      <c r="CK5" s="332"/>
      <c r="CL5" s="332" t="n">
        <f aca="false">CK6</f>
        <v>72.0309523809524</v>
      </c>
      <c r="CM5" s="314" t="n">
        <v>29.203</v>
      </c>
      <c r="CN5" s="329" t="n">
        <f aca="false">CM5*100/42</f>
        <v>69.5309523809524</v>
      </c>
      <c r="CO5" s="329" t="n">
        <f aca="false">CM5-$U5</f>
        <v>-0.0769999999999982</v>
      </c>
      <c r="CP5" s="331" t="n">
        <f aca="false">CO5</f>
        <v>-0.0769999999999982</v>
      </c>
      <c r="CQ5" s="329" t="n">
        <f aca="false">($V5+CP5)*100/42</f>
        <v>69.5309523809524</v>
      </c>
      <c r="CR5" s="333" t="n">
        <f aca="false">CQ5-CL5</f>
        <v>-2.5</v>
      </c>
      <c r="CS5" s="314" t="n">
        <v>31.408</v>
      </c>
      <c r="CT5" s="329" t="n">
        <f aca="false">CS5*100/42</f>
        <v>74.7809523809524</v>
      </c>
      <c r="CU5" s="329" t="n">
        <f aca="false">CT5-CG6</f>
        <v>2.75</v>
      </c>
      <c r="CV5" s="331" t="n">
        <f aca="false">CU5</f>
        <v>2.75</v>
      </c>
      <c r="CW5" s="333" t="n">
        <f aca="false">CL5+CV5</f>
        <v>74.7809523809524</v>
      </c>
      <c r="CX5" s="318" t="n">
        <v>0.429</v>
      </c>
      <c r="CY5" s="334"/>
      <c r="CZ5" s="334"/>
      <c r="DA5" s="335"/>
      <c r="DB5" s="318" t="n">
        <v>0.372</v>
      </c>
      <c r="DC5" s="334"/>
      <c r="DD5" s="334"/>
      <c r="DE5" s="335"/>
      <c r="DG5" s="336"/>
      <c r="DH5" s="314" t="n">
        <v>20.95</v>
      </c>
      <c r="DI5" s="325" t="n">
        <f aca="false">DH5-$U5</f>
        <v>-8.33</v>
      </c>
      <c r="DJ5" s="325" t="n">
        <f aca="false">VLOOKUP(1900+$L5,ResidSpreadTable,2)</f>
        <v>-2</v>
      </c>
      <c r="DK5" s="337" t="n">
        <f aca="false">$V5+DJ5</f>
        <v>27.28</v>
      </c>
      <c r="DL5" s="314" t="n">
        <v>23</v>
      </c>
      <c r="DM5" s="325" t="n">
        <f aca="false">DL5-$U5</f>
        <v>-6.28</v>
      </c>
      <c r="DN5" s="325" t="n">
        <f aca="false">VLOOKUP(1900+$L5,ResidSpreadTable,3)</f>
        <v>-3</v>
      </c>
      <c r="DO5" s="337" t="n">
        <f aca="false">$V5+DN5</f>
        <v>26.28</v>
      </c>
      <c r="DP5" s="314" t="n">
        <v>21.6</v>
      </c>
      <c r="DQ5" s="325" t="n">
        <f aca="false">DP5-$U5</f>
        <v>-7.68</v>
      </c>
      <c r="DR5" s="325" t="n">
        <f aca="false">VLOOKUP(1900+$L5,ResidSpreadTable,4)</f>
        <v>-6</v>
      </c>
      <c r="DS5" s="337" t="n">
        <f aca="false">$V5+DR5</f>
        <v>23.28</v>
      </c>
      <c r="DT5" s="314" t="n">
        <v>20.75</v>
      </c>
      <c r="DU5" s="325" t="n">
        <f aca="false">DT5-$U5</f>
        <v>-8.53</v>
      </c>
      <c r="DV5" s="325" t="n">
        <f aca="false">VLOOKUP(1900+$L5,ResidSpreadTable,5)</f>
        <v>-5</v>
      </c>
      <c r="DW5" s="337" t="n">
        <f aca="false">$V5+DV5</f>
        <v>24.28</v>
      </c>
    </row>
    <row r="6" customFormat="false" ht="12.75" hidden="false" customHeight="false" outlineLevel="0" collapsed="false">
      <c r="A6" s="303" t="n">
        <v>60</v>
      </c>
      <c r="B6" s="304" t="n">
        <v>0.016875</v>
      </c>
      <c r="C6" s="304" t="n">
        <v>0.01107421875</v>
      </c>
      <c r="D6" s="304" t="n">
        <v>0.0052734375</v>
      </c>
      <c r="E6" s="304" t="n">
        <v>0.01188</v>
      </c>
      <c r="F6" s="304" t="n">
        <v>0.024948</v>
      </c>
      <c r="G6" s="305" t="n">
        <v>0.038016</v>
      </c>
      <c r="I6" s="338" t="n">
        <f aca="false">EOMONTH(I5,0)+1</f>
        <v>45931</v>
      </c>
      <c r="J6" s="307" t="n">
        <f aca="false">VLOOKUP(I6,$B$12:$C$332,2)</f>
        <v>45644</v>
      </c>
      <c r="K6" s="339" t="n">
        <f aca="false">NETWORKDAYS(I6,J7)/N6</f>
        <v>-8.95652173913044</v>
      </c>
      <c r="L6" s="309" t="n">
        <f aca="false">YEAR(I6)-1900</f>
        <v>125</v>
      </c>
      <c r="M6" s="310" t="n">
        <f aca="false">MONTH(I6)</f>
        <v>10</v>
      </c>
      <c r="N6" s="340" t="n">
        <f aca="false">NETWORKDAYS(I6,I7-1)</f>
        <v>23</v>
      </c>
      <c r="O6" s="341" t="n">
        <f aca="false">I6-DateToday-IF(EuroExpDateToggle=1,3+IF(WEEKDAY(I6-1)=7,1,IF(WEEKDAY(I6-1)&lt;5,2,0)),1+IF(WEEKDAY(I6-1)=7,1,IF(WEEKDAY(I6-1)&lt;3,2,0)))</f>
        <v>0</v>
      </c>
      <c r="P6" s="342" t="n">
        <f aca="false">(I6-DateToday+1)/365.25</f>
        <v>0.0164271047227926</v>
      </c>
      <c r="Q6" s="342" t="n">
        <f aca="false">(I7-DateToday)/365.25</f>
        <v>0.0985626283367557</v>
      </c>
      <c r="R6" s="314" t="n">
        <v>31.09</v>
      </c>
      <c r="S6" s="315" t="n">
        <v>0</v>
      </c>
      <c r="T6" s="316" t="n">
        <f aca="false">R6+S6/100</f>
        <v>31.09</v>
      </c>
      <c r="U6" s="316" t="n">
        <f aca="false">R7*K6+R8*(1-K6)</f>
        <v>16.535652173913</v>
      </c>
      <c r="V6" s="317" t="n">
        <f aca="false">T7*K6+T8*(1-K6)</f>
        <v>16.535652173913</v>
      </c>
      <c r="W6" s="318" t="n">
        <v>0.44895</v>
      </c>
      <c r="X6" s="319" t="n">
        <f aca="false">IF($I6-DateToday+1&gt;=$A$10,"",IF($I6-DateToday+1&lt;$A$5,1,MATCH($I6-DateToday+1,$A$5:$A$10)))</f>
        <v>1</v>
      </c>
      <c r="Y6" s="320" t="n">
        <f aca="false">INDEX(B$5:B$10,$X6)^((INDEX($A$5:$A$10,$X6+1)-($I6-DateToday+1))/(INDEX($A$5:$A$10,$X6+1)-INDEX($A$5:$A$10,$X6)))/INDEX(B$5:B$10,$X6+1)^((INDEX($A$5:$A$10,$X6)-($I6-DateToday+1))/(INDEX($A$5:$A$10,$X6+1)-INDEX($A$5:$A$10,$X6)))</f>
        <v>0.0198287939734646</v>
      </c>
      <c r="Z6" s="320" t="n">
        <f aca="false">INDEX(C$5:C$10,$X6)^((INDEX($A$5:$A$10,$X6+1)-($I6-DateToday+1))/(INDEX($A$5:$A$10,$X6+1)-INDEX($A$5:$A$10,$X6)))/INDEX(C$5:C$10,$X6+1)^((INDEX($A$5:$A$10,$X6)-($I6-DateToday+1))/(INDEX($A$5:$A$10,$X6+1)-INDEX($A$5:$A$10,$X6)))</f>
        <v>0.0130445310910824</v>
      </c>
      <c r="AA6" s="320" t="n">
        <f aca="false">INDEX(D$5:D$10,$X6)^((INDEX($A$5:$A$10,$X6+1)-($I6-DateToday+1))/(INDEX($A$5:$A$10,$X6+1)-INDEX($A$5:$A$10,$X6)))/INDEX(D$5:D$10,$X6+1)^((INDEX($A$5:$A$10,$X6)-($I6-DateToday+1))/(INDEX($A$5:$A$10,$X6+1)-INDEX($A$5:$A$10,$X6)))</f>
        <v>0.00626037915144083</v>
      </c>
      <c r="AB6" s="320" t="n">
        <f aca="false">INDEX(E$5:E$10,$X6)^((INDEX($A$5:$A$10,$X6+1)-($I6-DateToday+1))/(INDEX($A$5:$A$10,$X6+1)-INDEX($A$5:$A$10,$X6)))/INDEX(E$5:E$10,$X6+1)^((INDEX($A$5:$A$10,$X6)-($I6-DateToday+1))/(INDEX($A$5:$A$10,$X6+1)-INDEX($A$5:$A$10,$X6)))</f>
        <v>0.0141033821523659</v>
      </c>
      <c r="AC6" s="320" t="n">
        <f aca="false">INDEX(F$5:F$10,$X6)^((INDEX($A$5:$A$10,$X6+1)-($I6-DateToday+1))/(INDEX($A$5:$A$10,$X6+1)-INDEX($A$5:$A$10,$X6)))/INDEX(F$5:F$10,$X6+1)^((INDEX($A$5:$A$10,$X6)-($I6-DateToday+1))/(INDEX($A$5:$A$10,$X6+1)-INDEX($A$5:$A$10,$X6)))</f>
        <v>0.0293867196419905</v>
      </c>
      <c r="AD6" s="320" t="n">
        <f aca="false">INDEX(G$5:G$10,$X6)^((INDEX($A$5:$A$10,$X6+1)-($I6-DateToday+1))/(INDEX($A$5:$A$10,$X6+1)-INDEX($A$5:$A$10,$X6)))/INDEX(G$5:G$10,$X6+1)^((INDEX($A$5:$A$10,$X6)-($I6-DateToday+1))/(INDEX($A$5:$A$10,$X6+1)-INDEX($A$5:$A$10,$X6)))</f>
        <v>0.0446703070634211</v>
      </c>
      <c r="AE6" s="321" t="n">
        <v>0.06030109515228</v>
      </c>
      <c r="AF6" s="316" t="n">
        <f aca="false">(1+AE6/2)^(-2*(I7-DateToday)/365.25)</f>
        <v>0.994161513860469</v>
      </c>
      <c r="AG6" s="316" t="n">
        <f aca="false">AG5*(1+IF(AND(M6=1,L6&gt;YearStart),Escalation,0))</f>
        <v>1</v>
      </c>
      <c r="AH6" s="322" t="n">
        <f aca="false">IF(OR(DateStart&gt;=I7,DateEnd&lt;I6),0,Volume*AG6)</f>
        <v>0</v>
      </c>
      <c r="AI6" s="322" t="n">
        <f aca="false">AH6*AF6</f>
        <v>0</v>
      </c>
      <c r="AJ6" s="322" t="n">
        <f aca="false">IF(OR(DateStart2&gt;=I7,DateEnd2&lt;I6),0,VolumeSwaption*AG6)</f>
        <v>0</v>
      </c>
      <c r="AK6" s="322" t="n">
        <f aca="false">AJ6*AF6</f>
        <v>0</v>
      </c>
      <c r="AL6" s="316" t="str">
        <f aca="true">IF(AH6,OFFSET(BY6,0,HorizontalPriceOffset)+PriceSpreadAsian,"")</f>
        <v/>
      </c>
      <c r="AM6" s="316" t="str">
        <f aca="false">IF(AH6,Strike1/AL6-1,"")</f>
        <v/>
      </c>
      <c r="AN6" s="316" t="str">
        <f aca="false">IF(AH6,Strike2/AL6-1,"")</f>
        <v/>
      </c>
      <c r="AO6" s="323" t="str">
        <f aca="false">IF(AH6,IF(VolOverrideAsian,VolOverrideAsian,IF(ProductGroup=1,IF(Product&lt;3,DA7,DE7),W7)+VolSpreadAsian),"")</f>
        <v/>
      </c>
      <c r="AP6" s="323" t="str">
        <f aca="false">IF($AH6,$AO6+IF(SkewFlag=1,IF(AM6&gt;0,$AA6*MIN(AM6/10%,1)+($Z6-$AA6)*MAX(0,MIN(AM6/10%-1,1))+($Y6-$Z6)*MAX(0,AM6/10%-2),$AB6*MIN(-AM6/10%,1)+($AC6-$AB6)*MAX(0,MIN(-AM6/10%-1,1))+($AD6-$AC6)*MAX(0,-AM6/10%-2)),0),"")</f>
        <v/>
      </c>
      <c r="AQ6" s="323" t="str">
        <f aca="false">IF($AH6,$AO6+IF(SkewFlag=1,IF(AN6&gt;0,$AA6*MIN(AN6/10%,1)+($Z6-$AA6)*MAX(0,MIN(AN6/10%-1,1))+($Y6-$Z6)*MAX(0,AN6/10%-2),$AB6*MIN(-AN6/10%,1)+($AC6-$AB6)*MAX(0,MIN(-AN6/10%-1,1))+($AD6-$AC6)*MAX(0,-AN6/10%-2)),0),"")</f>
        <v/>
      </c>
      <c r="AR6" s="324" t="n">
        <f aca="false">IF(AH6,xASN(AL6,Strike1,AE6,AP6,0,N6,0,P6,Q6,IF(OptControl=4,0,1),0),0)</f>
        <v>0</v>
      </c>
      <c r="AS6" s="324" t="n">
        <f aca="false">IF(AH6,xASN(AL6,Strike1,AE6,AP6,0,N6,0,P6,Q6,IF(OptControl=4,0,1),1),0)</f>
        <v>0</v>
      </c>
      <c r="AT6" s="324" t="n">
        <f aca="false">IF(AH6,xASN(AL6,Strike1,AE6,AP6,0,N6,0,P6,Q6,IF(OptControl=4,0,1),2),0)</f>
        <v>0</v>
      </c>
      <c r="AU6" s="324" t="n">
        <f aca="false">IF(AH6,xASN(AL6,Strike1,AE6,AP6,0,N6,0,P6,Q6,IF(OptControl=4,0,1),3)/100,0)</f>
        <v>0</v>
      </c>
      <c r="AV6" s="324" t="n">
        <f aca="false">IF(AH6,xASN(AL6,Strike1,AE6,AP6,0,N6,0,P6-DaysForThetaCalculation/365.25,Q6-DaysForThetaCalculation/365.25,IF(OptControl=4,0,1),0)-xASN(AL6,Strike1,AE6,AP6,0,N6,0,P6,Q6,IF(OptControl=4,0,1),0),0)</f>
        <v>0</v>
      </c>
      <c r="AW6" s="324" t="n">
        <f aca="false">IF(AH6,xASN(AL6,Strike2,AE6,AQ6,0,N6,0,P6,Q6,IF(OptControl=3,1,0),0),0)</f>
        <v>0</v>
      </c>
      <c r="AX6" s="324" t="n">
        <f aca="false">IF(AH6,xASN(AL6,Strike2,AE6,AQ6,0,N6,0,P6,Q6,IF(OptControl=3,1,0),1),0)</f>
        <v>0</v>
      </c>
      <c r="AY6" s="324" t="n">
        <f aca="false">IF(AH6,xASN(AL6,Strike2,AE6,AQ6,0,N6,0,P6,Q6,IF(OptControl=3,1,0),2),0)</f>
        <v>0</v>
      </c>
      <c r="AZ6" s="324" t="n">
        <f aca="false">IF(AH6,xASN(AL6,Strike2,AE6,AQ6,0,N6,0,P6,Q6,IF(OptControl=3,1,0),3)/100,0)</f>
        <v>0</v>
      </c>
      <c r="BA6" s="324" t="n">
        <f aca="false">IF(AH6,xASN(AL6,Strike2,AE6,AQ6,0,N6,0,P6-DaysForThetaCalculation/365.25,Q6-DaysForThetaCalculation/365.25,IF(OptControl=3,1,0),0)-xASN(AL6,Strike2,AE6,AQ6,0,N6,0,P6,Q6,IF(OptControl=3,1,0),0),0)</f>
        <v>0</v>
      </c>
      <c r="BB6" s="325" t="str">
        <f aca="false">IF(AH6,IF(ProductGroup=1,IF(Product=1,BX6+PriceSpreadEuro,IF(Product=3,CK6+PriceSpreadEuro,"N/A")),"N/A"),"")</f>
        <v/>
      </c>
      <c r="BC6" s="316" t="str">
        <f aca="false">IF(AH6,Strike1/BB6-1,"")</f>
        <v/>
      </c>
      <c r="BD6" s="316" t="str">
        <f aca="false">IF(AH6,Strike2/BB6-1,"")</f>
        <v/>
      </c>
      <c r="BE6" s="326" t="str">
        <f aca="false">IF(AH6,IF(VolOverrideEuro,VolOverrideEuro,IF(ProductGroup=1,IF(Product&lt;3,DA6,DE6)+VolSpreadEuro,"N/A")),"")</f>
        <v/>
      </c>
      <c r="BF6" s="323" t="str">
        <f aca="false">IF($AH6,$BE6+IF(SkewFlag=1,IF(BC6&gt;0,$AA6*MIN(BC6/10%,1)+($Z6-$AA6)*MAX(0,MIN(BC6/10%-1,1))+($Y6-$Z6)*MAX(0,BC6/10%-2),$AB6*MIN(-BC6/10%,1)+($AC6-$AB6)*MAX(0,MIN(-BC6/10%-1,1))+($AD6-$AC6)*MAX(0,-BC6/10%-2)),0),"")</f>
        <v/>
      </c>
      <c r="BG6" s="323" t="str">
        <f aca="false">IF($AH6,$BE6+IF(SkewFlag=1,IF(BD6&gt;0,$AA6*MIN(BD6/10%,1)+($Z6-$AA6)*MAX(0,MIN(BD6/10%-1,1))+($Y6-$Z6)*MAX(0,BD6/10%-2),$AB6*MIN(-BD6/10%,1)+($AC6-$AB6)*MAX(0,MIN(-BD6/10%-1,1))+($AD6-$AC6)*MAX(0,-BD6/10%-2)),0),"")</f>
        <v/>
      </c>
      <c r="BH6" s="324" t="n">
        <f aca="false">IF(AH6,xEURO(BB6,Strike1,AE6,AE6,BF6,O6,IF(OptControl=4,0,1),0),0)</f>
        <v>0</v>
      </c>
      <c r="BI6" s="324" t="n">
        <f aca="false">IF(AH6,xEURO(BB6,Strike1,AE6,AE6,BF6,O6,IF(OptControl=4,0,1),1),0)</f>
        <v>0</v>
      </c>
      <c r="BJ6" s="324" t="n">
        <f aca="false">IF(AH6,xEURO(BB6,Strike1,AE6,AE6,BF6,O6,IF(OptControl=4,0,1),2),0)</f>
        <v>0</v>
      </c>
      <c r="BK6" s="324" t="n">
        <f aca="false">IF(AH6,xEURO(BB6,Strike1,AE6,AE6,BF6,O6,IF(OptControl=4,0,1),3)/100,0)</f>
        <v>0</v>
      </c>
      <c r="BL6" s="324" t="n">
        <f aca="false">IF(AH6,xEURO(BB6,Strike1,AE6,AE6,BF6,O6-DaysForThetaCalculation,IF(OptControl=4,0,1),0)-xEURO(BB6,Strike1,AE6,AE6,BF6,O6,IF(OptControl=4,0,1),0),0)</f>
        <v>0</v>
      </c>
      <c r="BM6" s="324" t="n">
        <f aca="false">IF(AH6,xEURO(BB6,Strike2,AE6,AE6,BG6,O6,IF(OptControl=3,1,0),0),0)</f>
        <v>0</v>
      </c>
      <c r="BN6" s="324" t="n">
        <f aca="false">IF(AH6,xEURO(BB6,Strike2,AE6,AE6,BG6,O6,IF(OptControl=3,1,0),1),0)</f>
        <v>0</v>
      </c>
      <c r="BO6" s="324" t="n">
        <f aca="false">IF(AH6,xEURO(BB6,Strike2,AE6,AE6,BG6,O6,IF(OptControl=3,1,0),2),0)</f>
        <v>0</v>
      </c>
      <c r="BP6" s="324" t="n">
        <f aca="false">IF(AH6,xEURO(BB6,Strike2,AE6,AE6,BG6,O6,IF(OptControl=3,1,0),3)/100,0)</f>
        <v>0</v>
      </c>
      <c r="BQ6" s="327" t="n">
        <f aca="false">IF(AH6,xEURO(BB6,Strike2,AE6,AE6,BG6,O6-DaysForThetaCalculation,IF(OptControl=3,1,0),0)-xEURO(BB6,Strike2,AE6,AE6,BG6,O6,IF(OptControl=3,1,0),0),0)</f>
        <v>0</v>
      </c>
      <c r="BR6" s="343"/>
      <c r="BS6" s="314" t="n">
        <v>39.472</v>
      </c>
      <c r="BT6" s="329" t="n">
        <f aca="false">BS6*100/42</f>
        <v>93.9809523809524</v>
      </c>
      <c r="BU6" s="329" t="n">
        <f aca="false">BS7-$U6</f>
        <v>20.424347826087</v>
      </c>
      <c r="BV6" s="330" t="n">
        <v>0</v>
      </c>
      <c r="BW6" s="331" t="n">
        <f aca="false">BS7+BV7/10000*42-$V6</f>
        <v>20.424347826087</v>
      </c>
      <c r="BX6" s="344" t="n">
        <f aca="false">BT6+BV6/100</f>
        <v>93.9809523809524</v>
      </c>
      <c r="BY6" s="332" t="n">
        <f aca="false">BX7</f>
        <v>88</v>
      </c>
      <c r="BZ6" s="314" t="n">
        <v>34.335</v>
      </c>
      <c r="CA6" s="329" t="n">
        <f aca="false">BZ6*100/42</f>
        <v>81.75</v>
      </c>
      <c r="CB6" s="329" t="n">
        <f aca="false">BZ6-$U6</f>
        <v>17.799347826087</v>
      </c>
      <c r="CC6" s="331" t="n">
        <f aca="false">CB6</f>
        <v>17.799347826087</v>
      </c>
      <c r="CD6" s="329" t="n">
        <f aca="false">($V6+CC6)*100/42</f>
        <v>81.75</v>
      </c>
      <c r="CE6" s="333" t="n">
        <f aca="false">CD6-BY6</f>
        <v>-6.25</v>
      </c>
      <c r="CF6" s="314" t="n">
        <v>30.253</v>
      </c>
      <c r="CG6" s="329" t="n">
        <f aca="false">CF6*100/42</f>
        <v>72.0309523809524</v>
      </c>
      <c r="CH6" s="329" t="n">
        <f aca="false">CF7-$U6</f>
        <v>12.667347826087</v>
      </c>
      <c r="CI6" s="330" t="n">
        <v>0</v>
      </c>
      <c r="CJ6" s="331" t="n">
        <f aca="false">CF7+CI7/10000*42-$V6</f>
        <v>12.667347826087</v>
      </c>
      <c r="CK6" s="344" t="n">
        <f aca="false">CG6+CI6/100</f>
        <v>72.0309523809524</v>
      </c>
      <c r="CL6" s="332" t="n">
        <f aca="false">CK7</f>
        <v>69.5309523809524</v>
      </c>
      <c r="CM6" s="314" t="n">
        <v>28.258</v>
      </c>
      <c r="CN6" s="329" t="n">
        <f aca="false">CM6*100/42</f>
        <v>67.2809523809524</v>
      </c>
      <c r="CO6" s="329" t="n">
        <f aca="false">CM6-$U6</f>
        <v>11.722347826087</v>
      </c>
      <c r="CP6" s="331" t="n">
        <f aca="false">CO6</f>
        <v>11.722347826087</v>
      </c>
      <c r="CQ6" s="329" t="n">
        <f aca="false">($V6+CP6)*100/42</f>
        <v>67.2809523809524</v>
      </c>
      <c r="CR6" s="333" t="n">
        <f aca="false">CQ6-CL6</f>
        <v>-2.25</v>
      </c>
      <c r="CS6" s="314" t="n">
        <v>30.442</v>
      </c>
      <c r="CT6" s="329" t="n">
        <f aca="false">CS6*100/42</f>
        <v>72.4809523809524</v>
      </c>
      <c r="CU6" s="329" t="n">
        <f aca="false">CT6-CG7</f>
        <v>2.95</v>
      </c>
      <c r="CV6" s="331" t="n">
        <f aca="false">CU6</f>
        <v>2.95</v>
      </c>
      <c r="CW6" s="333" t="n">
        <f aca="false">CL6+CV6</f>
        <v>72.4809523809524</v>
      </c>
      <c r="CX6" s="318" t="n">
        <v>0.429</v>
      </c>
      <c r="CY6" s="326" t="n">
        <f aca="false">CX6-$W6</f>
        <v>-0.01995</v>
      </c>
      <c r="CZ6" s="345" t="n">
        <f aca="false">DA6-W6</f>
        <v>-0.01995</v>
      </c>
      <c r="DA6" s="346" t="n">
        <f aca="false">MAIN!K6</f>
        <v>0.429</v>
      </c>
      <c r="DB6" s="318" t="n">
        <v>0.372</v>
      </c>
      <c r="DC6" s="326" t="n">
        <f aca="false">DB6-$W6</f>
        <v>-0.07695</v>
      </c>
      <c r="DD6" s="345" t="n">
        <f aca="false">DE6-W6</f>
        <v>-0.07695</v>
      </c>
      <c r="DE6" s="346" t="n">
        <f aca="false">MAIN!M6</f>
        <v>0.372</v>
      </c>
      <c r="DG6" s="336"/>
      <c r="DH6" s="314" t="n">
        <v>20.5</v>
      </c>
      <c r="DI6" s="325" t="n">
        <f aca="false">DH6-$U6</f>
        <v>3.96434782608696</v>
      </c>
      <c r="DJ6" s="325" t="n">
        <f aca="false">VLOOKUP(1900+$L6,ResidSpreadTable,2)</f>
        <v>-2</v>
      </c>
      <c r="DK6" s="337" t="n">
        <f aca="false">$V6+DJ6</f>
        <v>14.535652173913</v>
      </c>
      <c r="DL6" s="314" t="n">
        <v>20</v>
      </c>
      <c r="DM6" s="325" t="n">
        <f aca="false">DL6-$U6</f>
        <v>3.46434782608696</v>
      </c>
      <c r="DN6" s="325" t="n">
        <f aca="false">VLOOKUP(1900+$L6,ResidSpreadTable,3)</f>
        <v>-3</v>
      </c>
      <c r="DO6" s="337" t="n">
        <f aca="false">$V6+DN6</f>
        <v>13.535652173913</v>
      </c>
      <c r="DP6" s="314" t="n">
        <v>20.4</v>
      </c>
      <c r="DQ6" s="325" t="n">
        <f aca="false">DP6-$U6</f>
        <v>3.86434782608696</v>
      </c>
      <c r="DR6" s="325" t="n">
        <f aca="false">VLOOKUP(1900+$L6,ResidSpreadTable,4)</f>
        <v>-6</v>
      </c>
      <c r="DS6" s="337" t="n">
        <f aca="false">$V6+DR6</f>
        <v>10.535652173913</v>
      </c>
      <c r="DT6" s="314" t="n">
        <v>19.9</v>
      </c>
      <c r="DU6" s="325" t="n">
        <f aca="false">DT6-$U6</f>
        <v>3.36434782608696</v>
      </c>
      <c r="DV6" s="325" t="n">
        <f aca="false">VLOOKUP(1900+$L6,ResidSpreadTable,5)</f>
        <v>-5</v>
      </c>
      <c r="DW6" s="337" t="n">
        <f aca="false">$V6+DV6</f>
        <v>11.535652173913</v>
      </c>
    </row>
    <row r="7" customFormat="false" ht="13.5" hidden="false" customHeight="false" outlineLevel="0" collapsed="false">
      <c r="A7" s="303" t="n">
        <v>90</v>
      </c>
      <c r="B7" s="304" t="n">
        <v>0.0158203125</v>
      </c>
      <c r="C7" s="304" t="n">
        <v>0.01001953125</v>
      </c>
      <c r="D7" s="304" t="n">
        <v>0.00474609375</v>
      </c>
      <c r="E7" s="304" t="n">
        <v>0.010692</v>
      </c>
      <c r="F7" s="304" t="n">
        <v>0.022572</v>
      </c>
      <c r="G7" s="305" t="n">
        <v>0.03564</v>
      </c>
      <c r="I7" s="338" t="n">
        <f aca="false">EOMONTH(I6,0)+1</f>
        <v>45962</v>
      </c>
      <c r="J7" s="307" t="n">
        <f aca="false">VLOOKUP(I7,$B$12:$C$332,2)</f>
        <v>45644</v>
      </c>
      <c r="K7" s="339" t="n">
        <f aca="false">NETWORKDAYS(I7,J8)/N7</f>
        <v>-11.4</v>
      </c>
      <c r="L7" s="309" t="n">
        <f aca="false">YEAR(I7)-1900</f>
        <v>125</v>
      </c>
      <c r="M7" s="310" t="n">
        <f aca="false">MONTH(I7)</f>
        <v>11</v>
      </c>
      <c r="N7" s="340" t="n">
        <f aca="false">NETWORKDAYS(I7,I8-1)</f>
        <v>20</v>
      </c>
      <c r="O7" s="341" t="n">
        <f aca="false">I7-DateToday-IF(EuroExpDateToggle=1,3+IF(WEEKDAY(I7-1)=7,1,IF(WEEKDAY(I7-1)&lt;5,2,0)),1+IF(WEEKDAY(I7-1)=7,1,IF(WEEKDAY(I7-1)&lt;3,2,0)))</f>
        <v>33</v>
      </c>
      <c r="P7" s="342" t="n">
        <f aca="false">(I7-DateToday+1)/365.25</f>
        <v>0.101300479123888</v>
      </c>
      <c r="Q7" s="342" t="n">
        <f aca="false">(I8-DateToday)/365.25</f>
        <v>0.180698151950719</v>
      </c>
      <c r="R7" s="314" t="n">
        <v>29.28</v>
      </c>
      <c r="S7" s="347" t="n">
        <v>0</v>
      </c>
      <c r="T7" s="316" t="n">
        <f aca="false">R7+S7/100</f>
        <v>29.28</v>
      </c>
      <c r="U7" s="325" t="n">
        <f aca="false">R8*K7+R9*(1-K7)</f>
        <v>16.84</v>
      </c>
      <c r="V7" s="337" t="n">
        <f aca="false">T8*K7+T9*(1-K7)</f>
        <v>16.84</v>
      </c>
      <c r="W7" s="318" t="n">
        <v>0.44075</v>
      </c>
      <c r="X7" s="319" t="n">
        <f aca="false">IF($I7-DateToday+1&gt;=$A$10,"",IF($I7-DateToday+1&lt;$A$5,1,MATCH($I7-DateToday+1,$A$5:$A$10)))</f>
        <v>1</v>
      </c>
      <c r="Y7" s="348" t="n">
        <f aca="false">IF($X7="",Y6^2/Y5,INDEX(B$5:B$10,$X7)^((INDEX($A$5:$A$10,$X7+1)-($I7-DateToday+1))/(INDEX($A$5:$A$10,$X7+1)-INDEX($A$5:$A$10,$X7)))/INDEX(B$5:B$10,$X7+1)^((INDEX($A$5:$A$10,$X7)-($I7-DateToday+1))/(INDEX($A$5:$A$10,$X7+1)-INDEX($A$5:$A$10,$X7))))</f>
        <v>0.0180751106863825</v>
      </c>
      <c r="Z7" s="348" t="n">
        <f aca="false">IF($X7="",Z6^2/Z5,INDEX(C$5:C$10,$X7)^((INDEX($A$5:$A$10,$X7+1)-($I7-DateToday+1))/(INDEX($A$5:$A$10,$X7+1)-INDEX($A$5:$A$10,$X7)))/INDEX(C$5:C$10,$X7+1)^((INDEX($A$5:$A$10,$X7)-($I7-DateToday+1))/(INDEX($A$5:$A$10,$X7+1)-INDEX($A$5:$A$10,$X7))))</f>
        <v>0.0118741622687174</v>
      </c>
      <c r="AA7" s="348" t="n">
        <f aca="false">IF($X7="",AA6^2/AA5,INDEX(D$5:D$10,$X7)^((INDEX($A$5:$A$10,$X7+1)-($I7-DateToday+1))/(INDEX($A$5:$A$10,$X7+1)-INDEX($A$5:$A$10,$X7)))/INDEX(D$5:D$10,$X7+1)^((INDEX($A$5:$A$10,$X7)-($I7-DateToday+1))/(INDEX($A$5:$A$10,$X7+1)-INDEX($A$5:$A$10,$X7))))</f>
        <v>0.00567320131825089</v>
      </c>
      <c r="AB7" s="348" t="n">
        <f aca="false">IF($X7="",AB6^2/AB5,INDEX(E$5:E$10,$X7)^((INDEX($A$5:$A$10,$X7+1)-($I7-DateToday+1))/(INDEX($A$5:$A$10,$X7+1)-INDEX($A$5:$A$10,$X7)))/INDEX(E$5:E$10,$X7+1)^((INDEX($A$5:$A$10,$X7)-($I7-DateToday+1))/(INDEX($A$5:$A$10,$X7+1)-INDEX($A$5:$A$10,$X7))))</f>
        <v>0.0127805879297556</v>
      </c>
      <c r="AC7" s="348" t="n">
        <f aca="false">IF($X7="",AC6^2/AC5,INDEX(F$5:F$10,$X7)^((INDEX($A$5:$A$10,$X7+1)-($I7-DateToday+1))/(INDEX($A$5:$A$10,$X7+1)-INDEX($A$5:$A$10,$X7)))/INDEX(F$5:F$10,$X7+1)^((INDEX($A$5:$A$10,$X7)-($I7-DateToday+1))/(INDEX($A$5:$A$10,$X7+1)-INDEX($A$5:$A$10,$X7))))</f>
        <v>0.0267501127589665</v>
      </c>
      <c r="AD7" s="348" t="n">
        <f aca="false">IF($X7="",AD6^2/AD5,INDEX(G$5:G$10,$X7)^((INDEX($A$5:$A$10,$X7+1)-($I7-DateToday+1))/(INDEX($A$5:$A$10,$X7+1)-INDEX($A$5:$A$10,$X7)))/INDEX(G$5:G$10,$X7+1)^((INDEX($A$5:$A$10,$X7)-($I7-DateToday+1))/(INDEX($A$5:$A$10,$X7+1)-INDEX($A$5:$A$10,$X7))))</f>
        <v>0.0407196093542826</v>
      </c>
      <c r="AE7" s="321" t="n">
        <v>0.061159116679634</v>
      </c>
      <c r="AF7" s="316" t="n">
        <f aca="false">(1+AE7/2)^(-2*(I8-DateToday)/365.25)</f>
        <v>0.989173300760611</v>
      </c>
      <c r="AG7" s="316" t="n">
        <f aca="false">AG6*(1+IF(AND(M7=1,L7&gt;YearStart),Escalation,0))</f>
        <v>1</v>
      </c>
      <c r="AH7" s="322" t="n">
        <f aca="false">IF(OR(DateStart&gt;=I8,DateEnd&lt;I7),0,Volume*AG7)</f>
        <v>0</v>
      </c>
      <c r="AI7" s="322" t="n">
        <f aca="false">AH7*AF7</f>
        <v>0</v>
      </c>
      <c r="AJ7" s="322" t="n">
        <f aca="false">IF(OR(DateStart2&gt;=I8,DateEnd2&lt;I7),0,VolumeSwaption*AG7)</f>
        <v>0</v>
      </c>
      <c r="AK7" s="322" t="n">
        <f aca="false">AJ7*AF7</f>
        <v>0</v>
      </c>
      <c r="AL7" s="316" t="str">
        <f aca="true">IF(AH7,OFFSET(BY7,0,HorizontalPriceOffset)+PriceSpreadAsian,"")</f>
        <v/>
      </c>
      <c r="AM7" s="316" t="str">
        <f aca="false">IF(AH7,Strike1/AL7-1,"")</f>
        <v/>
      </c>
      <c r="AN7" s="316" t="str">
        <f aca="false">IF(AH7,Strike2/AL7-1,"")</f>
        <v/>
      </c>
      <c r="AO7" s="323" t="str">
        <f aca="false">IF(AH7,IF(VolOverrideAsian,VolOverrideAsian,IF(ProductGroup=1,IF(Product&lt;3,DA8,DE8),W8)+VolSpreadAsian),"")</f>
        <v/>
      </c>
      <c r="AP7" s="323" t="str">
        <f aca="false">IF($AH7,$AO7+IF(SkewFlag=1,IF(AM7&gt;0,$AA7*MIN(AM7/10%,1)+($Z7-$AA7)*MAX(0,MIN(AM7/10%-1,1))+($Y7-$Z7)*MAX(0,AM7/10%-2),$AB7*MIN(-AM7/10%,1)+($AC7-$AB7)*MAX(0,MIN(-AM7/10%-1,1))+($AD7-$AC7)*MAX(0,-AM7/10%-2)),0),"")</f>
        <v/>
      </c>
      <c r="AQ7" s="323" t="str">
        <f aca="false">IF($AH7,$AO7+IF(SkewFlag=1,IF(AN7&gt;0,$AA7*MIN(AN7/10%,1)+($Z7-$AA7)*MAX(0,MIN(AN7/10%-1,1))+($Y7-$Z7)*MAX(0,AN7/10%-2),$AB7*MIN(-AN7/10%,1)+($AC7-$AB7)*MAX(0,MIN(-AN7/10%-1,1))+($AD7-$AC7)*MAX(0,-AN7/10%-2)),0),"")</f>
        <v/>
      </c>
      <c r="AR7" s="324" t="n">
        <f aca="false">IF(AH7,xASN(AL7,Strike1,AE7,AP7,0,N7,0,P7,Q7,IF(OptControl=4,0,1),0),0)</f>
        <v>0</v>
      </c>
      <c r="AS7" s="324" t="n">
        <f aca="false">IF(AH7,xASN(AL7,Strike1,AE7,AP7,0,N7,0,P7,Q7,IF(OptControl=4,0,1),1),0)</f>
        <v>0</v>
      </c>
      <c r="AT7" s="324" t="n">
        <f aca="false">IF(AH7,xASN(AL7,Strike1,AE7,AP7,0,N7,0,P7,Q7,IF(OptControl=4,0,1),2),0)</f>
        <v>0</v>
      </c>
      <c r="AU7" s="324" t="n">
        <f aca="false">IF(AH7,xASN(AL7,Strike1,AE7,AP7,0,N7,0,P7,Q7,IF(OptControl=4,0,1),3)/100,0)</f>
        <v>0</v>
      </c>
      <c r="AV7" s="324" t="n">
        <f aca="false">IF(AH7,xASN(AL7,Strike1,AE7,AP7,0,N7,0,P7-DaysForThetaCalculation/365.25,Q7-DaysForThetaCalculation/365.25,IF(OptControl=4,0,1),0)-xASN(AL7,Strike1,AE7,AP7,0,N7,0,P7,Q7,IF(OptControl=4,0,1),0),0)</f>
        <v>0</v>
      </c>
      <c r="AW7" s="324" t="n">
        <f aca="false">IF(AH7,xASN(AL7,Strike2,AE7,AQ7,0,N7,0,P7,Q7,IF(OptControl=3,1,0),0),0)</f>
        <v>0</v>
      </c>
      <c r="AX7" s="324" t="n">
        <f aca="false">IF(AH7,xASN(AL7,Strike2,AE7,AQ7,0,N7,0,P7,Q7,IF(OptControl=3,1,0),1),0)</f>
        <v>0</v>
      </c>
      <c r="AY7" s="324" t="n">
        <f aca="false">IF(AH7,xASN(AL7,Strike2,AE7,AQ7,0,N7,0,P7,Q7,IF(OptControl=3,1,0),2),0)</f>
        <v>0</v>
      </c>
      <c r="AZ7" s="324" t="n">
        <f aca="false">IF(AH7,xASN(AL7,Strike2,AE7,AQ7,0,N7,0,P7,Q7,IF(OptControl=3,1,0),3)/100,0)</f>
        <v>0</v>
      </c>
      <c r="BA7" s="324" t="n">
        <f aca="false">IF(AH7,xASN(AL7,Strike2,AE7,AQ7,0,N7,0,P7-DaysForThetaCalculation/365.25,Q7-DaysForThetaCalculation/365.25,IF(OptControl=3,1,0),0)-xASN(AL7,Strike2,AE7,AQ7,0,N7,0,P7,Q7,IF(OptControl=3,1,0),0),0)</f>
        <v>0</v>
      </c>
      <c r="BB7" s="325" t="str">
        <f aca="false">IF(AH7,IF(ProductGroup=1,IF(Product=1,BX7+PriceSpreadEuro,IF(Product=3,CK7+PriceSpreadEuro,"N/A")),"N/A"),"")</f>
        <v/>
      </c>
      <c r="BC7" s="316" t="str">
        <f aca="false">IF(AH7,Strike1/BB7-1,"")</f>
        <v/>
      </c>
      <c r="BD7" s="316" t="str">
        <f aca="false">IF(AH7,Strike2/BB7-1,"")</f>
        <v/>
      </c>
      <c r="BE7" s="326" t="str">
        <f aca="false">IF(AH7,IF(VolOverrideEuro,VolOverrideEuro,IF(ProductGroup=1,IF(Product&lt;3,DA7,DE7)+VolSpreadEuro,"N/A")),"")</f>
        <v/>
      </c>
      <c r="BF7" s="323" t="str">
        <f aca="false">IF($AH7,$BE7+IF(SkewFlag=1,IF(BC7&gt;0,$AA7*MIN(BC7/10%,1)+($Z7-$AA7)*MAX(0,MIN(BC7/10%-1,1))+($Y7-$Z7)*MAX(0,BC7/10%-2),$AB7*MIN(-BC7/10%,1)+($AC7-$AB7)*MAX(0,MIN(-BC7/10%-1,1))+($AD7-$AC7)*MAX(0,-BC7/10%-2)),0),"")</f>
        <v/>
      </c>
      <c r="BG7" s="323" t="str">
        <f aca="false">IF($AH7,$BE7+IF(SkewFlag=1,IF(BD7&gt;0,$AA7*MIN(BD7/10%,1)+($Z7-$AA7)*MAX(0,MIN(BD7/10%-1,1))+($Y7-$Z7)*MAX(0,BD7/10%-2),$AB7*MIN(-BD7/10%,1)+($AC7-$AB7)*MAX(0,MIN(-BD7/10%-1,1))+($AD7-$AC7)*MAX(0,-BD7/10%-2)),0),"")</f>
        <v/>
      </c>
      <c r="BH7" s="324" t="n">
        <f aca="false">IF(AH7,xEURO(BB7,Strike1,AE7,AE7,BF7,O7,IF(OptControl=4,0,1),0),0)</f>
        <v>0</v>
      </c>
      <c r="BI7" s="324" t="n">
        <f aca="false">IF(AH7,xEURO(BB7,Strike1,AE7,AE7,BF7,O7,IF(OptControl=4,0,1),1),0)</f>
        <v>0</v>
      </c>
      <c r="BJ7" s="324" t="n">
        <f aca="false">IF(AH7,xEURO(BB7,Strike1,AE7,AE7,BF7,O7,IF(OptControl=4,0,1),2),0)</f>
        <v>0</v>
      </c>
      <c r="BK7" s="324" t="n">
        <f aca="false">IF(AH7,xEURO(BB7,Strike1,AE7,AE7,BF7,O7,IF(OptControl=4,0,1),3)/100,0)</f>
        <v>0</v>
      </c>
      <c r="BL7" s="324" t="n">
        <f aca="false">IF(AH7,xEURO(BB7,Strike1,AE7,AE7,BF7,O7-DaysForThetaCalculation,IF(OptControl=4,0,1),0)-xEURO(BB7,Strike1,AE7,AE7,BF7,O7,IF(OptControl=4,0,1),0),0)</f>
        <v>0</v>
      </c>
      <c r="BM7" s="324" t="n">
        <f aca="false">IF(AH7,xEURO(BB7,Strike2,AE7,AE7,BG7,O7,IF(OptControl=3,1,0),0),0)</f>
        <v>0</v>
      </c>
      <c r="BN7" s="324" t="n">
        <f aca="false">IF(AH7,xEURO(BB7,Strike2,AE7,AE7,BG7,O7,IF(OptControl=3,1,0),1),0)</f>
        <v>0</v>
      </c>
      <c r="BO7" s="324" t="n">
        <f aca="false">IF(AH7,xEURO(BB7,Strike2,AE7,AE7,BG7,O7,IF(OptControl=3,1,0),2),0)</f>
        <v>0</v>
      </c>
      <c r="BP7" s="324" t="n">
        <f aca="false">IF(AH7,xEURO(BB7,Strike2,AE7,AE7,BG7,O7,IF(OptControl=3,1,0),3)/100,0)</f>
        <v>0</v>
      </c>
      <c r="BQ7" s="327" t="n">
        <f aca="false">IF(AH7,xEURO(BB7,Strike2,AE7,AE7,BG7,O7-DaysForThetaCalculation,IF(OptControl=3,1,0),0)-xEURO(BB7,Strike2,AE7,AE7,BG7,O7,IF(OptControl=3,1,0),0),0)</f>
        <v>0</v>
      </c>
      <c r="BR7" s="343"/>
      <c r="BS7" s="314" t="n">
        <v>36.96</v>
      </c>
      <c r="BT7" s="329" t="n">
        <f aca="false">BS7*100/42</f>
        <v>88</v>
      </c>
      <c r="BU7" s="329" t="n">
        <f aca="false">BS8-$U7</f>
        <v>18.44</v>
      </c>
      <c r="BV7" s="330" t="n">
        <v>0</v>
      </c>
      <c r="BW7" s="331" t="n">
        <f aca="false">BS8+BV8/10000*42-$V7</f>
        <v>18.44</v>
      </c>
      <c r="BX7" s="344" t="n">
        <f aca="false">BT7+BV7/100</f>
        <v>88</v>
      </c>
      <c r="BY7" s="332" t="n">
        <f aca="false">BX8</f>
        <v>84</v>
      </c>
      <c r="BZ7" s="314" t="n">
        <v>32.655</v>
      </c>
      <c r="CA7" s="329" t="n">
        <f aca="false">BZ7*100/42</f>
        <v>77.75</v>
      </c>
      <c r="CB7" s="329" t="n">
        <f aca="false">BZ7-$U7</f>
        <v>15.815</v>
      </c>
      <c r="CC7" s="331" t="n">
        <f aca="false">CB7</f>
        <v>15.815</v>
      </c>
      <c r="CD7" s="329" t="n">
        <f aca="false">($V7+CC7)*100/42</f>
        <v>77.75</v>
      </c>
      <c r="CE7" s="333" t="n">
        <f aca="false">CD7-BY7</f>
        <v>-6.25</v>
      </c>
      <c r="CF7" s="314" t="n">
        <v>29.203</v>
      </c>
      <c r="CG7" s="329" t="n">
        <f aca="false">CF7*100/42</f>
        <v>69.5309523809524</v>
      </c>
      <c r="CH7" s="329" t="n">
        <f aca="false">CF8-$U7</f>
        <v>11.565</v>
      </c>
      <c r="CI7" s="330" t="n">
        <v>0</v>
      </c>
      <c r="CJ7" s="331" t="n">
        <f aca="false">CF8+CI8/10000*42-$V7</f>
        <v>11.565</v>
      </c>
      <c r="CK7" s="344" t="n">
        <f aca="false">CG7+CI7/100</f>
        <v>69.5309523809524</v>
      </c>
      <c r="CL7" s="332" t="n">
        <f aca="false">CK8</f>
        <v>67.6309523809524</v>
      </c>
      <c r="CM7" s="314" t="n">
        <v>27.46</v>
      </c>
      <c r="CN7" s="329" t="n">
        <f aca="false">CM7*100/42</f>
        <v>65.3809523809524</v>
      </c>
      <c r="CO7" s="329" t="n">
        <f aca="false">CM7-$U7</f>
        <v>10.62</v>
      </c>
      <c r="CP7" s="331" t="n">
        <f aca="false">CO7</f>
        <v>10.62</v>
      </c>
      <c r="CQ7" s="329" t="n">
        <f aca="false">($V7+CP7)*100/42</f>
        <v>65.3809523809524</v>
      </c>
      <c r="CR7" s="333" t="n">
        <f aca="false">CQ7-CL7</f>
        <v>-2.25</v>
      </c>
      <c r="CS7" s="314" t="n">
        <v>28.615</v>
      </c>
      <c r="CT7" s="329" t="n">
        <f aca="false">CS7*100/42</f>
        <v>68.1309523809524</v>
      </c>
      <c r="CU7" s="329" t="n">
        <f aca="false">CT7-CG8</f>
        <v>0.5</v>
      </c>
      <c r="CV7" s="331" t="n">
        <f aca="false">CU7</f>
        <v>0.5</v>
      </c>
      <c r="CW7" s="333" t="n">
        <f aca="false">CL7+CV7</f>
        <v>68.1309523809524</v>
      </c>
      <c r="CX7" s="318" t="n">
        <v>0.397</v>
      </c>
      <c r="CY7" s="326" t="n">
        <f aca="false">CX7-$W7</f>
        <v>-0.04375</v>
      </c>
      <c r="CZ7" s="345" t="n">
        <f aca="false">DA7-W7</f>
        <v>-0.04375</v>
      </c>
      <c r="DA7" s="346" t="n">
        <f aca="false">MAIN!K7</f>
        <v>0.397</v>
      </c>
      <c r="DB7" s="318" t="n">
        <v>0.353</v>
      </c>
      <c r="DC7" s="326" t="n">
        <f aca="false">DB7-$W7</f>
        <v>-0.08775</v>
      </c>
      <c r="DD7" s="345" t="n">
        <f aca="false">DE7-W7</f>
        <v>-0.08775</v>
      </c>
      <c r="DE7" s="346" t="n">
        <f aca="false">MAIN!M7</f>
        <v>0.353</v>
      </c>
      <c r="DG7" s="336"/>
      <c r="DH7" s="314" t="n">
        <v>20.5</v>
      </c>
      <c r="DI7" s="325" t="n">
        <f aca="false">DH7-$U7</f>
        <v>3.65999999999997</v>
      </c>
      <c r="DJ7" s="325" t="n">
        <f aca="false">VLOOKUP(1900+$L7,ResidSpreadTable,2)</f>
        <v>-2</v>
      </c>
      <c r="DK7" s="337" t="n">
        <f aca="false">$V7+DJ7</f>
        <v>14.84</v>
      </c>
      <c r="DL7" s="314" t="n">
        <v>20</v>
      </c>
      <c r="DM7" s="325" t="n">
        <f aca="false">DL7-$U7</f>
        <v>3.15999999999997</v>
      </c>
      <c r="DN7" s="325" t="n">
        <f aca="false">VLOOKUP(1900+$L7,ResidSpreadTable,3)</f>
        <v>-3</v>
      </c>
      <c r="DO7" s="337" t="n">
        <f aca="false">$V7+DN7</f>
        <v>13.84</v>
      </c>
      <c r="DP7" s="314" t="n">
        <v>20.3</v>
      </c>
      <c r="DQ7" s="325" t="n">
        <f aca="false">DP7-$U7</f>
        <v>3.45999999999997</v>
      </c>
      <c r="DR7" s="325" t="n">
        <f aca="false">VLOOKUP(1900+$L7,ResidSpreadTable,4)</f>
        <v>-6</v>
      </c>
      <c r="DS7" s="337" t="n">
        <f aca="false">$V7+DR7</f>
        <v>10.84</v>
      </c>
      <c r="DT7" s="314" t="n">
        <v>19.9</v>
      </c>
      <c r="DU7" s="325" t="n">
        <f aca="false">DT7-$U7</f>
        <v>3.05999999999997</v>
      </c>
      <c r="DV7" s="325" t="n">
        <f aca="false">VLOOKUP(1900+$L7,ResidSpreadTable,5)</f>
        <v>-5</v>
      </c>
      <c r="DW7" s="337" t="n">
        <f aca="false">$V7+DV7</f>
        <v>11.84</v>
      </c>
    </row>
    <row r="8" customFormat="false" ht="13.5" hidden="false" customHeight="false" outlineLevel="0" collapsed="false">
      <c r="A8" s="303" t="n">
        <v>180</v>
      </c>
      <c r="B8" s="304" t="n">
        <v>0.01423828125</v>
      </c>
      <c r="C8" s="304" t="n">
        <v>0.008701171875</v>
      </c>
      <c r="D8" s="304" t="n">
        <v>0.003955078125</v>
      </c>
      <c r="E8" s="304" t="n">
        <v>0.00891</v>
      </c>
      <c r="F8" s="304" t="n">
        <v>0.019602</v>
      </c>
      <c r="G8" s="305" t="n">
        <v>0.032076</v>
      </c>
      <c r="I8" s="338" t="n">
        <f aca="false">EOMONTH(I7,0)+1</f>
        <v>45992</v>
      </c>
      <c r="J8" s="307" t="n">
        <f aca="false">VLOOKUP(I8,$B$12:$C$332,2)</f>
        <v>45644</v>
      </c>
      <c r="K8" s="339" t="n">
        <f aca="false">NETWORKDAYS(I8,J9)/N8</f>
        <v>-10.8260869565217</v>
      </c>
      <c r="L8" s="309" t="n">
        <f aca="false">YEAR(I8)-1900</f>
        <v>125</v>
      </c>
      <c r="M8" s="310" t="n">
        <f aca="false">MONTH(I8)</f>
        <v>12</v>
      </c>
      <c r="N8" s="340" t="n">
        <f aca="false">NETWORKDAYS(I8,I9-1)</f>
        <v>23</v>
      </c>
      <c r="O8" s="341" t="n">
        <f aca="false">I8-DateToday-IF(EuroExpDateToggle=1,3+IF(WEEKDAY(I8-1)=7,1,IF(WEEKDAY(I8-1)&lt;5,2,0)),1+IF(WEEKDAY(I8-1)=7,1,IF(WEEKDAY(I8-1)&lt;3,2,0)))</f>
        <v>61</v>
      </c>
      <c r="P8" s="342" t="n">
        <f aca="false">(I8-DateToday+1)/365.25</f>
        <v>0.183436002737851</v>
      </c>
      <c r="Q8" s="342" t="n">
        <f aca="false">(I9-DateToday)/365.25</f>
        <v>0.265571526351814</v>
      </c>
      <c r="R8" s="314" t="n">
        <v>28</v>
      </c>
      <c r="S8" s="347" t="n">
        <v>0</v>
      </c>
      <c r="T8" s="316" t="n">
        <f aca="false">R8+S8/100</f>
        <v>28</v>
      </c>
      <c r="U8" s="325" t="n">
        <f aca="false">R9*K8+R10*(1-K8)</f>
        <v>19.4130434782608</v>
      </c>
      <c r="V8" s="337" t="n">
        <f aca="false">T9*K8+T10*(1-K8)</f>
        <v>19.4130434782608</v>
      </c>
      <c r="W8" s="318" t="n">
        <v>0.40085</v>
      </c>
      <c r="X8" s="319" t="n">
        <f aca="false">IF($I8-DateToday+1&gt;=$A$10,"",IF($I8-DateToday+1&lt;$A$5,1,MATCH($I8-DateToday+1,$A$5:$A$10)))</f>
        <v>2</v>
      </c>
      <c r="Y8" s="348" t="n">
        <f aca="false">IF($X8="",Y7^2/Y6,INDEX(B$5:B$10,$X8)^((INDEX($A$5:$A$10,$X8+1)-($I8-DateToday+1))/(INDEX($A$5:$A$10,$X8+1)-INDEX($A$5:$A$10,$X8)))/INDEX(B$5:B$10,$X8+1)^((INDEX($A$5:$A$10,$X8)-($I8-DateToday+1))/(INDEX($A$5:$A$10,$X8+1)-INDEX($A$5:$A$10,$X8))))</f>
        <v>0.0166227834027211</v>
      </c>
      <c r="Z8" s="348" t="n">
        <f aca="false">IF($X8="",Z7^2/Z6,INDEX(C$5:C$10,$X8)^((INDEX($A$5:$A$10,$X8+1)-($I8-DateToday+1))/(INDEX($A$5:$A$10,$X8+1)-INDEX($A$5:$A$10,$X8)))/INDEX(C$5:C$10,$X8+1)^((INDEX($A$5:$A$10,$X8)-($I8-DateToday+1))/(INDEX($A$5:$A$10,$X8+1)-INDEX($A$5:$A$10,$X8))))</f>
        <v>0.0108186009699678</v>
      </c>
      <c r="AA8" s="348" t="n">
        <f aca="false">IF($X8="",AA7^2/AA6,INDEX(D$5:D$10,$X8)^((INDEX($A$5:$A$10,$X8+1)-($I8-DateToday+1))/(INDEX($A$5:$A$10,$X8+1)-INDEX($A$5:$A$10,$X8)))/INDEX(D$5:D$10,$X8+1)^((INDEX($A$5:$A$10,$X8)-($I8-DateToday+1))/(INDEX($A$5:$A$10,$X8+1)-INDEX($A$5:$A$10,$X8))))</f>
        <v>0.00514537527633464</v>
      </c>
      <c r="AB8" s="348" t="n">
        <f aca="false">IF($X8="",AB7^2/AB6,INDEX(E$5:E$10,$X8)^((INDEX($A$5:$A$10,$X8+1)-($I8-DateToday+1))/(INDEX($A$5:$A$10,$X8+1)-INDEX($A$5:$A$10,$X8)))/INDEX(E$5:E$10,$X8+1)^((INDEX($A$5:$A$10,$X8)-($I8-DateToday+1))/(INDEX($A$5:$A$10,$X8+1)-INDEX($A$5:$A$10,$X8))))</f>
        <v>0.0115915014225267</v>
      </c>
      <c r="AC8" s="348" t="n">
        <f aca="false">IF($X8="",AC7^2/AC6,INDEX(F$5:F$10,$X8)^((INDEX($A$5:$A$10,$X8+1)-($I8-DateToday+1))/(INDEX($A$5:$A$10,$X8+1)-INDEX($A$5:$A$10,$X8)))/INDEX(F$5:F$10,$X8+1)^((INDEX($A$5:$A$10,$X8)-($I8-DateToday+1))/(INDEX($A$5:$A$10,$X8+1)-INDEX($A$5:$A$10,$X8))))</f>
        <v>0.0243721442651435</v>
      </c>
      <c r="AD8" s="348" t="n">
        <f aca="false">IF($X8="",AD7^2/AD6,INDEX(G$5:G$10,$X8)^((INDEX($A$5:$A$10,$X8+1)-($I8-DateToday+1))/(INDEX($A$5:$A$10,$X8+1)-INDEX($A$5:$A$10,$X8)))/INDEX(G$5:G$10,$X8+1)^((INDEX($A$5:$A$10,$X8)-($I8-DateToday+1))/(INDEX($A$5:$A$10,$X8+1)-INDEX($A$5:$A$10,$X8))))</f>
        <v>0.03744780644965</v>
      </c>
      <c r="AE8" s="321" t="n">
        <v>0.062168933933492</v>
      </c>
      <c r="AF8" s="316" t="n">
        <f aca="false">(1+AE8/2)^(-2*(I9-DateToday)/365.25)</f>
        <v>0.983872573834058</v>
      </c>
      <c r="AG8" s="316" t="n">
        <f aca="false">AG7*(1+IF(AND(M8=1,L8&gt;YearStart),Escalation,0))</f>
        <v>1</v>
      </c>
      <c r="AH8" s="322" t="n">
        <f aca="false">IF(OR(DateStart&gt;=I9,DateEnd&lt;I8),0,Volume*AG8)</f>
        <v>0</v>
      </c>
      <c r="AI8" s="322" t="n">
        <f aca="false">AH8*AF8</f>
        <v>0</v>
      </c>
      <c r="AJ8" s="322" t="n">
        <f aca="false">IF(OR(DateStart2&gt;=I9,DateEnd2&lt;I8),0,VolumeSwaption*AG8)</f>
        <v>0</v>
      </c>
      <c r="AK8" s="322" t="n">
        <f aca="false">AJ8*AF8</f>
        <v>0</v>
      </c>
      <c r="AL8" s="316" t="str">
        <f aca="true">IF(AH8,OFFSET(BY8,0,HorizontalPriceOffset)+PriceSpreadAsian,"")</f>
        <v/>
      </c>
      <c r="AM8" s="316" t="str">
        <f aca="false">IF(AH8,Strike1/AL8-1,"")</f>
        <v/>
      </c>
      <c r="AN8" s="316" t="str">
        <f aca="false">IF(AH8,Strike2/AL8-1,"")</f>
        <v/>
      </c>
      <c r="AO8" s="323" t="str">
        <f aca="false">IF(AH8,IF(VolOverrideAsian,VolOverrideAsian,IF(ProductGroup=1,IF(Product&lt;3,DA9,DE9),W9)+VolSpreadAsian),"")</f>
        <v/>
      </c>
      <c r="AP8" s="323" t="str">
        <f aca="false">IF($AH8,$AO8+IF(SkewFlag=1,IF(AM8&gt;0,$AA8*MIN(AM8/10%,1)+($Z8-$AA8)*MAX(0,MIN(AM8/10%-1,1))+($Y8-$Z8)*MAX(0,AM8/10%-2),$AB8*MIN(-AM8/10%,1)+($AC8-$AB8)*MAX(0,MIN(-AM8/10%-1,1))+($AD8-$AC8)*MAX(0,-AM8/10%-2)),0),"")</f>
        <v/>
      </c>
      <c r="AQ8" s="323" t="str">
        <f aca="false">IF($AH8,$AO8+IF(SkewFlag=1,IF(AN8&gt;0,$AA8*MIN(AN8/10%,1)+($Z8-$AA8)*MAX(0,MIN(AN8/10%-1,1))+($Y8-$Z8)*MAX(0,AN8/10%-2),$AB8*MIN(-AN8/10%,1)+($AC8-$AB8)*MAX(0,MIN(-AN8/10%-1,1))+($AD8-$AC8)*MAX(0,-AN8/10%-2)),0),"")</f>
        <v/>
      </c>
      <c r="AR8" s="324" t="n">
        <f aca="false">IF(AH8,xASN(AL8,Strike1,AE8,AP8,0,N8,0,P8,Q8,IF(OptControl=4,0,1),0),0)</f>
        <v>0</v>
      </c>
      <c r="AS8" s="324" t="n">
        <f aca="false">IF(AH8,xASN(AL8,Strike1,AE8,AP8,0,N8,0,P8,Q8,IF(OptControl=4,0,1),1),0)</f>
        <v>0</v>
      </c>
      <c r="AT8" s="324" t="n">
        <f aca="false">IF(AH8,xASN(AL8,Strike1,AE8,AP8,0,N8,0,P8,Q8,IF(OptControl=4,0,1),2),0)</f>
        <v>0</v>
      </c>
      <c r="AU8" s="324" t="n">
        <f aca="false">IF(AH8,xASN(AL8,Strike1,AE8,AP8,0,N8,0,P8,Q8,IF(OptControl=4,0,1),3)/100,0)</f>
        <v>0</v>
      </c>
      <c r="AV8" s="324" t="n">
        <f aca="false">IF(AH8,xASN(AL8,Strike1,AE8,AP8,0,N8,0,P8-DaysForThetaCalculation/365.25,Q8-DaysForThetaCalculation/365.25,IF(OptControl=4,0,1),0)-xASN(AL8,Strike1,AE8,AP8,0,N8,0,P8,Q8,IF(OptControl=4,0,1),0),0)</f>
        <v>0</v>
      </c>
      <c r="AW8" s="324" t="n">
        <f aca="false">IF(AH8,xASN(AL8,Strike2,AE8,AQ8,0,N8,0,P8,Q8,IF(OptControl=3,1,0),0),0)</f>
        <v>0</v>
      </c>
      <c r="AX8" s="324" t="n">
        <f aca="false">IF(AH8,xASN(AL8,Strike2,AE8,AQ8,0,N8,0,P8,Q8,IF(OptControl=3,1,0),1),0)</f>
        <v>0</v>
      </c>
      <c r="AY8" s="324" t="n">
        <f aca="false">IF(AH8,xASN(AL8,Strike2,AE8,AQ8,0,N8,0,P8,Q8,IF(OptControl=3,1,0),2),0)</f>
        <v>0</v>
      </c>
      <c r="AZ8" s="324" t="n">
        <f aca="false">IF(AH8,xASN(AL8,Strike2,AE8,AQ8,0,N8,0,P8,Q8,IF(OptControl=3,1,0),3)/100,0)</f>
        <v>0</v>
      </c>
      <c r="BA8" s="324" t="n">
        <f aca="false">IF(AH8,xASN(AL8,Strike2,AE8,AQ8,0,N8,0,P8-DaysForThetaCalculation/365.25,Q8-DaysForThetaCalculation/365.25,IF(OptControl=3,1,0),0)-xASN(AL8,Strike2,AE8,AQ8,0,N8,0,P8,Q8,IF(OptControl=3,1,0),0),0)</f>
        <v>0</v>
      </c>
      <c r="BB8" s="325" t="str">
        <f aca="false">IF(AH8,IF(ProductGroup=1,IF(Product=1,BX8+PriceSpreadEuro,IF(Product=3,CK8+PriceSpreadEuro,"N/A")),"N/A"),"")</f>
        <v/>
      </c>
      <c r="BC8" s="316" t="str">
        <f aca="false">IF(AH8,Strike1/BB8-1,"")</f>
        <v/>
      </c>
      <c r="BD8" s="316" t="str">
        <f aca="false">IF(AH8,Strike2/BB8-1,"")</f>
        <v/>
      </c>
      <c r="BE8" s="326" t="str">
        <f aca="false">IF(AH8,IF(VolOverrideEuro,VolOverrideEuro,IF(ProductGroup=1,IF(Product&lt;3,DA8,DE8)+VolSpreadEuro,"N/A")),"")</f>
        <v/>
      </c>
      <c r="BF8" s="323" t="str">
        <f aca="false">IF($AH8,$BE8+IF(SkewFlag=1,IF(BC8&gt;0,$AA8*MIN(BC8/10%,1)+($Z8-$AA8)*MAX(0,MIN(BC8/10%-1,1))+($Y8-$Z8)*MAX(0,BC8/10%-2),$AB8*MIN(-BC8/10%,1)+($AC8-$AB8)*MAX(0,MIN(-BC8/10%-1,1))+($AD8-$AC8)*MAX(0,-BC8/10%-2)),0),"")</f>
        <v/>
      </c>
      <c r="BG8" s="323" t="str">
        <f aca="false">IF($AH8,$BE8+IF(SkewFlag=1,IF(BD8&gt;0,$AA8*MIN(BD8/10%,1)+($Z8-$AA8)*MAX(0,MIN(BD8/10%-1,1))+($Y8-$Z8)*MAX(0,BD8/10%-2),$AB8*MIN(-BD8/10%,1)+($AC8-$AB8)*MAX(0,MIN(-BD8/10%-1,1))+($AD8-$AC8)*MAX(0,-BD8/10%-2)),0),"")</f>
        <v/>
      </c>
      <c r="BH8" s="324" t="n">
        <f aca="false">IF(AH8,xEURO(BB8,Strike1,AE8,AE8,BF8,O8,IF(OptControl=4,0,1),0),0)</f>
        <v>0</v>
      </c>
      <c r="BI8" s="324" t="n">
        <f aca="false">IF(AH8,xEURO(BB8,Strike1,AE8,AE8,BF8,O8,IF(OptControl=4,0,1),1),0)</f>
        <v>0</v>
      </c>
      <c r="BJ8" s="324" t="n">
        <f aca="false">IF(AH8,xEURO(BB8,Strike1,AE8,AE8,BF8,O8,IF(OptControl=4,0,1),2),0)</f>
        <v>0</v>
      </c>
      <c r="BK8" s="324" t="n">
        <f aca="false">IF(AH8,xEURO(BB8,Strike1,AE8,AE8,BF8,O8,IF(OptControl=4,0,1),3)/100,0)</f>
        <v>0</v>
      </c>
      <c r="BL8" s="324" t="n">
        <f aca="false">IF(AH8,xEURO(BB8,Strike1,AE8,AE8,BF8,O8-DaysForThetaCalculation,IF(OptControl=4,0,1),0)-xEURO(BB8,Strike1,AE8,AE8,BF8,O8,IF(OptControl=4,0,1),0),0)</f>
        <v>0</v>
      </c>
      <c r="BM8" s="324" t="n">
        <f aca="false">IF(AH8,xEURO(BB8,Strike2,AE8,AE8,BG8,O8,IF(OptControl=3,1,0),0),0)</f>
        <v>0</v>
      </c>
      <c r="BN8" s="324" t="n">
        <f aca="false">IF(AH8,xEURO(BB8,Strike2,AE8,AE8,BG8,O8,IF(OptControl=3,1,0),1),0)</f>
        <v>0</v>
      </c>
      <c r="BO8" s="324" t="n">
        <f aca="false">IF(AH8,xEURO(BB8,Strike2,AE8,AE8,BG8,O8,IF(OptControl=3,1,0),2),0)</f>
        <v>0</v>
      </c>
      <c r="BP8" s="324" t="n">
        <f aca="false">IF(AH8,xEURO(BB8,Strike2,AE8,AE8,BG8,O8,IF(OptControl=3,1,0),3)/100,0)</f>
        <v>0</v>
      </c>
      <c r="BQ8" s="327" t="n">
        <f aca="false">IF(AH8,xEURO(BB8,Strike2,AE8,AE8,BG8,O8-DaysForThetaCalculation,IF(OptControl=3,1,0),0)-xEURO(BB8,Strike2,AE8,AE8,BG8,O8,IF(OptControl=3,1,0),0),0)</f>
        <v>0</v>
      </c>
      <c r="BR8" s="343"/>
      <c r="BS8" s="314" t="n">
        <v>35.28</v>
      </c>
      <c r="BT8" s="329" t="n">
        <f aca="false">BS8*100/42</f>
        <v>84</v>
      </c>
      <c r="BU8" s="329" t="n">
        <f aca="false">BS9-$U8</f>
        <v>14.5439565217392</v>
      </c>
      <c r="BV8" s="330" t="n">
        <v>0</v>
      </c>
      <c r="BW8" s="331" t="n">
        <f aca="false">BS9+BV9/10000*42-$V8</f>
        <v>14.5439565217392</v>
      </c>
      <c r="BX8" s="344" t="n">
        <f aca="false">BT8+BV8/100</f>
        <v>84</v>
      </c>
      <c r="BY8" s="332" t="n">
        <f aca="false">BX9</f>
        <v>80.85</v>
      </c>
      <c r="BZ8" s="314" t="n">
        <v>31.332</v>
      </c>
      <c r="CA8" s="329" t="n">
        <f aca="false">BZ8*100/42</f>
        <v>74.6</v>
      </c>
      <c r="CB8" s="329" t="n">
        <f aca="false">BZ8-$U8</f>
        <v>11.9189565217392</v>
      </c>
      <c r="CC8" s="331" t="n">
        <f aca="false">CB8</f>
        <v>11.9189565217392</v>
      </c>
      <c r="CD8" s="329" t="n">
        <f aca="false">($V8+CC8)*100/42</f>
        <v>74.6</v>
      </c>
      <c r="CE8" s="333" t="n">
        <f aca="false">CD8-BY8</f>
        <v>-6.25</v>
      </c>
      <c r="CF8" s="314" t="n">
        <v>28.405</v>
      </c>
      <c r="CG8" s="329" t="n">
        <f aca="false">CF8*100/42</f>
        <v>67.6309523809524</v>
      </c>
      <c r="CH8" s="329" t="n">
        <f aca="false">CF9-$U8</f>
        <v>8.50895652173919</v>
      </c>
      <c r="CI8" s="330" t="n">
        <v>0</v>
      </c>
      <c r="CJ8" s="331" t="n">
        <f aca="false">CF9+CI9/10000*42-$V8</f>
        <v>8.50895652173919</v>
      </c>
      <c r="CK8" s="344" t="n">
        <f aca="false">CG8+CI8/100</f>
        <v>67.6309523809524</v>
      </c>
      <c r="CL8" s="332" t="n">
        <f aca="false">CK9</f>
        <v>66.4809523809524</v>
      </c>
      <c r="CM8" s="314" t="n">
        <v>26.977</v>
      </c>
      <c r="CN8" s="329" t="n">
        <f aca="false">CM8*100/42</f>
        <v>64.2309523809524</v>
      </c>
      <c r="CO8" s="329" t="n">
        <f aca="false">CM8-$U8</f>
        <v>7.56395652173919</v>
      </c>
      <c r="CP8" s="331" t="n">
        <f aca="false">CO8</f>
        <v>7.56395652173919</v>
      </c>
      <c r="CQ8" s="329" t="n">
        <f aca="false">($V8+CP8)*100/42</f>
        <v>64.2309523809524</v>
      </c>
      <c r="CR8" s="333" t="n">
        <f aca="false">CQ8-CL8</f>
        <v>-2.25</v>
      </c>
      <c r="CS8" s="314" t="n">
        <v>28.132</v>
      </c>
      <c r="CT8" s="329" t="n">
        <f aca="false">CS8*100/42</f>
        <v>66.9809523809524</v>
      </c>
      <c r="CU8" s="329" t="n">
        <f aca="false">CT8-CG9</f>
        <v>0.500000000000014</v>
      </c>
      <c r="CV8" s="331" t="n">
        <f aca="false">CU8</f>
        <v>0.500000000000014</v>
      </c>
      <c r="CW8" s="333" t="n">
        <f aca="false">CL8+CV8</f>
        <v>66.9809523809524</v>
      </c>
      <c r="CX8" s="318" t="n">
        <v>0.38</v>
      </c>
      <c r="CY8" s="326" t="n">
        <f aca="false">CX8-$W8</f>
        <v>-0.02085</v>
      </c>
      <c r="CZ8" s="345" t="n">
        <f aca="false">DA8-W8</f>
        <v>-0.02085</v>
      </c>
      <c r="DA8" s="346" t="n">
        <f aca="false">MAIN!K8</f>
        <v>0.38</v>
      </c>
      <c r="DB8" s="318" t="n">
        <v>0.328</v>
      </c>
      <c r="DC8" s="326" t="n">
        <f aca="false">DB8-$W8</f>
        <v>-0.0728500000000001</v>
      </c>
      <c r="DD8" s="345" t="n">
        <f aca="false">DE8-W8</f>
        <v>-0.0728500000000001</v>
      </c>
      <c r="DE8" s="346" t="n">
        <f aca="false">MAIN!M8</f>
        <v>0.328</v>
      </c>
      <c r="DG8" s="336"/>
      <c r="DH8" s="314" t="n">
        <v>20.5</v>
      </c>
      <c r="DI8" s="325" t="n">
        <f aca="false">DH8-$U8</f>
        <v>1.08695652173918</v>
      </c>
      <c r="DJ8" s="325" t="n">
        <f aca="false">VLOOKUP(1900+$L8,ResidSpreadTable,2)</f>
        <v>-2</v>
      </c>
      <c r="DK8" s="337" t="n">
        <f aca="false">$V8+DJ8</f>
        <v>17.4130434782608</v>
      </c>
      <c r="DL8" s="314" t="n">
        <v>20</v>
      </c>
      <c r="DM8" s="325" t="n">
        <f aca="false">DL8-$U8</f>
        <v>0.586956521739182</v>
      </c>
      <c r="DN8" s="325" t="n">
        <f aca="false">VLOOKUP(1900+$L8,ResidSpreadTable,3)</f>
        <v>-3</v>
      </c>
      <c r="DO8" s="337" t="n">
        <f aca="false">$V8+DN8</f>
        <v>16.4130434782608</v>
      </c>
      <c r="DP8" s="314" t="n">
        <v>20.2</v>
      </c>
      <c r="DQ8" s="325" t="n">
        <f aca="false">DP8-$U8</f>
        <v>0.786956521739182</v>
      </c>
      <c r="DR8" s="325" t="n">
        <f aca="false">VLOOKUP(1900+$L8,ResidSpreadTable,4)</f>
        <v>-6</v>
      </c>
      <c r="DS8" s="337" t="n">
        <f aca="false">$V8+DR8</f>
        <v>13.4130434782608</v>
      </c>
      <c r="DT8" s="314" t="n">
        <v>19.9</v>
      </c>
      <c r="DU8" s="325" t="n">
        <f aca="false">DT8-$U8</f>
        <v>0.486956521739181</v>
      </c>
      <c r="DV8" s="325" t="n">
        <f aca="false">VLOOKUP(1900+$L8,ResidSpreadTable,5)</f>
        <v>-5</v>
      </c>
      <c r="DW8" s="337" t="n">
        <f aca="false">$V8+DV8</f>
        <v>14.4130434782608</v>
      </c>
      <c r="DY8" s="349" t="s">
        <v>179</v>
      </c>
      <c r="DZ8" s="349"/>
      <c r="EA8" s="349"/>
      <c r="EB8" s="349"/>
      <c r="EC8" s="349"/>
      <c r="ED8" s="349"/>
      <c r="EE8" s="349"/>
      <c r="EF8" s="349"/>
    </row>
    <row r="9" customFormat="false" ht="13.5" hidden="false" customHeight="false" outlineLevel="0" collapsed="false">
      <c r="A9" s="303" t="n">
        <v>360</v>
      </c>
      <c r="B9" s="304" t="n">
        <v>0.011865234375</v>
      </c>
      <c r="C9" s="304" t="n">
        <v>0.00685546875</v>
      </c>
      <c r="D9" s="304" t="n">
        <v>0.0031640625</v>
      </c>
      <c r="E9" s="304" t="n">
        <v>0.007128</v>
      </c>
      <c r="F9" s="304" t="n">
        <v>0.015444</v>
      </c>
      <c r="G9" s="305" t="n">
        <v>0.02673</v>
      </c>
      <c r="I9" s="338" t="n">
        <f aca="false">EOMONTH(I8,0)+1</f>
        <v>46023</v>
      </c>
      <c r="J9" s="307" t="n">
        <f aca="false">VLOOKUP(I9,$B$12:$C$332,2)</f>
        <v>45644</v>
      </c>
      <c r="K9" s="339" t="n">
        <f aca="false">NETWORKDAYS(I9,J10)/N9</f>
        <v>-12.3636363636364</v>
      </c>
      <c r="L9" s="309" t="n">
        <f aca="false">YEAR(I9)-1900</f>
        <v>126</v>
      </c>
      <c r="M9" s="310" t="n">
        <f aca="false">MONTH(I9)</f>
        <v>1</v>
      </c>
      <c r="N9" s="340" t="n">
        <f aca="false">NETWORKDAYS(I9,I10-1)</f>
        <v>22</v>
      </c>
      <c r="O9" s="341" t="n">
        <f aca="false">I9-DateToday-IF(EuroExpDateToggle=1,3+IF(WEEKDAY(I9-1)=7,1,IF(WEEKDAY(I9-1)&lt;5,2,0)),1+IF(WEEKDAY(I9-1)=7,1,IF(WEEKDAY(I9-1)&lt;3,2,0)))</f>
        <v>92</v>
      </c>
      <c r="P9" s="342" t="n">
        <f aca="false">(I9-DateToday+1)/365.25</f>
        <v>0.268309377138946</v>
      </c>
      <c r="Q9" s="342" t="n">
        <f aca="false">(I10-DateToday)/365.25</f>
        <v>0.350444900752909</v>
      </c>
      <c r="R9" s="314" t="n">
        <v>27.1</v>
      </c>
      <c r="S9" s="347" t="n">
        <v>0</v>
      </c>
      <c r="T9" s="316" t="n">
        <f aca="false">R9+S9/100</f>
        <v>27.1</v>
      </c>
      <c r="U9" s="325" t="n">
        <f aca="false">R10*K9+R11*(1-K9)</f>
        <v>18.8327272727273</v>
      </c>
      <c r="V9" s="337" t="n">
        <f aca="false">T10*K9+T11*(1-K9)</f>
        <v>18.8327272727273</v>
      </c>
      <c r="W9" s="318" t="n">
        <v>0.36775</v>
      </c>
      <c r="X9" s="319" t="n">
        <f aca="false">IF($I9-DateToday+1&gt;=$A$10,"",IF($I9-DateToday+1&lt;$A$5,1,MATCH($I9-DateToday+1,$A$5:$A$10)))</f>
        <v>3</v>
      </c>
      <c r="Y9" s="348" t="n">
        <f aca="false">IF($X9="",Y8^2/Y7,INDEX(B$5:B$10,$X9)^((INDEX($A$5:$A$10,$X9+1)-($I9-DateToday+1))/(INDEX($A$5:$A$10,$X9+1)-INDEX($A$5:$A$10,$X9)))/INDEX(B$5:B$10,$X9+1)^((INDEX($A$5:$A$10,$X9)-($I9-DateToday+1))/(INDEX($A$5:$A$10,$X9+1)-INDEX($A$5:$A$10,$X9))))</f>
        <v>0.0156728409164016</v>
      </c>
      <c r="Z9" s="348" t="n">
        <f aca="false">IF($X9="",Z8^2/Z7,INDEX(C$5:C$10,$X9)^((INDEX($A$5:$A$10,$X9+1)-($I9-DateToday+1))/(INDEX($A$5:$A$10,$X9+1)-INDEX($A$5:$A$10,$X9)))/INDEX(C$5:C$10,$X9+1)^((INDEX($A$5:$A$10,$X9)-($I9-DateToday+1))/(INDEX($A$5:$A$10,$X9+1)-INDEX($A$5:$A$10,$X9))))</f>
        <v>0.0098946676743416</v>
      </c>
      <c r="AA9" s="348" t="n">
        <f aca="false">IF($X9="",AA8^2/AA7,INDEX(D$5:D$10,$X9)^((INDEX($A$5:$A$10,$X9+1)-($I9-DateToday+1))/(INDEX($A$5:$A$10,$X9+1)-INDEX($A$5:$A$10,$X9)))/INDEX(D$5:D$10,$X9+1)^((INDEX($A$5:$A$10,$X9)-($I9-DateToday+1))/(INDEX($A$5:$A$10,$X9+1)-INDEX($A$5:$A$10,$X9))))</f>
        <v>0.00466979676140105</v>
      </c>
      <c r="AB9" s="348" t="n">
        <f aca="false">IF($X9="",AB8^2/AB7,INDEX(E$5:E$10,$X9)^((INDEX($A$5:$A$10,$X9+1)-($I9-DateToday+1))/(INDEX($A$5:$A$10,$X9+1)-INDEX($A$5:$A$10,$X9)))/INDEX(E$5:E$10,$X9+1)^((INDEX($A$5:$A$10,$X9)-($I9-DateToday+1))/(INDEX($A$5:$A$10,$X9+1)-INDEX($A$5:$A$10,$X9))))</f>
        <v>0.0105201181440843</v>
      </c>
      <c r="AC9" s="348" t="n">
        <f aca="false">IF($X9="",AC8^2/AC7,INDEX(F$5:F$10,$X9)^((INDEX($A$5:$A$10,$X9+1)-($I9-DateToday+1))/(INDEX($A$5:$A$10,$X9+1)-INDEX($A$5:$A$10,$X9)))/INDEX(F$5:F$10,$X9+1)^((INDEX($A$5:$A$10,$X9)-($I9-DateToday+1))/(INDEX($A$5:$A$10,$X9+1)-INDEX($A$5:$A$10,$X9))))</f>
        <v>0.0222907073367568</v>
      </c>
      <c r="AD9" s="348" t="n">
        <f aca="false">IF($X9="",AD8^2/AD7,INDEX(G$5:G$10,$X9)^((INDEX($A$5:$A$10,$X9+1)-($I9-DateToday+1))/(INDEX($A$5:$A$10,$X9+1)-INDEX($A$5:$A$10,$X9)))/INDEX(G$5:G$10,$X9+1)^((INDEX($A$5:$A$10,$X9)-($I9-DateToday+1))/(INDEX($A$5:$A$10,$X9+1)-INDEX($A$5:$A$10,$X9))))</f>
        <v>0.0353077760164695</v>
      </c>
      <c r="AE9" s="321" t="n">
        <v>0.062910183455062</v>
      </c>
      <c r="AF9" s="316" t="n">
        <f aca="false">(1+AE9/2)^(-2*(I10-DateToday)/365.25)</f>
        <v>0.978526981071505</v>
      </c>
      <c r="AG9" s="316" t="n">
        <f aca="false">AG8*(1+IF(AND(M9=1,L9&gt;YearStart),Escalation,0))</f>
        <v>1</v>
      </c>
      <c r="AH9" s="322" t="n">
        <f aca="false">IF(OR(DateStart&gt;=I10,DateEnd&lt;I9),0,Volume*AG9)</f>
        <v>0</v>
      </c>
      <c r="AI9" s="322" t="n">
        <f aca="false">AH9*AF9</f>
        <v>0</v>
      </c>
      <c r="AJ9" s="322" t="n">
        <f aca="false">IF(OR(DateStart2&gt;=I10,DateEnd2&lt;I9),0,VolumeSwaption*AG9)</f>
        <v>0</v>
      </c>
      <c r="AK9" s="322" t="n">
        <f aca="false">AJ9*AF9</f>
        <v>0</v>
      </c>
      <c r="AL9" s="316" t="str">
        <f aca="true">IF(AH9,OFFSET(BY9,0,HorizontalPriceOffset)+PriceSpreadAsian,"")</f>
        <v/>
      </c>
      <c r="AM9" s="316" t="str">
        <f aca="false">IF(AH9,Strike1/AL9-1,"")</f>
        <v/>
      </c>
      <c r="AN9" s="316" t="str">
        <f aca="false">IF(AH9,Strike2/AL9-1,"")</f>
        <v/>
      </c>
      <c r="AO9" s="323" t="str">
        <f aca="false">IF(AH9,IF(VolOverrideAsian,VolOverrideAsian,IF(ProductGroup=1,IF(Product&lt;3,DA10,DE10),W10)+VolSpreadAsian),"")</f>
        <v/>
      </c>
      <c r="AP9" s="323" t="str">
        <f aca="false">IF($AH9,$AO9+IF(SkewFlag=1,IF(AM9&gt;0,$AA9*MIN(AM9/10%,1)+($Z9-$AA9)*MAX(0,MIN(AM9/10%-1,1))+($Y9-$Z9)*MAX(0,AM9/10%-2),$AB9*MIN(-AM9/10%,1)+($AC9-$AB9)*MAX(0,MIN(-AM9/10%-1,1))+($AD9-$AC9)*MAX(0,-AM9/10%-2)),0),"")</f>
        <v/>
      </c>
      <c r="AQ9" s="323" t="str">
        <f aca="false">IF($AH9,$AO9+IF(SkewFlag=1,IF(AN9&gt;0,$AA9*MIN(AN9/10%,1)+($Z9-$AA9)*MAX(0,MIN(AN9/10%-1,1))+($Y9-$Z9)*MAX(0,AN9/10%-2),$AB9*MIN(-AN9/10%,1)+($AC9-$AB9)*MAX(0,MIN(-AN9/10%-1,1))+($AD9-$AC9)*MAX(0,-AN9/10%-2)),0),"")</f>
        <v/>
      </c>
      <c r="AR9" s="324" t="n">
        <f aca="false">IF(AH9,xASN(AL9,Strike1,AE9,AP9,0,N9,0,P9,Q9,IF(OptControl=4,0,1),0),0)</f>
        <v>0</v>
      </c>
      <c r="AS9" s="324" t="n">
        <f aca="false">IF(AH9,xASN(AL9,Strike1,AE9,AP9,0,N9,0,P9,Q9,IF(OptControl=4,0,1),1),0)</f>
        <v>0</v>
      </c>
      <c r="AT9" s="324" t="n">
        <f aca="false">IF(AH9,xASN(AL9,Strike1,AE9,AP9,0,N9,0,P9,Q9,IF(OptControl=4,0,1),2),0)</f>
        <v>0</v>
      </c>
      <c r="AU9" s="324" t="n">
        <f aca="false">IF(AH9,xASN(AL9,Strike1,AE9,AP9,0,N9,0,P9,Q9,IF(OptControl=4,0,1),3)/100,0)</f>
        <v>0</v>
      </c>
      <c r="AV9" s="324" t="n">
        <f aca="false">IF(AH9,xASN(AL9,Strike1,AE9,AP9,0,N9,0,P9-DaysForThetaCalculation/365.25,Q9-DaysForThetaCalculation/365.25,IF(OptControl=4,0,1),0)-xASN(AL9,Strike1,AE9,AP9,0,N9,0,P9,Q9,IF(OptControl=4,0,1),0),0)</f>
        <v>0</v>
      </c>
      <c r="AW9" s="324" t="n">
        <f aca="false">IF(AH9,xASN(AL9,Strike2,AE9,AQ9,0,N9,0,P9,Q9,IF(OptControl=3,1,0),0),0)</f>
        <v>0</v>
      </c>
      <c r="AX9" s="324" t="n">
        <f aca="false">IF(AH9,xASN(AL9,Strike2,AE9,AQ9,0,N9,0,P9,Q9,IF(OptControl=3,1,0),1),0)</f>
        <v>0</v>
      </c>
      <c r="AY9" s="324" t="n">
        <f aca="false">IF(AH9,xASN(AL9,Strike2,AE9,AQ9,0,N9,0,P9,Q9,IF(OptControl=3,1,0),2),0)</f>
        <v>0</v>
      </c>
      <c r="AZ9" s="324" t="n">
        <f aca="false">IF(AH9,xASN(AL9,Strike2,AE9,AQ9,0,N9,0,P9,Q9,IF(OptControl=3,1,0),3)/100,0)</f>
        <v>0</v>
      </c>
      <c r="BA9" s="324" t="n">
        <f aca="false">IF(AH9,xASN(AL9,Strike2,AE9,AQ9,0,N9,0,P9-DaysForThetaCalculation/365.25,Q9-DaysForThetaCalculation/365.25,IF(OptControl=3,1,0),0)-xASN(AL9,Strike2,AE9,AQ9,0,N9,0,P9,Q9,IF(OptControl=3,1,0),0),0)</f>
        <v>0</v>
      </c>
      <c r="BB9" s="325" t="str">
        <f aca="false">IF(AH9,IF(ProductGroup=1,IF(Product=1,BX9+PriceSpreadEuro,IF(Product=3,CK9+PriceSpreadEuro,"N/A")),"N/A"),"")</f>
        <v/>
      </c>
      <c r="BC9" s="316" t="str">
        <f aca="false">IF(AH9,Strike1/BB9-1,"")</f>
        <v/>
      </c>
      <c r="BD9" s="316" t="str">
        <f aca="false">IF(AH9,Strike2/BB9-1,"")</f>
        <v/>
      </c>
      <c r="BE9" s="326" t="str">
        <f aca="false">IF(AH9,IF(VolOverrideEuro,VolOverrideEuro,IF(ProductGroup=1,IF(Product&lt;3,DA9,DE9)+VolSpreadEuro,"N/A")),"")</f>
        <v/>
      </c>
      <c r="BF9" s="323" t="str">
        <f aca="false">IF($AH9,$BE9+IF(SkewFlag=1,IF(BC9&gt;0,$AA9*MIN(BC9/10%,1)+($Z9-$AA9)*MAX(0,MIN(BC9/10%-1,1))+($Y9-$Z9)*MAX(0,BC9/10%-2),$AB9*MIN(-BC9/10%,1)+($AC9-$AB9)*MAX(0,MIN(-BC9/10%-1,1))+($AD9-$AC9)*MAX(0,-BC9/10%-2)),0),"")</f>
        <v/>
      </c>
      <c r="BG9" s="323" t="str">
        <f aca="false">IF($AH9,$BE9+IF(SkewFlag=1,IF(BD9&gt;0,$AA9*MIN(BD9/10%,1)+($Z9-$AA9)*MAX(0,MIN(BD9/10%-1,1))+($Y9-$Z9)*MAX(0,BD9/10%-2),$AB9*MIN(-BD9/10%,1)+($AC9-$AB9)*MAX(0,MIN(-BD9/10%-1,1))+($AD9-$AC9)*MAX(0,-BD9/10%-2)),0),"")</f>
        <v/>
      </c>
      <c r="BH9" s="324" t="n">
        <f aca="false">IF(AH9,xEURO(BB9,Strike1,AE9,AE9,BF9,O9,IF(OptControl=4,0,1),0),0)</f>
        <v>0</v>
      </c>
      <c r="BI9" s="324" t="n">
        <f aca="false">IF(AH9,xEURO(BB9,Strike1,AE9,AE9,BF9,O9,IF(OptControl=4,0,1),1),0)</f>
        <v>0</v>
      </c>
      <c r="BJ9" s="324" t="n">
        <f aca="false">IF(AH9,xEURO(BB9,Strike1,AE9,AE9,BF9,O9,IF(OptControl=4,0,1),2),0)</f>
        <v>0</v>
      </c>
      <c r="BK9" s="324" t="n">
        <f aca="false">IF(AH9,xEURO(BB9,Strike1,AE9,AE9,BF9,O9,IF(OptControl=4,0,1),3)/100,0)</f>
        <v>0</v>
      </c>
      <c r="BL9" s="324" t="n">
        <f aca="false">IF(AH9,xEURO(BB9,Strike1,AE9,AE9,BF9,O9-DaysForThetaCalculation,IF(OptControl=4,0,1),0)-xEURO(BB9,Strike1,AE9,AE9,BF9,O9,IF(OptControl=4,0,1),0),0)</f>
        <v>0</v>
      </c>
      <c r="BM9" s="324" t="n">
        <f aca="false">IF(AH9,xEURO(BB9,Strike2,AE9,AE9,BG9,O9,IF(OptControl=3,1,0),0),0)</f>
        <v>0</v>
      </c>
      <c r="BN9" s="324" t="n">
        <f aca="false">IF(AH9,xEURO(BB9,Strike2,AE9,AE9,BG9,O9,IF(OptControl=3,1,0),1),0)</f>
        <v>0</v>
      </c>
      <c r="BO9" s="324" t="n">
        <f aca="false">IF(AH9,xEURO(BB9,Strike2,AE9,AE9,BG9,O9,IF(OptControl=3,1,0),2),0)</f>
        <v>0</v>
      </c>
      <c r="BP9" s="324" t="n">
        <f aca="false">IF(AH9,xEURO(BB9,Strike2,AE9,AE9,BG9,O9,IF(OptControl=3,1,0),3)/100,0)</f>
        <v>0</v>
      </c>
      <c r="BQ9" s="327" t="n">
        <f aca="false">IF(AH9,xEURO(BB9,Strike2,AE9,AE9,BG9,O9-DaysForThetaCalculation,IF(OptControl=3,1,0),0)-xEURO(BB9,Strike2,AE9,AE9,BG9,O9,IF(OptControl=3,1,0),0),0)</f>
        <v>0</v>
      </c>
      <c r="BR9" s="343"/>
      <c r="BS9" s="314" t="n">
        <v>33.957</v>
      </c>
      <c r="BT9" s="329" t="n">
        <f aca="false">BS9*100/42</f>
        <v>80.85</v>
      </c>
      <c r="BU9" s="329" t="n">
        <f aca="false">BS10-$U9</f>
        <v>13.9692727272728</v>
      </c>
      <c r="BV9" s="330" t="n">
        <v>0</v>
      </c>
      <c r="BW9" s="331" t="n">
        <f aca="false">BS10+BV10/10000*42-$V9</f>
        <v>13.9692727272728</v>
      </c>
      <c r="BX9" s="344" t="n">
        <f aca="false">BT9+BV9/100</f>
        <v>80.85</v>
      </c>
      <c r="BY9" s="332" t="n">
        <f aca="false">BX10</f>
        <v>78.1</v>
      </c>
      <c r="BZ9" s="314" t="n">
        <v>30.387</v>
      </c>
      <c r="CA9" s="329" t="n">
        <f aca="false">BZ9*100/42</f>
        <v>72.35</v>
      </c>
      <c r="CB9" s="329" t="n">
        <f aca="false">BZ9-$U9</f>
        <v>11.5542727272728</v>
      </c>
      <c r="CC9" s="331" t="n">
        <f aca="false">CB9</f>
        <v>11.5542727272728</v>
      </c>
      <c r="CD9" s="329" t="n">
        <f aca="false">($V9+CC9)*100/42</f>
        <v>72.35</v>
      </c>
      <c r="CE9" s="333" t="n">
        <f aca="false">CD9-BY9</f>
        <v>-5.75000000000001</v>
      </c>
      <c r="CF9" s="314" t="n">
        <v>27.922</v>
      </c>
      <c r="CG9" s="329" t="n">
        <f aca="false">CF9*100/42</f>
        <v>66.4809523809524</v>
      </c>
      <c r="CH9" s="329" t="n">
        <f aca="false">CF10-$U9</f>
        <v>8.98427272727275</v>
      </c>
      <c r="CI9" s="330" t="n">
        <v>0</v>
      </c>
      <c r="CJ9" s="331" t="n">
        <f aca="false">CF10+CI10/10000*42-$V9</f>
        <v>8.98427272727275</v>
      </c>
      <c r="CK9" s="344" t="n">
        <f aca="false">CG9+CI9/100</f>
        <v>66.4809523809524</v>
      </c>
      <c r="CL9" s="332" t="n">
        <f aca="false">CK10</f>
        <v>66.2309523809524</v>
      </c>
      <c r="CM9" s="314" t="n">
        <v>26.767</v>
      </c>
      <c r="CN9" s="329" t="n">
        <f aca="false">CM9*100/42</f>
        <v>63.7309523809524</v>
      </c>
      <c r="CO9" s="329" t="n">
        <f aca="false">CM9-$U9</f>
        <v>7.93427272727275</v>
      </c>
      <c r="CP9" s="331" t="n">
        <f aca="false">CO9</f>
        <v>7.93427272727275</v>
      </c>
      <c r="CQ9" s="329" t="n">
        <f aca="false">($V9+CP9)*100/42</f>
        <v>63.7309523809524</v>
      </c>
      <c r="CR9" s="333" t="n">
        <f aca="false">CQ9-CL9</f>
        <v>-2.5</v>
      </c>
      <c r="CS9" s="314" t="n">
        <v>28.069</v>
      </c>
      <c r="CT9" s="329" t="n">
        <f aca="false">CS9*100/42</f>
        <v>66.8309523809524</v>
      </c>
      <c r="CU9" s="329" t="n">
        <f aca="false">CT9-CG10</f>
        <v>0.599999999999994</v>
      </c>
      <c r="CV9" s="331" t="n">
        <f aca="false">CU9</f>
        <v>0.599999999999994</v>
      </c>
      <c r="CW9" s="333" t="n">
        <f aca="false">CL9+CV9</f>
        <v>66.8309523809524</v>
      </c>
      <c r="CX9" s="318" t="n">
        <v>0.368</v>
      </c>
      <c r="CY9" s="326" t="n">
        <f aca="false">CX9-$W9</f>
        <v>0.000250000000000084</v>
      </c>
      <c r="CZ9" s="345" t="n">
        <f aca="false">DA9-W9</f>
        <v>0.000250000000000084</v>
      </c>
      <c r="DA9" s="346" t="n">
        <f aca="false">MAIN!K9</f>
        <v>0.368</v>
      </c>
      <c r="DB9" s="318" t="n">
        <v>0.315</v>
      </c>
      <c r="DC9" s="326" t="n">
        <f aca="false">DB9-$W9</f>
        <v>-0.05275</v>
      </c>
      <c r="DD9" s="345" t="n">
        <f aca="false">DE9-W9</f>
        <v>-0.05275</v>
      </c>
      <c r="DE9" s="346" t="n">
        <f aca="false">MAIN!M9</f>
        <v>0.315</v>
      </c>
      <c r="DG9" s="336"/>
      <c r="DH9" s="314" t="n">
        <v>20.4</v>
      </c>
      <c r="DI9" s="325" t="n">
        <f aca="false">DH9-$U9</f>
        <v>1.56727272727274</v>
      </c>
      <c r="DJ9" s="325" t="n">
        <f aca="false">VLOOKUP(1900+$L9,ResidSpreadTable,2)</f>
        <v>-2</v>
      </c>
      <c r="DK9" s="337" t="n">
        <f aca="false">$V9+DJ9</f>
        <v>16.8327272727273</v>
      </c>
      <c r="DL9" s="314" t="n">
        <v>19.9</v>
      </c>
      <c r="DM9" s="325" t="n">
        <f aca="false">DL9-$U9</f>
        <v>1.06727272727274</v>
      </c>
      <c r="DN9" s="325" t="n">
        <f aca="false">VLOOKUP(1900+$L9,ResidSpreadTable,3)</f>
        <v>-3</v>
      </c>
      <c r="DO9" s="337" t="n">
        <f aca="false">$V9+DN9</f>
        <v>15.8327272727273</v>
      </c>
      <c r="DP9" s="314" t="n">
        <v>20.24</v>
      </c>
      <c r="DQ9" s="325" t="n">
        <f aca="false">DP9-$U9</f>
        <v>1.40727272727274</v>
      </c>
      <c r="DR9" s="325" t="n">
        <f aca="false">VLOOKUP(1900+$L9,ResidSpreadTable,4)</f>
        <v>-6</v>
      </c>
      <c r="DS9" s="337" t="n">
        <f aca="false">$V9+DR9</f>
        <v>12.8327272727273</v>
      </c>
      <c r="DT9" s="314" t="n">
        <v>19.3</v>
      </c>
      <c r="DU9" s="325" t="n">
        <f aca="false">DT9-$U9</f>
        <v>0.467272727272746</v>
      </c>
      <c r="DV9" s="325" t="n">
        <f aca="false">VLOOKUP(1900+$L9,ResidSpreadTable,5)</f>
        <v>-5</v>
      </c>
      <c r="DW9" s="337" t="n">
        <f aca="false">$V9+DV9</f>
        <v>13.8327272727273</v>
      </c>
      <c r="DY9" s="350"/>
      <c r="DZ9" s="351" t="s">
        <v>180</v>
      </c>
      <c r="EA9" s="351"/>
      <c r="EB9" s="351"/>
      <c r="EC9" s="351"/>
      <c r="ED9" s="351"/>
      <c r="EE9" s="352" t="s">
        <v>181</v>
      </c>
      <c r="EF9" s="352"/>
    </row>
    <row r="10" customFormat="false" ht="13.5" hidden="false" customHeight="false" outlineLevel="0" collapsed="false">
      <c r="A10" s="353" t="n">
        <v>720</v>
      </c>
      <c r="B10" s="354" t="n">
        <v>0.009228515625</v>
      </c>
      <c r="C10" s="354" t="n">
        <v>0.005009765625</v>
      </c>
      <c r="D10" s="354" t="n">
        <v>0.0022412109375</v>
      </c>
      <c r="E10" s="354" t="n">
        <v>0.005049</v>
      </c>
      <c r="F10" s="354" t="n">
        <v>0.011286</v>
      </c>
      <c r="G10" s="355" t="n">
        <v>0.02079</v>
      </c>
      <c r="I10" s="338" t="n">
        <f aca="false">EOMONTH(I9,0)+1</f>
        <v>46054</v>
      </c>
      <c r="J10" s="307" t="n">
        <f aca="false">VLOOKUP(I10,$B$12:$C$332,2)</f>
        <v>45644</v>
      </c>
      <c r="K10" s="339" t="n">
        <f aca="false">NETWORKDAYS(I10,J11)/N10</f>
        <v>-14.65</v>
      </c>
      <c r="L10" s="309" t="n">
        <f aca="false">YEAR(I10)-1900</f>
        <v>126</v>
      </c>
      <c r="M10" s="310" t="n">
        <f aca="false">MONTH(I10)</f>
        <v>2</v>
      </c>
      <c r="N10" s="340" t="n">
        <f aca="false">NETWORKDAYS(I10,I11-1)</f>
        <v>20</v>
      </c>
      <c r="O10" s="341" t="n">
        <f aca="false">I10-DateToday-IF(EuroExpDateToggle=1,3+IF(WEEKDAY(I10-1)=7,1,IF(WEEKDAY(I10-1)&lt;5,2,0)),1+IF(WEEKDAY(I10-1)=7,1,IF(WEEKDAY(I10-1)&lt;3,2,0)))</f>
        <v>124</v>
      </c>
      <c r="P10" s="342" t="n">
        <f aca="false">(I10-DateToday+1)/365.25</f>
        <v>0.353182751540041</v>
      </c>
      <c r="Q10" s="342" t="n">
        <f aca="false">(I11-DateToday)/365.25</f>
        <v>0.427104722792608</v>
      </c>
      <c r="R10" s="314" t="n">
        <v>26.45</v>
      </c>
      <c r="S10" s="347" t="n">
        <v>0</v>
      </c>
      <c r="T10" s="316" t="n">
        <f aca="false">R10+S10/100</f>
        <v>26.45</v>
      </c>
      <c r="U10" s="325" t="n">
        <f aca="false">R11*K10+R12*(1-K10)</f>
        <v>17.742</v>
      </c>
      <c r="V10" s="337" t="n">
        <f aca="false">T11*K10+T12*(1-K10)</f>
        <v>17.742</v>
      </c>
      <c r="W10" s="318" t="n">
        <v>0.342</v>
      </c>
      <c r="X10" s="319" t="n">
        <f aca="false">IF($I10-DateToday+1&gt;=$A$10,"",IF($I10-DateToday+1&lt;$A$5,1,MATCH($I10-DateToday+1,$A$5:$A$10)))</f>
        <v>3</v>
      </c>
      <c r="Y10" s="348" t="n">
        <f aca="false">IF($X10="",Y9^2/Y8,INDEX(B$5:B$10,$X10)^((INDEX($A$5:$A$10,$X10+1)-($I10-DateToday+1))/(INDEX($A$5:$A$10,$X10+1)-INDEX($A$5:$A$10,$X10)))/INDEX(B$5:B$10,$X10+1)^((INDEX($A$5:$A$10,$X10)-($I10-DateToday+1))/(INDEX($A$5:$A$10,$X10+1)-INDEX($A$5:$A$10,$X10))))</f>
        <v>0.0151142573266672</v>
      </c>
      <c r="Z10" s="348" t="n">
        <f aca="false">IF($X10="",Z9^2/Z8,INDEX(C$5:C$10,$X10)^((INDEX($A$5:$A$10,$X10+1)-($I10-DateToday+1))/(INDEX($A$5:$A$10,$X10+1)-INDEX($A$5:$A$10,$X10)))/INDEX(C$5:C$10,$X10+1)^((INDEX($A$5:$A$10,$X10)-($I10-DateToday+1))/(INDEX($A$5:$A$10,$X10+1)-INDEX($A$5:$A$10,$X10))))</f>
        <v>0.00942534421242458</v>
      </c>
      <c r="AA10" s="348" t="n">
        <f aca="false">IF($X10="",AA9^2/AA8,INDEX(D$5:D$10,$X10)^((INDEX($A$5:$A$10,$X10+1)-($I10-DateToday+1))/(INDEX($A$5:$A$10,$X10+1)-INDEX($A$5:$A$10,$X10)))/INDEX(D$5:D$10,$X10+1)^((INDEX($A$5:$A$10,$X10)-($I10-DateToday+1))/(INDEX($A$5:$A$10,$X10+1)-INDEX($A$5:$A$10,$X10))))</f>
        <v>0.00438555376191853</v>
      </c>
      <c r="AB10" s="348" t="n">
        <f aca="false">IF($X10="",AB9^2/AB8,INDEX(E$5:E$10,$X10)^((INDEX($A$5:$A$10,$X10+1)-($I10-DateToday+1))/(INDEX($A$5:$A$10,$X10+1)-INDEX($A$5:$A$10,$X10)))/INDEX(E$5:E$10,$X10+1)^((INDEX($A$5:$A$10,$X10)-($I10-DateToday+1))/(INDEX($A$5:$A$10,$X10+1)-INDEX($A$5:$A$10,$X10))))</f>
        <v>0.00987977551485007</v>
      </c>
      <c r="AC10" s="348" t="n">
        <f aca="false">IF($X10="",AC9^2/AC8,INDEX(F$5:F$10,$X10)^((INDEX($A$5:$A$10,$X10+1)-($I10-DateToday+1))/(INDEX($A$5:$A$10,$X10+1)-INDEX($A$5:$A$10,$X10)))/INDEX(F$5:F$10,$X10+1)^((INDEX($A$5:$A$10,$X10)-($I10-DateToday+1))/(INDEX($A$5:$A$10,$X10+1)-INDEX($A$5:$A$10,$X10))))</f>
        <v>0.0212334154417501</v>
      </c>
      <c r="AD10" s="348" t="n">
        <f aca="false">IF($X10="",AD9^2/AD8,INDEX(G$5:G$10,$X10)^((INDEX($A$5:$A$10,$X10+1)-($I10-DateToday+1))/(INDEX($A$5:$A$10,$X10+1)-INDEX($A$5:$A$10,$X10)))/INDEX(G$5:G$10,$X10+1)^((INDEX($A$5:$A$10,$X10)-($I10-DateToday+1))/(INDEX($A$5:$A$10,$X10+1)-INDEX($A$5:$A$10,$X10))))</f>
        <v>0.0340493989055158</v>
      </c>
      <c r="AE10" s="321" t="n">
        <v>0.063686408975876</v>
      </c>
      <c r="AF10" s="316" t="n">
        <f aca="false">(1+AE10/2)^(-2*(I11-DateToday)/365.25)</f>
        <v>0.973578650539685</v>
      </c>
      <c r="AG10" s="316" t="n">
        <f aca="false">AG9*(1+IF(AND(M10=1,L10&gt;YearStart),Escalation,0))</f>
        <v>1</v>
      </c>
      <c r="AH10" s="322" t="n">
        <f aca="false">IF(OR(DateStart&gt;=I11,DateEnd&lt;I10),0,Volume*AG10)</f>
        <v>0</v>
      </c>
      <c r="AI10" s="322" t="n">
        <f aca="false">AH10*AF10</f>
        <v>0</v>
      </c>
      <c r="AJ10" s="322" t="n">
        <f aca="false">IF(OR(DateStart2&gt;=I11,DateEnd2&lt;I10),0,VolumeSwaption*AG10)</f>
        <v>0</v>
      </c>
      <c r="AK10" s="322" t="n">
        <f aca="false">AJ10*AF10</f>
        <v>0</v>
      </c>
      <c r="AL10" s="316" t="str">
        <f aca="true">IF(AH10,OFFSET(BY10,0,HorizontalPriceOffset)+PriceSpreadAsian,"")</f>
        <v/>
      </c>
      <c r="AM10" s="316" t="str">
        <f aca="false">IF(AH10,Strike1/AL10-1,"")</f>
        <v/>
      </c>
      <c r="AN10" s="316" t="str">
        <f aca="false">IF(AH10,Strike2/AL10-1,"")</f>
        <v/>
      </c>
      <c r="AO10" s="323" t="str">
        <f aca="false">IF(AH10,IF(VolOverrideAsian,VolOverrideAsian,IF(ProductGroup=1,IF(Product&lt;3,DA11,DE11),W11)+VolSpreadAsian),"")</f>
        <v/>
      </c>
      <c r="AP10" s="323" t="str">
        <f aca="false">IF($AH10,$AO10+IF(SkewFlag=1,IF(AM10&gt;0,$AA10*MIN(AM10/10%,1)+($Z10-$AA10)*MAX(0,MIN(AM10/10%-1,1))+($Y10-$Z10)*MAX(0,AM10/10%-2),$AB10*MIN(-AM10/10%,1)+($AC10-$AB10)*MAX(0,MIN(-AM10/10%-1,1))+($AD10-$AC10)*MAX(0,-AM10/10%-2)),0),"")</f>
        <v/>
      </c>
      <c r="AQ10" s="323" t="str">
        <f aca="false">IF($AH10,$AO10+IF(SkewFlag=1,IF(AN10&gt;0,$AA10*MIN(AN10/10%,1)+($Z10-$AA10)*MAX(0,MIN(AN10/10%-1,1))+($Y10-$Z10)*MAX(0,AN10/10%-2),$AB10*MIN(-AN10/10%,1)+($AC10-$AB10)*MAX(0,MIN(-AN10/10%-1,1))+($AD10-$AC10)*MAX(0,-AN10/10%-2)),0),"")</f>
        <v/>
      </c>
      <c r="AR10" s="324" t="n">
        <f aca="false">IF(AH10,xASN(AL10,Strike1,AE10,AP10,0,N10,0,P10,Q10,IF(OptControl=4,0,1),0),0)</f>
        <v>0</v>
      </c>
      <c r="AS10" s="324" t="n">
        <f aca="false">IF(AH10,xASN(AL10,Strike1,AE10,AP10,0,N10,0,P10,Q10,IF(OptControl=4,0,1),1),0)</f>
        <v>0</v>
      </c>
      <c r="AT10" s="324" t="n">
        <f aca="false">IF(AH10,xASN(AL10,Strike1,AE10,AP10,0,N10,0,P10,Q10,IF(OptControl=4,0,1),2),0)</f>
        <v>0</v>
      </c>
      <c r="AU10" s="324" t="n">
        <f aca="false">IF(AH10,xASN(AL10,Strike1,AE10,AP10,0,N10,0,P10,Q10,IF(OptControl=4,0,1),3)/100,0)</f>
        <v>0</v>
      </c>
      <c r="AV10" s="324" t="n">
        <f aca="false">IF(AH10,xASN(AL10,Strike1,AE10,AP10,0,N10,0,P10-DaysForThetaCalculation/365.25,Q10-DaysForThetaCalculation/365.25,IF(OptControl=4,0,1),0)-xASN(AL10,Strike1,AE10,AP10,0,N10,0,P10,Q10,IF(OptControl=4,0,1),0),0)</f>
        <v>0</v>
      </c>
      <c r="AW10" s="324" t="n">
        <f aca="false">IF(AH10,xASN(AL10,Strike2,AE10,AQ10,0,N10,0,P10,Q10,IF(OptControl=3,1,0),0),0)</f>
        <v>0</v>
      </c>
      <c r="AX10" s="324" t="n">
        <f aca="false">IF(AH10,xASN(AL10,Strike2,AE10,AQ10,0,N10,0,P10,Q10,IF(OptControl=3,1,0),1),0)</f>
        <v>0</v>
      </c>
      <c r="AY10" s="324" t="n">
        <f aca="false">IF(AH10,xASN(AL10,Strike2,AE10,AQ10,0,N10,0,P10,Q10,IF(OptControl=3,1,0),2),0)</f>
        <v>0</v>
      </c>
      <c r="AZ10" s="324" t="n">
        <f aca="false">IF(AH10,xASN(AL10,Strike2,AE10,AQ10,0,N10,0,P10,Q10,IF(OptControl=3,1,0),3)/100,0)</f>
        <v>0</v>
      </c>
      <c r="BA10" s="324" t="n">
        <f aca="false">IF(AH10,xASN(AL10,Strike2,AE10,AQ10,0,N10,0,P10-DaysForThetaCalculation/365.25,Q10-DaysForThetaCalculation/365.25,IF(OptControl=3,1,0),0)-xASN(AL10,Strike2,AE10,AQ10,0,N10,0,P10,Q10,IF(OptControl=3,1,0),0),0)</f>
        <v>0</v>
      </c>
      <c r="BB10" s="325" t="str">
        <f aca="false">IF(AH10,IF(ProductGroup=1,IF(Product=1,BX10+PriceSpreadEuro,IF(Product=3,CK10+PriceSpreadEuro,"N/A")),"N/A"),"")</f>
        <v/>
      </c>
      <c r="BC10" s="316" t="str">
        <f aca="false">IF(AH10,Strike1/BB10-1,"")</f>
        <v/>
      </c>
      <c r="BD10" s="316" t="str">
        <f aca="false">IF(AH10,Strike2/BB10-1,"")</f>
        <v/>
      </c>
      <c r="BE10" s="326" t="str">
        <f aca="false">IF(AH10,IF(VolOverrideEuro,VolOverrideEuro,IF(ProductGroup=1,IF(Product&lt;3,DA10,DE10)+VolSpreadEuro,"N/A")),"")</f>
        <v/>
      </c>
      <c r="BF10" s="323" t="str">
        <f aca="false">IF($AH10,$BE10+IF(SkewFlag=1,IF(BC10&gt;0,$AA10*MIN(BC10/10%,1)+($Z10-$AA10)*MAX(0,MIN(BC10/10%-1,1))+($Y10-$Z10)*MAX(0,BC10/10%-2),$AB10*MIN(-BC10/10%,1)+($AC10-$AB10)*MAX(0,MIN(-BC10/10%-1,1))+($AD10-$AC10)*MAX(0,-BC10/10%-2)),0),"")</f>
        <v/>
      </c>
      <c r="BG10" s="323" t="str">
        <f aca="false">IF($AH10,$BE10+IF(SkewFlag=1,IF(BD10&gt;0,$AA10*MIN(BD10/10%,1)+($Z10-$AA10)*MAX(0,MIN(BD10/10%-1,1))+($Y10-$Z10)*MAX(0,BD10/10%-2),$AB10*MIN(-BD10/10%,1)+($AC10-$AB10)*MAX(0,MIN(-BD10/10%-1,1))+($AD10-$AC10)*MAX(0,-BD10/10%-2)),0),"")</f>
        <v/>
      </c>
      <c r="BH10" s="324" t="n">
        <f aca="false">IF(AH10,xEURO(BB10,Strike1,AE10,AE10,BF10,O10,IF(OptControl=4,0,1),0),0)</f>
        <v>0</v>
      </c>
      <c r="BI10" s="324" t="n">
        <f aca="false">IF(AH10,xEURO(BB10,Strike1,AE10,AE10,BF10,O10,IF(OptControl=4,0,1),1),0)</f>
        <v>0</v>
      </c>
      <c r="BJ10" s="324" t="n">
        <f aca="false">IF(AH10,xEURO(BB10,Strike1,AE10,AE10,BF10,O10,IF(OptControl=4,0,1),2),0)</f>
        <v>0</v>
      </c>
      <c r="BK10" s="324" t="n">
        <f aca="false">IF(AH10,xEURO(BB10,Strike1,AE10,AE10,BF10,O10,IF(OptControl=4,0,1),3)/100,0)</f>
        <v>0</v>
      </c>
      <c r="BL10" s="324" t="n">
        <f aca="false">IF(AH10,xEURO(BB10,Strike1,AE10,AE10,BF10,O10-DaysForThetaCalculation,IF(OptControl=4,0,1),0)-xEURO(BB10,Strike1,AE10,AE10,BF10,O10,IF(OptControl=4,0,1),0),0)</f>
        <v>0</v>
      </c>
      <c r="BM10" s="324" t="n">
        <f aca="false">IF(AH10,xEURO(BB10,Strike2,AE10,AE10,BG10,O10,IF(OptControl=3,1,0),0),0)</f>
        <v>0</v>
      </c>
      <c r="BN10" s="324" t="n">
        <f aca="false">IF(AH10,xEURO(BB10,Strike2,AE10,AE10,BG10,O10,IF(OptControl=3,1,0),1),0)</f>
        <v>0</v>
      </c>
      <c r="BO10" s="324" t="n">
        <f aca="false">IF(AH10,xEURO(BB10,Strike2,AE10,AE10,BG10,O10,IF(OptControl=3,1,0),2),0)</f>
        <v>0</v>
      </c>
      <c r="BP10" s="324" t="n">
        <f aca="false">IF(AH10,xEURO(BB10,Strike2,AE10,AE10,BG10,O10,IF(OptControl=3,1,0),3)/100,0)</f>
        <v>0</v>
      </c>
      <c r="BQ10" s="327" t="n">
        <f aca="false">IF(AH10,xEURO(BB10,Strike2,AE10,AE10,BG10,O10-DaysForThetaCalculation,IF(OptControl=3,1,0),0)-xEURO(BB10,Strike2,AE10,AE10,BG10,O10,IF(OptControl=3,1,0),0),0)</f>
        <v>0</v>
      </c>
      <c r="BR10" s="343"/>
      <c r="BS10" s="314" t="n">
        <v>32.802</v>
      </c>
      <c r="BT10" s="329" t="n">
        <f aca="false">BS10*100/42</f>
        <v>78.1</v>
      </c>
      <c r="BU10" s="329" t="n">
        <f aca="false">BS11-$U10</f>
        <v>13.989</v>
      </c>
      <c r="BV10" s="330" t="n">
        <v>0</v>
      </c>
      <c r="BW10" s="331" t="n">
        <f aca="false">BS11+BV11/10000*42-$V10</f>
        <v>13.989</v>
      </c>
      <c r="BX10" s="344" t="n">
        <f aca="false">BT10+BV10/100</f>
        <v>78.1</v>
      </c>
      <c r="BY10" s="332" t="n">
        <f aca="false">BX11</f>
        <v>75.55</v>
      </c>
      <c r="BZ10" s="314" t="n">
        <v>29.316</v>
      </c>
      <c r="CA10" s="329" t="n">
        <f aca="false">BZ10*100/42</f>
        <v>69.8</v>
      </c>
      <c r="CB10" s="329" t="n">
        <f aca="false">BZ10-$U10</f>
        <v>11.574</v>
      </c>
      <c r="CC10" s="331" t="n">
        <f aca="false">CB10</f>
        <v>11.574</v>
      </c>
      <c r="CD10" s="329" t="n">
        <f aca="false">($V10+CC10)*100/42</f>
        <v>69.8</v>
      </c>
      <c r="CE10" s="333" t="n">
        <f aca="false">CD10-BY10</f>
        <v>-5.75</v>
      </c>
      <c r="CF10" s="314" t="n">
        <v>27.817</v>
      </c>
      <c r="CG10" s="329" t="n">
        <f aca="false">CF10*100/42</f>
        <v>66.2309523809524</v>
      </c>
      <c r="CH10" s="329" t="n">
        <f aca="false">CF11-$U10</f>
        <v>10.201</v>
      </c>
      <c r="CI10" s="330" t="n">
        <v>0</v>
      </c>
      <c r="CJ10" s="331" t="n">
        <f aca="false">CF11+CI11/10000*42-$V10</f>
        <v>10.201</v>
      </c>
      <c r="CK10" s="344" t="n">
        <f aca="false">CG10+CI10/100</f>
        <v>66.2309523809524</v>
      </c>
      <c r="CL10" s="332" t="n">
        <f aca="false">CK11</f>
        <v>66.5309523809524</v>
      </c>
      <c r="CM10" s="314" t="n">
        <v>26.893</v>
      </c>
      <c r="CN10" s="329" t="n">
        <f aca="false">CM10*100/42</f>
        <v>64.0309523809524</v>
      </c>
      <c r="CO10" s="329" t="n">
        <f aca="false">CM10-$U10</f>
        <v>9.15099999999998</v>
      </c>
      <c r="CP10" s="331" t="n">
        <f aca="false">CO10</f>
        <v>9.15099999999998</v>
      </c>
      <c r="CQ10" s="329" t="n">
        <f aca="false">($V10+CP10)*100/42</f>
        <v>64.0309523809524</v>
      </c>
      <c r="CR10" s="333" t="n">
        <f aca="false">CQ10-CL10</f>
        <v>-2.5</v>
      </c>
      <c r="CS10" s="314" t="n">
        <v>28.195</v>
      </c>
      <c r="CT10" s="329" t="n">
        <f aca="false">CS10*100/42</f>
        <v>67.1309523809524</v>
      </c>
      <c r="CU10" s="329" t="n">
        <f aca="false">CT10-CG11</f>
        <v>0.599999999999994</v>
      </c>
      <c r="CV10" s="331" t="n">
        <f aca="false">CU10</f>
        <v>0.599999999999994</v>
      </c>
      <c r="CW10" s="333" t="n">
        <f aca="false">CL10+CV10</f>
        <v>67.1309523809524</v>
      </c>
      <c r="CX10" s="318" t="n">
        <v>0.35</v>
      </c>
      <c r="CY10" s="326" t="n">
        <f aca="false">CX10-$W10</f>
        <v>0.00799999999999995</v>
      </c>
      <c r="CZ10" s="345" t="n">
        <f aca="false">DA10-W10</f>
        <v>0.00799999999999995</v>
      </c>
      <c r="DA10" s="346" t="n">
        <f aca="false">MAIN!K10</f>
        <v>0.35</v>
      </c>
      <c r="DB10" s="318" t="n">
        <v>0.306</v>
      </c>
      <c r="DC10" s="326" t="n">
        <f aca="false">DB10-$W10</f>
        <v>-0.036</v>
      </c>
      <c r="DD10" s="345" t="n">
        <f aca="false">DE10-W10</f>
        <v>-0.036</v>
      </c>
      <c r="DE10" s="346" t="n">
        <f aca="false">MAIN!M10</f>
        <v>0.306</v>
      </c>
      <c r="DG10" s="336"/>
      <c r="DH10" s="314" t="n">
        <v>20.4</v>
      </c>
      <c r="DI10" s="325" t="n">
        <f aca="false">DH10-$U10</f>
        <v>2.65799999999998</v>
      </c>
      <c r="DJ10" s="325" t="n">
        <f aca="false">VLOOKUP(1900+$L10,ResidSpreadTable,2)</f>
        <v>-2</v>
      </c>
      <c r="DK10" s="337" t="n">
        <f aca="false">$V10+DJ10</f>
        <v>15.742</v>
      </c>
      <c r="DL10" s="314" t="n">
        <v>19.9</v>
      </c>
      <c r="DM10" s="325" t="n">
        <f aca="false">DL10-$U10</f>
        <v>2.15799999999998</v>
      </c>
      <c r="DN10" s="325" t="n">
        <f aca="false">VLOOKUP(1900+$L10,ResidSpreadTable,3)</f>
        <v>-3</v>
      </c>
      <c r="DO10" s="337" t="n">
        <f aca="false">$V10+DN10</f>
        <v>14.742</v>
      </c>
      <c r="DP10" s="314" t="n">
        <v>19.722</v>
      </c>
      <c r="DQ10" s="325" t="n">
        <f aca="false">DP10-$U10</f>
        <v>1.97999999999998</v>
      </c>
      <c r="DR10" s="325" t="n">
        <f aca="false">VLOOKUP(1900+$L10,ResidSpreadTable,4)</f>
        <v>-6</v>
      </c>
      <c r="DS10" s="337" t="n">
        <f aca="false">$V10+DR10</f>
        <v>11.742</v>
      </c>
      <c r="DT10" s="314" t="n">
        <v>19.3</v>
      </c>
      <c r="DU10" s="325" t="n">
        <f aca="false">DT10-$U10</f>
        <v>1.55799999999998</v>
      </c>
      <c r="DV10" s="325" t="n">
        <f aca="false">VLOOKUP(1900+$L10,ResidSpreadTable,5)</f>
        <v>-5</v>
      </c>
      <c r="DW10" s="337" t="n">
        <f aca="false">$V10+DV10</f>
        <v>12.742</v>
      </c>
      <c r="DY10" s="356" t="s">
        <v>5</v>
      </c>
      <c r="DZ10" s="357" t="s">
        <v>182</v>
      </c>
      <c r="EA10" s="357"/>
      <c r="EB10" s="358" t="s">
        <v>183</v>
      </c>
      <c r="EC10" s="358"/>
      <c r="ED10" s="359" t="s">
        <v>184</v>
      </c>
      <c r="EE10" s="358" t="s">
        <v>7</v>
      </c>
      <c r="EF10" s="358" t="s">
        <v>185</v>
      </c>
    </row>
    <row r="11" customFormat="false" ht="13.5" hidden="false" customHeight="false" outlineLevel="0" collapsed="false">
      <c r="I11" s="338" t="n">
        <f aca="false">EOMONTH(I10,0)+1</f>
        <v>46082</v>
      </c>
      <c r="J11" s="307" t="n">
        <f aca="false">VLOOKUP(I11,$B$12:$C$332,2)</f>
        <v>45644</v>
      </c>
      <c r="K11" s="339" t="n">
        <f aca="false">NETWORKDAYS(I11,J12)/N11</f>
        <v>-14.2272727272727</v>
      </c>
      <c r="L11" s="309" t="n">
        <f aca="false">YEAR(I11)-1900</f>
        <v>126</v>
      </c>
      <c r="M11" s="310" t="n">
        <f aca="false">MONTH(I11)</f>
        <v>3</v>
      </c>
      <c r="N11" s="340" t="n">
        <f aca="false">NETWORKDAYS(I11,I12-1)</f>
        <v>22</v>
      </c>
      <c r="O11" s="341" t="n">
        <f aca="false">I11-DateToday-IF(EuroExpDateToggle=1,3+IF(WEEKDAY(I11-1)=7,1,IF(WEEKDAY(I11-1)&lt;5,2,0)),1+IF(WEEKDAY(I11-1)=7,1,IF(WEEKDAY(I11-1)&lt;3,2,0)))</f>
        <v>152</v>
      </c>
      <c r="P11" s="342" t="n">
        <f aca="false">(I11-DateToday+1)/365.25</f>
        <v>0.42984257357974</v>
      </c>
      <c r="Q11" s="342" t="n">
        <f aca="false">(I12-DateToday)/365.25</f>
        <v>0.511978097193703</v>
      </c>
      <c r="R11" s="314" t="n">
        <v>25.88</v>
      </c>
      <c r="S11" s="347" t="n">
        <v>0</v>
      </c>
      <c r="T11" s="316" t="n">
        <f aca="false">R11+S11/100</f>
        <v>25.88</v>
      </c>
      <c r="U11" s="325" t="n">
        <f aca="false">R12*K11+R13*(1-K11)</f>
        <v>18.6600000000001</v>
      </c>
      <c r="V11" s="337" t="n">
        <f aca="false">T12*K11+T13*(1-K11)</f>
        <v>18.6600000000001</v>
      </c>
      <c r="W11" s="318" t="n">
        <v>0.32845</v>
      </c>
      <c r="X11" s="319" t="n">
        <f aca="false">IF($I11-DateToday+1&gt;=$A$10,"",IF($I11-DateToday+1&lt;$A$5,1,MATCH($I11-DateToday+1,$A$5:$A$10)))</f>
        <v>3</v>
      </c>
      <c r="Y11" s="348" t="n">
        <f aca="false">IF($X11="",Y10^2/Y9,INDEX(B$5:B$10,$X11)^((INDEX($A$5:$A$10,$X11+1)-($I11-DateToday+1))/(INDEX($A$5:$A$10,$X11+1)-INDEX($A$5:$A$10,$X11)))/INDEX(B$5:B$10,$X11+1)^((INDEX($A$5:$A$10,$X11)-($I11-DateToday+1))/(INDEX($A$5:$A$10,$X11+1)-INDEX($A$5:$A$10,$X11))))</f>
        <v>0.0146268614708373</v>
      </c>
      <c r="Z11" s="348" t="n">
        <f aca="false">IF($X11="",Z10^2/Z9,INDEX(C$5:C$10,$X11)^((INDEX($A$5:$A$10,$X11+1)-($I11-DateToday+1))/(INDEX($A$5:$A$10,$X11+1)-INDEX($A$5:$A$10,$X11)))/INDEX(C$5:C$10,$X11+1)^((INDEX($A$5:$A$10,$X11)-($I11-DateToday+1))/(INDEX($A$5:$A$10,$X11+1)-INDEX($A$5:$A$10,$X11))))</f>
        <v>0.00902060255924789</v>
      </c>
      <c r="AA11" s="348" t="n">
        <f aca="false">IF($X11="",AA10^2/AA9,INDEX(D$5:D$10,$X11)^((INDEX($A$5:$A$10,$X11+1)-($I11-DateToday+1))/(INDEX($A$5:$A$10,$X11+1)-INDEX($A$5:$A$10,$X11)))/INDEX(D$5:D$10,$X11+1)^((INDEX($A$5:$A$10,$X11)-($I11-DateToday+1))/(INDEX($A$5:$A$10,$X11+1)-INDEX($A$5:$A$10,$X11))))</f>
        <v>0.00414371878228742</v>
      </c>
      <c r="AB11" s="348" t="n">
        <f aca="false">IF($X11="",AB10^2/AB9,INDEX(E$5:E$10,$X11)^((INDEX($A$5:$A$10,$X11+1)-($I11-DateToday+1))/(INDEX($A$5:$A$10,$X11+1)-INDEX($A$5:$A$10,$X11)))/INDEX(E$5:E$10,$X11+1)^((INDEX($A$5:$A$10,$X11)-($I11-DateToday+1))/(INDEX($A$5:$A$10,$X11+1)-INDEX($A$5:$A$10,$X11))))</f>
        <v>0.00933496967273711</v>
      </c>
      <c r="AC11" s="348" t="n">
        <f aca="false">IF($X11="",AC10^2/AC9,INDEX(F$5:F$10,$X11)^((INDEX($A$5:$A$10,$X11+1)-($I11-DateToday+1))/(INDEX($A$5:$A$10,$X11+1)-INDEX($A$5:$A$10,$X11)))/INDEX(F$5:F$10,$X11+1)^((INDEX($A$5:$A$10,$X11)-($I11-DateToday+1))/(INDEX($A$5:$A$10,$X11+1)-INDEX($A$5:$A$10,$X11))))</f>
        <v>0.0203216134454737</v>
      </c>
      <c r="AD11" s="348" t="n">
        <f aca="false">IF($X11="",AD10^2/AD9,INDEX(G$5:G$10,$X11)^((INDEX($A$5:$A$10,$X11+1)-($I11-DateToday+1))/(INDEX($A$5:$A$10,$X11+1)-INDEX($A$5:$A$10,$X11)))/INDEX(G$5:G$10,$X11+1)^((INDEX($A$5:$A$10,$X11)-($I11-DateToday+1))/(INDEX($A$5:$A$10,$X11+1)-INDEX($A$5:$A$10,$X11))))</f>
        <v>0.0329513935215023</v>
      </c>
      <c r="AE11" s="321" t="n">
        <v>0.064462634696531</v>
      </c>
      <c r="AF11" s="316" t="n">
        <f aca="false">(1+AE11/2)^(-2*(I12-DateToday)/365.25)</f>
        <v>0.968039154264003</v>
      </c>
      <c r="AG11" s="316" t="n">
        <f aca="false">AG10*(1+IF(AND(M11=1,L11&gt;YearStart),Escalation,0))</f>
        <v>1</v>
      </c>
      <c r="AH11" s="322" t="n">
        <f aca="false">IF(OR(DateStart&gt;=I12,DateEnd&lt;I11),0,Volume*AG11)</f>
        <v>0</v>
      </c>
      <c r="AI11" s="322" t="n">
        <f aca="false">AH11*AF11</f>
        <v>0</v>
      </c>
      <c r="AJ11" s="322" t="n">
        <f aca="false">IF(OR(DateStart2&gt;=I12,DateEnd2&lt;I11),0,VolumeSwaption*AG11)</f>
        <v>0</v>
      </c>
      <c r="AK11" s="322" t="n">
        <f aca="false">AJ11*AF11</f>
        <v>0</v>
      </c>
      <c r="AL11" s="316" t="str">
        <f aca="true">IF(AH11,OFFSET(BY11,0,HorizontalPriceOffset)+PriceSpreadAsian,"")</f>
        <v/>
      </c>
      <c r="AM11" s="316" t="str">
        <f aca="false">IF(AH11,Strike1/AL11-1,"")</f>
        <v/>
      </c>
      <c r="AN11" s="316" t="str">
        <f aca="false">IF(AH11,Strike2/AL11-1,"")</f>
        <v/>
      </c>
      <c r="AO11" s="323" t="str">
        <f aca="false">IF(AH11,IF(VolOverrideAsian,VolOverrideAsian,IF(ProductGroup=1,IF(Product&lt;3,DA12,DE12),W12)+VolSpreadAsian),"")</f>
        <v/>
      </c>
      <c r="AP11" s="323" t="str">
        <f aca="false">IF($AH11,$AO11+IF(SkewFlag=1,IF(AM11&gt;0,$AA11*MIN(AM11/10%,1)+($Z11-$AA11)*MAX(0,MIN(AM11/10%-1,1))+($Y11-$Z11)*MAX(0,AM11/10%-2),$AB11*MIN(-AM11/10%,1)+($AC11-$AB11)*MAX(0,MIN(-AM11/10%-1,1))+($AD11-$AC11)*MAX(0,-AM11/10%-2)),0),"")</f>
        <v/>
      </c>
      <c r="AQ11" s="323" t="str">
        <f aca="false">IF($AH11,$AO11+IF(SkewFlag=1,IF(AN11&gt;0,$AA11*MIN(AN11/10%,1)+($Z11-$AA11)*MAX(0,MIN(AN11/10%-1,1))+($Y11-$Z11)*MAX(0,AN11/10%-2),$AB11*MIN(-AN11/10%,1)+($AC11-$AB11)*MAX(0,MIN(-AN11/10%-1,1))+($AD11-$AC11)*MAX(0,-AN11/10%-2)),0),"")</f>
        <v/>
      </c>
      <c r="AR11" s="324" t="n">
        <f aca="false">IF(AH11,xASN(AL11,Strike1,AE11,AP11,0,N11,0,P11,Q11,IF(OptControl=4,0,1),0),0)</f>
        <v>0</v>
      </c>
      <c r="AS11" s="324" t="n">
        <f aca="false">IF(AH11,xASN(AL11,Strike1,AE11,AP11,0,N11,0,P11,Q11,IF(OptControl=4,0,1),1),0)</f>
        <v>0</v>
      </c>
      <c r="AT11" s="324" t="n">
        <f aca="false">IF(AH11,xASN(AL11,Strike1,AE11,AP11,0,N11,0,P11,Q11,IF(OptControl=4,0,1),2),0)</f>
        <v>0</v>
      </c>
      <c r="AU11" s="324" t="n">
        <f aca="false">IF(AH11,xASN(AL11,Strike1,AE11,AP11,0,N11,0,P11,Q11,IF(OptControl=4,0,1),3)/100,0)</f>
        <v>0</v>
      </c>
      <c r="AV11" s="324" t="n">
        <f aca="false">IF(AH11,xASN(AL11,Strike1,AE11,AP11,0,N11,0,P11-DaysForThetaCalculation/365.25,Q11-DaysForThetaCalculation/365.25,IF(OptControl=4,0,1),0)-xASN(AL11,Strike1,AE11,AP11,0,N11,0,P11,Q11,IF(OptControl=4,0,1),0),0)</f>
        <v>0</v>
      </c>
      <c r="AW11" s="324" t="n">
        <f aca="false">IF(AH11,xASN(AL11,Strike2,AE11,AQ11,0,N11,0,P11,Q11,IF(OptControl=3,1,0),0),0)</f>
        <v>0</v>
      </c>
      <c r="AX11" s="324" t="n">
        <f aca="false">IF(AH11,xASN(AL11,Strike2,AE11,AQ11,0,N11,0,P11,Q11,IF(OptControl=3,1,0),1),0)</f>
        <v>0</v>
      </c>
      <c r="AY11" s="324" t="n">
        <f aca="false">IF(AH11,xASN(AL11,Strike2,AE11,AQ11,0,N11,0,P11,Q11,IF(OptControl=3,1,0),2),0)</f>
        <v>0</v>
      </c>
      <c r="AZ11" s="324" t="n">
        <f aca="false">IF(AH11,xASN(AL11,Strike2,AE11,AQ11,0,N11,0,P11,Q11,IF(OptControl=3,1,0),3)/100,0)</f>
        <v>0</v>
      </c>
      <c r="BA11" s="324" t="n">
        <f aca="false">IF(AH11,xASN(AL11,Strike2,AE11,AQ11,0,N11,0,P11-DaysForThetaCalculation/365.25,Q11-DaysForThetaCalculation/365.25,IF(OptControl=3,1,0),0)-xASN(AL11,Strike2,AE11,AQ11,0,N11,0,P11,Q11,IF(OptControl=3,1,0),0),0)</f>
        <v>0</v>
      </c>
      <c r="BB11" s="325" t="str">
        <f aca="false">IF(AH11,IF(ProductGroup=1,IF(Product=1,BX11+PriceSpreadEuro,IF(Product=3,CK11+PriceSpreadEuro,"N/A")),"N/A"),"")</f>
        <v/>
      </c>
      <c r="BC11" s="316" t="str">
        <f aca="false">IF(AH11,Strike1/BB11-1,"")</f>
        <v/>
      </c>
      <c r="BD11" s="316" t="str">
        <f aca="false">IF(AH11,Strike2/BB11-1,"")</f>
        <v/>
      </c>
      <c r="BE11" s="326" t="str">
        <f aca="false">IF(AH11,IF(VolOverrideEuro,VolOverrideEuro,IF(ProductGroup=1,IF(Product&lt;3,DA11,DE11)+VolSpreadEuro,"N/A")),"")</f>
        <v/>
      </c>
      <c r="BF11" s="323" t="str">
        <f aca="false">IF($AH11,$BE11+IF(SkewFlag=1,IF(BC11&gt;0,$AA11*MIN(BC11/10%,1)+($Z11-$AA11)*MAX(0,MIN(BC11/10%-1,1))+($Y11-$Z11)*MAX(0,BC11/10%-2),$AB11*MIN(-BC11/10%,1)+($AC11-$AB11)*MAX(0,MIN(-BC11/10%-1,1))+($AD11-$AC11)*MAX(0,-BC11/10%-2)),0),"")</f>
        <v/>
      </c>
      <c r="BG11" s="323" t="str">
        <f aca="false">IF($AH11,$BE11+IF(SkewFlag=1,IF(BD11&gt;0,$AA11*MIN(BD11/10%,1)+($Z11-$AA11)*MAX(0,MIN(BD11/10%-1,1))+($Y11-$Z11)*MAX(0,BD11/10%-2),$AB11*MIN(-BD11/10%,1)+($AC11-$AB11)*MAX(0,MIN(-BD11/10%-1,1))+($AD11-$AC11)*MAX(0,-BD11/10%-2)),0),"")</f>
        <v/>
      </c>
      <c r="BH11" s="324" t="n">
        <f aca="false">IF(AH11,xEURO(BB11,Strike1,AE11,AE11,BF11,O11,IF(OptControl=4,0,1),0),0)</f>
        <v>0</v>
      </c>
      <c r="BI11" s="324" t="n">
        <f aca="false">IF(AH11,xEURO(BB11,Strike1,AE11,AE11,BF11,O11,IF(OptControl=4,0,1),1),0)</f>
        <v>0</v>
      </c>
      <c r="BJ11" s="324" t="n">
        <f aca="false">IF(AH11,xEURO(BB11,Strike1,AE11,AE11,BF11,O11,IF(OptControl=4,0,1),2),0)</f>
        <v>0</v>
      </c>
      <c r="BK11" s="324" t="n">
        <f aca="false">IF(AH11,xEURO(BB11,Strike1,AE11,AE11,BF11,O11,IF(OptControl=4,0,1),3)/100,0)</f>
        <v>0</v>
      </c>
      <c r="BL11" s="324" t="n">
        <f aca="false">IF(AH11,xEURO(BB11,Strike1,AE11,AE11,BF11,O11-DaysForThetaCalculation,IF(OptControl=4,0,1),0)-xEURO(BB11,Strike1,AE11,AE11,BF11,O11,IF(OptControl=4,0,1),0),0)</f>
        <v>0</v>
      </c>
      <c r="BM11" s="324" t="n">
        <f aca="false">IF(AH11,xEURO(BB11,Strike2,AE11,AE11,BG11,O11,IF(OptControl=3,1,0),0),0)</f>
        <v>0</v>
      </c>
      <c r="BN11" s="324" t="n">
        <f aca="false">IF(AH11,xEURO(BB11,Strike2,AE11,AE11,BG11,O11,IF(OptControl=3,1,0),1),0)</f>
        <v>0</v>
      </c>
      <c r="BO11" s="324" t="n">
        <f aca="false">IF(AH11,xEURO(BB11,Strike2,AE11,AE11,BG11,O11,IF(OptControl=3,1,0),2),0)</f>
        <v>0</v>
      </c>
      <c r="BP11" s="324" t="n">
        <f aca="false">IF(AH11,xEURO(BB11,Strike2,AE11,AE11,BG11,O11,IF(OptControl=3,1,0),3)/100,0)</f>
        <v>0</v>
      </c>
      <c r="BQ11" s="327" t="n">
        <f aca="false">IF(AH11,xEURO(BB11,Strike2,AE11,AE11,BG11,O11-DaysForThetaCalculation,IF(OptControl=3,1,0),0)-xEURO(BB11,Strike2,AE11,AE11,BG11,O11,IF(OptControl=3,1,0),0),0)</f>
        <v>0</v>
      </c>
      <c r="BR11" s="343"/>
      <c r="BS11" s="314" t="n">
        <v>31.731</v>
      </c>
      <c r="BT11" s="329" t="n">
        <f aca="false">BS11*100/42</f>
        <v>75.55</v>
      </c>
      <c r="BU11" s="329" t="n">
        <f aca="false">BS12-$U11</f>
        <v>11.5169999999999</v>
      </c>
      <c r="BV11" s="330" t="n">
        <v>0</v>
      </c>
      <c r="BW11" s="331" t="n">
        <f aca="false">BS12+BV12/10000*42-$V11</f>
        <v>11.5169999999999</v>
      </c>
      <c r="BX11" s="344" t="n">
        <f aca="false">BT11+BV11/100</f>
        <v>75.55</v>
      </c>
      <c r="BY11" s="332" t="n">
        <f aca="false">BX12</f>
        <v>71.85</v>
      </c>
      <c r="BZ11" s="314" t="n">
        <v>27.762</v>
      </c>
      <c r="CA11" s="329" t="n">
        <f aca="false">BZ11*100/42</f>
        <v>66.1</v>
      </c>
      <c r="CB11" s="329" t="n">
        <f aca="false">BZ11-$U11</f>
        <v>9.10199999999992</v>
      </c>
      <c r="CC11" s="331" t="n">
        <f aca="false">CB11</f>
        <v>9.10199999999992</v>
      </c>
      <c r="CD11" s="329" t="n">
        <f aca="false">($V11+CC11)*100/42</f>
        <v>66.1</v>
      </c>
      <c r="CE11" s="333" t="n">
        <f aca="false">CD11-BY11</f>
        <v>-5.75</v>
      </c>
      <c r="CF11" s="314" t="n">
        <v>27.943</v>
      </c>
      <c r="CG11" s="329" t="n">
        <f aca="false">CF11*100/42</f>
        <v>66.5309523809524</v>
      </c>
      <c r="CH11" s="329" t="n">
        <f aca="false">CF12-$U11</f>
        <v>9.40899999999992</v>
      </c>
      <c r="CI11" s="330" t="n">
        <v>0</v>
      </c>
      <c r="CJ11" s="331" t="n">
        <f aca="false">CF12+CI12/10000*42-$V11</f>
        <v>9.40899999999992</v>
      </c>
      <c r="CK11" s="344" t="n">
        <f aca="false">CG11+CI11/100</f>
        <v>66.5309523809524</v>
      </c>
      <c r="CL11" s="332" t="n">
        <f aca="false">CK12</f>
        <v>66.8309523809524</v>
      </c>
      <c r="CM11" s="314" t="n">
        <v>27.019</v>
      </c>
      <c r="CN11" s="329" t="n">
        <f aca="false">CM11*100/42</f>
        <v>64.3309523809524</v>
      </c>
      <c r="CO11" s="329" t="n">
        <f aca="false">CM11-$U11</f>
        <v>8.35899999999992</v>
      </c>
      <c r="CP11" s="331" t="n">
        <f aca="false">CO11</f>
        <v>8.35899999999992</v>
      </c>
      <c r="CQ11" s="329" t="n">
        <f aca="false">($V11+CP11)*100/42</f>
        <v>64.3309523809524</v>
      </c>
      <c r="CR11" s="333" t="n">
        <f aca="false">CQ11-CL11</f>
        <v>-2.5</v>
      </c>
      <c r="CS11" s="314" t="n">
        <v>28.321</v>
      </c>
      <c r="CT11" s="329" t="n">
        <f aca="false">CS11*100/42</f>
        <v>67.4309523809524</v>
      </c>
      <c r="CU11" s="329" t="n">
        <f aca="false">CT11-CG12</f>
        <v>0.599999999999994</v>
      </c>
      <c r="CV11" s="331" t="n">
        <f aca="false">CU11</f>
        <v>0.599999999999994</v>
      </c>
      <c r="CW11" s="333" t="n">
        <f aca="false">CL11+CV11</f>
        <v>67.4309523809524</v>
      </c>
      <c r="CX11" s="318" t="n">
        <v>0.336</v>
      </c>
      <c r="CY11" s="326" t="n">
        <f aca="false">CX11-$W11</f>
        <v>0.00755</v>
      </c>
      <c r="CZ11" s="345" t="n">
        <f aca="false">DA11-W11</f>
        <v>0.00755</v>
      </c>
      <c r="DA11" s="346" t="n">
        <f aca="false">MAIN!K11</f>
        <v>0.336</v>
      </c>
      <c r="DB11" s="318" t="n">
        <v>0.303</v>
      </c>
      <c r="DC11" s="326" t="n">
        <f aca="false">DB11-$W11</f>
        <v>-0.02545</v>
      </c>
      <c r="DD11" s="345" t="n">
        <f aca="false">DE11-W11</f>
        <v>-0.02545</v>
      </c>
      <c r="DE11" s="346" t="n">
        <f aca="false">MAIN!M11</f>
        <v>0.303</v>
      </c>
      <c r="DG11" s="336"/>
      <c r="DH11" s="314" t="n">
        <v>20.4</v>
      </c>
      <c r="DI11" s="325" t="n">
        <f aca="false">DH11-$U11</f>
        <v>1.73999999999992</v>
      </c>
      <c r="DJ11" s="325" t="n">
        <f aca="false">VLOOKUP(1900+$L11,ResidSpreadTable,2)</f>
        <v>-2</v>
      </c>
      <c r="DK11" s="337" t="n">
        <f aca="false">$V11+DJ11</f>
        <v>16.6600000000001</v>
      </c>
      <c r="DL11" s="314" t="n">
        <v>19.9</v>
      </c>
      <c r="DM11" s="325" t="n">
        <f aca="false">DL11-$U11</f>
        <v>1.23999999999992</v>
      </c>
      <c r="DN11" s="325" t="n">
        <f aca="false">VLOOKUP(1900+$L11,ResidSpreadTable,3)</f>
        <v>-3</v>
      </c>
      <c r="DO11" s="337" t="n">
        <f aca="false">$V11+DN11</f>
        <v>15.6600000000001</v>
      </c>
      <c r="DP11" s="314" t="n">
        <v>19.213</v>
      </c>
      <c r="DQ11" s="325" t="n">
        <f aca="false">DP11-$U11</f>
        <v>0.552999999999919</v>
      </c>
      <c r="DR11" s="325" t="n">
        <f aca="false">VLOOKUP(1900+$L11,ResidSpreadTable,4)</f>
        <v>-6</v>
      </c>
      <c r="DS11" s="337" t="n">
        <f aca="false">$V11+DR11</f>
        <v>12.6600000000001</v>
      </c>
      <c r="DT11" s="314" t="n">
        <v>19.3</v>
      </c>
      <c r="DU11" s="325" t="n">
        <f aca="false">DT11-$U11</f>
        <v>0.639999999999919</v>
      </c>
      <c r="DV11" s="325" t="n">
        <f aca="false">VLOOKUP(1900+$L11,ResidSpreadTable,5)</f>
        <v>-5</v>
      </c>
      <c r="DW11" s="337" t="n">
        <f aca="false">$V11+DV11</f>
        <v>13.6600000000001</v>
      </c>
      <c r="DY11" s="360"/>
      <c r="DZ11" s="288" t="s">
        <v>156</v>
      </c>
      <c r="EA11" s="361" t="s">
        <v>186</v>
      </c>
      <c r="EB11" s="95" t="s">
        <v>156</v>
      </c>
      <c r="EC11" s="361" t="s">
        <v>186</v>
      </c>
      <c r="ED11" s="362" t="s">
        <v>178</v>
      </c>
      <c r="EE11" s="360"/>
      <c r="EF11" s="360" t="s">
        <v>187</v>
      </c>
    </row>
    <row r="12" customFormat="false" ht="12.75" hidden="false" customHeight="false" outlineLevel="0" collapsed="false">
      <c r="B12" s="363" t="n">
        <v>35916</v>
      </c>
      <c r="C12" s="364" t="n">
        <v>35906</v>
      </c>
      <c r="I12" s="338" t="n">
        <f aca="false">EOMONTH(I11,0)+1</f>
        <v>46113</v>
      </c>
      <c r="J12" s="307" t="n">
        <f aca="false">VLOOKUP(I12,$B$12:$C$332,2)</f>
        <v>45644</v>
      </c>
      <c r="K12" s="339" t="n">
        <f aca="false">NETWORKDAYS(I12,J13)/N12</f>
        <v>-15.2727272727273</v>
      </c>
      <c r="L12" s="309" t="n">
        <f aca="false">YEAR(I12)-1900</f>
        <v>126</v>
      </c>
      <c r="M12" s="310" t="n">
        <f aca="false">MONTH(I12)</f>
        <v>4</v>
      </c>
      <c r="N12" s="340" t="n">
        <f aca="false">NETWORKDAYS(I12,I13-1)</f>
        <v>22</v>
      </c>
      <c r="O12" s="341" t="n">
        <f aca="false">I12-DateToday-IF(EuroExpDateToggle=1,3+IF(WEEKDAY(I12-1)=7,1,IF(WEEKDAY(I12-1)&lt;5,2,0)),1+IF(WEEKDAY(I12-1)=7,1,IF(WEEKDAY(I12-1)&lt;3,2,0)))</f>
        <v>182</v>
      </c>
      <c r="P12" s="342" t="n">
        <f aca="false">(I12-DateToday+1)/365.25</f>
        <v>0.514715947980835</v>
      </c>
      <c r="Q12" s="342" t="n">
        <f aca="false">(I13-DateToday)/365.25</f>
        <v>0.594113620807666</v>
      </c>
      <c r="R12" s="314" t="n">
        <v>25.36</v>
      </c>
      <c r="S12" s="347" t="n">
        <v>0</v>
      </c>
      <c r="T12" s="316" t="n">
        <f aca="false">R12+S12/100</f>
        <v>25.36</v>
      </c>
      <c r="U12" s="325" t="n">
        <f aca="false">R13*K12+R14*(1-K12)</f>
        <v>18.2481818181818</v>
      </c>
      <c r="V12" s="337" t="n">
        <f aca="false">T13*K12+T14*(1-K12)</f>
        <v>18.2481818181818</v>
      </c>
      <c r="W12" s="318" t="n">
        <v>0.31585</v>
      </c>
      <c r="X12" s="319" t="n">
        <f aca="false">IF($I12-DateToday+1&gt;=$A$10,"",IF($I12-DateToday+1&lt;$A$5,1,MATCH($I12-DateToday+1,$A$5:$A$10)))</f>
        <v>4</v>
      </c>
      <c r="Y12" s="348" t="n">
        <f aca="false">IF($X12="",Y11^2/Y10,INDEX(B$5:B$10,$X12)^((INDEX($A$5:$A$10,$X12+1)-($I12-DateToday+1))/(INDEX($A$5:$A$10,$X12+1)-INDEX($A$5:$A$10,$X12)))/INDEX(B$5:B$10,$X12+1)^((INDEX($A$5:$A$10,$X12)-($I12-DateToday+1))/(INDEX($A$5:$A$10,$X12+1)-INDEX($A$5:$A$10,$X12))))</f>
        <v>0.0141233720834474</v>
      </c>
      <c r="Z12" s="348" t="n">
        <f aca="false">IF($X12="",Z11^2/Z10,INDEX(C$5:C$10,$X12)^((INDEX($A$5:$A$10,$X12+1)-($I12-DateToday+1))/(INDEX($A$5:$A$10,$X12+1)-INDEX($A$5:$A$10,$X12)))/INDEX(C$5:C$10,$X12+1)^((INDEX($A$5:$A$10,$X12)-($I12-DateToday+1))/(INDEX($A$5:$A$10,$X12+1)-INDEX($A$5:$A$10,$X12))))</f>
        <v>0.00860946060848389</v>
      </c>
      <c r="AA12" s="348" t="n">
        <f aca="false">IF($X12="",AA11^2/AA10,INDEX(D$5:D$10,$X12)^((INDEX($A$5:$A$10,$X12+1)-($I12-DateToday+1))/(INDEX($A$5:$A$10,$X12+1)-INDEX($A$5:$A$10,$X12)))/INDEX(D$5:D$10,$X12+1)^((INDEX($A$5:$A$10,$X12)-($I12-DateToday+1))/(INDEX($A$5:$A$10,$X12+1)-INDEX($A$5:$A$10,$X12))))</f>
        <v>0.00391604753529417</v>
      </c>
      <c r="AB12" s="348" t="n">
        <f aca="false">IF($X12="",AB11^2/AB10,INDEX(E$5:E$10,$X12)^((INDEX($A$5:$A$10,$X12+1)-($I12-DateToday+1))/(INDEX($A$5:$A$10,$X12+1)-INDEX($A$5:$A$10,$X12)))/INDEX(E$5:E$10,$X12+1)^((INDEX($A$5:$A$10,$X12)-($I12-DateToday+1))/(INDEX($A$5:$A$10,$X12+1)-INDEX($A$5:$A$10,$X12))))</f>
        <v>0.00882207188751072</v>
      </c>
      <c r="AC12" s="348" t="n">
        <f aca="false">IF($X12="",AC11^2/AC10,INDEX(F$5:F$10,$X12)^((INDEX($A$5:$A$10,$X12+1)-($I12-DateToday+1))/(INDEX($A$5:$A$10,$X12+1)-INDEX($A$5:$A$10,$X12)))/INDEX(F$5:F$10,$X12+1)^((INDEX($A$5:$A$10,$X12)-($I12-DateToday+1))/(INDEX($A$5:$A$10,$X12+1)-INDEX($A$5:$A$10,$X12))))</f>
        <v>0.0193953928587925</v>
      </c>
      <c r="AD12" s="348" t="n">
        <f aca="false">IF($X12="",AD11^2/AD10,INDEX(G$5:G$10,$X12)^((INDEX($A$5:$A$10,$X12+1)-($I12-DateToday+1))/(INDEX($A$5:$A$10,$X12+1)-INDEX($A$5:$A$10,$X12)))/INDEX(G$5:G$10,$X12+1)^((INDEX($A$5:$A$10,$X12)-($I12-DateToday+1))/(INDEX($A$5:$A$10,$X12+1)-INDEX($A$5:$A$10,$X12))))</f>
        <v>0.0318171326295903</v>
      </c>
      <c r="AE12" s="321" t="n">
        <v>0.06514135721194</v>
      </c>
      <c r="AF12" s="316" t="n">
        <f aca="false">(1+AE12/2)^(-2*(I13-DateToday)/365.25)</f>
        <v>0.96263163137132</v>
      </c>
      <c r="AG12" s="316" t="n">
        <f aca="false">AG11*(1+IF(AND(M12=1,L12&gt;YearStart),Escalation,0))</f>
        <v>1</v>
      </c>
      <c r="AH12" s="322" t="n">
        <f aca="false">IF(OR(DateStart&gt;=I13,DateEnd&lt;I12),0,Volume*AG12)</f>
        <v>0</v>
      </c>
      <c r="AI12" s="322" t="n">
        <f aca="false">AH12*AF12</f>
        <v>0</v>
      </c>
      <c r="AJ12" s="322" t="n">
        <f aca="false">IF(OR(DateStart2&gt;=I13,DateEnd2&lt;I12),0,VolumeSwaption*AG12)</f>
        <v>0</v>
      </c>
      <c r="AK12" s="322" t="n">
        <f aca="false">AJ12*AF12</f>
        <v>0</v>
      </c>
      <c r="AL12" s="316" t="str">
        <f aca="true">IF(AH12,OFFSET(BY12,0,HorizontalPriceOffset)+PriceSpreadAsian,"")</f>
        <v/>
      </c>
      <c r="AM12" s="316" t="str">
        <f aca="false">IF(AH12,Strike1/AL12-1,"")</f>
        <v/>
      </c>
      <c r="AN12" s="316" t="str">
        <f aca="false">IF(AH12,Strike2/AL12-1,"")</f>
        <v/>
      </c>
      <c r="AO12" s="323" t="str">
        <f aca="false">IF(AH12,IF(VolOverrideAsian,VolOverrideAsian,IF(ProductGroup=1,IF(Product&lt;3,DA13,DE13),W13)+VolSpreadAsian),"")</f>
        <v/>
      </c>
      <c r="AP12" s="323" t="str">
        <f aca="false">IF($AH12,$AO12+IF(SkewFlag=1,IF(AM12&gt;0,$AA12*MIN(AM12/10%,1)+($Z12-$AA12)*MAX(0,MIN(AM12/10%-1,1))+($Y12-$Z12)*MAX(0,AM12/10%-2),$AB12*MIN(-AM12/10%,1)+($AC12-$AB12)*MAX(0,MIN(-AM12/10%-1,1))+($AD12-$AC12)*MAX(0,-AM12/10%-2)),0),"")</f>
        <v/>
      </c>
      <c r="AQ12" s="323" t="str">
        <f aca="false">IF($AH12,$AO12+IF(SkewFlag=1,IF(AN12&gt;0,$AA12*MIN(AN12/10%,1)+($Z12-$AA12)*MAX(0,MIN(AN12/10%-1,1))+($Y12-$Z12)*MAX(0,AN12/10%-2),$AB12*MIN(-AN12/10%,1)+($AC12-$AB12)*MAX(0,MIN(-AN12/10%-1,1))+($AD12-$AC12)*MAX(0,-AN12/10%-2)),0),"")</f>
        <v/>
      </c>
      <c r="AR12" s="324" t="n">
        <f aca="false">IF(AH12,xASN(AL12,Strike1,AE12,AP12,0,N12,0,P12,Q12,IF(OptControl=4,0,1),0),0)</f>
        <v>0</v>
      </c>
      <c r="AS12" s="324" t="n">
        <f aca="false">IF(AH12,xASN(AL12,Strike1,AE12,AP12,0,N12,0,P12,Q12,IF(OptControl=4,0,1),1),0)</f>
        <v>0</v>
      </c>
      <c r="AT12" s="324" t="n">
        <f aca="false">IF(AH12,xASN(AL12,Strike1,AE12,AP12,0,N12,0,P12,Q12,IF(OptControl=4,0,1),2),0)</f>
        <v>0</v>
      </c>
      <c r="AU12" s="324" t="n">
        <f aca="false">IF(AH12,xASN(AL12,Strike1,AE12,AP12,0,N12,0,P12,Q12,IF(OptControl=4,0,1),3)/100,0)</f>
        <v>0</v>
      </c>
      <c r="AV12" s="324" t="n">
        <f aca="false">IF(AH12,xASN(AL12,Strike1,AE12,AP12,0,N12,0,P12-DaysForThetaCalculation/365.25,Q12-DaysForThetaCalculation/365.25,IF(OptControl=4,0,1),0)-xASN(AL12,Strike1,AE12,AP12,0,N12,0,P12,Q12,IF(OptControl=4,0,1),0),0)</f>
        <v>0</v>
      </c>
      <c r="AW12" s="324" t="n">
        <f aca="false">IF(AH12,xASN(AL12,Strike2,AE12,AQ12,0,N12,0,P12,Q12,IF(OptControl=3,1,0),0),0)</f>
        <v>0</v>
      </c>
      <c r="AX12" s="324" t="n">
        <f aca="false">IF(AH12,xASN(AL12,Strike2,AE12,AQ12,0,N12,0,P12,Q12,IF(OptControl=3,1,0),1),0)</f>
        <v>0</v>
      </c>
      <c r="AY12" s="324" t="n">
        <f aca="false">IF(AH12,xASN(AL12,Strike2,AE12,AQ12,0,N12,0,P12,Q12,IF(OptControl=3,1,0),2),0)</f>
        <v>0</v>
      </c>
      <c r="AZ12" s="324" t="n">
        <f aca="false">IF(AH12,xASN(AL12,Strike2,AE12,AQ12,0,N12,0,P12,Q12,IF(OptControl=3,1,0),3)/100,0)</f>
        <v>0</v>
      </c>
      <c r="BA12" s="324" t="n">
        <f aca="false">IF(AH12,xASN(AL12,Strike2,AE12,AQ12,0,N12,0,P12-DaysForThetaCalculation/365.25,Q12-DaysForThetaCalculation/365.25,IF(OptControl=3,1,0),0)-xASN(AL12,Strike2,AE12,AQ12,0,N12,0,P12,Q12,IF(OptControl=3,1,0),0),0)</f>
        <v>0</v>
      </c>
      <c r="BB12" s="325" t="str">
        <f aca="false">IF(AH12,IF(ProductGroup=1,IF(Product=1,BX12+PriceSpreadEuro,IF(Product=3,CK12+PriceSpreadEuro,"N/A")),"N/A"),"")</f>
        <v/>
      </c>
      <c r="BC12" s="316" t="str">
        <f aca="false">IF(AH12,Strike1/BB12-1,"")</f>
        <v/>
      </c>
      <c r="BD12" s="316" t="str">
        <f aca="false">IF(AH12,Strike2/BB12-1,"")</f>
        <v/>
      </c>
      <c r="BE12" s="326" t="str">
        <f aca="false">IF(AH12,IF(VolOverrideEuro,VolOverrideEuro,IF(ProductGroup=1,IF(Product&lt;3,DA12,DE12)+VolSpreadEuro,"N/A")),"")</f>
        <v/>
      </c>
      <c r="BF12" s="323" t="str">
        <f aca="false">IF($AH12,$BE12+IF(SkewFlag=1,IF(BC12&gt;0,$AA12*MIN(BC12/10%,1)+($Z12-$AA12)*MAX(0,MIN(BC12/10%-1,1))+($Y12-$Z12)*MAX(0,BC12/10%-2),$AB12*MIN(-BC12/10%,1)+($AC12-$AB12)*MAX(0,MIN(-BC12/10%-1,1))+($AD12-$AC12)*MAX(0,-BC12/10%-2)),0),"")</f>
        <v/>
      </c>
      <c r="BG12" s="323" t="str">
        <f aca="false">IF($AH12,$BE12+IF(SkewFlag=1,IF(BD12&gt;0,$AA12*MIN(BD12/10%,1)+($Z12-$AA12)*MAX(0,MIN(BD12/10%-1,1))+($Y12-$Z12)*MAX(0,BD12/10%-2),$AB12*MIN(-BD12/10%,1)+($AC12-$AB12)*MAX(0,MIN(-BD12/10%-1,1))+($AD12-$AC12)*MAX(0,-BD12/10%-2)),0),"")</f>
        <v/>
      </c>
      <c r="BH12" s="324" t="n">
        <f aca="false">IF(AH12,xEURO(BB12,Strike1,AE12,AE12,BF12,O12,IF(OptControl=4,0,1),0),0)</f>
        <v>0</v>
      </c>
      <c r="BI12" s="324" t="n">
        <f aca="false">IF(AH12,xEURO(BB12,Strike1,AE12,AE12,BF12,O12,IF(OptControl=4,0,1),1),0)</f>
        <v>0</v>
      </c>
      <c r="BJ12" s="324" t="n">
        <f aca="false">IF(AH12,xEURO(BB12,Strike1,AE12,AE12,BF12,O12,IF(OptControl=4,0,1),2),0)</f>
        <v>0</v>
      </c>
      <c r="BK12" s="324" t="n">
        <f aca="false">IF(AH12,xEURO(BB12,Strike1,AE12,AE12,BF12,O12,IF(OptControl=4,0,1),3)/100,0)</f>
        <v>0</v>
      </c>
      <c r="BL12" s="324" t="n">
        <f aca="false">IF(AH12,xEURO(BB12,Strike1,AE12,AE12,BF12,O12-DaysForThetaCalculation,IF(OptControl=4,0,1),0)-xEURO(BB12,Strike1,AE12,AE12,BF12,O12,IF(OptControl=4,0,1),0),0)</f>
        <v>0</v>
      </c>
      <c r="BM12" s="324" t="n">
        <f aca="false">IF(AH12,xEURO(BB12,Strike2,AE12,AE12,BG12,O12,IF(OptControl=3,1,0),0),0)</f>
        <v>0</v>
      </c>
      <c r="BN12" s="324" t="n">
        <f aca="false">IF(AH12,xEURO(BB12,Strike2,AE12,AE12,BG12,O12,IF(OptControl=3,1,0),1),0)</f>
        <v>0</v>
      </c>
      <c r="BO12" s="324" t="n">
        <f aca="false">IF(AH12,xEURO(BB12,Strike2,AE12,AE12,BG12,O12,IF(OptControl=3,1,0),2),0)</f>
        <v>0</v>
      </c>
      <c r="BP12" s="324" t="n">
        <f aca="false">IF(AH12,xEURO(BB12,Strike2,AE12,AE12,BG12,O12,IF(OptControl=3,1,0),3)/100,0)</f>
        <v>0</v>
      </c>
      <c r="BQ12" s="327" t="n">
        <f aca="false">IF(AH12,xEURO(BB12,Strike2,AE12,AE12,BG12,O12-DaysForThetaCalculation,IF(OptControl=3,1,0),0)-xEURO(BB12,Strike2,AE12,AE12,BG12,O12,IF(OptControl=3,1,0),0),0)</f>
        <v>0</v>
      </c>
      <c r="BR12" s="343"/>
      <c r="BS12" s="314" t="n">
        <v>30.177</v>
      </c>
      <c r="BT12" s="329" t="n">
        <f aca="false">BS12*100/42</f>
        <v>71.85</v>
      </c>
      <c r="BU12" s="329" t="n">
        <f aca="false">BS13-$U12</f>
        <v>11.0888181818182</v>
      </c>
      <c r="BV12" s="330" t="n">
        <v>0</v>
      </c>
      <c r="BW12" s="331" t="n">
        <f aca="false">BS13+BV13/10000*42-$V12</f>
        <v>11.0888181818182</v>
      </c>
      <c r="BX12" s="344" t="n">
        <f aca="false">BT12+BV12/100</f>
        <v>71.85</v>
      </c>
      <c r="BY12" s="332" t="n">
        <f aca="false">BX13</f>
        <v>69.85</v>
      </c>
      <c r="BZ12" s="314" t="n">
        <v>27.027</v>
      </c>
      <c r="CA12" s="329" t="n">
        <f aca="false">BZ12*100/42</f>
        <v>64.35</v>
      </c>
      <c r="CB12" s="329" t="n">
        <f aca="false">BZ12-$U12</f>
        <v>8.77881818181819</v>
      </c>
      <c r="CC12" s="331" t="n">
        <f aca="false">CB12</f>
        <v>8.77881818181819</v>
      </c>
      <c r="CD12" s="329" t="n">
        <f aca="false">($V12+CC12)*100/42</f>
        <v>64.35</v>
      </c>
      <c r="CE12" s="333" t="n">
        <f aca="false">CD12-BY12</f>
        <v>-5.5</v>
      </c>
      <c r="CF12" s="314" t="n">
        <v>28.069</v>
      </c>
      <c r="CG12" s="329" t="n">
        <f aca="false">CF12*100/42</f>
        <v>66.8309523809524</v>
      </c>
      <c r="CH12" s="329" t="n">
        <f aca="false">CF13-$U12</f>
        <v>9.94681818181818</v>
      </c>
      <c r="CI12" s="330" t="n">
        <v>0</v>
      </c>
      <c r="CJ12" s="331" t="n">
        <f aca="false">CF13+CI13/10000*42-$V12</f>
        <v>9.94681818181818</v>
      </c>
      <c r="CK12" s="344" t="n">
        <f aca="false">CG12+CI12/100</f>
        <v>66.8309523809524</v>
      </c>
      <c r="CL12" s="332" t="n">
        <f aca="false">CK13</f>
        <v>67.1309523809524</v>
      </c>
      <c r="CM12" s="314" t="n">
        <v>26.998</v>
      </c>
      <c r="CN12" s="329" t="n">
        <f aca="false">CM12*100/42</f>
        <v>64.2809523809524</v>
      </c>
      <c r="CO12" s="329" t="n">
        <f aca="false">CM12-$U12</f>
        <v>8.74981818181818</v>
      </c>
      <c r="CP12" s="331" t="n">
        <f aca="false">CO12</f>
        <v>8.74981818181818</v>
      </c>
      <c r="CQ12" s="329" t="n">
        <f aca="false">($V12+CP12)*100/42</f>
        <v>64.2809523809524</v>
      </c>
      <c r="CR12" s="333" t="n">
        <f aca="false">CQ12-CL12</f>
        <v>-2.84999999999999</v>
      </c>
      <c r="CS12" s="314" t="n">
        <v>28.447</v>
      </c>
      <c r="CT12" s="329" t="n">
        <f aca="false">CS12*100/42</f>
        <v>67.7309523809524</v>
      </c>
      <c r="CU12" s="329" t="n">
        <f aca="false">CT12-CG13</f>
        <v>0.600000000000009</v>
      </c>
      <c r="CV12" s="331" t="n">
        <f aca="false">CU12</f>
        <v>0.600000000000009</v>
      </c>
      <c r="CW12" s="333" t="n">
        <f aca="false">CL12+CV12</f>
        <v>67.7309523809524</v>
      </c>
      <c r="CX12" s="318" t="n">
        <v>0.316</v>
      </c>
      <c r="CY12" s="326" t="n">
        <f aca="false">CX12-$W12</f>
        <v>0.000149999999999983</v>
      </c>
      <c r="CZ12" s="326" t="n">
        <f aca="false">VLOOKUP(1900+$L12,ProductSpreadTable,7)</f>
        <v>-0.03</v>
      </c>
      <c r="DA12" s="365" t="n">
        <f aca="false">$W12+CZ12</f>
        <v>0.28585</v>
      </c>
      <c r="DB12" s="318" t="n">
        <v>0.304</v>
      </c>
      <c r="DC12" s="326" t="n">
        <f aca="false">DB12-$W12</f>
        <v>-0.01185</v>
      </c>
      <c r="DD12" s="345" t="n">
        <f aca="false">DE12-W12</f>
        <v>-0.01185</v>
      </c>
      <c r="DE12" s="346" t="n">
        <f aca="false">MAIN!M12</f>
        <v>0.304</v>
      </c>
      <c r="DG12" s="336"/>
      <c r="DH12" s="314" t="n">
        <v>20.64</v>
      </c>
      <c r="DI12" s="325" t="n">
        <f aca="false">DH12-$U12</f>
        <v>2.39181818181818</v>
      </c>
      <c r="DJ12" s="325" t="n">
        <f aca="false">VLOOKUP(1900+$L12,ResidSpreadTable,2)</f>
        <v>-2</v>
      </c>
      <c r="DK12" s="337" t="n">
        <f aca="false">$V12+DJ12</f>
        <v>16.2481818181818</v>
      </c>
      <c r="DL12" s="314" t="n">
        <v>19.54</v>
      </c>
      <c r="DM12" s="325" t="n">
        <f aca="false">DL12-$U12</f>
        <v>1.29181818181818</v>
      </c>
      <c r="DN12" s="325" t="n">
        <f aca="false">VLOOKUP(1900+$L12,ResidSpreadTable,3)</f>
        <v>-3</v>
      </c>
      <c r="DO12" s="337" t="n">
        <f aca="false">$V12+DN12</f>
        <v>15.2481818181818</v>
      </c>
      <c r="DP12" s="314" t="n">
        <v>18.54</v>
      </c>
      <c r="DQ12" s="325" t="n">
        <f aca="false">DP12-$U12</f>
        <v>0.291818181818179</v>
      </c>
      <c r="DR12" s="325" t="n">
        <f aca="false">VLOOKUP(1900+$L12,ResidSpreadTable,4)</f>
        <v>-6</v>
      </c>
      <c r="DS12" s="337" t="n">
        <f aca="false">$V12+DR12</f>
        <v>12.2481818181818</v>
      </c>
      <c r="DT12" s="314" t="n">
        <v>18.45</v>
      </c>
      <c r="DU12" s="325" t="n">
        <f aca="false">DT12-$U12</f>
        <v>0.201818181818179</v>
      </c>
      <c r="DV12" s="325" t="n">
        <f aca="false">VLOOKUP(1900+$L12,ResidSpreadTable,5)</f>
        <v>-5</v>
      </c>
      <c r="DW12" s="337" t="n">
        <f aca="false">$V12+DV12</f>
        <v>13.2481818181818</v>
      </c>
      <c r="DY12" s="366" t="n">
        <v>1999</v>
      </c>
      <c r="DZ12" s="367" t="n">
        <v>0.15</v>
      </c>
      <c r="EA12" s="368" t="n">
        <v>0.15</v>
      </c>
      <c r="EB12" s="367" t="n">
        <v>0.15</v>
      </c>
      <c r="EC12" s="368" t="n">
        <v>0.15</v>
      </c>
      <c r="ED12" s="369" t="n">
        <v>0.15</v>
      </c>
      <c r="EE12" s="370" t="n">
        <v>-0.03</v>
      </c>
      <c r="EF12" s="370" t="n">
        <v>0.03</v>
      </c>
    </row>
    <row r="13" customFormat="false" ht="12.75" hidden="false" customHeight="false" outlineLevel="0" collapsed="false">
      <c r="B13" s="371" t="n">
        <v>35947</v>
      </c>
      <c r="C13" s="372" t="n">
        <v>35934</v>
      </c>
      <c r="I13" s="338" t="n">
        <f aca="false">EOMONTH(I12,0)+1</f>
        <v>46143</v>
      </c>
      <c r="J13" s="307" t="n">
        <f aca="false">VLOOKUP(I13,$B$12:$C$332,2)</f>
        <v>45644</v>
      </c>
      <c r="K13" s="339" t="n">
        <f aca="false">NETWORKDAYS(I13,J14)/N13</f>
        <v>-17.047619047619</v>
      </c>
      <c r="L13" s="309" t="n">
        <f aca="false">YEAR(I13)-1900</f>
        <v>126</v>
      </c>
      <c r="M13" s="310" t="n">
        <f aca="false">MONTH(I13)</f>
        <v>5</v>
      </c>
      <c r="N13" s="340" t="n">
        <f aca="false">NETWORKDAYS(I13,I14-1)</f>
        <v>21</v>
      </c>
      <c r="O13" s="341" t="n">
        <f aca="false">I13-DateToday-IF(EuroExpDateToggle=1,3+IF(WEEKDAY(I13-1)=7,1,IF(WEEKDAY(I13-1)&lt;5,2,0)),1+IF(WEEKDAY(I13-1)=7,1,IF(WEEKDAY(I13-1)&lt;3,2,0)))</f>
        <v>214</v>
      </c>
      <c r="P13" s="342" t="n">
        <f aca="false">(I13-DateToday+1)/365.25</f>
        <v>0.596851471594798</v>
      </c>
      <c r="Q13" s="342" t="n">
        <f aca="false">(I14-DateToday)/365.25</f>
        <v>0.678986995208761</v>
      </c>
      <c r="R13" s="314" t="n">
        <v>24.92</v>
      </c>
      <c r="S13" s="347" t="n">
        <v>0</v>
      </c>
      <c r="T13" s="316" t="n">
        <f aca="false">R13+S13/100</f>
        <v>24.92</v>
      </c>
      <c r="U13" s="325" t="n">
        <f aca="false">R14*K13+R15*(1-K13)</f>
        <v>17.6519047619047</v>
      </c>
      <c r="V13" s="337" t="n">
        <f aca="false">T14*K13+T15*(1-K13)</f>
        <v>17.6519047619047</v>
      </c>
      <c r="W13" s="318" t="n">
        <v>0.30375</v>
      </c>
      <c r="X13" s="319" t="n">
        <f aca="false">IF($I13-DateToday+1&gt;=$A$10,"",IF($I13-DateToday+1&lt;$A$5,1,MATCH($I13-DateToday+1,$A$5:$A$10)))</f>
        <v>4</v>
      </c>
      <c r="Y13" s="348" t="n">
        <f aca="false">IF($X13="",Y12^2/Y11,INDEX(B$5:B$10,$X13)^((INDEX($A$5:$A$10,$X13+1)-($I13-DateToday+1))/(INDEX($A$5:$A$10,$X13+1)-INDEX($A$5:$A$10,$X13)))/INDEX(B$5:B$10,$X13+1)^((INDEX($A$5:$A$10,$X13)-($I13-DateToday+1))/(INDEX($A$5:$A$10,$X13+1)-INDEX($A$5:$A$10,$X13))))</f>
        <v>0.0137006611874738</v>
      </c>
      <c r="Z13" s="348" t="n">
        <f aca="false">IF($X13="",Z12^2/Z11,INDEX(C$5:C$10,$X13)^((INDEX($A$5:$A$10,$X13+1)-($I13-DateToday+1))/(INDEX($A$5:$A$10,$X13+1)-INDEX($A$5:$A$10,$X13)))/INDEX(C$5:C$10,$X13+1)^((INDEX($A$5:$A$10,$X13)-($I13-DateToday+1))/(INDEX($A$5:$A$10,$X13+1)-INDEX($A$5:$A$10,$X13))))</f>
        <v>0.00827406975644839</v>
      </c>
      <c r="AA13" s="348" t="n">
        <f aca="false">IF($X13="",AA12^2/AA11,INDEX(D$5:D$10,$X13)^((INDEX($A$5:$A$10,$X13+1)-($I13-DateToday+1))/(INDEX($A$5:$A$10,$X13+1)-INDEX($A$5:$A$10,$X13)))/INDEX(D$5:D$10,$X13+1)^((INDEX($A$5:$A$10,$X13)-($I13-DateToday+1))/(INDEX($A$5:$A$10,$X13+1)-INDEX($A$5:$A$10,$X13))))</f>
        <v>0.00377308236723873</v>
      </c>
      <c r="AB13" s="348" t="n">
        <f aca="false">IF($X13="",AB12^2/AB11,INDEX(E$5:E$10,$X13)^((INDEX($A$5:$A$10,$X13+1)-($I13-DateToday+1))/(INDEX($A$5:$A$10,$X13+1)-INDEX($A$5:$A$10,$X13)))/INDEX(E$5:E$10,$X13+1)^((INDEX($A$5:$A$10,$X13)-($I13-DateToday+1))/(INDEX($A$5:$A$10,$X13+1)-INDEX($A$5:$A$10,$X13))))</f>
        <v>0.00849999995691542</v>
      </c>
      <c r="AC13" s="348" t="n">
        <f aca="false">IF($X13="",AC12^2/AC11,INDEX(F$5:F$10,$X13)^((INDEX($A$5:$A$10,$X13+1)-($I13-DateToday+1))/(INDEX($A$5:$A$10,$X13+1)-INDEX($A$5:$A$10,$X13)))/INDEX(F$5:F$10,$X13+1)^((INDEX($A$5:$A$10,$X13)-($I13-DateToday+1))/(INDEX($A$5:$A$10,$X13+1)-INDEX($A$5:$A$10,$X13))))</f>
        <v>0.0186398243473269</v>
      </c>
      <c r="AD13" s="348" t="n">
        <f aca="false">IF($X13="",AD12^2/AD11,INDEX(G$5:G$10,$X13)^((INDEX($A$5:$A$10,$X13+1)-($I13-DateToday+1))/(INDEX($A$5:$A$10,$X13+1)-INDEX($A$5:$A$10,$X13)))/INDEX(G$5:G$10,$X13+1)^((INDEX($A$5:$A$10,$X13)-($I13-DateToday+1))/(INDEX($A$5:$A$10,$X13+1)-INDEX($A$5:$A$10,$X13))))</f>
        <v>0.0308648495231411</v>
      </c>
      <c r="AE13" s="321" t="n">
        <v>0.065708622496214</v>
      </c>
      <c r="AF13" s="316" t="n">
        <f aca="false">(1+AE13/2)^(-2*(I14-DateToday)/365.25)</f>
        <v>0.957051509632726</v>
      </c>
      <c r="AG13" s="316" t="n">
        <f aca="false">AG12*(1+IF(AND(M13=1,L13&gt;YearStart),Escalation,0))</f>
        <v>1</v>
      </c>
      <c r="AH13" s="322" t="n">
        <f aca="false">IF(OR(DateStart&gt;=I14,DateEnd&lt;I13),0,Volume*AG13)</f>
        <v>0</v>
      </c>
      <c r="AI13" s="322" t="n">
        <f aca="false">AH13*AF13</f>
        <v>0</v>
      </c>
      <c r="AJ13" s="322" t="n">
        <f aca="false">IF(OR(DateStart2&gt;=I14,DateEnd2&lt;I13),0,VolumeSwaption*AG13)</f>
        <v>0</v>
      </c>
      <c r="AK13" s="322" t="n">
        <f aca="false">AJ13*AF13</f>
        <v>0</v>
      </c>
      <c r="AL13" s="316" t="str">
        <f aca="true">IF(AH13,OFFSET(BY13,0,HorizontalPriceOffset)+PriceSpreadAsian,"")</f>
        <v/>
      </c>
      <c r="AM13" s="316" t="str">
        <f aca="false">IF(AH13,Strike1/AL13-1,"")</f>
        <v/>
      </c>
      <c r="AN13" s="316" t="str">
        <f aca="false">IF(AH13,Strike2/AL13-1,"")</f>
        <v/>
      </c>
      <c r="AO13" s="323" t="str">
        <f aca="false">IF(AH13,IF(VolOverrideAsian,VolOverrideAsian,IF(ProductGroup=1,IF(Product&lt;3,DA14,DE14),W14)+VolSpreadAsian),"")</f>
        <v/>
      </c>
      <c r="AP13" s="323" t="str">
        <f aca="false">IF($AH13,$AO13+IF(SkewFlag=1,IF(AM13&gt;0,$AA13*MIN(AM13/10%,1)+($Z13-$AA13)*MAX(0,MIN(AM13/10%-1,1))+($Y13-$Z13)*MAX(0,AM13/10%-2),$AB13*MIN(-AM13/10%,1)+($AC13-$AB13)*MAX(0,MIN(-AM13/10%-1,1))+($AD13-$AC13)*MAX(0,-AM13/10%-2)),0),"")</f>
        <v/>
      </c>
      <c r="AQ13" s="323" t="str">
        <f aca="false">IF($AH13,$AO13+IF(SkewFlag=1,IF(AN13&gt;0,$AA13*MIN(AN13/10%,1)+($Z13-$AA13)*MAX(0,MIN(AN13/10%-1,1))+($Y13-$Z13)*MAX(0,AN13/10%-2),$AB13*MIN(-AN13/10%,1)+($AC13-$AB13)*MAX(0,MIN(-AN13/10%-1,1))+($AD13-$AC13)*MAX(0,-AN13/10%-2)),0),"")</f>
        <v/>
      </c>
      <c r="AR13" s="324" t="n">
        <f aca="false">IF(AH13,xASN(AL13,Strike1,AE13,AP13,0,N13,0,P13,Q13,IF(OptControl=4,0,1),0),0)</f>
        <v>0</v>
      </c>
      <c r="AS13" s="324" t="n">
        <f aca="false">IF(AH13,xASN(AL13,Strike1,AE13,AP13,0,N13,0,P13,Q13,IF(OptControl=4,0,1),1),0)</f>
        <v>0</v>
      </c>
      <c r="AT13" s="324" t="n">
        <f aca="false">IF(AH13,xASN(AL13,Strike1,AE13,AP13,0,N13,0,P13,Q13,IF(OptControl=4,0,1),2),0)</f>
        <v>0</v>
      </c>
      <c r="AU13" s="324" t="n">
        <f aca="false">IF(AH13,xASN(AL13,Strike1,AE13,AP13,0,N13,0,P13,Q13,IF(OptControl=4,0,1),3)/100,0)</f>
        <v>0</v>
      </c>
      <c r="AV13" s="324" t="n">
        <f aca="false">IF(AH13,xASN(AL13,Strike1,AE13,AP13,0,N13,0,P13-DaysForThetaCalculation/365.25,Q13-DaysForThetaCalculation/365.25,IF(OptControl=4,0,1),0)-xASN(AL13,Strike1,AE13,AP13,0,N13,0,P13,Q13,IF(OptControl=4,0,1),0),0)</f>
        <v>0</v>
      </c>
      <c r="AW13" s="324" t="n">
        <f aca="false">IF(AH13,xASN(AL13,Strike2,AE13,AQ13,0,N13,0,P13,Q13,IF(OptControl=3,1,0),0),0)</f>
        <v>0</v>
      </c>
      <c r="AX13" s="324" t="n">
        <f aca="false">IF(AH13,xASN(AL13,Strike2,AE13,AQ13,0,N13,0,P13,Q13,IF(OptControl=3,1,0),1),0)</f>
        <v>0</v>
      </c>
      <c r="AY13" s="324" t="n">
        <f aca="false">IF(AH13,xASN(AL13,Strike2,AE13,AQ13,0,N13,0,P13,Q13,IF(OptControl=3,1,0),2),0)</f>
        <v>0</v>
      </c>
      <c r="AZ13" s="324" t="n">
        <f aca="false">IF(AH13,xASN(AL13,Strike2,AE13,AQ13,0,N13,0,P13,Q13,IF(OptControl=3,1,0),3)/100,0)</f>
        <v>0</v>
      </c>
      <c r="BA13" s="324" t="n">
        <f aca="false">IF(AH13,xASN(AL13,Strike2,AE13,AQ13,0,N13,0,P13-DaysForThetaCalculation/365.25,Q13-DaysForThetaCalculation/365.25,IF(OptControl=3,1,0),0)-xASN(AL13,Strike2,AE13,AQ13,0,N13,0,P13,Q13,IF(OptControl=3,1,0),0),0)</f>
        <v>0</v>
      </c>
      <c r="BB13" s="325" t="str">
        <f aca="false">IF(AH13,IF(ProductGroup=1,IF(Product=1,BX13+PriceSpreadEuro,IF(Product=3,CK13+PriceSpreadEuro,"N/A")),"N/A"),"")</f>
        <v/>
      </c>
      <c r="BC13" s="316" t="str">
        <f aca="false">IF(AH13,Strike1/BB13-1,"")</f>
        <v/>
      </c>
      <c r="BD13" s="316" t="str">
        <f aca="false">IF(AH13,Strike2/BB13-1,"")</f>
        <v/>
      </c>
      <c r="BE13" s="326" t="str">
        <f aca="false">IF(AH13,IF(VolOverrideEuro,VolOverrideEuro,IF(ProductGroup=1,IF(Product&lt;3,DA13,DE13)+VolSpreadEuro,"N/A")),"")</f>
        <v/>
      </c>
      <c r="BF13" s="323" t="str">
        <f aca="false">IF($AH13,$BE13+IF(SkewFlag=1,IF(BC13&gt;0,$AA13*MIN(BC13/10%,1)+($Z13-$AA13)*MAX(0,MIN(BC13/10%-1,1))+($Y13-$Z13)*MAX(0,BC13/10%-2),$AB13*MIN(-BC13/10%,1)+($AC13-$AB13)*MAX(0,MIN(-BC13/10%-1,1))+($AD13-$AC13)*MAX(0,-BC13/10%-2)),0),"")</f>
        <v/>
      </c>
      <c r="BG13" s="323" t="str">
        <f aca="false">IF($AH13,$BE13+IF(SkewFlag=1,IF(BD13&gt;0,$AA13*MIN(BD13/10%,1)+($Z13-$AA13)*MAX(0,MIN(BD13/10%-1,1))+($Y13-$Z13)*MAX(0,BD13/10%-2),$AB13*MIN(-BD13/10%,1)+($AC13-$AB13)*MAX(0,MIN(-BD13/10%-1,1))+($AD13-$AC13)*MAX(0,-BD13/10%-2)),0),"")</f>
        <v/>
      </c>
      <c r="BH13" s="324" t="n">
        <f aca="false">IF(AH13,xEURO(BB13,Strike1,AE13,AE13,BF13,O13,IF(OptControl=4,0,1),0),0)</f>
        <v>0</v>
      </c>
      <c r="BI13" s="324" t="n">
        <f aca="false">IF(AH13,xEURO(BB13,Strike1,AE13,AE13,BF13,O13,IF(OptControl=4,0,1),1),0)</f>
        <v>0</v>
      </c>
      <c r="BJ13" s="324" t="n">
        <f aca="false">IF(AH13,xEURO(BB13,Strike1,AE13,AE13,BF13,O13,IF(OptControl=4,0,1),2),0)</f>
        <v>0</v>
      </c>
      <c r="BK13" s="324" t="n">
        <f aca="false">IF(AH13,xEURO(BB13,Strike1,AE13,AE13,BF13,O13,IF(OptControl=4,0,1),3)/100,0)</f>
        <v>0</v>
      </c>
      <c r="BL13" s="324" t="n">
        <f aca="false">IF(AH13,xEURO(BB13,Strike1,AE13,AE13,BF13,O13-DaysForThetaCalculation,IF(OptControl=4,0,1),0)-xEURO(BB13,Strike1,AE13,AE13,BF13,O13,IF(OptControl=4,0,1),0),0)</f>
        <v>0</v>
      </c>
      <c r="BM13" s="324" t="n">
        <f aca="false">IF(AH13,xEURO(BB13,Strike2,AE13,AE13,BG13,O13,IF(OptControl=3,1,0),0),0)</f>
        <v>0</v>
      </c>
      <c r="BN13" s="324" t="n">
        <f aca="false">IF(AH13,xEURO(BB13,Strike2,AE13,AE13,BG13,O13,IF(OptControl=3,1,0),1),0)</f>
        <v>0</v>
      </c>
      <c r="BO13" s="324" t="n">
        <f aca="false">IF(AH13,xEURO(BB13,Strike2,AE13,AE13,BG13,O13,IF(OptControl=3,1,0),2),0)</f>
        <v>0</v>
      </c>
      <c r="BP13" s="324" t="n">
        <f aca="false">IF(AH13,xEURO(BB13,Strike2,AE13,AE13,BG13,O13,IF(OptControl=3,1,0),3)/100,0)</f>
        <v>0</v>
      </c>
      <c r="BQ13" s="327" t="n">
        <f aca="false">IF(AH13,xEURO(BB13,Strike2,AE13,AE13,BG13,O13-DaysForThetaCalculation,IF(OptControl=3,1,0),0)-xEURO(BB13,Strike2,AE13,AE13,BG13,O13,IF(OptControl=3,1,0),0),0)</f>
        <v>0</v>
      </c>
      <c r="BR13" s="343"/>
      <c r="BS13" s="314" t="n">
        <v>29.337</v>
      </c>
      <c r="BT13" s="329" t="n">
        <f aca="false">BS13*100/42</f>
        <v>69.85</v>
      </c>
      <c r="BU13" s="329" t="n">
        <f aca="false">BS14-$U13</f>
        <v>11.0970952380953</v>
      </c>
      <c r="BV13" s="330" t="n">
        <v>0</v>
      </c>
      <c r="BW13" s="331" t="n">
        <f aca="false">BS14+BV14/10000*42-$V13</f>
        <v>11.0970952380953</v>
      </c>
      <c r="BX13" s="344" t="n">
        <f aca="false">BT13+BV13/100</f>
        <v>69.85</v>
      </c>
      <c r="BY13" s="332" t="n">
        <f aca="false">BX14</f>
        <v>68.45</v>
      </c>
      <c r="BZ13" s="314" t="n">
        <v>26.439</v>
      </c>
      <c r="CA13" s="329" t="n">
        <f aca="false">BZ13*100/42</f>
        <v>62.95</v>
      </c>
      <c r="CB13" s="329" t="n">
        <f aca="false">BZ13-$U13</f>
        <v>8.78709523809531</v>
      </c>
      <c r="CC13" s="331" t="n">
        <f aca="false">CB13</f>
        <v>8.78709523809531</v>
      </c>
      <c r="CD13" s="329" t="n">
        <f aca="false">($V13+CC13)*100/42</f>
        <v>62.95</v>
      </c>
      <c r="CE13" s="333" t="n">
        <f aca="false">CD13-BY13</f>
        <v>-5.5</v>
      </c>
      <c r="CF13" s="314" t="n">
        <v>28.195</v>
      </c>
      <c r="CG13" s="329" t="n">
        <f aca="false">CF13*100/42</f>
        <v>67.1309523809524</v>
      </c>
      <c r="CH13" s="329" t="n">
        <f aca="false">CF14-$U13</f>
        <v>10.6690952380953</v>
      </c>
      <c r="CI13" s="330" t="n">
        <v>0</v>
      </c>
      <c r="CJ13" s="331" t="n">
        <f aca="false">CF14+CI14/10000*42-$V13</f>
        <v>10.6690952380953</v>
      </c>
      <c r="CK13" s="344" t="n">
        <f aca="false">CG13+CI13/100</f>
        <v>67.1309523809524</v>
      </c>
      <c r="CL13" s="332" t="n">
        <f aca="false">CK14</f>
        <v>67.4309523809524</v>
      </c>
      <c r="CM13" s="314" t="n">
        <v>27.124</v>
      </c>
      <c r="CN13" s="329" t="n">
        <f aca="false">CM13*100/42</f>
        <v>64.5809523809524</v>
      </c>
      <c r="CO13" s="329" t="n">
        <f aca="false">CM13-$U13</f>
        <v>9.47209523809531</v>
      </c>
      <c r="CP13" s="331" t="n">
        <f aca="false">CO13</f>
        <v>9.47209523809531</v>
      </c>
      <c r="CQ13" s="329" t="n">
        <f aca="false">($V13+CP13)*100/42</f>
        <v>64.5809523809524</v>
      </c>
      <c r="CR13" s="333" t="n">
        <f aca="false">CQ13-CL13</f>
        <v>-2.84999999999999</v>
      </c>
      <c r="CS13" s="314" t="n">
        <v>28.573</v>
      </c>
      <c r="CT13" s="329" t="n">
        <f aca="false">CS13*100/42</f>
        <v>68.0309523809524</v>
      </c>
      <c r="CU13" s="329" t="n">
        <f aca="false">CT13-CG14</f>
        <v>0.600000000000009</v>
      </c>
      <c r="CV13" s="331" t="n">
        <f aca="false">CU13</f>
        <v>0.600000000000009</v>
      </c>
      <c r="CW13" s="333" t="n">
        <f aca="false">CL13+CV13</f>
        <v>68.0309523809524</v>
      </c>
      <c r="CX13" s="318" t="n">
        <v>0.304</v>
      </c>
      <c r="CY13" s="326" t="n">
        <f aca="false">CX13-$W13</f>
        <v>0.000250000000000028</v>
      </c>
      <c r="CZ13" s="326" t="n">
        <f aca="false">VLOOKUP(1900+$L13,ProductSpreadTable,7)</f>
        <v>-0.03</v>
      </c>
      <c r="DA13" s="365" t="n">
        <f aca="false">$W13+CZ13</f>
        <v>0.27375</v>
      </c>
      <c r="DB13" s="318" t="n">
        <v>0.296</v>
      </c>
      <c r="DC13" s="326" t="n">
        <f aca="false">DB13-$W13</f>
        <v>-0.00774999999999998</v>
      </c>
      <c r="DD13" s="345" t="n">
        <f aca="false">DE13-W13</f>
        <v>-0.00774999999999998</v>
      </c>
      <c r="DE13" s="346" t="n">
        <f aca="false">MAIN!M13</f>
        <v>0.296</v>
      </c>
      <c r="DG13" s="336"/>
      <c r="DH13" s="314" t="n">
        <v>20.205</v>
      </c>
      <c r="DI13" s="325" t="n">
        <f aca="false">DH13-$U13</f>
        <v>2.55309523809531</v>
      </c>
      <c r="DJ13" s="325" t="n">
        <f aca="false">VLOOKUP(1900+$L13,ResidSpreadTable,2)</f>
        <v>-2</v>
      </c>
      <c r="DK13" s="337" t="n">
        <f aca="false">$V13+DJ13</f>
        <v>15.6519047619047</v>
      </c>
      <c r="DL13" s="314" t="n">
        <v>19.105</v>
      </c>
      <c r="DM13" s="325" t="n">
        <f aca="false">DL13-$U13</f>
        <v>1.45309523809531</v>
      </c>
      <c r="DN13" s="325" t="n">
        <f aca="false">VLOOKUP(1900+$L13,ResidSpreadTable,3)</f>
        <v>-3</v>
      </c>
      <c r="DO13" s="337" t="n">
        <f aca="false">$V13+DN13</f>
        <v>14.6519047619047</v>
      </c>
      <c r="DP13" s="314" t="n">
        <v>18.105</v>
      </c>
      <c r="DQ13" s="325" t="n">
        <f aca="false">DP13-$U13</f>
        <v>0.453095238095312</v>
      </c>
      <c r="DR13" s="325" t="n">
        <f aca="false">VLOOKUP(1900+$L13,ResidSpreadTable,4)</f>
        <v>-6</v>
      </c>
      <c r="DS13" s="337" t="n">
        <f aca="false">$V13+DR13</f>
        <v>11.6519047619047</v>
      </c>
      <c r="DT13" s="314" t="n">
        <v>18.45</v>
      </c>
      <c r="DU13" s="325" t="n">
        <f aca="false">DT13-$U13</f>
        <v>0.798095238095311</v>
      </c>
      <c r="DV13" s="325" t="n">
        <f aca="false">VLOOKUP(1900+$L13,ResidSpreadTable,5)</f>
        <v>-5</v>
      </c>
      <c r="DW13" s="337" t="n">
        <f aca="false">$V13+DV13</f>
        <v>12.6519047619047</v>
      </c>
      <c r="DY13" s="366" t="n">
        <v>2000</v>
      </c>
      <c r="DZ13" s="367" t="n">
        <v>0.15</v>
      </c>
      <c r="EA13" s="368" t="n">
        <v>0.15</v>
      </c>
      <c r="EB13" s="367" t="n">
        <v>0.15</v>
      </c>
      <c r="EC13" s="368" t="n">
        <v>0.15</v>
      </c>
      <c r="ED13" s="369" t="n">
        <v>0.15</v>
      </c>
      <c r="EE13" s="373" t="n">
        <v>-0.03</v>
      </c>
      <c r="EF13" s="373" t="n">
        <v>0.03</v>
      </c>
    </row>
    <row r="14" customFormat="false" ht="12.75" hidden="false" customHeight="false" outlineLevel="0" collapsed="false">
      <c r="B14" s="371" t="n">
        <v>35977</v>
      </c>
      <c r="C14" s="372" t="n">
        <v>35968</v>
      </c>
      <c r="I14" s="338" t="n">
        <f aca="false">EOMONTH(I13,0)+1</f>
        <v>46174</v>
      </c>
      <c r="J14" s="307" t="n">
        <f aca="false">VLOOKUP(I14,$B$12:$C$332,2)</f>
        <v>45644</v>
      </c>
      <c r="K14" s="339" t="n">
        <f aca="false">NETWORKDAYS(I14,J15)/N14</f>
        <v>-17.2272727272727</v>
      </c>
      <c r="L14" s="309" t="n">
        <f aca="false">YEAR(I14)-1900</f>
        <v>126</v>
      </c>
      <c r="M14" s="310" t="n">
        <f aca="false">MONTH(I14)</f>
        <v>6</v>
      </c>
      <c r="N14" s="340" t="n">
        <f aca="false">NETWORKDAYS(I14,I15-1)</f>
        <v>22</v>
      </c>
      <c r="O14" s="341" t="n">
        <f aca="false">I14-DateToday-IF(EuroExpDateToggle=1,3+IF(WEEKDAY(I14-1)=7,1,IF(WEEKDAY(I14-1)&lt;5,2,0)),1+IF(WEEKDAY(I14-1)=7,1,IF(WEEKDAY(I14-1)&lt;3,2,0)))</f>
        <v>243</v>
      </c>
      <c r="P14" s="342" t="n">
        <f aca="false">(I14-DateToday+1)/365.25</f>
        <v>0.681724845995893</v>
      </c>
      <c r="Q14" s="342" t="n">
        <f aca="false">(I15-DateToday)/365.25</f>
        <v>0.761122518822724</v>
      </c>
      <c r="R14" s="314" t="n">
        <v>24.51</v>
      </c>
      <c r="S14" s="347" t="n">
        <v>0</v>
      </c>
      <c r="T14" s="316" t="n">
        <f aca="false">R14+S14/100</f>
        <v>24.51</v>
      </c>
      <c r="U14" s="325" t="n">
        <f aca="false">R15*K14+R16*(1-K14)</f>
        <v>17.5681818181818</v>
      </c>
      <c r="V14" s="337" t="n">
        <f aca="false">T15*K14+T16*(1-K14)</f>
        <v>17.5681818181818</v>
      </c>
      <c r="W14" s="318" t="n">
        <v>0.294795433925102</v>
      </c>
      <c r="X14" s="319" t="n">
        <f aca="false">IF($I14-DateToday+1&gt;=$A$10,"",IF($I14-DateToday+1&lt;$A$5,1,MATCH($I14-DateToday+1,$A$5:$A$10)))</f>
        <v>4</v>
      </c>
      <c r="Y14" s="348" t="n">
        <f aca="false">IF($X14="",Y13^2/Y12,INDEX(B$5:B$10,$X14)^((INDEX($A$5:$A$10,$X14+1)-($I14-DateToday+1))/(INDEX($A$5:$A$10,$X14+1)-INDEX($A$5:$A$10,$X14)))/INDEX(B$5:B$10,$X14+1)^((INDEX($A$5:$A$10,$X14)-($I14-DateToday+1))/(INDEX($A$5:$A$10,$X14+1)-INDEX($A$5:$A$10,$X14))))</f>
        <v>0.0132771467773172</v>
      </c>
      <c r="Z14" s="348" t="n">
        <f aca="false">IF($X14="",Z13^2/Z12,INDEX(C$5:C$10,$X14)^((INDEX($A$5:$A$10,$X14+1)-($I14-DateToday+1))/(INDEX($A$5:$A$10,$X14+1)-INDEX($A$5:$A$10,$X14)))/INDEX(C$5:C$10,$X14+1)^((INDEX($A$5:$A$10,$X14)-($I14-DateToday+1))/(INDEX($A$5:$A$10,$X14+1)-INDEX($A$5:$A$10,$X14))))</f>
        <v>0.00794121925905362</v>
      </c>
      <c r="AA14" s="348" t="n">
        <f aca="false">IF($X14="",AA13^2/AA12,INDEX(D$5:D$10,$X14)^((INDEX($A$5:$A$10,$X14+1)-($I14-DateToday+1))/(INDEX($A$5:$A$10,$X14+1)-INDEX($A$5:$A$10,$X14)))/INDEX(D$5:D$10,$X14+1)^((INDEX($A$5:$A$10,$X14)-($I14-DateToday+1))/(INDEX($A$5:$A$10,$X14+1)-INDEX($A$5:$A$10,$X14))))</f>
        <v>0.00363083261741537</v>
      </c>
      <c r="AB14" s="348" t="n">
        <f aca="false">IF($X14="",AB13^2/AB12,INDEX(E$5:E$10,$X14)^((INDEX($A$5:$A$10,$X14+1)-($I14-DateToday+1))/(INDEX($A$5:$A$10,$X14+1)-INDEX($A$5:$A$10,$X14)))/INDEX(E$5:E$10,$X14+1)^((INDEX($A$5:$A$10,$X14)-($I14-DateToday+1))/(INDEX($A$5:$A$10,$X14+1)-INDEX($A$5:$A$10,$X14))))</f>
        <v>0.00817953972051335</v>
      </c>
      <c r="AC14" s="348" t="n">
        <f aca="false">IF($X14="",AC13^2/AC12,INDEX(F$5:F$10,$X14)^((INDEX($A$5:$A$10,$X14+1)-($I14-DateToday+1))/(INDEX($A$5:$A$10,$X14+1)-INDEX($A$5:$A$10,$X14)))/INDEX(F$5:F$10,$X14+1)^((INDEX($A$5:$A$10,$X14)-($I14-DateToday+1))/(INDEX($A$5:$A$10,$X14+1)-INDEX($A$5:$A$10,$X14))))</f>
        <v>0.017889978746796</v>
      </c>
      <c r="AD14" s="348" t="n">
        <f aca="false">IF($X14="",AD13^2/AD12,INDEX(G$5:G$10,$X14)^((INDEX($A$5:$A$10,$X14+1)-($I14-DateToday+1))/(INDEX($A$5:$A$10,$X14+1)-INDEX($A$5:$A$10,$X14)))/INDEX(G$5:G$10,$X14+1)^((INDEX($A$5:$A$10,$X14)-($I14-DateToday+1))/(INDEX($A$5:$A$10,$X14+1)-INDEX($A$5:$A$10,$X14))))</f>
        <v>0.0299107562599401</v>
      </c>
      <c r="AE14" s="321" t="n">
        <v>0.066257589001871</v>
      </c>
      <c r="AF14" s="316" t="n">
        <f aca="false">(1+AE14/2)^(-2*(I15-DateToday)/365.25)</f>
        <v>0.951597811046456</v>
      </c>
      <c r="AG14" s="316" t="n">
        <f aca="false">AG13*(1+IF(AND(M14=1,L14&gt;YearStart),Escalation,0))</f>
        <v>1</v>
      </c>
      <c r="AH14" s="322" t="n">
        <f aca="false">IF(OR(DateStart&gt;=I15,DateEnd&lt;I14),0,Volume*AG14)</f>
        <v>0</v>
      </c>
      <c r="AI14" s="322" t="n">
        <f aca="false">AH14*AF14</f>
        <v>0</v>
      </c>
      <c r="AJ14" s="322" t="n">
        <f aca="false">IF(OR(DateStart2&gt;=I15,DateEnd2&lt;I14),0,VolumeSwaption*AG14)</f>
        <v>0</v>
      </c>
      <c r="AK14" s="322" t="n">
        <f aca="false">AJ14*AF14</f>
        <v>0</v>
      </c>
      <c r="AL14" s="316" t="str">
        <f aca="true">IF(AH14,OFFSET(BY14,0,HorizontalPriceOffset)+PriceSpreadAsian,"")</f>
        <v/>
      </c>
      <c r="AM14" s="316" t="str">
        <f aca="false">IF(AH14,Strike1/AL14-1,"")</f>
        <v/>
      </c>
      <c r="AN14" s="316" t="str">
        <f aca="false">IF(AH14,Strike2/AL14-1,"")</f>
        <v/>
      </c>
      <c r="AO14" s="323" t="str">
        <f aca="false">IF(AH14,IF(VolOverrideAsian,VolOverrideAsian,IF(ProductGroup=1,IF(Product&lt;3,DA15,DE15),W15)+VolSpreadAsian),"")</f>
        <v/>
      </c>
      <c r="AP14" s="323" t="str">
        <f aca="false">IF($AH14,$AO14+IF(SkewFlag=1,IF(AM14&gt;0,$AA14*MIN(AM14/10%,1)+($Z14-$AA14)*MAX(0,MIN(AM14/10%-1,1))+($Y14-$Z14)*MAX(0,AM14/10%-2),$AB14*MIN(-AM14/10%,1)+($AC14-$AB14)*MAX(0,MIN(-AM14/10%-1,1))+($AD14-$AC14)*MAX(0,-AM14/10%-2)),0),"")</f>
        <v/>
      </c>
      <c r="AQ14" s="323" t="str">
        <f aca="false">IF($AH14,$AO14+IF(SkewFlag=1,IF(AN14&gt;0,$AA14*MIN(AN14/10%,1)+($Z14-$AA14)*MAX(0,MIN(AN14/10%-1,1))+($Y14-$Z14)*MAX(0,AN14/10%-2),$AB14*MIN(-AN14/10%,1)+($AC14-$AB14)*MAX(0,MIN(-AN14/10%-1,1))+($AD14-$AC14)*MAX(0,-AN14/10%-2)),0),"")</f>
        <v/>
      </c>
      <c r="AR14" s="324" t="n">
        <f aca="false">IF(AH14,xASN(AL14,Strike1,AE14,AP14,0,N14,0,P14,Q14,IF(OptControl=4,0,1),0),0)</f>
        <v>0</v>
      </c>
      <c r="AS14" s="324" t="n">
        <f aca="false">IF(AH14,xASN(AL14,Strike1,AE14,AP14,0,N14,0,P14,Q14,IF(OptControl=4,0,1),1),0)</f>
        <v>0</v>
      </c>
      <c r="AT14" s="324" t="n">
        <f aca="false">IF(AH14,xASN(AL14,Strike1,AE14,AP14,0,N14,0,P14,Q14,IF(OptControl=4,0,1),2),0)</f>
        <v>0</v>
      </c>
      <c r="AU14" s="324" t="n">
        <f aca="false">IF(AH14,xASN(AL14,Strike1,AE14,AP14,0,N14,0,P14,Q14,IF(OptControl=4,0,1),3)/100,0)</f>
        <v>0</v>
      </c>
      <c r="AV14" s="324" t="n">
        <f aca="false">IF(AH14,xASN(AL14,Strike1,AE14,AP14,0,N14,0,P14-DaysForThetaCalculation/365.25,Q14-DaysForThetaCalculation/365.25,IF(OptControl=4,0,1),0)-xASN(AL14,Strike1,AE14,AP14,0,N14,0,P14,Q14,IF(OptControl=4,0,1),0),0)</f>
        <v>0</v>
      </c>
      <c r="AW14" s="324" t="n">
        <f aca="false">IF(AH14,xASN(AL14,Strike2,AE14,AQ14,0,N14,0,P14,Q14,IF(OptControl=3,1,0),0),0)</f>
        <v>0</v>
      </c>
      <c r="AX14" s="324" t="n">
        <f aca="false">IF(AH14,xASN(AL14,Strike2,AE14,AQ14,0,N14,0,P14,Q14,IF(OptControl=3,1,0),1),0)</f>
        <v>0</v>
      </c>
      <c r="AY14" s="324" t="n">
        <f aca="false">IF(AH14,xASN(AL14,Strike2,AE14,AQ14,0,N14,0,P14,Q14,IF(OptControl=3,1,0),2),0)</f>
        <v>0</v>
      </c>
      <c r="AZ14" s="324" t="n">
        <f aca="false">IF(AH14,xASN(AL14,Strike2,AE14,AQ14,0,N14,0,P14,Q14,IF(OptControl=3,1,0),3)/100,0)</f>
        <v>0</v>
      </c>
      <c r="BA14" s="324" t="n">
        <f aca="false">IF(AH14,xASN(AL14,Strike2,AE14,AQ14,0,N14,0,P14-DaysForThetaCalculation/365.25,Q14-DaysForThetaCalculation/365.25,IF(OptControl=3,1,0),0)-xASN(AL14,Strike2,AE14,AQ14,0,N14,0,P14,Q14,IF(OptControl=3,1,0),0),0)</f>
        <v>0</v>
      </c>
      <c r="BB14" s="325" t="str">
        <f aca="false">IF(AH14,IF(ProductGroup=1,IF(Product=1,BX14+PriceSpreadEuro,IF(Product=3,CK14+PriceSpreadEuro,"N/A")),"N/A"),"")</f>
        <v/>
      </c>
      <c r="BC14" s="316" t="str">
        <f aca="false">IF(AH14,Strike1/BB14-1,"")</f>
        <v/>
      </c>
      <c r="BD14" s="316" t="str">
        <f aca="false">IF(AH14,Strike2/BB14-1,"")</f>
        <v/>
      </c>
      <c r="BE14" s="326" t="str">
        <f aca="false">IF(AH14,IF(VolOverrideEuro,VolOverrideEuro,IF(ProductGroup=1,IF(Product&lt;3,DA14,DE14)+VolSpreadEuro,"N/A")),"")</f>
        <v/>
      </c>
      <c r="BF14" s="323" t="str">
        <f aca="false">IF($AH14,$BE14+IF(SkewFlag=1,IF(BC14&gt;0,$AA14*MIN(BC14/10%,1)+($Z14-$AA14)*MAX(0,MIN(BC14/10%-1,1))+($Y14-$Z14)*MAX(0,BC14/10%-2),$AB14*MIN(-BC14/10%,1)+($AC14-$AB14)*MAX(0,MIN(-BC14/10%-1,1))+($AD14-$AC14)*MAX(0,-BC14/10%-2)),0),"")</f>
        <v/>
      </c>
      <c r="BG14" s="323" t="str">
        <f aca="false">IF($AH14,$BE14+IF(SkewFlag=1,IF(BD14&gt;0,$AA14*MIN(BD14/10%,1)+($Z14-$AA14)*MAX(0,MIN(BD14/10%-1,1))+($Y14-$Z14)*MAX(0,BD14/10%-2),$AB14*MIN(-BD14/10%,1)+($AC14-$AB14)*MAX(0,MIN(-BD14/10%-1,1))+($AD14-$AC14)*MAX(0,-BD14/10%-2)),0),"")</f>
        <v/>
      </c>
      <c r="BH14" s="324" t="n">
        <f aca="false">IF(AH14,xEURO(BB14,Strike1,AE14,AE14,BF14,O14,IF(OptControl=4,0,1),0),0)</f>
        <v>0</v>
      </c>
      <c r="BI14" s="324" t="n">
        <f aca="false">IF(AH14,xEURO(BB14,Strike1,AE14,AE14,BF14,O14,IF(OptControl=4,0,1),1),0)</f>
        <v>0</v>
      </c>
      <c r="BJ14" s="324" t="n">
        <f aca="false">IF(AH14,xEURO(BB14,Strike1,AE14,AE14,BF14,O14,IF(OptControl=4,0,1),2),0)</f>
        <v>0</v>
      </c>
      <c r="BK14" s="324" t="n">
        <f aca="false">IF(AH14,xEURO(BB14,Strike1,AE14,AE14,BF14,O14,IF(OptControl=4,0,1),3)/100,0)</f>
        <v>0</v>
      </c>
      <c r="BL14" s="324" t="n">
        <f aca="false">IF(AH14,xEURO(BB14,Strike1,AE14,AE14,BF14,O14-DaysForThetaCalculation,IF(OptControl=4,0,1),0)-xEURO(BB14,Strike1,AE14,AE14,BF14,O14,IF(OptControl=4,0,1),0),0)</f>
        <v>0</v>
      </c>
      <c r="BM14" s="324" t="n">
        <f aca="false">IF(AH14,xEURO(BB14,Strike2,AE14,AE14,BG14,O14,IF(OptControl=3,1,0),0),0)</f>
        <v>0</v>
      </c>
      <c r="BN14" s="324" t="n">
        <f aca="false">IF(AH14,xEURO(BB14,Strike2,AE14,AE14,BG14,O14,IF(OptControl=3,1,0),1),0)</f>
        <v>0</v>
      </c>
      <c r="BO14" s="324" t="n">
        <f aca="false">IF(AH14,xEURO(BB14,Strike2,AE14,AE14,BG14,O14,IF(OptControl=3,1,0),2),0)</f>
        <v>0</v>
      </c>
      <c r="BP14" s="324" t="n">
        <f aca="false">IF(AH14,xEURO(BB14,Strike2,AE14,AE14,BG14,O14,IF(OptControl=3,1,0),3)/100,0)</f>
        <v>0</v>
      </c>
      <c r="BQ14" s="327" t="n">
        <f aca="false">IF(AH14,xEURO(BB14,Strike2,AE14,AE14,BG14,O14-DaysForThetaCalculation,IF(OptControl=3,1,0),0)-xEURO(BB14,Strike2,AE14,AE14,BG14,O14,IF(OptControl=3,1,0),0),0)</f>
        <v>0</v>
      </c>
      <c r="BR14" s="343"/>
      <c r="BS14" s="314" t="n">
        <v>28.749</v>
      </c>
      <c r="BT14" s="329" t="n">
        <f aca="false">BS14*100/42</f>
        <v>68.45</v>
      </c>
      <c r="BU14" s="329" t="n">
        <f aca="false">BS15-$U14</f>
        <v>10.9918181818182</v>
      </c>
      <c r="BV14" s="330" t="n">
        <v>0</v>
      </c>
      <c r="BW14" s="331" t="n">
        <f aca="false">BS15+BV15/10000*42-$V14</f>
        <v>10.9918181818182</v>
      </c>
      <c r="BX14" s="344" t="n">
        <f aca="false">BT14+BV14/100</f>
        <v>68.45</v>
      </c>
      <c r="BY14" s="332" t="n">
        <f aca="false">BX15</f>
        <v>68</v>
      </c>
      <c r="BZ14" s="314" t="n">
        <v>26.25</v>
      </c>
      <c r="CA14" s="329" t="n">
        <f aca="false">BZ14*100/42</f>
        <v>62.5</v>
      </c>
      <c r="CB14" s="329" t="n">
        <f aca="false">BZ14-$U14</f>
        <v>8.68181818181819</v>
      </c>
      <c r="CC14" s="331" t="n">
        <f aca="false">CB14</f>
        <v>8.68181818181819</v>
      </c>
      <c r="CD14" s="329" t="n">
        <f aca="false">($V14+CC14)*100/42</f>
        <v>62.5</v>
      </c>
      <c r="CE14" s="333" t="n">
        <f aca="false">CD14-BY14</f>
        <v>-5.5</v>
      </c>
      <c r="CF14" s="314" t="n">
        <v>28.321</v>
      </c>
      <c r="CG14" s="329" t="n">
        <f aca="false">CF14*100/42</f>
        <v>67.4309523809524</v>
      </c>
      <c r="CH14" s="329" t="n">
        <f aca="false">CF15-$U14</f>
        <v>10.7528181818182</v>
      </c>
      <c r="CI14" s="330" t="n">
        <v>0</v>
      </c>
      <c r="CJ14" s="331" t="n">
        <f aca="false">CF15+CI15/10000*42-$V14</f>
        <v>10.7528181818182</v>
      </c>
      <c r="CK14" s="344" t="n">
        <f aca="false">CG14+CI14/100</f>
        <v>67.4309523809524</v>
      </c>
      <c r="CL14" s="332" t="n">
        <f aca="false">CK15</f>
        <v>67.4309523809524</v>
      </c>
      <c r="CM14" s="314" t="n">
        <v>27.124</v>
      </c>
      <c r="CN14" s="329" t="n">
        <f aca="false">CM14*100/42</f>
        <v>64.5809523809524</v>
      </c>
      <c r="CO14" s="329" t="n">
        <f aca="false">CM14-$U14</f>
        <v>9.55581818181819</v>
      </c>
      <c r="CP14" s="331" t="n">
        <f aca="false">CO14</f>
        <v>9.55581818181819</v>
      </c>
      <c r="CQ14" s="329" t="n">
        <f aca="false">($V14+CP14)*100/42</f>
        <v>64.5809523809524</v>
      </c>
      <c r="CR14" s="333" t="n">
        <f aca="false">CQ14-CL14</f>
        <v>-2.84999999999999</v>
      </c>
      <c r="CS14" s="314" t="n">
        <v>28.573</v>
      </c>
      <c r="CT14" s="329" t="n">
        <f aca="false">CS14*100/42</f>
        <v>68.0309523809524</v>
      </c>
      <c r="CU14" s="329" t="n">
        <f aca="false">CT14-CG15</f>
        <v>0.600000000000009</v>
      </c>
      <c r="CV14" s="331" t="n">
        <f aca="false">CU14</f>
        <v>0.600000000000009</v>
      </c>
      <c r="CW14" s="333" t="n">
        <f aca="false">CL14+CV14</f>
        <v>68.0309523809524</v>
      </c>
      <c r="CX14" s="318" t="n">
        <v>0.295</v>
      </c>
      <c r="CY14" s="326" t="n">
        <f aca="false">CX14-$W14</f>
        <v>0.000204566074897938</v>
      </c>
      <c r="CZ14" s="326" t="n">
        <f aca="false">VLOOKUP(1900+$L14,ProductSpreadTable,7)</f>
        <v>-0.03</v>
      </c>
      <c r="DA14" s="365" t="n">
        <f aca="false">$W14+CZ14</f>
        <v>0.264795433925102</v>
      </c>
      <c r="DB14" s="318" t="n">
        <v>0.293</v>
      </c>
      <c r="DC14" s="326" t="n">
        <f aca="false">DB14-$W14</f>
        <v>-0.00179543392510201</v>
      </c>
      <c r="DD14" s="345" t="n">
        <f aca="false">DE14-W14</f>
        <v>-0.00179543392510201</v>
      </c>
      <c r="DE14" s="346" t="n">
        <f aca="false">MAIN!M14</f>
        <v>0.293</v>
      </c>
      <c r="DG14" s="336"/>
      <c r="DH14" s="314" t="n">
        <v>19.854</v>
      </c>
      <c r="DI14" s="325" t="n">
        <f aca="false">DH14-$U14</f>
        <v>2.28581818181819</v>
      </c>
      <c r="DJ14" s="325" t="n">
        <f aca="false">VLOOKUP(1900+$L14,ResidSpreadTable,2)</f>
        <v>-2</v>
      </c>
      <c r="DK14" s="337" t="n">
        <f aca="false">$V14+DJ14</f>
        <v>15.5681818181818</v>
      </c>
      <c r="DL14" s="314" t="n">
        <v>18.754</v>
      </c>
      <c r="DM14" s="325" t="n">
        <f aca="false">DL14-$U14</f>
        <v>1.18581818181819</v>
      </c>
      <c r="DN14" s="325" t="n">
        <f aca="false">VLOOKUP(1900+$L14,ResidSpreadTable,3)</f>
        <v>-3</v>
      </c>
      <c r="DO14" s="337" t="n">
        <f aca="false">$V14+DN14</f>
        <v>14.5681818181818</v>
      </c>
      <c r="DP14" s="314" t="n">
        <v>17.754</v>
      </c>
      <c r="DQ14" s="325" t="n">
        <f aca="false">DP14-$U14</f>
        <v>0.185818181818188</v>
      </c>
      <c r="DR14" s="325" t="n">
        <f aca="false">VLOOKUP(1900+$L14,ResidSpreadTable,4)</f>
        <v>-6</v>
      </c>
      <c r="DS14" s="337" t="n">
        <f aca="false">$V14+DR14</f>
        <v>11.5681818181818</v>
      </c>
      <c r="DT14" s="314" t="n">
        <v>18.45</v>
      </c>
      <c r="DU14" s="325" t="n">
        <f aca="false">DT14-$U14</f>
        <v>0.881818181818186</v>
      </c>
      <c r="DV14" s="325" t="n">
        <f aca="false">VLOOKUP(1900+$L14,ResidSpreadTable,5)</f>
        <v>-5</v>
      </c>
      <c r="DW14" s="337" t="n">
        <f aca="false">$V14+DV14</f>
        <v>12.5681818181818</v>
      </c>
      <c r="DY14" s="366" t="n">
        <v>2001</v>
      </c>
      <c r="DZ14" s="367" t="n">
        <v>0.15</v>
      </c>
      <c r="EA14" s="368" t="n">
        <v>0.15</v>
      </c>
      <c r="EB14" s="367" t="n">
        <v>0.15</v>
      </c>
      <c r="EC14" s="368" t="n">
        <v>0.15</v>
      </c>
      <c r="ED14" s="369" t="n">
        <v>0.15</v>
      </c>
      <c r="EE14" s="373" t="n">
        <v>-0.03</v>
      </c>
      <c r="EF14" s="373" t="n">
        <v>0.03</v>
      </c>
    </row>
    <row r="15" customFormat="false" ht="12.75" hidden="false" customHeight="false" outlineLevel="0" collapsed="false">
      <c r="B15" s="371" t="n">
        <v>36008</v>
      </c>
      <c r="C15" s="372" t="n">
        <v>35997</v>
      </c>
      <c r="I15" s="338" t="n">
        <f aca="false">EOMONTH(I14,0)+1</f>
        <v>46204</v>
      </c>
      <c r="J15" s="307" t="n">
        <f aca="false">VLOOKUP(I15,$B$12:$C$332,2)</f>
        <v>45644</v>
      </c>
      <c r="K15" s="339" t="n">
        <f aca="false">NETWORKDAYS(I15,J16)/N15</f>
        <v>-17.4347826086957</v>
      </c>
      <c r="L15" s="309" t="n">
        <f aca="false">YEAR(I15)-1900</f>
        <v>126</v>
      </c>
      <c r="M15" s="310" t="n">
        <f aca="false">MONTH(I15)</f>
        <v>7</v>
      </c>
      <c r="N15" s="340" t="n">
        <f aca="false">NETWORKDAYS(I15,I16-1)</f>
        <v>23</v>
      </c>
      <c r="O15" s="341" t="n">
        <f aca="false">I15-DateToday-IF(EuroExpDateToggle=1,3+IF(WEEKDAY(I15-1)=7,1,IF(WEEKDAY(I15-1)&lt;5,2,0)),1+IF(WEEKDAY(I15-1)=7,1,IF(WEEKDAY(I15-1)&lt;3,2,0)))</f>
        <v>273</v>
      </c>
      <c r="P15" s="342" t="n">
        <f aca="false">(I15-DateToday+1)/365.25</f>
        <v>0.763860369609856</v>
      </c>
      <c r="Q15" s="342" t="n">
        <f aca="false">(I16-DateToday)/365.25</f>
        <v>0.845995893223819</v>
      </c>
      <c r="R15" s="314" t="n">
        <v>24.13</v>
      </c>
      <c r="S15" s="347" t="n">
        <v>0</v>
      </c>
      <c r="T15" s="316" t="n">
        <f aca="false">R15+S15/100</f>
        <v>24.13</v>
      </c>
      <c r="U15" s="325" t="n">
        <f aca="false">R16*K15+R17*(1-K15)</f>
        <v>17.5021739130435</v>
      </c>
      <c r="V15" s="337" t="n">
        <f aca="false">T16*K15+T17*(1-K15)</f>
        <v>17.5021739130435</v>
      </c>
      <c r="W15" s="318" t="n">
        <v>0.286038157789563</v>
      </c>
      <c r="X15" s="319" t="n">
        <f aca="false">IF($I15-DateToday+1&gt;=$A$10,"",IF($I15-DateToday+1&lt;$A$5,1,MATCH($I15-DateToday+1,$A$5:$A$10)))</f>
        <v>4</v>
      </c>
      <c r="Y15" s="348" t="n">
        <f aca="false">IF($X15="",Y14^2/Y13,INDEX(B$5:B$10,$X15)^((INDEX($A$5:$A$10,$X15+1)-($I15-DateToday+1))/(INDEX($A$5:$A$10,$X15+1)-INDEX($A$5:$A$10,$X15)))/INDEX(B$5:B$10,$X15+1)^((INDEX($A$5:$A$10,$X15)-($I15-DateToday+1))/(INDEX($A$5:$A$10,$X15+1)-INDEX($A$5:$A$10,$X15))))</f>
        <v>0.0128797633070629</v>
      </c>
      <c r="Z15" s="348" t="n">
        <f aca="false">IF($X15="",Z14^2/Z13,INDEX(C$5:C$10,$X15)^((INDEX($A$5:$A$10,$X15+1)-($I15-DateToday+1))/(INDEX($A$5:$A$10,$X15+1)-INDEX($A$5:$A$10,$X15)))/INDEX(C$5:C$10,$X15+1)^((INDEX($A$5:$A$10,$X15)-($I15-DateToday+1))/(INDEX($A$5:$A$10,$X15+1)-INDEX($A$5:$A$10,$X15))))</f>
        <v>0.0076318604717133</v>
      </c>
      <c r="AA15" s="348" t="n">
        <f aca="false">IF($X15="",AA14^2/AA13,INDEX(D$5:D$10,$X15)^((INDEX($A$5:$A$10,$X15+1)-($I15-DateToday+1))/(INDEX($A$5:$A$10,$X15+1)-INDEX($A$5:$A$10,$X15)))/INDEX(D$5:D$10,$X15+1)^((INDEX($A$5:$A$10,$X15)-($I15-DateToday+1))/(INDEX($A$5:$A$10,$X15+1)-INDEX($A$5:$A$10,$X15))))</f>
        <v>0.00349827993753811</v>
      </c>
      <c r="AB15" s="348" t="n">
        <f aca="false">IF($X15="",AB14^2/AB13,INDEX(E$5:E$10,$X15)^((INDEX($A$5:$A$10,$X15+1)-($I15-DateToday+1))/(INDEX($A$5:$A$10,$X15+1)-INDEX($A$5:$A$10,$X15)))/INDEX(E$5:E$10,$X15+1)^((INDEX($A$5:$A$10,$X15)-($I15-DateToday+1))/(INDEX($A$5:$A$10,$X15+1)-INDEX($A$5:$A$10,$X15))))</f>
        <v>0.00788092504328586</v>
      </c>
      <c r="AC15" s="348" t="n">
        <f aca="false">IF($X15="",AC14^2/AC13,INDEX(F$5:F$10,$X15)^((INDEX($A$5:$A$10,$X15+1)-($I15-DateToday+1))/(INDEX($A$5:$A$10,$X15+1)-INDEX($A$5:$A$10,$X15)))/INDEX(F$5:F$10,$X15+1)^((INDEX($A$5:$A$10,$X15)-($I15-DateToday+1))/(INDEX($A$5:$A$10,$X15+1)-INDEX($A$5:$A$10,$X15))))</f>
        <v>0.0171930552706757</v>
      </c>
      <c r="AD15" s="348" t="n">
        <f aca="false">IF($X15="",AD14^2/AD13,INDEX(G$5:G$10,$X15)^((INDEX($A$5:$A$10,$X15+1)-($I15-DateToday+1))/(INDEX($A$5:$A$10,$X15+1)-INDEX($A$5:$A$10,$X15)))/INDEX(G$5:G$10,$X15+1)^((INDEX($A$5:$A$10,$X15)-($I15-DateToday+1))/(INDEX($A$5:$A$10,$X15+1)-INDEX($A$5:$A$10,$X15))))</f>
        <v>0.0290155307781513</v>
      </c>
      <c r="AE15" s="321" t="n">
        <v>0.066788288216497</v>
      </c>
      <c r="AF15" s="316" t="n">
        <f aca="false">(1+AE15/2)^(-2*(I16-DateToday)/365.25)</f>
        <v>0.945936648225109</v>
      </c>
      <c r="AG15" s="316" t="n">
        <f aca="false">AG14*(1+IF(AND(M15=1,L15&gt;YearStart),Escalation,0))</f>
        <v>1</v>
      </c>
      <c r="AH15" s="322" t="n">
        <f aca="false">IF(OR(DateStart&gt;=I16,DateEnd&lt;I15),0,Volume*AG15)</f>
        <v>0</v>
      </c>
      <c r="AI15" s="322" t="n">
        <f aca="false">AH15*AF15</f>
        <v>0</v>
      </c>
      <c r="AJ15" s="322" t="n">
        <f aca="false">IF(OR(DateStart2&gt;=I16,DateEnd2&lt;I15),0,VolumeSwaption*AG15)</f>
        <v>0</v>
      </c>
      <c r="AK15" s="322" t="n">
        <f aca="false">AJ15*AF15</f>
        <v>0</v>
      </c>
      <c r="AL15" s="316" t="str">
        <f aca="true">IF(AH15,OFFSET(BY15,0,HorizontalPriceOffset)+PriceSpreadAsian,"")</f>
        <v/>
      </c>
      <c r="AM15" s="316" t="str">
        <f aca="false">IF(AH15,Strike1/AL15-1,"")</f>
        <v/>
      </c>
      <c r="AN15" s="316" t="str">
        <f aca="false">IF(AH15,Strike2/AL15-1,"")</f>
        <v/>
      </c>
      <c r="AO15" s="323" t="str">
        <f aca="false">IF(AH15,IF(VolOverrideAsian,VolOverrideAsian,IF(ProductGroup=1,IF(Product&lt;3,DA16,DE16),W16)+VolSpreadAsian),"")</f>
        <v/>
      </c>
      <c r="AP15" s="323" t="str">
        <f aca="false">IF($AH15,$AO15+IF(SkewFlag=1,IF(AM15&gt;0,$AA15*MIN(AM15/10%,1)+($Z15-$AA15)*MAX(0,MIN(AM15/10%-1,1))+($Y15-$Z15)*MAX(0,AM15/10%-2),$AB15*MIN(-AM15/10%,1)+($AC15-$AB15)*MAX(0,MIN(-AM15/10%-1,1))+($AD15-$AC15)*MAX(0,-AM15/10%-2)),0),"")</f>
        <v/>
      </c>
      <c r="AQ15" s="323" t="str">
        <f aca="false">IF($AH15,$AO15+IF(SkewFlag=1,IF(AN15&gt;0,$AA15*MIN(AN15/10%,1)+($Z15-$AA15)*MAX(0,MIN(AN15/10%-1,1))+($Y15-$Z15)*MAX(0,AN15/10%-2),$AB15*MIN(-AN15/10%,1)+($AC15-$AB15)*MAX(0,MIN(-AN15/10%-1,1))+($AD15-$AC15)*MAX(0,-AN15/10%-2)),0),"")</f>
        <v/>
      </c>
      <c r="AR15" s="324" t="n">
        <f aca="false">IF(AH15,xASN(AL15,Strike1,AE15,AP15,0,N15,0,P15,Q15,IF(OptControl=4,0,1),0),0)</f>
        <v>0</v>
      </c>
      <c r="AS15" s="324" t="n">
        <f aca="false">IF(AH15,xASN(AL15,Strike1,AE15,AP15,0,N15,0,P15,Q15,IF(OptControl=4,0,1),1),0)</f>
        <v>0</v>
      </c>
      <c r="AT15" s="324" t="n">
        <f aca="false">IF(AH15,xASN(AL15,Strike1,AE15,AP15,0,N15,0,P15,Q15,IF(OptControl=4,0,1),2),0)</f>
        <v>0</v>
      </c>
      <c r="AU15" s="324" t="n">
        <f aca="false">IF(AH15,xASN(AL15,Strike1,AE15,AP15,0,N15,0,P15,Q15,IF(OptControl=4,0,1),3)/100,0)</f>
        <v>0</v>
      </c>
      <c r="AV15" s="324" t="n">
        <f aca="false">IF(AH15,xASN(AL15,Strike1,AE15,AP15,0,N15,0,P15-DaysForThetaCalculation/365.25,Q15-DaysForThetaCalculation/365.25,IF(OptControl=4,0,1),0)-xASN(AL15,Strike1,AE15,AP15,0,N15,0,P15,Q15,IF(OptControl=4,0,1),0),0)</f>
        <v>0</v>
      </c>
      <c r="AW15" s="324" t="n">
        <f aca="false">IF(AH15,xASN(AL15,Strike2,AE15,AQ15,0,N15,0,P15,Q15,IF(OptControl=3,1,0),0),0)</f>
        <v>0</v>
      </c>
      <c r="AX15" s="324" t="n">
        <f aca="false">IF(AH15,xASN(AL15,Strike2,AE15,AQ15,0,N15,0,P15,Q15,IF(OptControl=3,1,0),1),0)</f>
        <v>0</v>
      </c>
      <c r="AY15" s="324" t="n">
        <f aca="false">IF(AH15,xASN(AL15,Strike2,AE15,AQ15,0,N15,0,P15,Q15,IF(OptControl=3,1,0),2),0)</f>
        <v>0</v>
      </c>
      <c r="AZ15" s="324" t="n">
        <f aca="false">IF(AH15,xASN(AL15,Strike2,AE15,AQ15,0,N15,0,P15,Q15,IF(OptControl=3,1,0),3)/100,0)</f>
        <v>0</v>
      </c>
      <c r="BA15" s="324" t="n">
        <f aca="false">IF(AH15,xASN(AL15,Strike2,AE15,AQ15,0,N15,0,P15-DaysForThetaCalculation/365.25,Q15-DaysForThetaCalculation/365.25,IF(OptControl=3,1,0),0)-xASN(AL15,Strike2,AE15,AQ15,0,N15,0,P15,Q15,IF(OptControl=3,1,0),0),0)</f>
        <v>0</v>
      </c>
      <c r="BB15" s="325" t="str">
        <f aca="false">IF(AH15,IF(ProductGroup=1,IF(Product=1,BX15+PriceSpreadEuro,IF(Product=3,CK15+PriceSpreadEuro,"N/A")),"N/A"),"")</f>
        <v/>
      </c>
      <c r="BC15" s="316" t="str">
        <f aca="false">IF(AH15,Strike1/BB15-1,"")</f>
        <v/>
      </c>
      <c r="BD15" s="316" t="str">
        <f aca="false">IF(AH15,Strike2/BB15-1,"")</f>
        <v/>
      </c>
      <c r="BE15" s="326" t="str">
        <f aca="false">IF(AH15,IF(VolOverrideEuro,VolOverrideEuro,IF(ProductGroup=1,IF(Product&lt;3,DA15,DE15)+VolSpreadEuro,"N/A")),"")</f>
        <v/>
      </c>
      <c r="BF15" s="323" t="str">
        <f aca="false">IF($AH15,$BE15+IF(SkewFlag=1,IF(BC15&gt;0,$AA15*MIN(BC15/10%,1)+($Z15-$AA15)*MAX(0,MIN(BC15/10%-1,1))+($Y15-$Z15)*MAX(0,BC15/10%-2),$AB15*MIN(-BC15/10%,1)+($AC15-$AB15)*MAX(0,MIN(-BC15/10%-1,1))+($AD15-$AC15)*MAX(0,-BC15/10%-2)),0),"")</f>
        <v/>
      </c>
      <c r="BG15" s="323" t="str">
        <f aca="false">IF($AH15,$BE15+IF(SkewFlag=1,IF(BD15&gt;0,$AA15*MIN(BD15/10%,1)+($Z15-$AA15)*MAX(0,MIN(BD15/10%-1,1))+($Y15-$Z15)*MAX(0,BD15/10%-2),$AB15*MIN(-BD15/10%,1)+($AC15-$AB15)*MAX(0,MIN(-BD15/10%-1,1))+($AD15-$AC15)*MAX(0,-BD15/10%-2)),0),"")</f>
        <v/>
      </c>
      <c r="BH15" s="324" t="n">
        <f aca="false">IF(AH15,xEURO(BB15,Strike1,AE15,AE15,BF15,O15,IF(OptControl=4,0,1),0),0)</f>
        <v>0</v>
      </c>
      <c r="BI15" s="324" t="n">
        <f aca="false">IF(AH15,xEURO(BB15,Strike1,AE15,AE15,BF15,O15,IF(OptControl=4,0,1),1),0)</f>
        <v>0</v>
      </c>
      <c r="BJ15" s="324" t="n">
        <f aca="false">IF(AH15,xEURO(BB15,Strike1,AE15,AE15,BF15,O15,IF(OptControl=4,0,1),2),0)</f>
        <v>0</v>
      </c>
      <c r="BK15" s="324" t="n">
        <f aca="false">IF(AH15,xEURO(BB15,Strike1,AE15,AE15,BF15,O15,IF(OptControl=4,0,1),3)/100,0)</f>
        <v>0</v>
      </c>
      <c r="BL15" s="324" t="n">
        <f aca="false">IF(AH15,xEURO(BB15,Strike1,AE15,AE15,BF15,O15-DaysForThetaCalculation,IF(OptControl=4,0,1),0)-xEURO(BB15,Strike1,AE15,AE15,BF15,O15,IF(OptControl=4,0,1),0),0)</f>
        <v>0</v>
      </c>
      <c r="BM15" s="324" t="n">
        <f aca="false">IF(AH15,xEURO(BB15,Strike2,AE15,AE15,BG15,O15,IF(OptControl=3,1,0),0),0)</f>
        <v>0</v>
      </c>
      <c r="BN15" s="324" t="n">
        <f aca="false">IF(AH15,xEURO(BB15,Strike2,AE15,AE15,BG15,O15,IF(OptControl=3,1,0),1),0)</f>
        <v>0</v>
      </c>
      <c r="BO15" s="324" t="n">
        <f aca="false">IF(AH15,xEURO(BB15,Strike2,AE15,AE15,BG15,O15,IF(OptControl=3,1,0),2),0)</f>
        <v>0</v>
      </c>
      <c r="BP15" s="324" t="n">
        <f aca="false">IF(AH15,xEURO(BB15,Strike2,AE15,AE15,BG15,O15,IF(OptControl=3,1,0),3)/100,0)</f>
        <v>0</v>
      </c>
      <c r="BQ15" s="327" t="n">
        <f aca="false">IF(AH15,xEURO(BB15,Strike2,AE15,AE15,BG15,O15-DaysForThetaCalculation,IF(OptControl=3,1,0),0)-xEURO(BB15,Strike2,AE15,AE15,BG15,O15,IF(OptControl=3,1,0),0),0)</f>
        <v>0</v>
      </c>
      <c r="BR15" s="343"/>
      <c r="BS15" s="314" t="n">
        <v>28.56</v>
      </c>
      <c r="BT15" s="329" t="n">
        <f aca="false">BS15*100/42</f>
        <v>68</v>
      </c>
      <c r="BU15" s="329" t="n">
        <f aca="false">BS16-$U15</f>
        <v>10.9738260869565</v>
      </c>
      <c r="BV15" s="330" t="n">
        <v>0</v>
      </c>
      <c r="BW15" s="331" t="n">
        <f aca="false">BS16+BV16/10000*42-$V15</f>
        <v>10.9738260869565</v>
      </c>
      <c r="BX15" s="344" t="n">
        <f aca="false">BT15+BV15/100</f>
        <v>68</v>
      </c>
      <c r="BY15" s="332" t="n">
        <f aca="false">BX16</f>
        <v>67.8</v>
      </c>
      <c r="BZ15" s="314" t="n">
        <v>26.964</v>
      </c>
      <c r="CA15" s="329" t="n">
        <f aca="false">BZ15*100/42</f>
        <v>64.2</v>
      </c>
      <c r="CB15" s="329" t="n">
        <f aca="false">BZ15-$U15</f>
        <v>9.46182608695654</v>
      </c>
      <c r="CC15" s="331" t="n">
        <f aca="false">CB15</f>
        <v>9.46182608695654</v>
      </c>
      <c r="CD15" s="329" t="n">
        <f aca="false">($V15+CC15)*100/42</f>
        <v>64.2</v>
      </c>
      <c r="CE15" s="333" t="n">
        <f aca="false">CD15-BY15</f>
        <v>-3.59999999999999</v>
      </c>
      <c r="CF15" s="314" t="n">
        <v>28.321</v>
      </c>
      <c r="CG15" s="329" t="n">
        <f aca="false">CF15*100/42</f>
        <v>67.4309523809524</v>
      </c>
      <c r="CH15" s="329" t="n">
        <f aca="false">CF16-$U15</f>
        <v>10.2938260869565</v>
      </c>
      <c r="CI15" s="330" t="n">
        <v>0</v>
      </c>
      <c r="CJ15" s="331" t="n">
        <f aca="false">CF16+CI16/10000*42-$V15</f>
        <v>10.2938260869565</v>
      </c>
      <c r="CK15" s="344" t="n">
        <f aca="false">CG15+CI15/100</f>
        <v>67.4309523809524</v>
      </c>
      <c r="CL15" s="332" t="n">
        <f aca="false">CK16</f>
        <v>66.1809523809524</v>
      </c>
      <c r="CM15" s="314" t="n">
        <v>26.683</v>
      </c>
      <c r="CN15" s="329" t="n">
        <f aca="false">CM15*100/42</f>
        <v>63.5309523809524</v>
      </c>
      <c r="CO15" s="329" t="n">
        <f aca="false">CM15-$U15</f>
        <v>9.18082608695654</v>
      </c>
      <c r="CP15" s="331" t="n">
        <f aca="false">CO15</f>
        <v>9.18082608695654</v>
      </c>
      <c r="CQ15" s="329" t="n">
        <f aca="false">($V15+CP15)*100/42</f>
        <v>63.5309523809524</v>
      </c>
      <c r="CR15" s="333" t="n">
        <f aca="false">CQ15-CL15</f>
        <v>-2.64999999999999</v>
      </c>
      <c r="CS15" s="314" t="n">
        <v>28.048</v>
      </c>
      <c r="CT15" s="329" t="n">
        <f aca="false">CS15*100/42</f>
        <v>66.7809523809524</v>
      </c>
      <c r="CU15" s="329" t="n">
        <f aca="false">CT15-CG16</f>
        <v>0.600000000000009</v>
      </c>
      <c r="CV15" s="331" t="n">
        <f aca="false">CU15</f>
        <v>0.600000000000009</v>
      </c>
      <c r="CW15" s="333" t="n">
        <f aca="false">CL15+CV15</f>
        <v>66.7809523809524</v>
      </c>
      <c r="CX15" s="318" t="n">
        <v>0.286</v>
      </c>
      <c r="CY15" s="326" t="n">
        <f aca="false">CX15-$W15</f>
        <v>-3.81577895629537E-005</v>
      </c>
      <c r="CZ15" s="326" t="n">
        <f aca="false">VLOOKUP(1900+$L15,ProductSpreadTable,7)</f>
        <v>-0.03</v>
      </c>
      <c r="DA15" s="365" t="n">
        <f aca="false">$W15+CZ15</f>
        <v>0.256038157789563</v>
      </c>
      <c r="DB15" s="318" t="n">
        <v>0.306</v>
      </c>
      <c r="DC15" s="326" t="n">
        <f aca="false">DB15-$W15</f>
        <v>0.019961842210437</v>
      </c>
      <c r="DD15" s="345" t="n">
        <f aca="false">DE15-W15</f>
        <v>0.019961842210437</v>
      </c>
      <c r="DE15" s="346" t="n">
        <f aca="false">MAIN!M15</f>
        <v>0.306</v>
      </c>
      <c r="DG15" s="336"/>
      <c r="DH15" s="314" t="n">
        <v>19.512</v>
      </c>
      <c r="DI15" s="325" t="n">
        <f aca="false">DH15-$U15</f>
        <v>2.00982608695654</v>
      </c>
      <c r="DJ15" s="325" t="n">
        <f aca="false">VLOOKUP(1900+$L15,ResidSpreadTable,2)</f>
        <v>-2</v>
      </c>
      <c r="DK15" s="337" t="n">
        <f aca="false">$V15+DJ15</f>
        <v>15.5021739130435</v>
      </c>
      <c r="DL15" s="314" t="n">
        <v>18.412</v>
      </c>
      <c r="DM15" s="325" t="n">
        <f aca="false">DL15-$U15</f>
        <v>0.909826086956539</v>
      </c>
      <c r="DN15" s="325" t="n">
        <f aca="false">VLOOKUP(1900+$L15,ResidSpreadTable,3)</f>
        <v>-3</v>
      </c>
      <c r="DO15" s="337" t="n">
        <f aca="false">$V15+DN15</f>
        <v>14.5021739130435</v>
      </c>
      <c r="DP15" s="314" t="n">
        <v>17.662</v>
      </c>
      <c r="DQ15" s="325" t="n">
        <f aca="false">DP15-$U15</f>
        <v>0.159826086956539</v>
      </c>
      <c r="DR15" s="325" t="n">
        <f aca="false">VLOOKUP(1900+$L15,ResidSpreadTable,4)</f>
        <v>-6</v>
      </c>
      <c r="DS15" s="337" t="n">
        <f aca="false">$V15+DR15</f>
        <v>11.5021739130435</v>
      </c>
      <c r="DT15" s="314" t="n">
        <v>18.212</v>
      </c>
      <c r="DU15" s="325" t="n">
        <f aca="false">DT15-$U15</f>
        <v>0.709826086956536</v>
      </c>
      <c r="DV15" s="325" t="n">
        <f aca="false">VLOOKUP(1900+$L15,ResidSpreadTable,5)</f>
        <v>-5</v>
      </c>
      <c r="DW15" s="337" t="n">
        <f aca="false">$V15+DV15</f>
        <v>12.5021739130435</v>
      </c>
      <c r="DY15" s="366" t="n">
        <v>2002</v>
      </c>
      <c r="DZ15" s="367" t="n">
        <v>0.15</v>
      </c>
      <c r="EA15" s="368" t="n">
        <v>0.15</v>
      </c>
      <c r="EB15" s="367" t="n">
        <v>0.15</v>
      </c>
      <c r="EC15" s="368" t="n">
        <v>0.15</v>
      </c>
      <c r="ED15" s="369" t="n">
        <v>0.15</v>
      </c>
      <c r="EE15" s="373" t="n">
        <v>-0.03</v>
      </c>
      <c r="EF15" s="373" t="n">
        <v>0.03</v>
      </c>
    </row>
    <row r="16" customFormat="false" ht="12.75" hidden="false" customHeight="false" outlineLevel="0" collapsed="false">
      <c r="B16" s="371" t="n">
        <v>36039</v>
      </c>
      <c r="C16" s="372" t="n">
        <v>36027</v>
      </c>
      <c r="I16" s="338" t="n">
        <f aca="false">EOMONTH(I15,0)+1</f>
        <v>46235</v>
      </c>
      <c r="J16" s="307" t="n">
        <f aca="false">VLOOKUP(I16,$B$12:$C$332,2)</f>
        <v>45644</v>
      </c>
      <c r="K16" s="339" t="n">
        <f aca="false">NETWORKDAYS(I16,J17)/N16</f>
        <v>-20.1428571428571</v>
      </c>
      <c r="L16" s="309" t="n">
        <f aca="false">YEAR(I16)-1900</f>
        <v>126</v>
      </c>
      <c r="M16" s="310" t="n">
        <f aca="false">MONTH(I16)</f>
        <v>8</v>
      </c>
      <c r="N16" s="340" t="n">
        <f aca="false">NETWORKDAYS(I16,I17-1)</f>
        <v>21</v>
      </c>
      <c r="O16" s="341" t="n">
        <f aca="false">I16-DateToday-IF(EuroExpDateToggle=1,3+IF(WEEKDAY(I16-1)=7,1,IF(WEEKDAY(I16-1)&lt;5,2,0)),1+IF(WEEKDAY(I16-1)=7,1,IF(WEEKDAY(I16-1)&lt;3,2,0)))</f>
        <v>306</v>
      </c>
      <c r="P16" s="342" t="n">
        <f aca="false">(I16-DateToday+1)/365.25</f>
        <v>0.848733744010951</v>
      </c>
      <c r="Q16" s="342" t="n">
        <f aca="false">(I17-DateToday)/365.25</f>
        <v>0.930869267624914</v>
      </c>
      <c r="R16" s="314" t="n">
        <v>23.77</v>
      </c>
      <c r="S16" s="347" t="n">
        <v>0</v>
      </c>
      <c r="T16" s="316" t="n">
        <f aca="false">R16+S16/100</f>
        <v>23.77</v>
      </c>
      <c r="U16" s="325" t="n">
        <f aca="false">R17*K16+R18*(1-K16)</f>
        <v>16.2414285714286</v>
      </c>
      <c r="V16" s="337" t="n">
        <f aca="false">T17*K16+T18*(1-K16)</f>
        <v>16.2414285714286</v>
      </c>
      <c r="W16" s="318" t="n">
        <v>0.278547011280256</v>
      </c>
      <c r="X16" s="319" t="n">
        <f aca="false">IF($I16-DateToday+1&gt;=$A$10,"",IF($I16-DateToday+1&lt;$A$5,1,MATCH($I16-DateToday+1,$A$5:$A$10)))</f>
        <v>4</v>
      </c>
      <c r="Y16" s="348" t="n">
        <f aca="false">IF($X16="",Y15^2/Y14,INDEX(B$5:B$10,$X16)^((INDEX($A$5:$A$10,$X16+1)-($I16-DateToday+1))/(INDEX($A$5:$A$10,$X16+1)-INDEX($A$5:$A$10,$X16)))/INDEX(B$5:B$10,$X16+1)^((INDEX($A$5:$A$10,$X16)-($I16-DateToday+1))/(INDEX($A$5:$A$10,$X16+1)-INDEX($A$5:$A$10,$X16))))</f>
        <v>0.012481624466513</v>
      </c>
      <c r="Z16" s="348" t="n">
        <f aca="false">IF($X16="",Z15^2/Z14,INDEX(C$5:C$10,$X16)^((INDEX($A$5:$A$10,$X16+1)-($I16-DateToday+1))/(INDEX($A$5:$A$10,$X16+1)-INDEX($A$5:$A$10,$X16)))/INDEX(C$5:C$10,$X16+1)^((INDEX($A$5:$A$10,$X16)-($I16-DateToday+1))/(INDEX($A$5:$A$10,$X16+1)-INDEX($A$5:$A$10,$X16))))</f>
        <v>0.00732484486405814</v>
      </c>
      <c r="AA16" s="348" t="n">
        <f aca="false">IF($X16="",AA15^2/AA14,INDEX(D$5:D$10,$X16)^((INDEX($A$5:$A$10,$X16+1)-($I16-DateToday+1))/(INDEX($A$5:$A$10,$X16+1)-INDEX($A$5:$A$10,$X16)))/INDEX(D$5:D$10,$X16+1)^((INDEX($A$5:$A$10,$X16)-($I16-DateToday+1))/(INDEX($A$5:$A$10,$X16+1)-INDEX($A$5:$A$10,$X16))))</f>
        <v>0.00336639057030677</v>
      </c>
      <c r="AB16" s="348" t="n">
        <f aca="false">IF($X16="",AB15^2/AB14,INDEX(E$5:E$10,$X16)^((INDEX($A$5:$A$10,$X16+1)-($I16-DateToday+1))/(INDEX($A$5:$A$10,$X16+1)-INDEX($A$5:$A$10,$X16)))/INDEX(E$5:E$10,$X16+1)^((INDEX($A$5:$A$10,$X16)-($I16-DateToday+1))/(INDEX($A$5:$A$10,$X16+1)-INDEX($A$5:$A$10,$X16))))</f>
        <v>0.00758380467678709</v>
      </c>
      <c r="AC16" s="348" t="n">
        <f aca="false">IF($X16="",AC15^2/AC14,INDEX(F$5:F$10,$X16)^((INDEX($A$5:$A$10,$X16+1)-($I16-DateToday+1))/(INDEX($A$5:$A$10,$X16+1)-INDEX($A$5:$A$10,$X16)))/INDEX(F$5:F$10,$X16+1)^((INDEX($A$5:$A$10,$X16)-($I16-DateToday+1))/(INDEX($A$5:$A$10,$X16+1)-INDEX($A$5:$A$10,$X16))))</f>
        <v>0.0165014105097502</v>
      </c>
      <c r="AD16" s="348" t="n">
        <f aca="false">IF($X16="",AD15^2/AD14,INDEX(G$5:G$10,$X16)^((INDEX($A$5:$A$10,$X16+1)-($I16-DateToday+1))/(INDEX($A$5:$A$10,$X16+1)-INDEX($A$5:$A$10,$X16)))/INDEX(G$5:G$10,$X16+1)^((INDEX($A$5:$A$10,$X16)-($I16-DateToday+1))/(INDEX($A$5:$A$10,$X16+1)-INDEX($A$5:$A$10,$X16))))</f>
        <v>0.0281186035981604</v>
      </c>
      <c r="AE16" s="321" t="n">
        <v>0.067261090906033</v>
      </c>
      <c r="AF16" s="316" t="n">
        <f aca="false">(1+AE16/2)^(-2*(I17-DateToday)/365.25)</f>
        <v>0.940276327416768</v>
      </c>
      <c r="AG16" s="316" t="n">
        <f aca="false">AG15*(1+IF(AND(M16=1,L16&gt;YearStart),Escalation,0))</f>
        <v>1</v>
      </c>
      <c r="AH16" s="322" t="n">
        <f aca="false">IF(OR(DateStart&gt;=I17,DateEnd&lt;I16),0,Volume*AG16)</f>
        <v>0</v>
      </c>
      <c r="AI16" s="322" t="n">
        <f aca="false">AH16*AF16</f>
        <v>0</v>
      </c>
      <c r="AJ16" s="322" t="n">
        <f aca="false">IF(OR(DateStart2&gt;=I17,DateEnd2&lt;I16),0,VolumeSwaption*AG16)</f>
        <v>0</v>
      </c>
      <c r="AK16" s="322" t="n">
        <f aca="false">AJ16*AF16</f>
        <v>0</v>
      </c>
      <c r="AL16" s="316" t="str">
        <f aca="true">IF(AH16,OFFSET(BY16,0,HorizontalPriceOffset)+PriceSpreadAsian,"")</f>
        <v/>
      </c>
      <c r="AM16" s="316" t="str">
        <f aca="false">IF(AH16,Strike1/AL16-1,"")</f>
        <v/>
      </c>
      <c r="AN16" s="316" t="str">
        <f aca="false">IF(AH16,Strike2/AL16-1,"")</f>
        <v/>
      </c>
      <c r="AO16" s="323" t="str">
        <f aca="false">IF(AH16,IF(VolOverrideAsian,VolOverrideAsian,IF(ProductGroup=1,IF(Product&lt;3,DA17,DE17),W17)+VolSpreadAsian),"")</f>
        <v/>
      </c>
      <c r="AP16" s="323" t="str">
        <f aca="false">IF($AH16,$AO16+IF(SkewFlag=1,IF(AM16&gt;0,$AA16*MIN(AM16/10%,1)+($Z16-$AA16)*MAX(0,MIN(AM16/10%-1,1))+($Y16-$Z16)*MAX(0,AM16/10%-2),$AB16*MIN(-AM16/10%,1)+($AC16-$AB16)*MAX(0,MIN(-AM16/10%-1,1))+($AD16-$AC16)*MAX(0,-AM16/10%-2)),0),"")</f>
        <v/>
      </c>
      <c r="AQ16" s="323" t="str">
        <f aca="false">IF($AH16,$AO16+IF(SkewFlag=1,IF(AN16&gt;0,$AA16*MIN(AN16/10%,1)+($Z16-$AA16)*MAX(0,MIN(AN16/10%-1,1))+($Y16-$Z16)*MAX(0,AN16/10%-2),$AB16*MIN(-AN16/10%,1)+($AC16-$AB16)*MAX(0,MIN(-AN16/10%-1,1))+($AD16-$AC16)*MAX(0,-AN16/10%-2)),0),"")</f>
        <v/>
      </c>
      <c r="AR16" s="324" t="n">
        <f aca="false">IF(AH16,xASN(AL16,Strike1,AE16,AP16,0,N16,0,P16,Q16,IF(OptControl=4,0,1),0),0)</f>
        <v>0</v>
      </c>
      <c r="AS16" s="324" t="n">
        <f aca="false">IF(AH16,xASN(AL16,Strike1,AE16,AP16,0,N16,0,P16,Q16,IF(OptControl=4,0,1),1),0)</f>
        <v>0</v>
      </c>
      <c r="AT16" s="324" t="n">
        <f aca="false">IF(AH16,xASN(AL16,Strike1,AE16,AP16,0,N16,0,P16,Q16,IF(OptControl=4,0,1),2),0)</f>
        <v>0</v>
      </c>
      <c r="AU16" s="324" t="n">
        <f aca="false">IF(AH16,xASN(AL16,Strike1,AE16,AP16,0,N16,0,P16,Q16,IF(OptControl=4,0,1),3)/100,0)</f>
        <v>0</v>
      </c>
      <c r="AV16" s="324" t="n">
        <f aca="false">IF(AH16,xASN(AL16,Strike1,AE16,AP16,0,N16,0,P16-DaysForThetaCalculation/365.25,Q16-DaysForThetaCalculation/365.25,IF(OptControl=4,0,1),0)-xASN(AL16,Strike1,AE16,AP16,0,N16,0,P16,Q16,IF(OptControl=4,0,1),0),0)</f>
        <v>0</v>
      </c>
      <c r="AW16" s="324" t="n">
        <f aca="false">IF(AH16,xASN(AL16,Strike2,AE16,AQ16,0,N16,0,P16,Q16,IF(OptControl=3,1,0),0),0)</f>
        <v>0</v>
      </c>
      <c r="AX16" s="324" t="n">
        <f aca="false">IF(AH16,xASN(AL16,Strike2,AE16,AQ16,0,N16,0,P16,Q16,IF(OptControl=3,1,0),1),0)</f>
        <v>0</v>
      </c>
      <c r="AY16" s="324" t="n">
        <f aca="false">IF(AH16,xASN(AL16,Strike2,AE16,AQ16,0,N16,0,P16,Q16,IF(OptControl=3,1,0),2),0)</f>
        <v>0</v>
      </c>
      <c r="AZ16" s="324" t="n">
        <f aca="false">IF(AH16,xASN(AL16,Strike2,AE16,AQ16,0,N16,0,P16,Q16,IF(OptControl=3,1,0),3)/100,0)</f>
        <v>0</v>
      </c>
      <c r="BA16" s="324" t="n">
        <f aca="false">IF(AH16,xASN(AL16,Strike2,AE16,AQ16,0,N16,0,P16-DaysForThetaCalculation/365.25,Q16-DaysForThetaCalculation/365.25,IF(OptControl=3,1,0),0)-xASN(AL16,Strike2,AE16,AQ16,0,N16,0,P16,Q16,IF(OptControl=3,1,0),0),0)</f>
        <v>0</v>
      </c>
      <c r="BB16" s="325" t="str">
        <f aca="false">IF(AH16,IF(ProductGroup=1,IF(Product=1,BX16+PriceSpreadEuro,IF(Product=3,CK16+PriceSpreadEuro,"N/A")),"N/A"),"")</f>
        <v/>
      </c>
      <c r="BC16" s="316" t="str">
        <f aca="false">IF(AH16,Strike1/BB16-1,"")</f>
        <v/>
      </c>
      <c r="BD16" s="316" t="str">
        <f aca="false">IF(AH16,Strike2/BB16-1,"")</f>
        <v/>
      </c>
      <c r="BE16" s="326" t="str">
        <f aca="false">IF(AH16,IF(VolOverrideEuro,VolOverrideEuro,IF(ProductGroup=1,IF(Product&lt;3,DA16,DE16)+VolSpreadEuro,"N/A")),"")</f>
        <v/>
      </c>
      <c r="BF16" s="323" t="str">
        <f aca="false">IF($AH16,$BE16+IF(SkewFlag=1,IF(BC16&gt;0,$AA16*MIN(BC16/10%,1)+($Z16-$AA16)*MAX(0,MIN(BC16/10%-1,1))+($Y16-$Z16)*MAX(0,BC16/10%-2),$AB16*MIN(-BC16/10%,1)+($AC16-$AB16)*MAX(0,MIN(-BC16/10%-1,1))+($AD16-$AC16)*MAX(0,-BC16/10%-2)),0),"")</f>
        <v/>
      </c>
      <c r="BG16" s="323" t="str">
        <f aca="false">IF($AH16,$BE16+IF(SkewFlag=1,IF(BD16&gt;0,$AA16*MIN(BD16/10%,1)+($Z16-$AA16)*MAX(0,MIN(BD16/10%-1,1))+($Y16-$Z16)*MAX(0,BD16/10%-2),$AB16*MIN(-BD16/10%,1)+($AC16-$AB16)*MAX(0,MIN(-BD16/10%-1,1))+($AD16-$AC16)*MAX(0,-BD16/10%-2)),0),"")</f>
        <v/>
      </c>
      <c r="BH16" s="324" t="n">
        <f aca="false">IF(AH16,xEURO(BB16,Strike1,AE16,AE16,BF16,O16,IF(OptControl=4,0,1),0),0)</f>
        <v>0</v>
      </c>
      <c r="BI16" s="324" t="n">
        <f aca="false">IF(AH16,xEURO(BB16,Strike1,AE16,AE16,BF16,O16,IF(OptControl=4,0,1),1),0)</f>
        <v>0</v>
      </c>
      <c r="BJ16" s="324" t="n">
        <f aca="false">IF(AH16,xEURO(BB16,Strike1,AE16,AE16,BF16,O16,IF(OptControl=4,0,1),2),0)</f>
        <v>0</v>
      </c>
      <c r="BK16" s="324" t="n">
        <f aca="false">IF(AH16,xEURO(BB16,Strike1,AE16,AE16,BF16,O16,IF(OptControl=4,0,1),3)/100,0)</f>
        <v>0</v>
      </c>
      <c r="BL16" s="324" t="n">
        <f aca="false">IF(AH16,xEURO(BB16,Strike1,AE16,AE16,BF16,O16-DaysForThetaCalculation,IF(OptControl=4,0,1),0)-xEURO(BB16,Strike1,AE16,AE16,BF16,O16,IF(OptControl=4,0,1),0),0)</f>
        <v>0</v>
      </c>
      <c r="BM16" s="324" t="n">
        <f aca="false">IF(AH16,xEURO(BB16,Strike2,AE16,AE16,BG16,O16,IF(OptControl=3,1,0),0),0)</f>
        <v>0</v>
      </c>
      <c r="BN16" s="324" t="n">
        <f aca="false">IF(AH16,xEURO(BB16,Strike2,AE16,AE16,BG16,O16,IF(OptControl=3,1,0),1),0)</f>
        <v>0</v>
      </c>
      <c r="BO16" s="324" t="n">
        <f aca="false">IF(AH16,xEURO(BB16,Strike2,AE16,AE16,BG16,O16,IF(OptControl=3,1,0),2),0)</f>
        <v>0</v>
      </c>
      <c r="BP16" s="324" t="n">
        <f aca="false">IF(AH16,xEURO(BB16,Strike2,AE16,AE16,BG16,O16,IF(OptControl=3,1,0),3)/100,0)</f>
        <v>0</v>
      </c>
      <c r="BQ16" s="327" t="n">
        <f aca="false">IF(AH16,xEURO(BB16,Strike2,AE16,AE16,BG16,O16-DaysForThetaCalculation,IF(OptControl=3,1,0),0)-xEURO(BB16,Strike2,AE16,AE16,BG16,O16,IF(OptControl=3,1,0),0),0)</f>
        <v>0</v>
      </c>
      <c r="BR16" s="343"/>
      <c r="BS16" s="314" t="n">
        <v>28.476</v>
      </c>
      <c r="BT16" s="329" t="n">
        <f aca="false">BS16*100/42</f>
        <v>67.8</v>
      </c>
      <c r="BU16" s="329" t="n">
        <f aca="false">BS17-$U16</f>
        <v>12.2765714285714</v>
      </c>
      <c r="BV16" s="330" t="n">
        <v>0</v>
      </c>
      <c r="BW16" s="331" t="n">
        <f aca="false">BS17+BV17/10000*42-$V16</f>
        <v>12.2765714285714</v>
      </c>
      <c r="BX16" s="344" t="n">
        <f aca="false">BT16+BV16/100</f>
        <v>67.8</v>
      </c>
      <c r="BY16" s="332" t="n">
        <f aca="false">BX17</f>
        <v>67.9</v>
      </c>
      <c r="BZ16" s="314" t="n">
        <v>26.96</v>
      </c>
      <c r="CA16" s="329" t="n">
        <f aca="false">BZ16*100/42</f>
        <v>64.1904761904762</v>
      </c>
      <c r="CB16" s="329" t="n">
        <f aca="false">BZ16-$U16</f>
        <v>10.7185714285714</v>
      </c>
      <c r="CC16" s="331" t="n">
        <f aca="false">CB16</f>
        <v>10.7185714285714</v>
      </c>
      <c r="CD16" s="329" t="n">
        <f aca="false">($V16+CC16)*100/42</f>
        <v>64.1904761904762</v>
      </c>
      <c r="CE16" s="333" t="n">
        <f aca="false">CD16-BY16</f>
        <v>-3.70952380952382</v>
      </c>
      <c r="CF16" s="314" t="n">
        <v>27.796</v>
      </c>
      <c r="CG16" s="329" t="n">
        <f aca="false">CF16*100/42</f>
        <v>66.1809523809524</v>
      </c>
      <c r="CH16" s="329" t="n">
        <f aca="false">CF17-$U16</f>
        <v>10.5045714285714</v>
      </c>
      <c r="CI16" s="330" t="n">
        <v>0</v>
      </c>
      <c r="CJ16" s="331" t="n">
        <f aca="false">CF17+CI17/10000*42-$V16</f>
        <v>10.5045714285714</v>
      </c>
      <c r="CK16" s="344" t="n">
        <f aca="false">CG16+CI16/100</f>
        <v>66.1809523809524</v>
      </c>
      <c r="CL16" s="332" t="n">
        <f aca="false">CK17</f>
        <v>63.6809523809524</v>
      </c>
      <c r="CM16" s="314" t="n">
        <v>25.633</v>
      </c>
      <c r="CN16" s="329" t="n">
        <f aca="false">CM16*100/42</f>
        <v>61.0309523809524</v>
      </c>
      <c r="CO16" s="329" t="n">
        <f aca="false">CM16-$U16</f>
        <v>9.39157142857143</v>
      </c>
      <c r="CP16" s="331" t="n">
        <f aca="false">CO16</f>
        <v>9.39157142857143</v>
      </c>
      <c r="CQ16" s="329" t="n">
        <f aca="false">($V16+CP16)*100/42</f>
        <v>61.0309523809524</v>
      </c>
      <c r="CR16" s="333" t="n">
        <f aca="false">CQ16-CL16</f>
        <v>-2.64999999999999</v>
      </c>
      <c r="CS16" s="314" t="n">
        <v>26.998</v>
      </c>
      <c r="CT16" s="329" t="n">
        <f aca="false">CS16*100/42</f>
        <v>64.2809523809524</v>
      </c>
      <c r="CU16" s="329" t="n">
        <f aca="false">CT16-CG17</f>
        <v>0.600000000000009</v>
      </c>
      <c r="CV16" s="331" t="n">
        <f aca="false">CU16</f>
        <v>0.600000000000009</v>
      </c>
      <c r="CW16" s="333" t="n">
        <f aca="false">CL16+CV16</f>
        <v>64.2809523809524</v>
      </c>
      <c r="CX16" s="318" t="n">
        <v>0.279</v>
      </c>
      <c r="CY16" s="326" t="n">
        <f aca="false">CX16-$W16</f>
        <v>0.000452988719743974</v>
      </c>
      <c r="CZ16" s="326" t="n">
        <f aca="false">VLOOKUP(1900+$L16,ProductSpreadTable,7)</f>
        <v>-0.03</v>
      </c>
      <c r="DA16" s="365" t="n">
        <f aca="false">$W16+CZ16</f>
        <v>0.248547011280256</v>
      </c>
      <c r="DB16" s="318" t="n">
        <v>0.309</v>
      </c>
      <c r="DC16" s="326" t="n">
        <f aca="false">DB16-$W16</f>
        <v>0.030452988719744</v>
      </c>
      <c r="DD16" s="345" t="n">
        <f aca="false">DE16-W16</f>
        <v>0.030452988719744</v>
      </c>
      <c r="DE16" s="346" t="n">
        <f aca="false">MAIN!M16</f>
        <v>0.309</v>
      </c>
      <c r="DG16" s="336"/>
      <c r="DH16" s="314" t="n">
        <v>19.178</v>
      </c>
      <c r="DI16" s="325" t="n">
        <f aca="false">DH16-$U16</f>
        <v>2.93657142857143</v>
      </c>
      <c r="DJ16" s="325" t="n">
        <f aca="false">VLOOKUP(1900+$L16,ResidSpreadTable,2)</f>
        <v>-2</v>
      </c>
      <c r="DK16" s="337" t="n">
        <f aca="false">$V16+DJ16</f>
        <v>14.2414285714286</v>
      </c>
      <c r="DL16" s="314" t="n">
        <v>18.078</v>
      </c>
      <c r="DM16" s="325" t="n">
        <f aca="false">DL16-$U16</f>
        <v>1.83657142857143</v>
      </c>
      <c r="DN16" s="325" t="n">
        <f aca="false">VLOOKUP(1900+$L16,ResidSpreadTable,3)</f>
        <v>-3</v>
      </c>
      <c r="DO16" s="337" t="n">
        <f aca="false">$V16+DN16</f>
        <v>13.2414285714286</v>
      </c>
      <c r="DP16" s="314" t="n">
        <v>17.328</v>
      </c>
      <c r="DQ16" s="325" t="n">
        <f aca="false">DP16-$U16</f>
        <v>1.08657142857143</v>
      </c>
      <c r="DR16" s="325" t="n">
        <f aca="false">VLOOKUP(1900+$L16,ResidSpreadTable,4)</f>
        <v>-6</v>
      </c>
      <c r="DS16" s="337" t="n">
        <f aca="false">$V16+DR16</f>
        <v>10.2414285714286</v>
      </c>
      <c r="DT16" s="314" t="n">
        <v>17.878</v>
      </c>
      <c r="DU16" s="325" t="n">
        <f aca="false">DT16-$U16</f>
        <v>1.63657142857143</v>
      </c>
      <c r="DV16" s="325" t="n">
        <f aca="false">VLOOKUP(1900+$L16,ResidSpreadTable,5)</f>
        <v>-5</v>
      </c>
      <c r="DW16" s="337" t="n">
        <f aca="false">$V16+DV16</f>
        <v>11.2414285714286</v>
      </c>
      <c r="DY16" s="366" t="n">
        <v>2003</v>
      </c>
      <c r="DZ16" s="367" t="n">
        <v>0.15</v>
      </c>
      <c r="EA16" s="368" t="n">
        <v>0.15</v>
      </c>
      <c r="EB16" s="367" t="n">
        <v>0.15</v>
      </c>
      <c r="EC16" s="368" t="n">
        <v>0.15</v>
      </c>
      <c r="ED16" s="369" t="n">
        <v>0.15</v>
      </c>
      <c r="EE16" s="373" t="n">
        <v>-0.03</v>
      </c>
      <c r="EF16" s="373" t="n">
        <v>0.03</v>
      </c>
    </row>
    <row r="17" customFormat="false" ht="12.75" hidden="false" customHeight="false" outlineLevel="0" collapsed="false">
      <c r="B17" s="371" t="n">
        <v>36069</v>
      </c>
      <c r="C17" s="372" t="n">
        <v>36060</v>
      </c>
      <c r="I17" s="338" t="n">
        <f aca="false">EOMONTH(I16,0)+1</f>
        <v>46266</v>
      </c>
      <c r="J17" s="307" t="n">
        <f aca="false">VLOOKUP(I17,$B$12:$C$332,2)</f>
        <v>45644</v>
      </c>
      <c r="K17" s="339" t="n">
        <f aca="false">NETWORKDAYS(I17,J18)/N17</f>
        <v>-20.2272727272727</v>
      </c>
      <c r="L17" s="309" t="n">
        <f aca="false">YEAR(I17)-1900</f>
        <v>126</v>
      </c>
      <c r="M17" s="310" t="n">
        <f aca="false">MONTH(I17)</f>
        <v>9</v>
      </c>
      <c r="N17" s="340" t="n">
        <f aca="false">NETWORKDAYS(I17,I18-1)</f>
        <v>22</v>
      </c>
      <c r="O17" s="341" t="n">
        <f aca="false">I17-DateToday-IF(EuroExpDateToggle=1,3+IF(WEEKDAY(I17-1)=7,1,IF(WEEKDAY(I17-1)&lt;5,2,0)),1+IF(WEEKDAY(I17-1)=7,1,IF(WEEKDAY(I17-1)&lt;3,2,0)))</f>
        <v>335</v>
      </c>
      <c r="P17" s="342" t="n">
        <f aca="false">(I17-DateToday+1)/365.25</f>
        <v>0.933607118412047</v>
      </c>
      <c r="Q17" s="342" t="n">
        <f aca="false">(I18-DateToday)/365.25</f>
        <v>1.01300479123888</v>
      </c>
      <c r="R17" s="314" t="n">
        <v>23.43</v>
      </c>
      <c r="S17" s="347" t="n">
        <v>0</v>
      </c>
      <c r="T17" s="316" t="n">
        <f aca="false">R17+S17/100</f>
        <v>23.43</v>
      </c>
      <c r="U17" s="325" t="n">
        <f aca="false">R18*K17+R19*(1-K17)</f>
        <v>16.085</v>
      </c>
      <c r="V17" s="337" t="n">
        <f aca="false">T18*K17+T19*(1-K17)</f>
        <v>16.085</v>
      </c>
      <c r="W17" s="318" t="n">
        <v>0.272603287020997</v>
      </c>
      <c r="X17" s="319" t="n">
        <f aca="false">IF($I17-DateToday+1&gt;=$A$10,"",IF($I17-DateToday+1&lt;$A$5,1,MATCH($I17-DateToday+1,$A$5:$A$10)))</f>
        <v>4</v>
      </c>
      <c r="Y17" s="348" t="n">
        <f aca="false">IF($X17="",Y16^2/Y15,INDEX(B$5:B$10,$X17)^((INDEX($A$5:$A$10,$X17+1)-($I17-DateToday+1))/(INDEX($A$5:$A$10,$X17+1)-INDEX($A$5:$A$10,$X17)))/INDEX(B$5:B$10,$X17+1)^((INDEX($A$5:$A$10,$X17)-($I17-DateToday+1))/(INDEX($A$5:$A$10,$X17+1)-INDEX($A$5:$A$10,$X17))))</f>
        <v>0.0120957928813508</v>
      </c>
      <c r="Z17" s="348" t="n">
        <f aca="false">IF($X17="",Z16^2/Z15,INDEX(C$5:C$10,$X17)^((INDEX($A$5:$A$10,$X17+1)-($I17-DateToday+1))/(INDEX($A$5:$A$10,$X17+1)-INDEX($A$5:$A$10,$X17)))/INDEX(C$5:C$10,$X17+1)^((INDEX($A$5:$A$10,$X17)-($I17-DateToday+1))/(INDEX($A$5:$A$10,$X17+1)-INDEX($A$5:$A$10,$X17))))</f>
        <v>0.00703017992550825</v>
      </c>
      <c r="AA17" s="348" t="n">
        <f aca="false">IF($X17="",AA16^2/AA15,INDEX(D$5:D$10,$X17)^((INDEX($A$5:$A$10,$X17+1)-($I17-DateToday+1))/(INDEX($A$5:$A$10,$X17+1)-INDEX($A$5:$A$10,$X17)))/INDEX(D$5:D$10,$X17+1)^((INDEX($A$5:$A$10,$X17)-($I17-DateToday+1))/(INDEX($A$5:$A$10,$X17+1)-INDEX($A$5:$A$10,$X17))))</f>
        <v>0.00323947359107731</v>
      </c>
      <c r="AB17" s="348" t="n">
        <f aca="false">IF($X17="",AB16^2/AB15,INDEX(E$5:E$10,$X17)^((INDEX($A$5:$A$10,$X17+1)-($I17-DateToday+1))/(INDEX($A$5:$A$10,$X17+1)-INDEX($A$5:$A$10,$X17)))/INDEX(E$5:E$10,$X17+1)^((INDEX($A$5:$A$10,$X17)-($I17-DateToday+1))/(INDEX($A$5:$A$10,$X17+1)-INDEX($A$5:$A$10,$X17))))</f>
        <v>0.00729788610597898</v>
      </c>
      <c r="AC17" s="348" t="n">
        <f aca="false">IF($X17="",AC16^2/AC15,INDEX(F$5:F$10,$X17)^((INDEX($A$5:$A$10,$X17+1)-($I17-DateToday+1))/(INDEX($A$5:$A$10,$X17+1)-INDEX($A$5:$A$10,$X17)))/INDEX(F$5:F$10,$X17+1)^((INDEX($A$5:$A$10,$X17)-($I17-DateToday+1))/(INDEX($A$5:$A$10,$X17+1)-INDEX($A$5:$A$10,$X17))))</f>
        <v>0.015837589336185</v>
      </c>
      <c r="AD17" s="348" t="n">
        <f aca="false">IF($X17="",AD16^2/AD15,INDEX(G$5:G$10,$X17)^((INDEX($A$5:$A$10,$X17+1)-($I17-DateToday+1))/(INDEX($A$5:$A$10,$X17+1)-INDEX($A$5:$A$10,$X17)))/INDEX(G$5:G$10,$X17+1)^((INDEX($A$5:$A$10,$X17)-($I17-DateToday+1))/(INDEX($A$5:$A$10,$X17+1)-INDEX($A$5:$A$10,$X17))))</f>
        <v>0.0272494022031071</v>
      </c>
      <c r="AE17" s="321" t="n">
        <v>0.067688138560199</v>
      </c>
      <c r="AF17" s="316" t="n">
        <f aca="false">(1+AE17/2)^(-2*(I18-DateToday)/365.25)</f>
        <v>0.934789765641599</v>
      </c>
      <c r="AG17" s="316" t="n">
        <f aca="false">AG16*(1+IF(AND(M17=1,L17&gt;YearStart),Escalation,0))</f>
        <v>1</v>
      </c>
      <c r="AH17" s="322" t="n">
        <f aca="false">IF(OR(DateStart&gt;=I18,DateEnd&lt;I17),0,Volume*AG17)</f>
        <v>0</v>
      </c>
      <c r="AI17" s="322" t="n">
        <f aca="false">AH17*AF17</f>
        <v>0</v>
      </c>
      <c r="AJ17" s="322" t="n">
        <f aca="false">IF(OR(DateStart2&gt;=I18,DateEnd2&lt;I17),0,VolumeSwaption*AG17)</f>
        <v>0</v>
      </c>
      <c r="AK17" s="322" t="n">
        <f aca="false">AJ17*AF17</f>
        <v>0</v>
      </c>
      <c r="AL17" s="316" t="str">
        <f aca="true">IF(AH17,OFFSET(BY17,0,HorizontalPriceOffset)+PriceSpreadAsian,"")</f>
        <v/>
      </c>
      <c r="AM17" s="316" t="str">
        <f aca="false">IF(AH17,Strike1/AL17-1,"")</f>
        <v/>
      </c>
      <c r="AN17" s="316" t="str">
        <f aca="false">IF(AH17,Strike2/AL17-1,"")</f>
        <v/>
      </c>
      <c r="AO17" s="323" t="str">
        <f aca="false">IF(AH17,IF(VolOverrideAsian,VolOverrideAsian,IF(ProductGroup=1,IF(Product&lt;3,DA18,DE18),W18)+VolSpreadAsian),"")</f>
        <v/>
      </c>
      <c r="AP17" s="323" t="str">
        <f aca="false">IF($AH17,$AO17+IF(SkewFlag=1,IF(AM17&gt;0,$AA17*MIN(AM17/10%,1)+($Z17-$AA17)*MAX(0,MIN(AM17/10%-1,1))+($Y17-$Z17)*MAX(0,AM17/10%-2),$AB17*MIN(-AM17/10%,1)+($AC17-$AB17)*MAX(0,MIN(-AM17/10%-1,1))+($AD17-$AC17)*MAX(0,-AM17/10%-2)),0),"")</f>
        <v/>
      </c>
      <c r="AQ17" s="323" t="str">
        <f aca="false">IF($AH17,$AO17+IF(SkewFlag=1,IF(AN17&gt;0,$AA17*MIN(AN17/10%,1)+($Z17-$AA17)*MAX(0,MIN(AN17/10%-1,1))+($Y17-$Z17)*MAX(0,AN17/10%-2),$AB17*MIN(-AN17/10%,1)+($AC17-$AB17)*MAX(0,MIN(-AN17/10%-1,1))+($AD17-$AC17)*MAX(0,-AN17/10%-2)),0),"")</f>
        <v/>
      </c>
      <c r="AR17" s="324" t="n">
        <f aca="false">IF(AH17,xASN(AL17,Strike1,AE17,AP17,0,N17,0,P17,Q17,IF(OptControl=4,0,1),0),0)</f>
        <v>0</v>
      </c>
      <c r="AS17" s="324" t="n">
        <f aca="false">IF(AH17,xASN(AL17,Strike1,AE17,AP17,0,N17,0,P17,Q17,IF(OptControl=4,0,1),1),0)</f>
        <v>0</v>
      </c>
      <c r="AT17" s="324" t="n">
        <f aca="false">IF(AH17,xASN(AL17,Strike1,AE17,AP17,0,N17,0,P17,Q17,IF(OptControl=4,0,1),2),0)</f>
        <v>0</v>
      </c>
      <c r="AU17" s="324" t="n">
        <f aca="false">IF(AH17,xASN(AL17,Strike1,AE17,AP17,0,N17,0,P17,Q17,IF(OptControl=4,0,1),3)/100,0)</f>
        <v>0</v>
      </c>
      <c r="AV17" s="324" t="n">
        <f aca="false">IF(AH17,xASN(AL17,Strike1,AE17,AP17,0,N17,0,P17-DaysForThetaCalculation/365.25,Q17-DaysForThetaCalculation/365.25,IF(OptControl=4,0,1),0)-xASN(AL17,Strike1,AE17,AP17,0,N17,0,P17,Q17,IF(OptControl=4,0,1),0),0)</f>
        <v>0</v>
      </c>
      <c r="AW17" s="324" t="n">
        <f aca="false">IF(AH17,xASN(AL17,Strike2,AE17,AQ17,0,N17,0,P17,Q17,IF(OptControl=3,1,0),0),0)</f>
        <v>0</v>
      </c>
      <c r="AX17" s="324" t="n">
        <f aca="false">IF(AH17,xASN(AL17,Strike2,AE17,AQ17,0,N17,0,P17,Q17,IF(OptControl=3,1,0),1),0)</f>
        <v>0</v>
      </c>
      <c r="AY17" s="324" t="n">
        <f aca="false">IF(AH17,xASN(AL17,Strike2,AE17,AQ17,0,N17,0,P17,Q17,IF(OptControl=3,1,0),2),0)</f>
        <v>0</v>
      </c>
      <c r="AZ17" s="324" t="n">
        <f aca="false">IF(AH17,xASN(AL17,Strike2,AE17,AQ17,0,N17,0,P17,Q17,IF(OptControl=3,1,0),3)/100,0)</f>
        <v>0</v>
      </c>
      <c r="BA17" s="324" t="n">
        <f aca="false">IF(AH17,xASN(AL17,Strike2,AE17,AQ17,0,N17,0,P17-DaysForThetaCalculation/365.25,Q17-DaysForThetaCalculation/365.25,IF(OptControl=3,1,0),0)-xASN(AL17,Strike2,AE17,AQ17,0,N17,0,P17,Q17,IF(OptControl=3,1,0),0),0)</f>
        <v>0</v>
      </c>
      <c r="BB17" s="325" t="str">
        <f aca="false">IF(AH17,IF(ProductGroup=1,IF(Product=1,BX17+PriceSpreadEuro,IF(Product=3,CK17+PriceSpreadEuro,"N/A")),"N/A"),"")</f>
        <v/>
      </c>
      <c r="BC17" s="316" t="str">
        <f aca="false">IF(AH17,Strike1/BB17-1,"")</f>
        <v/>
      </c>
      <c r="BD17" s="316" t="str">
        <f aca="false">IF(AH17,Strike2/BB17-1,"")</f>
        <v/>
      </c>
      <c r="BE17" s="326" t="str">
        <f aca="false">IF(AH17,IF(VolOverrideEuro,VolOverrideEuro,IF(ProductGroup=1,IF(Product&lt;3,DA17,DE17)+VolSpreadEuro,"N/A")),"")</f>
        <v/>
      </c>
      <c r="BF17" s="323" t="str">
        <f aca="false">IF($AH17,$BE17+IF(SkewFlag=1,IF(BC17&gt;0,$AA17*MIN(BC17/10%,1)+($Z17-$AA17)*MAX(0,MIN(BC17/10%-1,1))+($Y17-$Z17)*MAX(0,BC17/10%-2),$AB17*MIN(-BC17/10%,1)+($AC17-$AB17)*MAX(0,MIN(-BC17/10%-1,1))+($AD17-$AC17)*MAX(0,-BC17/10%-2)),0),"")</f>
        <v/>
      </c>
      <c r="BG17" s="323" t="str">
        <f aca="false">IF($AH17,$BE17+IF(SkewFlag=1,IF(BD17&gt;0,$AA17*MIN(BD17/10%,1)+($Z17-$AA17)*MAX(0,MIN(BD17/10%-1,1))+($Y17-$Z17)*MAX(0,BD17/10%-2),$AB17*MIN(-BD17/10%,1)+($AC17-$AB17)*MAX(0,MIN(-BD17/10%-1,1))+($AD17-$AC17)*MAX(0,-BD17/10%-2)),0),"")</f>
        <v/>
      </c>
      <c r="BH17" s="324" t="n">
        <f aca="false">IF(AH17,xEURO(BB17,Strike1,AE17,AE17,BF17,O17,IF(OptControl=4,0,1),0),0)</f>
        <v>0</v>
      </c>
      <c r="BI17" s="324" t="n">
        <f aca="false">IF(AH17,xEURO(BB17,Strike1,AE17,AE17,BF17,O17,IF(OptControl=4,0,1),1),0)</f>
        <v>0</v>
      </c>
      <c r="BJ17" s="324" t="n">
        <f aca="false">IF(AH17,xEURO(BB17,Strike1,AE17,AE17,BF17,O17,IF(OptControl=4,0,1),2),0)</f>
        <v>0</v>
      </c>
      <c r="BK17" s="324" t="n">
        <f aca="false">IF(AH17,xEURO(BB17,Strike1,AE17,AE17,BF17,O17,IF(OptControl=4,0,1),3)/100,0)</f>
        <v>0</v>
      </c>
      <c r="BL17" s="324" t="n">
        <f aca="false">IF(AH17,xEURO(BB17,Strike1,AE17,AE17,BF17,O17-DaysForThetaCalculation,IF(OptControl=4,0,1),0)-xEURO(BB17,Strike1,AE17,AE17,BF17,O17,IF(OptControl=4,0,1),0),0)</f>
        <v>0</v>
      </c>
      <c r="BM17" s="324" t="n">
        <f aca="false">IF(AH17,xEURO(BB17,Strike2,AE17,AE17,BG17,O17,IF(OptControl=3,1,0),0),0)</f>
        <v>0</v>
      </c>
      <c r="BN17" s="324" t="n">
        <f aca="false">IF(AH17,xEURO(BB17,Strike2,AE17,AE17,BG17,O17,IF(OptControl=3,1,0),1),0)</f>
        <v>0</v>
      </c>
      <c r="BO17" s="324" t="n">
        <f aca="false">IF(AH17,xEURO(BB17,Strike2,AE17,AE17,BG17,O17,IF(OptControl=3,1,0),2),0)</f>
        <v>0</v>
      </c>
      <c r="BP17" s="324" t="n">
        <f aca="false">IF(AH17,xEURO(BB17,Strike2,AE17,AE17,BG17,O17,IF(OptControl=3,1,0),3)/100,0)</f>
        <v>0</v>
      </c>
      <c r="BQ17" s="327" t="n">
        <f aca="false">IF(AH17,xEURO(BB17,Strike2,AE17,AE17,BG17,O17-DaysForThetaCalculation,IF(OptControl=3,1,0),0)-xEURO(BB17,Strike2,AE17,AE17,BG17,O17,IF(OptControl=3,1,0),0),0)</f>
        <v>0</v>
      </c>
      <c r="BR17" s="343"/>
      <c r="BS17" s="314" t="n">
        <v>28.518</v>
      </c>
      <c r="BT17" s="329" t="n">
        <f aca="false">BS17*100/42</f>
        <v>67.9</v>
      </c>
      <c r="BU17" s="329" t="n">
        <f aca="false">BS18-$U17</f>
        <v>16.473</v>
      </c>
      <c r="BV17" s="330" t="n">
        <v>0</v>
      </c>
      <c r="BW17" s="329" t="n">
        <f aca="false">BW5+VLOOKUP(1900+$L17,ProductSpreadTable,2)</f>
        <v>10.342</v>
      </c>
      <c r="BX17" s="344" t="n">
        <f aca="false">BT17+BV17/100</f>
        <v>67.9</v>
      </c>
      <c r="BY17" s="332" t="n">
        <f aca="false">BX18</f>
        <v>62.9214285714287</v>
      </c>
      <c r="BZ17" s="314" t="n">
        <v>28.778</v>
      </c>
      <c r="CA17" s="329" t="n">
        <f aca="false">BZ17*100/42</f>
        <v>68.5190476190476</v>
      </c>
      <c r="CB17" s="329" t="n">
        <f aca="false">BZ17-$U17</f>
        <v>12.693</v>
      </c>
      <c r="CC17" s="331" t="n">
        <f aca="false">CB17</f>
        <v>12.693</v>
      </c>
      <c r="CD17" s="329" t="n">
        <f aca="false">($V17+CC17)*100/42</f>
        <v>68.5190476190476</v>
      </c>
      <c r="CE17" s="333" t="n">
        <f aca="false">CD17-BY17</f>
        <v>5.59761904761897</v>
      </c>
      <c r="CF17" s="314" t="n">
        <v>26.746</v>
      </c>
      <c r="CG17" s="329" t="n">
        <f aca="false">CF17*100/42</f>
        <v>63.6809523809524</v>
      </c>
      <c r="CH17" s="329" t="n">
        <f aca="false">CF18-$U17</f>
        <v>9.67399999999996</v>
      </c>
      <c r="CI17" s="330" t="n">
        <v>0</v>
      </c>
      <c r="CJ17" s="331" t="n">
        <f aca="false">CF18+CI18/10000*42-$V17</f>
        <v>9.67399999999996</v>
      </c>
      <c r="CK17" s="344" t="n">
        <f aca="false">CG17+CI17/100</f>
        <v>63.6809523809524</v>
      </c>
      <c r="CL17" s="332" t="n">
        <f aca="false">CK18</f>
        <v>61.3309523809524</v>
      </c>
      <c r="CM17" s="314" t="n">
        <v>24.646</v>
      </c>
      <c r="CN17" s="329" t="n">
        <f aca="false">CM17*100/42</f>
        <v>58.6809523809524</v>
      </c>
      <c r="CO17" s="329" t="n">
        <f aca="false">CM17-$U17</f>
        <v>8.56099999999996</v>
      </c>
      <c r="CP17" s="331" t="n">
        <f aca="false">CO17</f>
        <v>8.56099999999996</v>
      </c>
      <c r="CQ17" s="329" t="n">
        <f aca="false">($V17+CP17)*100/42</f>
        <v>58.6809523809524</v>
      </c>
      <c r="CR17" s="333" t="n">
        <f aca="false">CQ17-CL17</f>
        <v>-2.65000000000001</v>
      </c>
      <c r="CS17" s="314" t="n">
        <v>26.011</v>
      </c>
      <c r="CT17" s="329" t="n">
        <f aca="false">CS17*100/42</f>
        <v>61.9309523809524</v>
      </c>
      <c r="CU17" s="329" t="n">
        <f aca="false">CT17-CG18</f>
        <v>0.599999999999994</v>
      </c>
      <c r="CV17" s="331" t="n">
        <f aca="false">CU17</f>
        <v>0.599999999999994</v>
      </c>
      <c r="CW17" s="333" t="n">
        <f aca="false">CL17+CV17</f>
        <v>61.9309523809524</v>
      </c>
      <c r="CX17" s="318" t="n">
        <v>0.273</v>
      </c>
      <c r="CY17" s="326" t="n">
        <f aca="false">CX17-$W17</f>
        <v>0.000396712979002956</v>
      </c>
      <c r="CZ17" s="326" t="n">
        <f aca="false">VLOOKUP(1900+$L17,ProductSpreadTable,7)</f>
        <v>-0.03</v>
      </c>
      <c r="DA17" s="365" t="n">
        <f aca="false">$W17+CZ17</f>
        <v>0.242603287020997</v>
      </c>
      <c r="DB17" s="318" t="n">
        <v>0.289</v>
      </c>
      <c r="DC17" s="326" t="n">
        <f aca="false">DB17-$W17</f>
        <v>0.016396712979003</v>
      </c>
      <c r="DD17" s="345" t="n">
        <f aca="false">DE17-W17</f>
        <v>0.016396712979003</v>
      </c>
      <c r="DE17" s="346" t="n">
        <f aca="false">MAIN!M17</f>
        <v>0.289</v>
      </c>
      <c r="DG17" s="336"/>
      <c r="DH17" s="314" t="n">
        <v>18.82</v>
      </c>
      <c r="DI17" s="325" t="n">
        <f aca="false">DH17-$U17</f>
        <v>2.73499999999996</v>
      </c>
      <c r="DJ17" s="325" t="n">
        <f aca="false">VLOOKUP(1900+$L17,ResidSpreadTable,2)</f>
        <v>-2</v>
      </c>
      <c r="DK17" s="337" t="n">
        <f aca="false">$V17+DJ17</f>
        <v>14.085</v>
      </c>
      <c r="DL17" s="314" t="n">
        <v>17.72</v>
      </c>
      <c r="DM17" s="325" t="n">
        <f aca="false">DL17-$U17</f>
        <v>1.63499999999996</v>
      </c>
      <c r="DN17" s="325" t="n">
        <f aca="false">VLOOKUP(1900+$L17,ResidSpreadTable,3)</f>
        <v>-3</v>
      </c>
      <c r="DO17" s="337" t="n">
        <f aca="false">$V17+DN17</f>
        <v>13.085</v>
      </c>
      <c r="DP17" s="314" t="n">
        <v>16.97</v>
      </c>
      <c r="DQ17" s="325" t="n">
        <f aca="false">DP17-$U17</f>
        <v>0.884999999999963</v>
      </c>
      <c r="DR17" s="325" t="n">
        <f aca="false">VLOOKUP(1900+$L17,ResidSpreadTable,4)</f>
        <v>-6</v>
      </c>
      <c r="DS17" s="337" t="n">
        <f aca="false">$V17+DR17</f>
        <v>10.085</v>
      </c>
      <c r="DT17" s="314" t="n">
        <v>17.52</v>
      </c>
      <c r="DU17" s="325" t="n">
        <f aca="false">DT17-$U17</f>
        <v>1.43499999999996</v>
      </c>
      <c r="DV17" s="325" t="n">
        <f aca="false">VLOOKUP(1900+$L17,ResidSpreadTable,5)</f>
        <v>-5</v>
      </c>
      <c r="DW17" s="337" t="n">
        <f aca="false">$V17+DV17</f>
        <v>11.085</v>
      </c>
      <c r="DY17" s="366" t="n">
        <v>2004</v>
      </c>
      <c r="DZ17" s="367" t="n">
        <v>0.15</v>
      </c>
      <c r="EA17" s="368" t="n">
        <v>0.15</v>
      </c>
      <c r="EB17" s="367" t="n">
        <v>0.15</v>
      </c>
      <c r="EC17" s="368" t="n">
        <v>0.15</v>
      </c>
      <c r="ED17" s="369" t="n">
        <v>0.15</v>
      </c>
      <c r="EE17" s="373" t="n">
        <v>-0.03</v>
      </c>
      <c r="EF17" s="373" t="n">
        <v>0.03</v>
      </c>
    </row>
    <row r="18" customFormat="false" ht="12.75" hidden="false" customHeight="false" outlineLevel="0" collapsed="false">
      <c r="B18" s="371" t="n">
        <v>36100</v>
      </c>
      <c r="C18" s="372" t="n">
        <v>36088</v>
      </c>
      <c r="I18" s="338" t="n">
        <f aca="false">EOMONTH(I17,0)+1</f>
        <v>46296</v>
      </c>
      <c r="J18" s="307" t="n">
        <f aca="false">VLOOKUP(I18,$B$12:$C$332,2)</f>
        <v>45644</v>
      </c>
      <c r="K18" s="339" t="n">
        <f aca="false">NETWORKDAYS(I18,J19)/N18</f>
        <v>-21.2272727272727</v>
      </c>
      <c r="L18" s="309" t="n">
        <f aca="false">YEAR(I18)-1900</f>
        <v>126</v>
      </c>
      <c r="M18" s="310" t="n">
        <f aca="false">MONTH(I18)</f>
        <v>10</v>
      </c>
      <c r="N18" s="340" t="n">
        <f aca="false">NETWORKDAYS(I18,I19-1)</f>
        <v>22</v>
      </c>
      <c r="O18" s="341" t="n">
        <f aca="false">I18-DateToday-IF(EuroExpDateToggle=1,3+IF(WEEKDAY(I18-1)=7,1,IF(WEEKDAY(I18-1)&lt;5,2,0)),1+IF(WEEKDAY(I18-1)=7,1,IF(WEEKDAY(I18-1)&lt;3,2,0)))</f>
        <v>365</v>
      </c>
      <c r="P18" s="342" t="n">
        <f aca="false">(I18-DateToday+1)/365.25</f>
        <v>1.01574264202601</v>
      </c>
      <c r="Q18" s="342" t="n">
        <f aca="false">(I19-DateToday)/365.25</f>
        <v>1.09787816563997</v>
      </c>
      <c r="R18" s="314" t="n">
        <v>23.09</v>
      </c>
      <c r="S18" s="347" t="n">
        <v>0</v>
      </c>
      <c r="T18" s="316" t="n">
        <f aca="false">R18+S18/100</f>
        <v>23.09</v>
      </c>
      <c r="U18" s="325" t="n">
        <f aca="false">R19*K18+R20*(1-K18)</f>
        <v>16.5363636363637</v>
      </c>
      <c r="V18" s="337" t="n">
        <f aca="false">T19*K18+T20*(1-K18)</f>
        <v>16.5363636363637</v>
      </c>
      <c r="W18" s="318" t="n">
        <v>0.265311729103426</v>
      </c>
      <c r="X18" s="319" t="n">
        <f aca="false">IF($I18-DateToday+1&gt;=$A$10,"",IF($I18-DateToday+1&lt;$A$5,1,MATCH($I18-DateToday+1,$A$5:$A$10)))</f>
        <v>5</v>
      </c>
      <c r="Y18" s="348" t="n">
        <f aca="false">IF($X18="",Y17^2/Y16,INDEX(B$5:B$10,$X18)^((INDEX($A$5:$A$10,$X18+1)-($I18-DateToday+1))/(INDEX($A$5:$A$10,$X18+1)-INDEX($A$5:$A$10,$X18)))/INDEX(B$5:B$10,$X18+1)^((INDEX($A$5:$A$10,$X18)-($I18-DateToday+1))/(INDEX($A$5:$A$10,$X18+1)-INDEX($A$5:$A$10,$X18))))</f>
        <v>0.0117744695634054</v>
      </c>
      <c r="Z18" s="348" t="n">
        <f aca="false">IF($X18="",Z17^2/Z16,INDEX(C$5:C$10,$X18)^((INDEX($A$5:$A$10,$X18+1)-($I18-DateToday+1))/(INDEX($A$5:$A$10,$X18+1)-INDEX($A$5:$A$10,$X18)))/INDEX(C$5:C$10,$X18+1)^((INDEX($A$5:$A$10,$X18)-($I18-DateToday+1))/(INDEX($A$5:$A$10,$X18+1)-INDEX($A$5:$A$10,$X18))))</f>
        <v>0.00679007991119791</v>
      </c>
      <c r="AA18" s="348" t="n">
        <f aca="false">IF($X18="",AA17^2/AA16,INDEX(D$5:D$10,$X18)^((INDEX($A$5:$A$10,$X18+1)-($I18-DateToday+1))/(INDEX($A$5:$A$10,$X18+1)-INDEX($A$5:$A$10,$X18)))/INDEX(D$5:D$10,$X18+1)^((INDEX($A$5:$A$10,$X18)-($I18-DateToday+1))/(INDEX($A$5:$A$10,$X18+1)-INDEX($A$5:$A$10,$X18))))</f>
        <v>0.00313089845769947</v>
      </c>
      <c r="AB18" s="348" t="n">
        <f aca="false">IF($X18="",AB17^2/AB16,INDEX(E$5:E$10,$X18)^((INDEX($A$5:$A$10,$X18+1)-($I18-DateToday+1))/(INDEX($A$5:$A$10,$X18+1)-INDEX($A$5:$A$10,$X18)))/INDEX(E$5:E$10,$X18+1)^((INDEX($A$5:$A$10,$X18)-($I18-DateToday+1))/(INDEX($A$5:$A$10,$X18+1)-INDEX($A$5:$A$10,$X18))))</f>
        <v>0.00705328804550538</v>
      </c>
      <c r="AC18" s="348" t="n">
        <f aca="false">IF($X18="",AC17^2/AC16,INDEX(F$5:F$10,$X18)^((INDEX($A$5:$A$10,$X18+1)-($I18-DateToday+1))/(INDEX($A$5:$A$10,$X18+1)-INDEX($A$5:$A$10,$X18)))/INDEX(F$5:F$10,$X18+1)^((INDEX($A$5:$A$10,$X18)-($I18-DateToday+1))/(INDEX($A$5:$A$10,$X18+1)-INDEX($A$5:$A$10,$X18))))</f>
        <v>0.0152966920239467</v>
      </c>
      <c r="AD18" s="348" t="n">
        <f aca="false">IF($X18="",AD17^2/AD16,INDEX(G$5:G$10,$X18)^((INDEX($A$5:$A$10,$X18+1)-($I18-DateToday+1))/(INDEX($A$5:$A$10,$X18+1)-INDEX($A$5:$A$10,$X18)))/INDEX(G$5:G$10,$X18+1)^((INDEX($A$5:$A$10,$X18)-($I18-DateToday+1))/(INDEX($A$5:$A$10,$X18+1)-INDEX($A$5:$A$10,$X18))))</f>
        <v>0.0265255250324396</v>
      </c>
      <c r="AE18" s="321" t="n">
        <v>0.068108366225075</v>
      </c>
      <c r="AF18" s="316" t="n">
        <f aca="false">(1+AE18/2)^(-2*(I19-DateToday)/365.25)</f>
        <v>0.929108570271103</v>
      </c>
      <c r="AG18" s="316" t="n">
        <f aca="false">AG17*(1+IF(AND(M18=1,L18&gt;YearStart),Escalation,0))</f>
        <v>1</v>
      </c>
      <c r="AH18" s="322" t="n">
        <f aca="false">IF(OR(DateStart&gt;=I19,DateEnd&lt;I18),0,Volume*AG18)</f>
        <v>0</v>
      </c>
      <c r="AI18" s="322" t="n">
        <f aca="false">AH18*AF18</f>
        <v>0</v>
      </c>
      <c r="AJ18" s="322" t="n">
        <f aca="false">IF(OR(DateStart2&gt;=I19,DateEnd2&lt;I18),0,VolumeSwaption*AG18)</f>
        <v>0</v>
      </c>
      <c r="AK18" s="322" t="n">
        <f aca="false">AJ18*AF18</f>
        <v>0</v>
      </c>
      <c r="AL18" s="316" t="str">
        <f aca="true">IF(AH18,OFFSET(BY18,0,HorizontalPriceOffset)+PriceSpreadAsian,"")</f>
        <v/>
      </c>
      <c r="AM18" s="316" t="str">
        <f aca="false">IF(AH18,Strike1/AL18-1,"")</f>
        <v/>
      </c>
      <c r="AN18" s="316" t="str">
        <f aca="false">IF(AH18,Strike2/AL18-1,"")</f>
        <v/>
      </c>
      <c r="AO18" s="323" t="str">
        <f aca="false">IF(AH18,IF(VolOverrideAsian,VolOverrideAsian,IF(ProductGroup=1,IF(Product&lt;3,DA19,DE19),W19)+VolSpreadAsian),"")</f>
        <v/>
      </c>
      <c r="AP18" s="323" t="str">
        <f aca="false">IF($AH18,$AO18+IF(SkewFlag=1,IF(AM18&gt;0,$AA18*MIN(AM18/10%,1)+($Z18-$AA18)*MAX(0,MIN(AM18/10%-1,1))+($Y18-$Z18)*MAX(0,AM18/10%-2),$AB18*MIN(-AM18/10%,1)+($AC18-$AB18)*MAX(0,MIN(-AM18/10%-1,1))+($AD18-$AC18)*MAX(0,-AM18/10%-2)),0),"")</f>
        <v/>
      </c>
      <c r="AQ18" s="323" t="str">
        <f aca="false">IF($AH18,$AO18+IF(SkewFlag=1,IF(AN18&gt;0,$AA18*MIN(AN18/10%,1)+($Z18-$AA18)*MAX(0,MIN(AN18/10%-1,1))+($Y18-$Z18)*MAX(0,AN18/10%-2),$AB18*MIN(-AN18/10%,1)+($AC18-$AB18)*MAX(0,MIN(-AN18/10%-1,1))+($AD18-$AC18)*MAX(0,-AN18/10%-2)),0),"")</f>
        <v/>
      </c>
      <c r="AR18" s="324" t="n">
        <f aca="false">IF(AH18,xASN(AL18,Strike1,AE18,AP18,0,N18,0,P18,Q18,IF(OptControl=4,0,1),0),0)</f>
        <v>0</v>
      </c>
      <c r="AS18" s="324" t="n">
        <f aca="false">IF(AH18,xASN(AL18,Strike1,AE18,AP18,0,N18,0,P18,Q18,IF(OptControl=4,0,1),1),0)</f>
        <v>0</v>
      </c>
      <c r="AT18" s="324" t="n">
        <f aca="false">IF(AH18,xASN(AL18,Strike1,AE18,AP18,0,N18,0,P18,Q18,IF(OptControl=4,0,1),2),0)</f>
        <v>0</v>
      </c>
      <c r="AU18" s="324" t="n">
        <f aca="false">IF(AH18,xASN(AL18,Strike1,AE18,AP18,0,N18,0,P18,Q18,IF(OptControl=4,0,1),3)/100,0)</f>
        <v>0</v>
      </c>
      <c r="AV18" s="324" t="n">
        <f aca="false">IF(AH18,xASN(AL18,Strike1,AE18,AP18,0,N18,0,P18-DaysForThetaCalculation/365.25,Q18-DaysForThetaCalculation/365.25,IF(OptControl=4,0,1),0)-xASN(AL18,Strike1,AE18,AP18,0,N18,0,P18,Q18,IF(OptControl=4,0,1),0),0)</f>
        <v>0</v>
      </c>
      <c r="AW18" s="324" t="n">
        <f aca="false">IF(AH18,xASN(AL18,Strike2,AE18,AQ18,0,N18,0,P18,Q18,IF(OptControl=3,1,0),0),0)</f>
        <v>0</v>
      </c>
      <c r="AX18" s="324" t="n">
        <f aca="false">IF(AH18,xASN(AL18,Strike2,AE18,AQ18,0,N18,0,P18,Q18,IF(OptControl=3,1,0),1),0)</f>
        <v>0</v>
      </c>
      <c r="AY18" s="324" t="n">
        <f aca="false">IF(AH18,xASN(AL18,Strike2,AE18,AQ18,0,N18,0,P18,Q18,IF(OptControl=3,1,0),2),0)</f>
        <v>0</v>
      </c>
      <c r="AZ18" s="324" t="n">
        <f aca="false">IF(AH18,xASN(AL18,Strike2,AE18,AQ18,0,N18,0,P18,Q18,IF(OptControl=3,1,0),3)/100,0)</f>
        <v>0</v>
      </c>
      <c r="BA18" s="324" t="n">
        <f aca="false">IF(AH18,xASN(AL18,Strike2,AE18,AQ18,0,N18,0,P18-DaysForThetaCalculation/365.25,Q18-DaysForThetaCalculation/365.25,IF(OptControl=3,1,0),0)-xASN(AL18,Strike2,AE18,AQ18,0,N18,0,P18,Q18,IF(OptControl=3,1,0),0),0)</f>
        <v>0</v>
      </c>
      <c r="BB18" s="325" t="str">
        <f aca="false">IF(AH18,IF(ProductGroup=1,IF(Product=1,BX18+PriceSpreadEuro,IF(Product=3,CK18+PriceSpreadEuro,"N/A")),"N/A"),"")</f>
        <v/>
      </c>
      <c r="BC18" s="316" t="str">
        <f aca="false">IF(AH18,Strike1/BB18-1,"")</f>
        <v/>
      </c>
      <c r="BD18" s="316" t="str">
        <f aca="false">IF(AH18,Strike2/BB18-1,"")</f>
        <v/>
      </c>
      <c r="BE18" s="326" t="str">
        <f aca="false">IF(AH18,IF(VolOverrideEuro,VolOverrideEuro,IF(ProductGroup=1,IF(Product&lt;3,DA18,DE18)+VolSpreadEuro,"N/A")),"")</f>
        <v/>
      </c>
      <c r="BF18" s="323" t="str">
        <f aca="false">IF($AH18,$BE18+IF(SkewFlag=1,IF(BC18&gt;0,$AA18*MIN(BC18/10%,1)+($Z18-$AA18)*MAX(0,MIN(BC18/10%-1,1))+($Y18-$Z18)*MAX(0,BC18/10%-2),$AB18*MIN(-BC18/10%,1)+($AC18-$AB18)*MAX(0,MIN(-BC18/10%-1,1))+($AD18-$AC18)*MAX(0,-BC18/10%-2)),0),"")</f>
        <v/>
      </c>
      <c r="BG18" s="323" t="str">
        <f aca="false">IF($AH18,$BE18+IF(SkewFlag=1,IF(BD18&gt;0,$AA18*MIN(BD18/10%,1)+($Z18-$AA18)*MAX(0,MIN(BD18/10%-1,1))+($Y18-$Z18)*MAX(0,BD18/10%-2),$AB18*MIN(-BD18/10%,1)+($AC18-$AB18)*MAX(0,MIN(-BD18/10%-1,1))+($AD18-$AC18)*MAX(0,-BD18/10%-2)),0),"")</f>
        <v/>
      </c>
      <c r="BH18" s="324" t="n">
        <f aca="false">IF(AH18,xEURO(BB18,Strike1,AE18,AE18,BF18,O18,IF(OptControl=4,0,1),0),0)</f>
        <v>0</v>
      </c>
      <c r="BI18" s="324" t="n">
        <f aca="false">IF(AH18,xEURO(BB18,Strike1,AE18,AE18,BF18,O18,IF(OptControl=4,0,1),1),0)</f>
        <v>0</v>
      </c>
      <c r="BJ18" s="324" t="n">
        <f aca="false">IF(AH18,xEURO(BB18,Strike1,AE18,AE18,BF18,O18,IF(OptControl=4,0,1),2),0)</f>
        <v>0</v>
      </c>
      <c r="BK18" s="324" t="n">
        <f aca="false">IF(AH18,xEURO(BB18,Strike1,AE18,AE18,BF18,O18,IF(OptControl=4,0,1),3)/100,0)</f>
        <v>0</v>
      </c>
      <c r="BL18" s="324" t="n">
        <f aca="false">IF(AH18,xEURO(BB18,Strike1,AE18,AE18,BF18,O18-DaysForThetaCalculation,IF(OptControl=4,0,1),0)-xEURO(BB18,Strike1,AE18,AE18,BF18,O18,IF(OptControl=4,0,1),0),0)</f>
        <v>0</v>
      </c>
      <c r="BM18" s="324" t="n">
        <f aca="false">IF(AH18,xEURO(BB18,Strike2,AE18,AE18,BG18,O18,IF(OptControl=3,1,0),0),0)</f>
        <v>0</v>
      </c>
      <c r="BN18" s="324" t="n">
        <f aca="false">IF(AH18,xEURO(BB18,Strike2,AE18,AE18,BG18,O18,IF(OptControl=3,1,0),1),0)</f>
        <v>0</v>
      </c>
      <c r="BO18" s="324" t="n">
        <f aca="false">IF(AH18,xEURO(BB18,Strike2,AE18,AE18,BG18,O18,IF(OptControl=3,1,0),2),0)</f>
        <v>0</v>
      </c>
      <c r="BP18" s="324" t="n">
        <f aca="false">IF(AH18,xEURO(BB18,Strike2,AE18,AE18,BG18,O18,IF(OptControl=3,1,0),3)/100,0)</f>
        <v>0</v>
      </c>
      <c r="BQ18" s="327" t="n">
        <f aca="false">IF(AH18,xEURO(BB18,Strike2,AE18,AE18,BG18,O18-DaysForThetaCalculation,IF(OptControl=3,1,0),0)-xEURO(BB18,Strike2,AE18,AE18,BG18,O18,IF(OptControl=3,1,0),0),0)</f>
        <v>0</v>
      </c>
      <c r="BR18" s="343"/>
      <c r="BS18" s="314" t="n">
        <v>32.558</v>
      </c>
      <c r="BT18" s="329" t="n">
        <f aca="false">BS18*100/42</f>
        <v>77.5190476190476</v>
      </c>
      <c r="BU18" s="329" t="n">
        <f aca="false">BS19-$U18</f>
        <v>14.2286363636363</v>
      </c>
      <c r="BV18" s="224"/>
      <c r="BW18" s="329" t="n">
        <f aca="false">BW6+VLOOKUP(1900+$L18,ProductSpreadTable,2)</f>
        <v>20.574347826087</v>
      </c>
      <c r="BX18" s="329" t="n">
        <f aca="false">($V17+BW17)*100/42</f>
        <v>62.9214285714287</v>
      </c>
      <c r="BY18" s="332" t="n">
        <f aca="false">BX19</f>
        <v>88.3588368153586</v>
      </c>
      <c r="BZ18" s="314" t="n">
        <v>28.875</v>
      </c>
      <c r="CA18" s="329" t="n">
        <f aca="false">BZ18*100/42</f>
        <v>68.75</v>
      </c>
      <c r="CB18" s="329" t="n">
        <f aca="false">BZ18-$U18</f>
        <v>12.3386363636363</v>
      </c>
      <c r="CC18" s="329" t="n">
        <f aca="false">CC6+VLOOKUP(1900+$L18,ProductSpreadTable,3)</f>
        <v>17.949347826087</v>
      </c>
      <c r="CD18" s="329" t="n">
        <f aca="false">($V18+CC18)*100/42</f>
        <v>82.1088368153586</v>
      </c>
      <c r="CE18" s="333" t="n">
        <f aca="false">CD18-BY18</f>
        <v>-6.25</v>
      </c>
      <c r="CF18" s="314" t="n">
        <v>25.759</v>
      </c>
      <c r="CG18" s="329" t="n">
        <f aca="false">CF18*100/42</f>
        <v>61.3309523809524</v>
      </c>
      <c r="CH18" s="329" t="n">
        <f aca="false">CF19-$U18</f>
        <v>8.36163636363634</v>
      </c>
      <c r="CI18" s="330" t="n">
        <v>0</v>
      </c>
      <c r="CJ18" s="331" t="n">
        <f aca="false">CF19+CI19/10000*42-$V18</f>
        <v>8.36163636363634</v>
      </c>
      <c r="CK18" s="344" t="n">
        <f aca="false">CG18+CI18/100</f>
        <v>61.3309523809524</v>
      </c>
      <c r="CL18" s="332" t="n">
        <f aca="false">CK19</f>
        <v>59.2809523809524</v>
      </c>
      <c r="CM18" s="314" t="n">
        <v>23.974</v>
      </c>
      <c r="CN18" s="329" t="n">
        <f aca="false">CM18*100/42</f>
        <v>57.0809523809524</v>
      </c>
      <c r="CO18" s="329" t="n">
        <f aca="false">CM18-$U18</f>
        <v>7.43763636363634</v>
      </c>
      <c r="CP18" s="331" t="n">
        <f aca="false">CO18</f>
        <v>7.43763636363634</v>
      </c>
      <c r="CQ18" s="329" t="n">
        <f aca="false">($V18+CP18)*100/42</f>
        <v>57.0809523809524</v>
      </c>
      <c r="CR18" s="333" t="n">
        <f aca="false">CQ18-CL18</f>
        <v>-2.2</v>
      </c>
      <c r="CS18" s="314" t="n">
        <v>25.15</v>
      </c>
      <c r="CT18" s="329" t="n">
        <f aca="false">CS18*100/42</f>
        <v>59.8809523809524</v>
      </c>
      <c r="CU18" s="329" t="n">
        <f aca="false">CT18-CG19</f>
        <v>0.599999999999994</v>
      </c>
      <c r="CV18" s="331" t="n">
        <f aca="false">CU18</f>
        <v>0.599999999999994</v>
      </c>
      <c r="CW18" s="333" t="n">
        <f aca="false">CL18+CV18</f>
        <v>59.8809523809524</v>
      </c>
      <c r="CX18" s="318" t="n">
        <v>0.265</v>
      </c>
      <c r="CY18" s="326" t="n">
        <f aca="false">CX18-$W18</f>
        <v>-0.000311729103426084</v>
      </c>
      <c r="CZ18" s="326" t="n">
        <f aca="false">VLOOKUP(1900+$L18,ProductSpreadTable,7)</f>
        <v>-0.03</v>
      </c>
      <c r="DA18" s="365" t="n">
        <f aca="false">$W18+CZ18</f>
        <v>0.235311729103426</v>
      </c>
      <c r="DB18" s="318" t="n">
        <v>0.265</v>
      </c>
      <c r="DC18" s="326" t="n">
        <f aca="false">DB18-$W18</f>
        <v>-0.000311729103426084</v>
      </c>
      <c r="DD18" s="326" t="n">
        <f aca="false">VLOOKUP(1900+$L18,ProductSpreadTable,8)</f>
        <v>0.03</v>
      </c>
      <c r="DE18" s="365" t="n">
        <f aca="false">$W18+DD18</f>
        <v>0.295311729103426</v>
      </c>
      <c r="DG18" s="336"/>
      <c r="DH18" s="314" t="n">
        <v>18.53</v>
      </c>
      <c r="DI18" s="325" t="n">
        <f aca="false">DH18-$U18</f>
        <v>1.99363636363634</v>
      </c>
      <c r="DJ18" s="325" t="n">
        <f aca="false">VLOOKUP(1900+$L18,ResidSpreadTable,2)</f>
        <v>-2</v>
      </c>
      <c r="DK18" s="337" t="n">
        <f aca="false">$V18+DJ18</f>
        <v>14.5363636363637</v>
      </c>
      <c r="DL18" s="314" t="n">
        <v>17.43</v>
      </c>
      <c r="DM18" s="325" t="n">
        <f aca="false">DL18-$U18</f>
        <v>0.89363636363634</v>
      </c>
      <c r="DN18" s="325" t="n">
        <f aca="false">VLOOKUP(1900+$L18,ResidSpreadTable,3)</f>
        <v>-3</v>
      </c>
      <c r="DO18" s="337" t="n">
        <f aca="false">$V18+DN18</f>
        <v>13.5363636363637</v>
      </c>
      <c r="DP18" s="314" t="n">
        <v>16.68</v>
      </c>
      <c r="DQ18" s="325" t="n">
        <f aca="false">DP18-$U18</f>
        <v>0.14363636363634</v>
      </c>
      <c r="DR18" s="325" t="n">
        <f aca="false">VLOOKUP(1900+$L18,ResidSpreadTable,4)</f>
        <v>-6</v>
      </c>
      <c r="DS18" s="337" t="n">
        <f aca="false">$V18+DR18</f>
        <v>10.5363636363637</v>
      </c>
      <c r="DT18" s="314" t="n">
        <v>17.33</v>
      </c>
      <c r="DU18" s="325" t="n">
        <f aca="false">DT18-$U18</f>
        <v>0.793636363636338</v>
      </c>
      <c r="DV18" s="325" t="n">
        <f aca="false">VLOOKUP(1900+$L18,ResidSpreadTable,5)</f>
        <v>-5</v>
      </c>
      <c r="DW18" s="337" t="n">
        <f aca="false">$V18+DV18</f>
        <v>11.5363636363637</v>
      </c>
      <c r="DY18" s="366" t="n">
        <v>2005</v>
      </c>
      <c r="DZ18" s="367" t="n">
        <v>0.15</v>
      </c>
      <c r="EA18" s="368" t="n">
        <v>0.15</v>
      </c>
      <c r="EB18" s="367" t="n">
        <v>0.15</v>
      </c>
      <c r="EC18" s="368" t="n">
        <v>0.15</v>
      </c>
      <c r="ED18" s="369" t="n">
        <v>0.15</v>
      </c>
      <c r="EE18" s="373" t="n">
        <v>-0.03</v>
      </c>
      <c r="EF18" s="373" t="n">
        <v>0.03</v>
      </c>
    </row>
    <row r="19" customFormat="false" ht="12.75" hidden="false" customHeight="false" outlineLevel="0" collapsed="false">
      <c r="B19" s="371" t="n">
        <v>36130</v>
      </c>
      <c r="C19" s="372" t="n">
        <v>36119</v>
      </c>
      <c r="I19" s="338" t="n">
        <f aca="false">EOMONTH(I18,0)+1</f>
        <v>46327</v>
      </c>
      <c r="J19" s="307" t="n">
        <f aca="false">VLOOKUP(I19,$B$12:$C$332,2)</f>
        <v>45644</v>
      </c>
      <c r="K19" s="339" t="n">
        <f aca="false">NETWORKDAYS(I19,J20)/N19</f>
        <v>-23.2380952380952</v>
      </c>
      <c r="L19" s="309" t="n">
        <f aca="false">YEAR(I19)-1900</f>
        <v>126</v>
      </c>
      <c r="M19" s="310" t="n">
        <f aca="false">MONTH(I19)</f>
        <v>11</v>
      </c>
      <c r="N19" s="340" t="n">
        <f aca="false">NETWORKDAYS(I19,I20-1)</f>
        <v>21</v>
      </c>
      <c r="O19" s="341" t="n">
        <f aca="false">I19-DateToday-IF(EuroExpDateToggle=1,3+IF(WEEKDAY(I19-1)=7,1,IF(WEEKDAY(I19-1)&lt;5,2,0)),1+IF(WEEKDAY(I19-1)=7,1,IF(WEEKDAY(I19-1)&lt;3,2,0)))</f>
        <v>397</v>
      </c>
      <c r="P19" s="342" t="n">
        <f aca="false">(I19-DateToday+1)/365.25</f>
        <v>1.1006160164271</v>
      </c>
      <c r="Q19" s="342" t="n">
        <f aca="false">(I20-DateToday)/365.25</f>
        <v>1.18001368925394</v>
      </c>
      <c r="R19" s="314" t="n">
        <v>22.76</v>
      </c>
      <c r="S19" s="347" t="n">
        <v>0</v>
      </c>
      <c r="T19" s="316" t="n">
        <f aca="false">R19+S19/100</f>
        <v>22.76</v>
      </c>
      <c r="U19" s="325" t="n">
        <f aca="false">R20*K19+R21*(1-K19)</f>
        <v>16.4204761904763</v>
      </c>
      <c r="V19" s="337" t="n">
        <f aca="false">T20*K19+T21*(1-K19)</f>
        <v>16.4204761904763</v>
      </c>
      <c r="W19" s="318" t="n">
        <v>0.25771285015807</v>
      </c>
      <c r="X19" s="319" t="n">
        <f aca="false">IF($I19-DateToday+1&gt;=$A$10,"",IF($I19-DateToday+1&lt;$A$5,1,MATCH($I19-DateToday+1,$A$5:$A$10)))</f>
        <v>5</v>
      </c>
      <c r="Y19" s="348" t="n">
        <f aca="false">IF($X19="",Y18^2/Y17,INDEX(B$5:B$10,$X19)^((INDEX($A$5:$A$10,$X19+1)-($I19-DateToday+1))/(INDEX($A$5:$A$10,$X19+1)-INDEX($A$5:$A$10,$X19)))/INDEX(B$5:B$10,$X19+1)^((INDEX($A$5:$A$10,$X19)-($I19-DateToday+1))/(INDEX($A$5:$A$10,$X19+1)-INDEX($A$5:$A$10,$X19))))</f>
        <v>0.0115223960781648</v>
      </c>
      <c r="Z19" s="348" t="n">
        <f aca="false">IF($X19="",Z18^2/Z17,INDEX(C$5:C$10,$X19)^((INDEX($A$5:$A$10,$X19+1)-($I19-DateToday+1))/(INDEX($A$5:$A$10,$X19+1)-INDEX($A$5:$A$10,$X19)))/INDEX(C$5:C$10,$X19+1)^((INDEX($A$5:$A$10,$X19)-($I19-DateToday+1))/(INDEX($A$5:$A$10,$X19+1)-INDEX($A$5:$A$10,$X19))))</f>
        <v>0.00660913848026178</v>
      </c>
      <c r="AA19" s="348" t="n">
        <f aca="false">IF($X19="",AA18^2/AA17,INDEX(D$5:D$10,$X19)^((INDEX($A$5:$A$10,$X19+1)-($I19-DateToday+1))/(INDEX($A$5:$A$10,$X19+1)-INDEX($A$5:$A$10,$X19)))/INDEX(D$5:D$10,$X19+1)^((INDEX($A$5:$A$10,$X19)-($I19-DateToday+1))/(INDEX($A$5:$A$10,$X19+1)-INDEX($A$5:$A$10,$X19))))</f>
        <v>0.00303929449089064</v>
      </c>
      <c r="AB19" s="348" t="n">
        <f aca="false">IF($X19="",AB18^2/AB17,INDEX(E$5:E$10,$X19)^((INDEX($A$5:$A$10,$X19+1)-($I19-DateToday+1))/(INDEX($A$5:$A$10,$X19+1)-INDEX($A$5:$A$10,$X19)))/INDEX(E$5:E$10,$X19+1)^((INDEX($A$5:$A$10,$X19)-($I19-DateToday+1))/(INDEX($A$5:$A$10,$X19+1)-INDEX($A$5:$A$10,$X19))))</f>
        <v>0.00684692262907843</v>
      </c>
      <c r="AC19" s="348" t="n">
        <f aca="false">IF($X19="",AC18^2/AC17,INDEX(F$5:F$10,$X19)^((INDEX($A$5:$A$10,$X19+1)-($I19-DateToday+1))/(INDEX($A$5:$A$10,$X19+1)-INDEX($A$5:$A$10,$X19)))/INDEX(F$5:F$10,$X19+1)^((INDEX($A$5:$A$10,$X19)-($I19-DateToday+1))/(INDEX($A$5:$A$10,$X19+1)-INDEX($A$5:$A$10,$X19))))</f>
        <v>0.0148890671683337</v>
      </c>
      <c r="AD19" s="348" t="n">
        <f aca="false">IF($X19="",AD18^2/AD17,INDEX(G$5:G$10,$X19)^((INDEX($A$5:$A$10,$X19+1)-($I19-DateToday+1))/(INDEX($A$5:$A$10,$X19+1)-INDEX($A$5:$A$10,$X19)))/INDEX(G$5:G$10,$X19+1)^((INDEX($A$5:$A$10,$X19)-($I19-DateToday+1))/(INDEX($A$5:$A$10,$X19+1)-INDEX($A$5:$A$10,$X19))))</f>
        <v>0.0259576538848896</v>
      </c>
      <c r="AE19" s="321" t="n">
        <v>0.068423496142904</v>
      </c>
      <c r="AF19" s="316" t="n">
        <f aca="false">(1+AE19/2)^(-2*(I20-DateToday)/365.25)</f>
        <v>0.923679400637086</v>
      </c>
      <c r="AG19" s="316" t="n">
        <f aca="false">AG18*(1+IF(AND(M19=1,L19&gt;YearStart),Escalation,0))</f>
        <v>1</v>
      </c>
      <c r="AH19" s="322" t="n">
        <f aca="false">IF(OR(DateStart&gt;=I20,DateEnd&lt;I19),0,Volume*AG19)</f>
        <v>0</v>
      </c>
      <c r="AI19" s="322" t="n">
        <f aca="false">AH19*AF19</f>
        <v>0</v>
      </c>
      <c r="AJ19" s="322" t="n">
        <f aca="false">IF(OR(DateStart2&gt;=I20,DateEnd2&lt;I19),0,VolumeSwaption*AG19)</f>
        <v>0</v>
      </c>
      <c r="AK19" s="322" t="n">
        <f aca="false">AJ19*AF19</f>
        <v>0</v>
      </c>
      <c r="AL19" s="316" t="str">
        <f aca="true">IF(AH19,OFFSET(BY19,0,HorizontalPriceOffset)+PriceSpreadAsian,"")</f>
        <v/>
      </c>
      <c r="AM19" s="316" t="str">
        <f aca="false">IF(AH19,Strike1/AL19-1,"")</f>
        <v/>
      </c>
      <c r="AN19" s="316" t="str">
        <f aca="false">IF(AH19,Strike2/AL19-1,"")</f>
        <v/>
      </c>
      <c r="AO19" s="323" t="str">
        <f aca="false">IF(AH19,IF(VolOverrideAsian,VolOverrideAsian,IF(ProductGroup=1,IF(Product&lt;3,DA20,DE20),W20)+VolSpreadAsian),"")</f>
        <v/>
      </c>
      <c r="AP19" s="323" t="str">
        <f aca="false">IF($AH19,$AO19+IF(SkewFlag=1,IF(AM19&gt;0,$AA19*MIN(AM19/10%,1)+($Z19-$AA19)*MAX(0,MIN(AM19/10%-1,1))+($Y19-$Z19)*MAX(0,AM19/10%-2),$AB19*MIN(-AM19/10%,1)+($AC19-$AB19)*MAX(0,MIN(-AM19/10%-1,1))+($AD19-$AC19)*MAX(0,-AM19/10%-2)),0),"")</f>
        <v/>
      </c>
      <c r="AQ19" s="323" t="str">
        <f aca="false">IF($AH19,$AO19+IF(SkewFlag=1,IF(AN19&gt;0,$AA19*MIN(AN19/10%,1)+($Z19-$AA19)*MAX(0,MIN(AN19/10%-1,1))+($Y19-$Z19)*MAX(0,AN19/10%-2),$AB19*MIN(-AN19/10%,1)+($AC19-$AB19)*MAX(0,MIN(-AN19/10%-1,1))+($AD19-$AC19)*MAX(0,-AN19/10%-2)),0),"")</f>
        <v/>
      </c>
      <c r="AR19" s="324" t="n">
        <f aca="false">IF(AH19,xASN(AL19,Strike1,AE19,AP19,0,N19,0,P19,Q19,IF(OptControl=4,0,1),0),0)</f>
        <v>0</v>
      </c>
      <c r="AS19" s="324" t="n">
        <f aca="false">IF(AH19,xASN(AL19,Strike1,AE19,AP19,0,N19,0,P19,Q19,IF(OptControl=4,0,1),1),0)</f>
        <v>0</v>
      </c>
      <c r="AT19" s="324" t="n">
        <f aca="false">IF(AH19,xASN(AL19,Strike1,AE19,AP19,0,N19,0,P19,Q19,IF(OptControl=4,0,1),2),0)</f>
        <v>0</v>
      </c>
      <c r="AU19" s="324" t="n">
        <f aca="false">IF(AH19,xASN(AL19,Strike1,AE19,AP19,0,N19,0,P19,Q19,IF(OptControl=4,0,1),3)/100,0)</f>
        <v>0</v>
      </c>
      <c r="AV19" s="324" t="n">
        <f aca="false">IF(AH19,xASN(AL19,Strike1,AE19,AP19,0,N19,0,P19-DaysForThetaCalculation/365.25,Q19-DaysForThetaCalculation/365.25,IF(OptControl=4,0,1),0)-xASN(AL19,Strike1,AE19,AP19,0,N19,0,P19,Q19,IF(OptControl=4,0,1),0),0)</f>
        <v>0</v>
      </c>
      <c r="AW19" s="324" t="n">
        <f aca="false">IF(AH19,xASN(AL19,Strike2,AE19,AQ19,0,N19,0,P19,Q19,IF(OptControl=3,1,0),0),0)</f>
        <v>0</v>
      </c>
      <c r="AX19" s="324" t="n">
        <f aca="false">IF(AH19,xASN(AL19,Strike2,AE19,AQ19,0,N19,0,P19,Q19,IF(OptControl=3,1,0),1),0)</f>
        <v>0</v>
      </c>
      <c r="AY19" s="324" t="n">
        <f aca="false">IF(AH19,xASN(AL19,Strike2,AE19,AQ19,0,N19,0,P19,Q19,IF(OptControl=3,1,0),2),0)</f>
        <v>0</v>
      </c>
      <c r="AZ19" s="324" t="n">
        <f aca="false">IF(AH19,xASN(AL19,Strike2,AE19,AQ19,0,N19,0,P19,Q19,IF(OptControl=3,1,0),3)/100,0)</f>
        <v>0</v>
      </c>
      <c r="BA19" s="324" t="n">
        <f aca="false">IF(AH19,xASN(AL19,Strike2,AE19,AQ19,0,N19,0,P19-DaysForThetaCalculation/365.25,Q19-DaysForThetaCalculation/365.25,IF(OptControl=3,1,0),0)-xASN(AL19,Strike2,AE19,AQ19,0,N19,0,P19,Q19,IF(OptControl=3,1,0),0),0)</f>
        <v>0</v>
      </c>
      <c r="BB19" s="325" t="str">
        <f aca="false">IF(AH19,IF(ProductGroup=1,IF(Product=1,BX19+PriceSpreadEuro,IF(Product=3,CK19+PriceSpreadEuro,"N/A")),"N/A"),"")</f>
        <v/>
      </c>
      <c r="BC19" s="316" t="str">
        <f aca="false">IF(AH19,Strike1/BB19-1,"")</f>
        <v/>
      </c>
      <c r="BD19" s="316" t="str">
        <f aca="false">IF(AH19,Strike2/BB19-1,"")</f>
        <v/>
      </c>
      <c r="BE19" s="326" t="str">
        <f aca="false">IF(AH19,IF(VolOverrideEuro,VolOverrideEuro,IF(ProductGroup=1,IF(Product&lt;3,DA19,DE19)+VolSpreadEuro,"N/A")),"")</f>
        <v/>
      </c>
      <c r="BF19" s="323" t="str">
        <f aca="false">IF($AH19,$BE19+IF(SkewFlag=1,IF(BC19&gt;0,$AA19*MIN(BC19/10%,1)+($Z19-$AA19)*MAX(0,MIN(BC19/10%-1,1))+($Y19-$Z19)*MAX(0,BC19/10%-2),$AB19*MIN(-BC19/10%,1)+($AC19-$AB19)*MAX(0,MIN(-BC19/10%-1,1))+($AD19-$AC19)*MAX(0,-BC19/10%-2)),0),"")</f>
        <v/>
      </c>
      <c r="BG19" s="323" t="str">
        <f aca="false">IF($AH19,$BE19+IF(SkewFlag=1,IF(BD19&gt;0,$AA19*MIN(BD19/10%,1)+($Z19-$AA19)*MAX(0,MIN(BD19/10%-1,1))+($Y19-$Z19)*MAX(0,BD19/10%-2),$AB19*MIN(-BD19/10%,1)+($AC19-$AB19)*MAX(0,MIN(-BD19/10%-1,1))+($AD19-$AC19)*MAX(0,-BD19/10%-2)),0),"")</f>
        <v/>
      </c>
      <c r="BH19" s="324" t="n">
        <f aca="false">IF(AH19,xEURO(BB19,Strike1,AE19,AE19,BF19,O19,IF(OptControl=4,0,1),0),0)</f>
        <v>0</v>
      </c>
      <c r="BI19" s="324" t="n">
        <f aca="false">IF(AH19,xEURO(BB19,Strike1,AE19,AE19,BF19,O19,IF(OptControl=4,0,1),1),0)</f>
        <v>0</v>
      </c>
      <c r="BJ19" s="324" t="n">
        <f aca="false">IF(AH19,xEURO(BB19,Strike1,AE19,AE19,BF19,O19,IF(OptControl=4,0,1),2),0)</f>
        <v>0</v>
      </c>
      <c r="BK19" s="324" t="n">
        <f aca="false">IF(AH19,xEURO(BB19,Strike1,AE19,AE19,BF19,O19,IF(OptControl=4,0,1),3)/100,0)</f>
        <v>0</v>
      </c>
      <c r="BL19" s="324" t="n">
        <f aca="false">IF(AH19,xEURO(BB19,Strike1,AE19,AE19,BF19,O19-DaysForThetaCalculation,IF(OptControl=4,0,1),0)-xEURO(BB19,Strike1,AE19,AE19,BF19,O19,IF(OptControl=4,0,1),0),0)</f>
        <v>0</v>
      </c>
      <c r="BM19" s="324" t="n">
        <f aca="false">IF(AH19,xEURO(BB19,Strike2,AE19,AE19,BG19,O19,IF(OptControl=3,1,0),0),0)</f>
        <v>0</v>
      </c>
      <c r="BN19" s="324" t="n">
        <f aca="false">IF(AH19,xEURO(BB19,Strike2,AE19,AE19,BG19,O19,IF(OptControl=3,1,0),1),0)</f>
        <v>0</v>
      </c>
      <c r="BO19" s="324" t="n">
        <f aca="false">IF(AH19,xEURO(BB19,Strike2,AE19,AE19,BG19,O19,IF(OptControl=3,1,0),2),0)</f>
        <v>0</v>
      </c>
      <c r="BP19" s="324" t="n">
        <f aca="false">IF(AH19,xEURO(BB19,Strike2,AE19,AE19,BG19,O19,IF(OptControl=3,1,0),3)/100,0)</f>
        <v>0</v>
      </c>
      <c r="BQ19" s="327" t="n">
        <f aca="false">IF(AH19,xEURO(BB19,Strike2,AE19,AE19,BG19,O19-DaysForThetaCalculation,IF(OptControl=3,1,0),0)-xEURO(BB19,Strike2,AE19,AE19,BG19,O19,IF(OptControl=3,1,0),0),0)</f>
        <v>0</v>
      </c>
      <c r="BR19" s="343"/>
      <c r="BS19" s="314" t="n">
        <v>30.765</v>
      </c>
      <c r="BT19" s="329" t="n">
        <f aca="false">BS19*100/42</f>
        <v>73.25</v>
      </c>
      <c r="BU19" s="329" t="n">
        <f aca="false">BS20-$U19</f>
        <v>13.5085238095237</v>
      </c>
      <c r="BV19" s="224"/>
      <c r="BW19" s="329" t="n">
        <f aca="false">BW7+VLOOKUP(1900+$L19,ProductSpreadTable,2)</f>
        <v>18.59</v>
      </c>
      <c r="BX19" s="329" t="n">
        <f aca="false">($V18+BW18)*100/42</f>
        <v>88.3588368153586</v>
      </c>
      <c r="BY19" s="332" t="n">
        <f aca="false">BX20</f>
        <v>83.3582766439911</v>
      </c>
      <c r="BZ19" s="314" t="n">
        <v>28.039</v>
      </c>
      <c r="CA19" s="329" t="n">
        <f aca="false">BZ19*100/42</f>
        <v>66.7595238095238</v>
      </c>
      <c r="CB19" s="329" t="n">
        <f aca="false">BZ19-$U19</f>
        <v>11.6185238095237</v>
      </c>
      <c r="CC19" s="329" t="n">
        <f aca="false">CC7+VLOOKUP(1900+$L19,ProductSpreadTable,3)</f>
        <v>15.965</v>
      </c>
      <c r="CD19" s="329" t="n">
        <f aca="false">($V19+CC19)*100/42</f>
        <v>77.1082766439911</v>
      </c>
      <c r="CE19" s="333" t="n">
        <f aca="false">CD19-BY19</f>
        <v>-6.25</v>
      </c>
      <c r="CF19" s="314" t="n">
        <v>24.898</v>
      </c>
      <c r="CG19" s="329" t="n">
        <f aca="false">CF19*100/42</f>
        <v>59.2809523809524</v>
      </c>
      <c r="CH19" s="329" t="n">
        <f aca="false">CF20-$U19</f>
        <v>7.80552380952372</v>
      </c>
      <c r="CI19" s="330" t="n">
        <v>0</v>
      </c>
      <c r="CJ19" s="331" t="n">
        <f aca="false">CF20+CI20/10000*42-$V19</f>
        <v>7.80552380952372</v>
      </c>
      <c r="CK19" s="344" t="n">
        <f aca="false">CG19+CI19/100</f>
        <v>59.2809523809524</v>
      </c>
      <c r="CL19" s="332" t="n">
        <f aca="false">CK20</f>
        <v>57.6809523809524</v>
      </c>
      <c r="CM19" s="314" t="n">
        <v>23.302</v>
      </c>
      <c r="CN19" s="329" t="n">
        <f aca="false">CM19*100/42</f>
        <v>55.4809523809524</v>
      </c>
      <c r="CO19" s="329" t="n">
        <f aca="false">CM19-$U19</f>
        <v>6.88152380952372</v>
      </c>
      <c r="CP19" s="331" t="n">
        <f aca="false">CO19</f>
        <v>6.88152380952372</v>
      </c>
      <c r="CQ19" s="329" t="n">
        <f aca="false">($V19+CP19)*100/42</f>
        <v>55.4809523809524</v>
      </c>
      <c r="CR19" s="333" t="n">
        <f aca="false">CQ19-CL19</f>
        <v>-2.19999999999999</v>
      </c>
      <c r="CS19" s="314" t="n">
        <v>24.478</v>
      </c>
      <c r="CT19" s="329" t="n">
        <f aca="false">CS19*100/42</f>
        <v>58.2809523809524</v>
      </c>
      <c r="CU19" s="329" t="n">
        <f aca="false">CT19-CG20</f>
        <v>0.600000000000009</v>
      </c>
      <c r="CV19" s="331" t="n">
        <f aca="false">CU19</f>
        <v>0.600000000000009</v>
      </c>
      <c r="CW19" s="333" t="n">
        <f aca="false">CL19+CV19</f>
        <v>58.2809523809524</v>
      </c>
      <c r="CX19" s="318" t="n">
        <v>0.258</v>
      </c>
      <c r="CY19" s="326" t="n">
        <f aca="false">CX19-$W19</f>
        <v>0.000287149841929957</v>
      </c>
      <c r="CZ19" s="326" t="n">
        <f aca="false">VLOOKUP(1900+$L19,ProductSpreadTable,7)</f>
        <v>-0.03</v>
      </c>
      <c r="DA19" s="365" t="n">
        <f aca="false">$W19+CZ19</f>
        <v>0.22771285015807</v>
      </c>
      <c r="DB19" s="318" t="n">
        <v>0.258</v>
      </c>
      <c r="DC19" s="326" t="n">
        <f aca="false">DB19-$W19</f>
        <v>0.000287149841929957</v>
      </c>
      <c r="DD19" s="326" t="n">
        <f aca="false">VLOOKUP(1900+$L19,ProductSpreadTable,8)</f>
        <v>0.03</v>
      </c>
      <c r="DE19" s="365" t="n">
        <f aca="false">$W19+DD19</f>
        <v>0.28771285015807</v>
      </c>
      <c r="DG19" s="336"/>
      <c r="DH19" s="314" t="n">
        <v>18.254</v>
      </c>
      <c r="DI19" s="325" t="n">
        <f aca="false">DH19-$U19</f>
        <v>1.83352380952372</v>
      </c>
      <c r="DJ19" s="325" t="n">
        <f aca="false">VLOOKUP(1900+$L19,ResidSpreadTable,2)</f>
        <v>-2</v>
      </c>
      <c r="DK19" s="337" t="n">
        <f aca="false">$V19+DJ19</f>
        <v>14.4204761904763</v>
      </c>
      <c r="DL19" s="314" t="n">
        <v>17.154</v>
      </c>
      <c r="DM19" s="325" t="n">
        <f aca="false">DL19-$U19</f>
        <v>0.733523809523721</v>
      </c>
      <c r="DN19" s="325" t="n">
        <f aca="false">VLOOKUP(1900+$L19,ResidSpreadTable,3)</f>
        <v>-3</v>
      </c>
      <c r="DO19" s="337" t="n">
        <f aca="false">$V19+DN19</f>
        <v>13.4204761904763</v>
      </c>
      <c r="DP19" s="314" t="n">
        <v>16.404</v>
      </c>
      <c r="DQ19" s="325" t="n">
        <f aca="false">DP19-$U19</f>
        <v>-0.0164761904762791</v>
      </c>
      <c r="DR19" s="325" t="n">
        <f aca="false">VLOOKUP(1900+$L19,ResidSpreadTable,4)</f>
        <v>-6</v>
      </c>
      <c r="DS19" s="337" t="n">
        <f aca="false">$V19+DR19</f>
        <v>10.4204761904763</v>
      </c>
      <c r="DT19" s="314" t="n">
        <v>17.054</v>
      </c>
      <c r="DU19" s="325" t="n">
        <f aca="false">DT19-$U19</f>
        <v>0.633523809523723</v>
      </c>
      <c r="DV19" s="325" t="n">
        <f aca="false">VLOOKUP(1900+$L19,ResidSpreadTable,5)</f>
        <v>-5</v>
      </c>
      <c r="DW19" s="337" t="n">
        <f aca="false">$V19+DV19</f>
        <v>11.4204761904763</v>
      </c>
      <c r="DY19" s="366" t="n">
        <v>2006</v>
      </c>
      <c r="DZ19" s="367" t="n">
        <v>0.15</v>
      </c>
      <c r="EA19" s="368" t="n">
        <v>0.15</v>
      </c>
      <c r="EB19" s="367" t="n">
        <v>0.15</v>
      </c>
      <c r="EC19" s="368" t="n">
        <v>0.15</v>
      </c>
      <c r="ED19" s="369" t="n">
        <v>0.15</v>
      </c>
      <c r="EE19" s="373" t="n">
        <v>-0.03</v>
      </c>
      <c r="EF19" s="373" t="n">
        <v>0.03</v>
      </c>
    </row>
    <row r="20" customFormat="false" ht="12.75" hidden="false" customHeight="false" outlineLevel="0" collapsed="false">
      <c r="B20" s="371" t="n">
        <v>36161</v>
      </c>
      <c r="C20" s="372" t="n">
        <v>36150</v>
      </c>
      <c r="I20" s="338" t="n">
        <f aca="false">EOMONTH(I19,0)+1</f>
        <v>46357</v>
      </c>
      <c r="J20" s="307" t="n">
        <f aca="false">VLOOKUP(I20,$B$12:$C$332,2)</f>
        <v>45644</v>
      </c>
      <c r="K20" s="339" t="n">
        <f aca="false">NETWORKDAYS(I20,J21)/N20</f>
        <v>-22.1739130434783</v>
      </c>
      <c r="L20" s="309" t="n">
        <f aca="false">YEAR(I20)-1900</f>
        <v>126</v>
      </c>
      <c r="M20" s="310" t="n">
        <f aca="false">MONTH(I20)</f>
        <v>12</v>
      </c>
      <c r="N20" s="340" t="n">
        <f aca="false">NETWORKDAYS(I20,I21-1)</f>
        <v>23</v>
      </c>
      <c r="O20" s="341" t="n">
        <f aca="false">I20-DateToday-IF(EuroExpDateToggle=1,3+IF(WEEKDAY(I20-1)=7,1,IF(WEEKDAY(I20-1)&lt;5,2,0)),1+IF(WEEKDAY(I20-1)=7,1,IF(WEEKDAY(I20-1)&lt;3,2,0)))</f>
        <v>426</v>
      </c>
      <c r="P20" s="342" t="n">
        <f aca="false">(I20-DateToday+1)/365.25</f>
        <v>1.18275154004107</v>
      </c>
      <c r="Q20" s="342" t="n">
        <f aca="false">(I21-DateToday)/365.25</f>
        <v>1.26488706365503</v>
      </c>
      <c r="R20" s="314" t="n">
        <v>22.48</v>
      </c>
      <c r="S20" s="347" t="n">
        <v>0</v>
      </c>
      <c r="T20" s="316" t="n">
        <f aca="false">R20+S20/100</f>
        <v>22.48</v>
      </c>
      <c r="U20" s="325" t="n">
        <f aca="false">R21*K20+R22*(1-K20)</f>
        <v>16.9</v>
      </c>
      <c r="V20" s="337" t="n">
        <f aca="false">T21*K20+T22*(1-K20)</f>
        <v>16.9</v>
      </c>
      <c r="W20" s="318" t="n">
        <v>0.251426594227977</v>
      </c>
      <c r="X20" s="319" t="n">
        <f aca="false">IF($I20-DateToday+1&gt;=$A$10,"",IF($I20-DateToday+1&lt;$A$5,1,MATCH($I20-DateToday+1,$A$5:$A$10)))</f>
        <v>5</v>
      </c>
      <c r="Y20" s="348" t="n">
        <f aca="false">IF($X20="",Y19^2/Y18,INDEX(B$5:B$10,$X20)^((INDEX($A$5:$A$10,$X20+1)-($I20-DateToday+1))/(INDEX($A$5:$A$10,$X20+1)-INDEX($A$5:$A$10,$X20)))/INDEX(B$5:B$10,$X20+1)^((INDEX($A$5:$A$10,$X20)-($I20-DateToday+1))/(INDEX($A$5:$A$10,$X20+1)-INDEX($A$5:$A$10,$X20))))</f>
        <v>0.0112835933813149</v>
      </c>
      <c r="Z20" s="348" t="n">
        <f aca="false">IF($X20="",Z19^2/Z18,INDEX(C$5:C$10,$X20)^((INDEX($A$5:$A$10,$X20+1)-($I20-DateToday+1))/(INDEX($A$5:$A$10,$X20+1)-INDEX($A$5:$A$10,$X20)))/INDEX(C$5:C$10,$X20+1)^((INDEX($A$5:$A$10,$X20)-($I20-DateToday+1))/(INDEX($A$5:$A$10,$X20+1)-INDEX($A$5:$A$10,$X20))))</f>
        <v>0.00643862610516601</v>
      </c>
      <c r="AA20" s="348" t="n">
        <f aca="false">IF($X20="",AA19^2/AA18,INDEX(D$5:D$10,$X20)^((INDEX($A$5:$A$10,$X20+1)-($I20-DateToday+1))/(INDEX($A$5:$A$10,$X20+1)-INDEX($A$5:$A$10,$X20)))/INDEX(D$5:D$10,$X20+1)^((INDEX($A$5:$A$10,$X20)-($I20-DateToday+1))/(INDEX($A$5:$A$10,$X20+1)-INDEX($A$5:$A$10,$X20))))</f>
        <v>0.00295319816230012</v>
      </c>
      <c r="AB20" s="348" t="n">
        <f aca="false">IF($X20="",AB19^2/AB18,INDEX(E$5:E$10,$X20)^((INDEX($A$5:$A$10,$X20+1)-($I20-DateToday+1))/(INDEX($A$5:$A$10,$X20+1)-INDEX($A$5:$A$10,$X20)))/INDEX(E$5:E$10,$X20+1)^((INDEX($A$5:$A$10,$X20)-($I20-DateToday+1))/(INDEX($A$5:$A$10,$X20+1)-INDEX($A$5:$A$10,$X20))))</f>
        <v>0.0066529648200297</v>
      </c>
      <c r="AC20" s="348" t="n">
        <f aca="false">IF($X20="",AC19^2/AC18,INDEX(F$5:F$10,$X20)^((INDEX($A$5:$A$10,$X20+1)-($I20-DateToday+1))/(INDEX($A$5:$A$10,$X20+1)-INDEX($A$5:$A$10,$X20)))/INDEX(F$5:F$10,$X20+1)^((INDEX($A$5:$A$10,$X20)-($I20-DateToday+1))/(INDEX($A$5:$A$10,$X20+1)-INDEX($A$5:$A$10,$X20))))</f>
        <v>0.014504936889718</v>
      </c>
      <c r="AD20" s="348" t="n">
        <f aca="false">IF($X20="",AD19^2/AD18,INDEX(G$5:G$10,$X20)^((INDEX($A$5:$A$10,$X20+1)-($I20-DateToday+1))/(INDEX($A$5:$A$10,$X20+1)-INDEX($A$5:$A$10,$X20)))/INDEX(G$5:G$10,$X20+1)^((INDEX($A$5:$A$10,$X20)-($I20-DateToday+1))/(INDEX($A$5:$A$10,$X20+1)-INDEX($A$5:$A$10,$X20))))</f>
        <v>0.0254196791694261</v>
      </c>
      <c r="AE20" s="321" t="n">
        <v>0.068749130425851</v>
      </c>
      <c r="AF20" s="316" t="n">
        <f aca="false">(1+AE20/2)^(-2*(I21-DateToday)/365.25)</f>
        <v>0.918054361237701</v>
      </c>
      <c r="AG20" s="316" t="n">
        <f aca="false">AG19*(1+IF(AND(M20=1,L20&gt;YearStart),Escalation,0))</f>
        <v>1</v>
      </c>
      <c r="AH20" s="322" t="n">
        <f aca="false">IF(OR(DateStart&gt;=I21,DateEnd&lt;I20),0,Volume*AG20)</f>
        <v>0</v>
      </c>
      <c r="AI20" s="322" t="n">
        <f aca="false">AH20*AF20</f>
        <v>0</v>
      </c>
      <c r="AJ20" s="322" t="n">
        <f aca="false">IF(OR(DateStart2&gt;=I21,DateEnd2&lt;I20),0,VolumeSwaption*AG20)</f>
        <v>0</v>
      </c>
      <c r="AK20" s="322" t="n">
        <f aca="false">AJ20*AF20</f>
        <v>0</v>
      </c>
      <c r="AL20" s="316" t="str">
        <f aca="true">IF(AH20,OFFSET(BY20,0,HorizontalPriceOffset)+PriceSpreadAsian,"")</f>
        <v/>
      </c>
      <c r="AM20" s="316" t="str">
        <f aca="false">IF(AH20,Strike1/AL20-1,"")</f>
        <v/>
      </c>
      <c r="AN20" s="316" t="str">
        <f aca="false">IF(AH20,Strike2/AL20-1,"")</f>
        <v/>
      </c>
      <c r="AO20" s="323" t="str">
        <f aca="false">IF(AH20,IF(VolOverrideAsian,VolOverrideAsian,IF(ProductGroup=1,IF(Product&lt;3,DA21,DE21),W21)+VolSpreadAsian),"")</f>
        <v/>
      </c>
      <c r="AP20" s="323" t="str">
        <f aca="false">IF($AH20,$AO20+IF(SkewFlag=1,IF(AM20&gt;0,$AA20*MIN(AM20/10%,1)+($Z20-$AA20)*MAX(0,MIN(AM20/10%-1,1))+($Y20-$Z20)*MAX(0,AM20/10%-2),$AB20*MIN(-AM20/10%,1)+($AC20-$AB20)*MAX(0,MIN(-AM20/10%-1,1))+($AD20-$AC20)*MAX(0,-AM20/10%-2)),0),"")</f>
        <v/>
      </c>
      <c r="AQ20" s="323" t="str">
        <f aca="false">IF($AH20,$AO20+IF(SkewFlag=1,IF(AN20&gt;0,$AA20*MIN(AN20/10%,1)+($Z20-$AA20)*MAX(0,MIN(AN20/10%-1,1))+($Y20-$Z20)*MAX(0,AN20/10%-2),$AB20*MIN(-AN20/10%,1)+($AC20-$AB20)*MAX(0,MIN(-AN20/10%-1,1))+($AD20-$AC20)*MAX(0,-AN20/10%-2)),0),"")</f>
        <v/>
      </c>
      <c r="AR20" s="324" t="n">
        <f aca="false">IF(AH20,xASN(AL20,Strike1,AE20,AP20,0,N20,0,P20,Q20,IF(OptControl=4,0,1),0),0)</f>
        <v>0</v>
      </c>
      <c r="AS20" s="324" t="n">
        <f aca="false">IF(AH20,xASN(AL20,Strike1,AE20,AP20,0,N20,0,P20,Q20,IF(OptControl=4,0,1),1),0)</f>
        <v>0</v>
      </c>
      <c r="AT20" s="324" t="n">
        <f aca="false">IF(AH20,xASN(AL20,Strike1,AE20,AP20,0,N20,0,P20,Q20,IF(OptControl=4,0,1),2),0)</f>
        <v>0</v>
      </c>
      <c r="AU20" s="324" t="n">
        <f aca="false">IF(AH20,xASN(AL20,Strike1,AE20,AP20,0,N20,0,P20,Q20,IF(OptControl=4,0,1),3)/100,0)</f>
        <v>0</v>
      </c>
      <c r="AV20" s="324" t="n">
        <f aca="false">IF(AH20,xASN(AL20,Strike1,AE20,AP20,0,N20,0,P20-DaysForThetaCalculation/365.25,Q20-DaysForThetaCalculation/365.25,IF(OptControl=4,0,1),0)-xASN(AL20,Strike1,AE20,AP20,0,N20,0,P20,Q20,IF(OptControl=4,0,1),0),0)</f>
        <v>0</v>
      </c>
      <c r="AW20" s="324" t="n">
        <f aca="false">IF(AH20,xASN(AL20,Strike2,AE20,AQ20,0,N20,0,P20,Q20,IF(OptControl=3,1,0),0),0)</f>
        <v>0</v>
      </c>
      <c r="AX20" s="324" t="n">
        <f aca="false">IF(AH20,xASN(AL20,Strike2,AE20,AQ20,0,N20,0,P20,Q20,IF(OptControl=3,1,0),1),0)</f>
        <v>0</v>
      </c>
      <c r="AY20" s="324" t="n">
        <f aca="false">IF(AH20,xASN(AL20,Strike2,AE20,AQ20,0,N20,0,P20,Q20,IF(OptControl=3,1,0),2),0)</f>
        <v>0</v>
      </c>
      <c r="AZ20" s="324" t="n">
        <f aca="false">IF(AH20,xASN(AL20,Strike2,AE20,AQ20,0,N20,0,P20,Q20,IF(OptControl=3,1,0),3)/100,0)</f>
        <v>0</v>
      </c>
      <c r="BA20" s="324" t="n">
        <f aca="false">IF(AH20,xASN(AL20,Strike2,AE20,AQ20,0,N20,0,P20-DaysForThetaCalculation/365.25,Q20-DaysForThetaCalculation/365.25,IF(OptControl=3,1,0),0)-xASN(AL20,Strike2,AE20,AQ20,0,N20,0,P20,Q20,IF(OptControl=3,1,0),0),0)</f>
        <v>0</v>
      </c>
      <c r="BB20" s="325" t="str">
        <f aca="false">IF(AH20,IF(ProductGroup=1,IF(Product=1,BX20+PriceSpreadEuro,IF(Product=3,CK20+PriceSpreadEuro,"N/A")),"N/A"),"")</f>
        <v/>
      </c>
      <c r="BC20" s="316" t="str">
        <f aca="false">IF(AH20,Strike1/BB20-1,"")</f>
        <v/>
      </c>
      <c r="BD20" s="316" t="str">
        <f aca="false">IF(AH20,Strike2/BB20-1,"")</f>
        <v/>
      </c>
      <c r="BE20" s="326" t="str">
        <f aca="false">IF(AH20,IF(VolOverrideEuro,VolOverrideEuro,IF(ProductGroup=1,IF(Product&lt;3,DA20,DE20)+VolSpreadEuro,"N/A")),"")</f>
        <v/>
      </c>
      <c r="BF20" s="323" t="str">
        <f aca="false">IF($AH20,$BE20+IF(SkewFlag=1,IF(BC20&gt;0,$AA20*MIN(BC20/10%,1)+($Z20-$AA20)*MAX(0,MIN(BC20/10%-1,1))+($Y20-$Z20)*MAX(0,BC20/10%-2),$AB20*MIN(-BC20/10%,1)+($AC20-$AB20)*MAX(0,MIN(-BC20/10%-1,1))+($AD20-$AC20)*MAX(0,-BC20/10%-2)),0),"")</f>
        <v/>
      </c>
      <c r="BG20" s="323" t="str">
        <f aca="false">IF($AH20,$BE20+IF(SkewFlag=1,IF(BD20&gt;0,$AA20*MIN(BD20/10%,1)+($Z20-$AA20)*MAX(0,MIN(BD20/10%-1,1))+($Y20-$Z20)*MAX(0,BD20/10%-2),$AB20*MIN(-BD20/10%,1)+($AC20-$AB20)*MAX(0,MIN(-BD20/10%-1,1))+($AD20-$AC20)*MAX(0,-BD20/10%-2)),0),"")</f>
        <v/>
      </c>
      <c r="BH20" s="324" t="n">
        <f aca="false">IF(AH20,xEURO(BB20,Strike1,AE20,AE20,BF20,O20,IF(OptControl=4,0,1),0),0)</f>
        <v>0</v>
      </c>
      <c r="BI20" s="324" t="n">
        <f aca="false">IF(AH20,xEURO(BB20,Strike1,AE20,AE20,BF20,O20,IF(OptControl=4,0,1),1),0)</f>
        <v>0</v>
      </c>
      <c r="BJ20" s="324" t="n">
        <f aca="false">IF(AH20,xEURO(BB20,Strike1,AE20,AE20,BF20,O20,IF(OptControl=4,0,1),2),0)</f>
        <v>0</v>
      </c>
      <c r="BK20" s="324" t="n">
        <f aca="false">IF(AH20,xEURO(BB20,Strike1,AE20,AE20,BF20,O20,IF(OptControl=4,0,1),3)/100,0)</f>
        <v>0</v>
      </c>
      <c r="BL20" s="324" t="n">
        <f aca="false">IF(AH20,xEURO(BB20,Strike1,AE20,AE20,BF20,O20-DaysForThetaCalculation,IF(OptControl=4,0,1),0)-xEURO(BB20,Strike1,AE20,AE20,BF20,O20,IF(OptControl=4,0,1),0),0)</f>
        <v>0</v>
      </c>
      <c r="BM20" s="324" t="n">
        <f aca="false">IF(AH20,xEURO(BB20,Strike2,AE20,AE20,BG20,O20,IF(OptControl=3,1,0),0),0)</f>
        <v>0</v>
      </c>
      <c r="BN20" s="324" t="n">
        <f aca="false">IF(AH20,xEURO(BB20,Strike2,AE20,AE20,BG20,O20,IF(OptControl=3,1,0),1),0)</f>
        <v>0</v>
      </c>
      <c r="BO20" s="324" t="n">
        <f aca="false">IF(AH20,xEURO(BB20,Strike2,AE20,AE20,BG20,O20,IF(OptControl=3,1,0),2),0)</f>
        <v>0</v>
      </c>
      <c r="BP20" s="324" t="n">
        <f aca="false">IF(AH20,xEURO(BB20,Strike2,AE20,AE20,BG20,O20,IF(OptControl=3,1,0),3)/100,0)</f>
        <v>0</v>
      </c>
      <c r="BQ20" s="327" t="n">
        <f aca="false">IF(AH20,xEURO(BB20,Strike2,AE20,AE20,BG20,O20-DaysForThetaCalculation,IF(OptControl=3,1,0),0)-xEURO(BB20,Strike2,AE20,AE20,BG20,O20,IF(OptControl=3,1,0),0),0)</f>
        <v>0</v>
      </c>
      <c r="BR20" s="343"/>
      <c r="BS20" s="314" t="n">
        <v>29.929</v>
      </c>
      <c r="BT20" s="329" t="n">
        <f aca="false">BS20*100/42</f>
        <v>71.2595238095238</v>
      </c>
      <c r="BU20" s="329" t="n">
        <f aca="false">BS21-$U20</f>
        <v>12.349</v>
      </c>
      <c r="BV20" s="224"/>
      <c r="BW20" s="329" t="n">
        <f aca="false">BW8+VLOOKUP(1900+$L20,ProductSpreadTable,2)</f>
        <v>14.6939565217392</v>
      </c>
      <c r="BX20" s="329" t="n">
        <f aca="false">($V19+BW19)*100/42</f>
        <v>83.3582766439911</v>
      </c>
      <c r="BY20" s="332" t="n">
        <f aca="false">BX21</f>
        <v>75.2237060041409</v>
      </c>
      <c r="BZ20" s="314" t="n">
        <v>27.359</v>
      </c>
      <c r="CA20" s="329" t="n">
        <f aca="false">BZ20*100/42</f>
        <v>65.1404761904762</v>
      </c>
      <c r="CB20" s="329" t="n">
        <f aca="false">BZ20-$U20</f>
        <v>10.459</v>
      </c>
      <c r="CC20" s="329" t="n">
        <f aca="false">CC8+VLOOKUP(1900+$L20,ProductSpreadTable,3)</f>
        <v>12.0689565217392</v>
      </c>
      <c r="CD20" s="329" t="n">
        <f aca="false">($V20+CC20)*100/42</f>
        <v>68.9737060041409</v>
      </c>
      <c r="CE20" s="333" t="n">
        <f aca="false">CD20-BY20</f>
        <v>-6.24999999999999</v>
      </c>
      <c r="CF20" s="314" t="n">
        <v>24.226</v>
      </c>
      <c r="CG20" s="329" t="n">
        <f aca="false">CF20*100/42</f>
        <v>57.6809523809524</v>
      </c>
      <c r="CH20" s="329" t="n">
        <f aca="false">CF21-$U20</f>
        <v>7.15800000000003</v>
      </c>
      <c r="CI20" s="330" t="n">
        <v>0</v>
      </c>
      <c r="CJ20" s="331" t="n">
        <f aca="false">CF21+CI21/10000*42-$V20</f>
        <v>7.15800000000003</v>
      </c>
      <c r="CK20" s="344" t="n">
        <f aca="false">CG20+CI20/100</f>
        <v>57.6809523809524</v>
      </c>
      <c r="CL20" s="332" t="n">
        <f aca="false">CK21</f>
        <v>57.2809523809524</v>
      </c>
      <c r="CM20" s="314" t="n">
        <v>23.134</v>
      </c>
      <c r="CN20" s="329" t="n">
        <f aca="false">CM20*100/42</f>
        <v>55.0809523809524</v>
      </c>
      <c r="CO20" s="329" t="n">
        <f aca="false">CM20-$U20</f>
        <v>6.23400000000002</v>
      </c>
      <c r="CP20" s="331" t="n">
        <f aca="false">CO20</f>
        <v>6.23400000000002</v>
      </c>
      <c r="CQ20" s="329" t="n">
        <f aca="false">($V20+CP20)*100/42</f>
        <v>55.0809523809524</v>
      </c>
      <c r="CR20" s="333" t="n">
        <f aca="false">CQ20-CL20</f>
        <v>-2.2</v>
      </c>
      <c r="CS20" s="314" t="n">
        <v>24.31</v>
      </c>
      <c r="CT20" s="329" t="n">
        <f aca="false">CS20*100/42</f>
        <v>57.8809523809524</v>
      </c>
      <c r="CU20" s="329" t="n">
        <f aca="false">CT20-CG21</f>
        <v>0.599999999999994</v>
      </c>
      <c r="CV20" s="331" t="n">
        <f aca="false">CU20</f>
        <v>0.599999999999994</v>
      </c>
      <c r="CW20" s="333" t="n">
        <f aca="false">CL20+CV20</f>
        <v>57.8809523809524</v>
      </c>
      <c r="CX20" s="318" t="n">
        <v>0.251</v>
      </c>
      <c r="CY20" s="326" t="n">
        <f aca="false">CX20-$W20</f>
        <v>-0.000426594227976973</v>
      </c>
      <c r="CZ20" s="326" t="n">
        <f aca="false">VLOOKUP(1900+$L20,ProductSpreadTable,7)</f>
        <v>-0.03</v>
      </c>
      <c r="DA20" s="365" t="n">
        <f aca="false">$W20+CZ20</f>
        <v>0.221426594227977</v>
      </c>
      <c r="DB20" s="318" t="n">
        <v>0.251</v>
      </c>
      <c r="DC20" s="326" t="n">
        <f aca="false">DB20-$W20</f>
        <v>-0.000426594227976973</v>
      </c>
      <c r="DD20" s="326" t="n">
        <f aca="false">VLOOKUP(1900+$L20,ProductSpreadTable,8)</f>
        <v>0.03</v>
      </c>
      <c r="DE20" s="365" t="n">
        <f aca="false">$W20+DD20</f>
        <v>0.281426594227977</v>
      </c>
      <c r="DG20" s="336"/>
      <c r="DH20" s="314" t="n">
        <v>18.003</v>
      </c>
      <c r="DI20" s="325" t="n">
        <f aca="false">DH20-$U20</f>
        <v>1.10300000000002</v>
      </c>
      <c r="DJ20" s="325" t="n">
        <f aca="false">VLOOKUP(1900+$L20,ResidSpreadTable,2)</f>
        <v>-2</v>
      </c>
      <c r="DK20" s="337" t="n">
        <f aca="false">$V20+DJ20</f>
        <v>14.9</v>
      </c>
      <c r="DL20" s="314" t="n">
        <v>16.903</v>
      </c>
      <c r="DM20" s="325" t="n">
        <f aca="false">DL20-$U20</f>
        <v>0.00300000000002143</v>
      </c>
      <c r="DN20" s="325" t="n">
        <f aca="false">VLOOKUP(1900+$L20,ResidSpreadTable,3)</f>
        <v>-3</v>
      </c>
      <c r="DO20" s="337" t="n">
        <f aca="false">$V20+DN20</f>
        <v>13.9</v>
      </c>
      <c r="DP20" s="314" t="n">
        <v>16.153</v>
      </c>
      <c r="DQ20" s="325" t="n">
        <f aca="false">DP20-$U20</f>
        <v>-0.746999999999979</v>
      </c>
      <c r="DR20" s="325" t="n">
        <f aca="false">VLOOKUP(1900+$L20,ResidSpreadTable,4)</f>
        <v>-6</v>
      </c>
      <c r="DS20" s="337" t="n">
        <f aca="false">$V20+DR20</f>
        <v>10.9</v>
      </c>
      <c r="DT20" s="314" t="n">
        <v>16.803</v>
      </c>
      <c r="DU20" s="325" t="n">
        <f aca="false">DT20-$U20</f>
        <v>-0.0969999999999764</v>
      </c>
      <c r="DV20" s="325" t="n">
        <f aca="false">VLOOKUP(1900+$L20,ResidSpreadTable,5)</f>
        <v>-5</v>
      </c>
      <c r="DW20" s="337" t="n">
        <f aca="false">$V20+DV20</f>
        <v>11.9</v>
      </c>
      <c r="DY20" s="366" t="n">
        <v>2007</v>
      </c>
      <c r="DZ20" s="367" t="n">
        <v>0.15</v>
      </c>
      <c r="EA20" s="368" t="n">
        <v>0.15</v>
      </c>
      <c r="EB20" s="367" t="n">
        <v>0.15</v>
      </c>
      <c r="EC20" s="368" t="n">
        <v>0.15</v>
      </c>
      <c r="ED20" s="369" t="n">
        <v>0.15</v>
      </c>
      <c r="EE20" s="373" t="n">
        <v>-0.03</v>
      </c>
      <c r="EF20" s="373" t="n">
        <v>0.03</v>
      </c>
    </row>
    <row r="21" customFormat="false" ht="12.75" hidden="false" customHeight="false" outlineLevel="0" collapsed="false">
      <c r="B21" s="371" t="n">
        <v>36192</v>
      </c>
      <c r="C21" s="372" t="n">
        <v>36180</v>
      </c>
      <c r="I21" s="338" t="n">
        <f aca="false">EOMONTH(I20,0)+1</f>
        <v>46388</v>
      </c>
      <c r="J21" s="307" t="n">
        <f aca="false">VLOOKUP(I21,$B$12:$C$332,2)</f>
        <v>45644</v>
      </c>
      <c r="K21" s="339" t="n">
        <f aca="false">NETWORKDAYS(I21,J22)/N21</f>
        <v>-25.3809523809524</v>
      </c>
      <c r="L21" s="309" t="n">
        <f aca="false">YEAR(I21)-1900</f>
        <v>127</v>
      </c>
      <c r="M21" s="310" t="n">
        <f aca="false">MONTH(I21)</f>
        <v>1</v>
      </c>
      <c r="N21" s="340" t="n">
        <f aca="false">NETWORKDAYS(I21,I22-1)</f>
        <v>21</v>
      </c>
      <c r="O21" s="341" t="n">
        <f aca="false">I21-DateToday-IF(EuroExpDateToggle=1,3+IF(WEEKDAY(I21-1)=7,1,IF(WEEKDAY(I21-1)&lt;5,2,0)),1+IF(WEEKDAY(I21-1)=7,1,IF(WEEKDAY(I21-1)&lt;3,2,0)))</f>
        <v>459</v>
      </c>
      <c r="P21" s="342" t="n">
        <f aca="false">(I21-DateToday+1)/365.25</f>
        <v>1.26762491444216</v>
      </c>
      <c r="Q21" s="342" t="n">
        <f aca="false">(I22-DateToday)/365.25</f>
        <v>1.34976043805613</v>
      </c>
      <c r="R21" s="314" t="n">
        <v>22.23</v>
      </c>
      <c r="S21" s="347" t="n">
        <v>0</v>
      </c>
      <c r="T21" s="316" t="n">
        <f aca="false">R21+S21/100</f>
        <v>22.23</v>
      </c>
      <c r="U21" s="325" t="n">
        <f aca="false">R22*K21+R23*(1-K21)</f>
        <v>16.46</v>
      </c>
      <c r="V21" s="337" t="n">
        <f aca="false">T22*K21+T23*(1-K21)</f>
        <v>16.46</v>
      </c>
      <c r="W21" s="318" t="n">
        <v>0.248973588822364</v>
      </c>
      <c r="X21" s="319" t="n">
        <f aca="false">IF($I21-DateToday+1&gt;=$A$10,"",IF($I21-DateToday+1&lt;$A$5,1,MATCH($I21-DateToday+1,$A$5:$A$10)))</f>
        <v>5</v>
      </c>
      <c r="Y21" s="348" t="n">
        <f aca="false">IF($X21="",Y20^2/Y19,INDEX(B$5:B$10,$X21)^((INDEX($A$5:$A$10,$X21+1)-($I21-DateToday+1))/(INDEX($A$5:$A$10,$X21+1)-INDEX($A$5:$A$10,$X21)))/INDEX(B$5:B$10,$X21+1)^((INDEX($A$5:$A$10,$X21)-($I21-DateToday+1))/(INDEX($A$5:$A$10,$X21+1)-INDEX($A$5:$A$10,$X21))))</f>
        <v>0.0110420288085458</v>
      </c>
      <c r="Z21" s="348" t="n">
        <f aca="false">IF($X21="",Z20^2/Z19,INDEX(C$5:C$10,$X21)^((INDEX($A$5:$A$10,$X21+1)-($I21-DateToday+1))/(INDEX($A$5:$A$10,$X21+1)-INDEX($A$5:$A$10,$X21)))/INDEX(C$5:C$10,$X21+1)^((INDEX($A$5:$A$10,$X21)-($I21-DateToday+1))/(INDEX($A$5:$A$10,$X21+1)-INDEX($A$5:$A$10,$X21))))</f>
        <v>0.00626705018323758</v>
      </c>
      <c r="AA21" s="348" t="n">
        <f aca="false">IF($X21="",AA20^2/AA19,INDEX(D$5:D$10,$X21)^((INDEX($A$5:$A$10,$X21+1)-($I21-DateToday+1))/(INDEX($A$5:$A$10,$X21+1)-INDEX($A$5:$A$10,$X21)))/INDEX(D$5:D$10,$X21+1)^((INDEX($A$5:$A$10,$X21)-($I21-DateToday+1))/(INDEX($A$5:$A$10,$X21+1)-INDEX($A$5:$A$10,$X21))))</f>
        <v>0.00286679335866492</v>
      </c>
      <c r="AB21" s="348" t="n">
        <f aca="false">IF($X21="",AB20^2/AB19,INDEX(E$5:E$10,$X21)^((INDEX($A$5:$A$10,$X21+1)-($I21-DateToday+1))/(INDEX($A$5:$A$10,$X21+1)-INDEX($A$5:$A$10,$X21)))/INDEX(E$5:E$10,$X21+1)^((INDEX($A$5:$A$10,$X21)-($I21-DateToday+1))/(INDEX($A$5:$A$10,$X21+1)-INDEX($A$5:$A$10,$X21))))</f>
        <v>0.00645831207840034</v>
      </c>
      <c r="AC21" s="348" t="n">
        <f aca="false">IF($X21="",AC20^2/AC19,INDEX(F$5:F$10,$X21)^((INDEX($A$5:$A$10,$X21+1)-($I21-DateToday+1))/(INDEX($A$5:$A$10,$X21+1)-INDEX($A$5:$A$10,$X21)))/INDEX(F$5:F$10,$X21+1)^((INDEX($A$5:$A$10,$X21)-($I21-DateToday+1))/(INDEX($A$5:$A$10,$X21+1)-INDEX($A$5:$A$10,$X21))))</f>
        <v>0.0141184106527976</v>
      </c>
      <c r="AD21" s="348" t="n">
        <f aca="false">IF($X21="",AD20^2/AD19,INDEX(G$5:G$10,$X21)^((INDEX($A$5:$A$10,$X21+1)-($I21-DateToday+1))/(INDEX($A$5:$A$10,$X21+1)-INDEX($A$5:$A$10,$X21)))/INDEX(G$5:G$10,$X21+1)^((INDEX($A$5:$A$10,$X21)-($I21-DateToday+1))/(INDEX($A$5:$A$10,$X21+1)-INDEX($A$5:$A$10,$X21))))</f>
        <v>0.0248754824998921</v>
      </c>
      <c r="AE21" s="321" t="n">
        <v>0.06904316501787</v>
      </c>
      <c r="AF21" s="316" t="n">
        <f aca="false">(1+AE21/2)^(-2*(I22-DateToday)/365.25)</f>
        <v>0.912452493364608</v>
      </c>
      <c r="AG21" s="316" t="n">
        <f aca="false">AG20*(1+IF(AND(M21=1,L21&gt;YearStart),Escalation,0))</f>
        <v>1</v>
      </c>
      <c r="AH21" s="322" t="n">
        <f aca="false">IF(OR(DateStart&gt;=I22,DateEnd&lt;I21),0,Volume*AG21)</f>
        <v>0</v>
      </c>
      <c r="AI21" s="322" t="n">
        <f aca="false">AH21*AF21</f>
        <v>0</v>
      </c>
      <c r="AJ21" s="322" t="n">
        <f aca="false">IF(OR(DateStart2&gt;=I22,DateEnd2&lt;I21),0,VolumeSwaption*AG21)</f>
        <v>0</v>
      </c>
      <c r="AK21" s="322" t="n">
        <f aca="false">AJ21*AF21</f>
        <v>0</v>
      </c>
      <c r="AL21" s="316" t="str">
        <f aca="true">IF(AH21,OFFSET(BY21,0,HorizontalPriceOffset)+PriceSpreadAsian,"")</f>
        <v/>
      </c>
      <c r="AM21" s="316" t="str">
        <f aca="false">IF(AH21,Strike1/AL21-1,"")</f>
        <v/>
      </c>
      <c r="AN21" s="316" t="str">
        <f aca="false">IF(AH21,Strike2/AL21-1,"")</f>
        <v/>
      </c>
      <c r="AO21" s="323" t="str">
        <f aca="false">IF(AH21,IF(VolOverrideAsian,VolOverrideAsian,IF(ProductGroup=1,IF(Product&lt;3,DA22,DE22),W22)+VolSpreadAsian),"")</f>
        <v/>
      </c>
      <c r="AP21" s="323" t="str">
        <f aca="false">IF($AH21,$AO21+IF(SkewFlag=1,IF(AM21&gt;0,$AA21*MIN(AM21/10%,1)+($Z21-$AA21)*MAX(0,MIN(AM21/10%-1,1))+($Y21-$Z21)*MAX(0,AM21/10%-2),$AB21*MIN(-AM21/10%,1)+($AC21-$AB21)*MAX(0,MIN(-AM21/10%-1,1))+($AD21-$AC21)*MAX(0,-AM21/10%-2)),0),"")</f>
        <v/>
      </c>
      <c r="AQ21" s="323" t="str">
        <f aca="false">IF($AH21,$AO21+IF(SkewFlag=1,IF(AN21&gt;0,$AA21*MIN(AN21/10%,1)+($Z21-$AA21)*MAX(0,MIN(AN21/10%-1,1))+($Y21-$Z21)*MAX(0,AN21/10%-2),$AB21*MIN(-AN21/10%,1)+($AC21-$AB21)*MAX(0,MIN(-AN21/10%-1,1))+($AD21-$AC21)*MAX(0,-AN21/10%-2)),0),"")</f>
        <v/>
      </c>
      <c r="AR21" s="324" t="n">
        <f aca="false">IF(AH21,xASN(AL21,Strike1,AE21,AP21,0,N21,0,P21,Q21,IF(OptControl=4,0,1),0),0)</f>
        <v>0</v>
      </c>
      <c r="AS21" s="324" t="n">
        <f aca="false">IF(AH21,xASN(AL21,Strike1,AE21,AP21,0,N21,0,P21,Q21,IF(OptControl=4,0,1),1),0)</f>
        <v>0</v>
      </c>
      <c r="AT21" s="324" t="n">
        <f aca="false">IF(AH21,xASN(AL21,Strike1,AE21,AP21,0,N21,0,P21,Q21,IF(OptControl=4,0,1),2),0)</f>
        <v>0</v>
      </c>
      <c r="AU21" s="324" t="n">
        <f aca="false">IF(AH21,xASN(AL21,Strike1,AE21,AP21,0,N21,0,P21,Q21,IF(OptControl=4,0,1),3)/100,0)</f>
        <v>0</v>
      </c>
      <c r="AV21" s="324" t="n">
        <f aca="false">IF(AH21,xASN(AL21,Strike1,AE21,AP21,0,N21,0,P21-DaysForThetaCalculation/365.25,Q21-DaysForThetaCalculation/365.25,IF(OptControl=4,0,1),0)-xASN(AL21,Strike1,AE21,AP21,0,N21,0,P21,Q21,IF(OptControl=4,0,1),0),0)</f>
        <v>0</v>
      </c>
      <c r="AW21" s="324" t="n">
        <f aca="false">IF(AH21,xASN(AL21,Strike2,AE21,AQ21,0,N21,0,P21,Q21,IF(OptControl=3,1,0),0),0)</f>
        <v>0</v>
      </c>
      <c r="AX21" s="324" t="n">
        <f aca="false">IF(AH21,xASN(AL21,Strike2,AE21,AQ21,0,N21,0,P21,Q21,IF(OptControl=3,1,0),1),0)</f>
        <v>0</v>
      </c>
      <c r="AY21" s="324" t="n">
        <f aca="false">IF(AH21,xASN(AL21,Strike2,AE21,AQ21,0,N21,0,P21,Q21,IF(OptControl=3,1,0),2),0)</f>
        <v>0</v>
      </c>
      <c r="AZ21" s="324" t="n">
        <f aca="false">IF(AH21,xASN(AL21,Strike2,AE21,AQ21,0,N21,0,P21,Q21,IF(OptControl=3,1,0),3)/100,0)</f>
        <v>0</v>
      </c>
      <c r="BA21" s="324" t="n">
        <f aca="false">IF(AH21,xASN(AL21,Strike2,AE21,AQ21,0,N21,0,P21-DaysForThetaCalculation/365.25,Q21-DaysForThetaCalculation/365.25,IF(OptControl=3,1,0),0)-xASN(AL21,Strike2,AE21,AQ21,0,N21,0,P21,Q21,IF(OptControl=3,1,0),0),0)</f>
        <v>0</v>
      </c>
      <c r="BB21" s="325" t="str">
        <f aca="false">IF(AH21,IF(ProductGroup=1,IF(Product=1,BX21+PriceSpreadEuro,IF(Product=3,CK21+PriceSpreadEuro,"N/A")),"N/A"),"")</f>
        <v/>
      </c>
      <c r="BC21" s="316" t="str">
        <f aca="false">IF(AH21,Strike1/BB21-1,"")</f>
        <v/>
      </c>
      <c r="BD21" s="316" t="str">
        <f aca="false">IF(AH21,Strike2/BB21-1,"")</f>
        <v/>
      </c>
      <c r="BE21" s="326" t="str">
        <f aca="false">IF(AH21,IF(VolOverrideEuro,VolOverrideEuro,IF(ProductGroup=1,IF(Product&lt;3,DA21,DE21)+VolSpreadEuro,"N/A")),"")</f>
        <v/>
      </c>
      <c r="BF21" s="323" t="str">
        <f aca="false">IF($AH21,$BE21+IF(SkewFlag=1,IF(BC21&gt;0,$AA21*MIN(BC21/10%,1)+($Z21-$AA21)*MAX(0,MIN(BC21/10%-1,1))+($Y21-$Z21)*MAX(0,BC21/10%-2),$AB21*MIN(-BC21/10%,1)+($AC21-$AB21)*MAX(0,MIN(-BC21/10%-1,1))+($AD21-$AC21)*MAX(0,-BC21/10%-2)),0),"")</f>
        <v/>
      </c>
      <c r="BG21" s="323" t="str">
        <f aca="false">IF($AH21,$BE21+IF(SkewFlag=1,IF(BD21&gt;0,$AA21*MIN(BD21/10%,1)+($Z21-$AA21)*MAX(0,MIN(BD21/10%-1,1))+($Y21-$Z21)*MAX(0,BD21/10%-2),$AB21*MIN(-BD21/10%,1)+($AC21-$AB21)*MAX(0,MIN(-BD21/10%-1,1))+($AD21-$AC21)*MAX(0,-BD21/10%-2)),0),"")</f>
        <v/>
      </c>
      <c r="BH21" s="324" t="n">
        <f aca="false">IF(AH21,xEURO(BB21,Strike1,AE21,AE21,BF21,O21,IF(OptControl=4,0,1),0),0)</f>
        <v>0</v>
      </c>
      <c r="BI21" s="324" t="n">
        <f aca="false">IF(AH21,xEURO(BB21,Strike1,AE21,AE21,BF21,O21,IF(OptControl=4,0,1),1),0)</f>
        <v>0</v>
      </c>
      <c r="BJ21" s="324" t="n">
        <f aca="false">IF(AH21,xEURO(BB21,Strike1,AE21,AE21,BF21,O21,IF(OptControl=4,0,1),2),0)</f>
        <v>0</v>
      </c>
      <c r="BK21" s="324" t="n">
        <f aca="false">IF(AH21,xEURO(BB21,Strike1,AE21,AE21,BF21,O21,IF(OptControl=4,0,1),3)/100,0)</f>
        <v>0</v>
      </c>
      <c r="BL21" s="324" t="n">
        <f aca="false">IF(AH21,xEURO(BB21,Strike1,AE21,AE21,BF21,O21-DaysForThetaCalculation,IF(OptControl=4,0,1),0)-xEURO(BB21,Strike1,AE21,AE21,BF21,O21,IF(OptControl=4,0,1),0),0)</f>
        <v>0</v>
      </c>
      <c r="BM21" s="324" t="n">
        <f aca="false">IF(AH21,xEURO(BB21,Strike2,AE21,AE21,BG21,O21,IF(OptControl=3,1,0),0),0)</f>
        <v>0</v>
      </c>
      <c r="BN21" s="324" t="n">
        <f aca="false">IF(AH21,xEURO(BB21,Strike2,AE21,AE21,BG21,O21,IF(OptControl=3,1,0),1),0)</f>
        <v>0</v>
      </c>
      <c r="BO21" s="324" t="n">
        <f aca="false">IF(AH21,xEURO(BB21,Strike2,AE21,AE21,BG21,O21,IF(OptControl=3,1,0),2),0)</f>
        <v>0</v>
      </c>
      <c r="BP21" s="324" t="n">
        <f aca="false">IF(AH21,xEURO(BB21,Strike2,AE21,AE21,BG21,O21,IF(OptControl=3,1,0),3)/100,0)</f>
        <v>0</v>
      </c>
      <c r="BQ21" s="327" t="n">
        <f aca="false">IF(AH21,xEURO(BB21,Strike2,AE21,AE21,BG21,O21-DaysForThetaCalculation,IF(OptControl=3,1,0),0)-xEURO(BB21,Strike2,AE21,AE21,BG21,O21,IF(OptControl=3,1,0),0),0)</f>
        <v>0</v>
      </c>
      <c r="BR21" s="343"/>
      <c r="BS21" s="314" t="n">
        <v>29.249</v>
      </c>
      <c r="BT21" s="329" t="n">
        <f aca="false">BS21*100/42</f>
        <v>69.6404761904762</v>
      </c>
      <c r="BU21" s="329" t="n">
        <f aca="false">BS22-$U21</f>
        <v>12.033</v>
      </c>
      <c r="BV21" s="224"/>
      <c r="BW21" s="329" t="n">
        <f aca="false">BW9+VLOOKUP(1900+$L21,ProductSpreadTable,2)</f>
        <v>14.1192727272728</v>
      </c>
      <c r="BX21" s="329" t="n">
        <f aca="false">($V20+BW20)*100/42</f>
        <v>75.2237060041409</v>
      </c>
      <c r="BY21" s="332" t="n">
        <f aca="false">BX22</f>
        <v>72.8077922077924</v>
      </c>
      <c r="BZ21" s="314" t="n">
        <v>26.603</v>
      </c>
      <c r="CA21" s="329" t="n">
        <f aca="false">BZ21*100/42</f>
        <v>63.3404761904762</v>
      </c>
      <c r="CB21" s="329" t="n">
        <f aca="false">BZ21-$U21</f>
        <v>10.143</v>
      </c>
      <c r="CC21" s="329" t="n">
        <f aca="false">CC9+VLOOKUP(1900+$L21,ProductSpreadTable,3)</f>
        <v>11.7042727272728</v>
      </c>
      <c r="CD21" s="329" t="n">
        <f aca="false">($V21+CC21)*100/42</f>
        <v>67.0577922077924</v>
      </c>
      <c r="CE21" s="333" t="n">
        <f aca="false">CD21-BY21</f>
        <v>-5.75</v>
      </c>
      <c r="CF21" s="314" t="n">
        <v>24.058</v>
      </c>
      <c r="CG21" s="329" t="n">
        <f aca="false">CF21*100/42</f>
        <v>57.2809523809524</v>
      </c>
      <c r="CH21" s="329" t="n">
        <f aca="false">CF22-$U21</f>
        <v>7.70299999999997</v>
      </c>
      <c r="CI21" s="330" t="n">
        <v>0</v>
      </c>
      <c r="CJ21" s="331" t="n">
        <f aca="false">CF22+CI22/10000*42-$V21</f>
        <v>7.70299999999997</v>
      </c>
      <c r="CK21" s="344" t="n">
        <f aca="false">CG21+CI21/100</f>
        <v>57.2809523809524</v>
      </c>
      <c r="CL21" s="332" t="n">
        <f aca="false">CK22</f>
        <v>57.5309523809524</v>
      </c>
      <c r="CM21" s="314" t="n">
        <v>23.239</v>
      </c>
      <c r="CN21" s="329" t="n">
        <f aca="false">CM21*100/42</f>
        <v>55.3309523809524</v>
      </c>
      <c r="CO21" s="329" t="n">
        <f aca="false">CM21-$U21</f>
        <v>6.77899999999996</v>
      </c>
      <c r="CP21" s="331" t="n">
        <f aca="false">CO21</f>
        <v>6.77899999999996</v>
      </c>
      <c r="CQ21" s="329" t="n">
        <f aca="false">($V21+CP21)*100/42</f>
        <v>55.3309523809524</v>
      </c>
      <c r="CR21" s="333" t="n">
        <f aca="false">CQ21-CL21</f>
        <v>-2.2</v>
      </c>
      <c r="CS21" s="314" t="n">
        <v>24.415</v>
      </c>
      <c r="CT21" s="329" t="n">
        <f aca="false">CS21*100/42</f>
        <v>58.1309523809524</v>
      </c>
      <c r="CU21" s="329" t="n">
        <f aca="false">CT21-CG22</f>
        <v>0.599999999999994</v>
      </c>
      <c r="CV21" s="331" t="n">
        <f aca="false">CU21</f>
        <v>0.599999999999994</v>
      </c>
      <c r="CW21" s="333" t="n">
        <f aca="false">CL21+CV21</f>
        <v>58.1309523809524</v>
      </c>
      <c r="CX21" s="318" t="n">
        <v>0.249</v>
      </c>
      <c r="CY21" s="326" t="n">
        <f aca="false">CX21-$W21</f>
        <v>2.6411177636021E-005</v>
      </c>
      <c r="CZ21" s="326" t="n">
        <f aca="false">VLOOKUP(1900+$L21,ProductSpreadTable,7)</f>
        <v>-0.03</v>
      </c>
      <c r="DA21" s="365" t="n">
        <f aca="false">$W21+CZ21</f>
        <v>0.218973588822364</v>
      </c>
      <c r="DB21" s="318" t="n">
        <v>0.249</v>
      </c>
      <c r="DC21" s="326" t="n">
        <f aca="false">DB21-$W21</f>
        <v>2.6411177636021E-005</v>
      </c>
      <c r="DD21" s="326" t="n">
        <f aca="false">VLOOKUP(1900+$L21,ProductSpreadTable,8)</f>
        <v>0.03</v>
      </c>
      <c r="DE21" s="365" t="n">
        <f aca="false">$W21+DD21</f>
        <v>0.278973588822364</v>
      </c>
      <c r="DG21" s="336"/>
      <c r="DH21" s="314" t="n">
        <v>17.78</v>
      </c>
      <c r="DI21" s="325" t="n">
        <f aca="false">DH21-$U21</f>
        <v>1.31999999999996</v>
      </c>
      <c r="DJ21" s="325" t="n">
        <f aca="false">VLOOKUP(1900+$L21,ResidSpreadTable,2)</f>
        <v>-2</v>
      </c>
      <c r="DK21" s="337" t="n">
        <f aca="false">$V21+DJ21</f>
        <v>14.46</v>
      </c>
      <c r="DL21" s="314" t="n">
        <v>16.68</v>
      </c>
      <c r="DM21" s="325" t="n">
        <f aca="false">DL21-$U21</f>
        <v>0.219999999999963</v>
      </c>
      <c r="DN21" s="325" t="n">
        <f aca="false">VLOOKUP(1900+$L21,ResidSpreadTable,3)</f>
        <v>-3</v>
      </c>
      <c r="DO21" s="337" t="n">
        <f aca="false">$V21+DN21</f>
        <v>13.46</v>
      </c>
      <c r="DP21" s="314" t="n">
        <v>15.93</v>
      </c>
      <c r="DQ21" s="325" t="n">
        <f aca="false">DP21-$U21</f>
        <v>-0.530000000000037</v>
      </c>
      <c r="DR21" s="325" t="n">
        <f aca="false">VLOOKUP(1900+$L21,ResidSpreadTable,4)</f>
        <v>-6</v>
      </c>
      <c r="DS21" s="337" t="n">
        <f aca="false">$V21+DR21</f>
        <v>10.46</v>
      </c>
      <c r="DT21" s="314" t="n">
        <v>16.73</v>
      </c>
      <c r="DU21" s="325" t="n">
        <f aca="false">DT21-$U21</f>
        <v>0.269999999999964</v>
      </c>
      <c r="DV21" s="325" t="n">
        <f aca="false">VLOOKUP(1900+$L21,ResidSpreadTable,5)</f>
        <v>-5</v>
      </c>
      <c r="DW21" s="337" t="n">
        <f aca="false">$V21+DV21</f>
        <v>11.46</v>
      </c>
      <c r="DY21" s="366" t="n">
        <v>2008</v>
      </c>
      <c r="DZ21" s="367" t="n">
        <v>0.15</v>
      </c>
      <c r="EA21" s="368" t="n">
        <v>0.15</v>
      </c>
      <c r="EB21" s="367" t="n">
        <v>0.15</v>
      </c>
      <c r="EC21" s="368" t="n">
        <v>0.15</v>
      </c>
      <c r="ED21" s="369" t="n">
        <v>0.15</v>
      </c>
      <c r="EE21" s="373" t="n">
        <v>-0.03</v>
      </c>
      <c r="EF21" s="373" t="n">
        <v>0.03</v>
      </c>
    </row>
    <row r="22" customFormat="false" ht="12.75" hidden="false" customHeight="false" outlineLevel="0" collapsed="false">
      <c r="B22" s="371" t="n">
        <v>36220</v>
      </c>
      <c r="C22" s="372" t="n">
        <v>36213</v>
      </c>
      <c r="I22" s="338" t="n">
        <f aca="false">EOMONTH(I21,0)+1</f>
        <v>46419</v>
      </c>
      <c r="J22" s="307" t="n">
        <f aca="false">VLOOKUP(I22,$B$12:$C$332,2)</f>
        <v>45644</v>
      </c>
      <c r="K22" s="339" t="n">
        <f aca="false">NETWORKDAYS(I22,J23)/N22</f>
        <v>-27.7</v>
      </c>
      <c r="L22" s="309" t="n">
        <f aca="false">YEAR(I22)-1900</f>
        <v>127</v>
      </c>
      <c r="M22" s="310" t="n">
        <f aca="false">MONTH(I22)</f>
        <v>2</v>
      </c>
      <c r="N22" s="340" t="n">
        <f aca="false">NETWORKDAYS(I22,I23-1)</f>
        <v>20</v>
      </c>
      <c r="O22" s="341" t="n">
        <f aca="false">I22-DateToday-IF(EuroExpDateToggle=1,3+IF(WEEKDAY(I22-1)=7,1,IF(WEEKDAY(I22-1)&lt;5,2,0)),1+IF(WEEKDAY(I22-1)=7,1,IF(WEEKDAY(I22-1)&lt;3,2,0)))</f>
        <v>488</v>
      </c>
      <c r="P22" s="342" t="n">
        <f aca="false">(I22-DateToday+1)/365.25</f>
        <v>1.35249828884326</v>
      </c>
      <c r="Q22" s="342" t="n">
        <f aca="false">(I23-DateToday)/365.25</f>
        <v>1.42642026009582</v>
      </c>
      <c r="R22" s="314" t="n">
        <v>22</v>
      </c>
      <c r="S22" s="347" t="n">
        <v>0</v>
      </c>
      <c r="T22" s="316" t="n">
        <f aca="false">R22+S22/100</f>
        <v>22</v>
      </c>
      <c r="U22" s="325" t="n">
        <f aca="false">R23*K22+R24*(1-K22)</f>
        <v>16.3370000000001</v>
      </c>
      <c r="V22" s="337" t="n">
        <f aca="false">T23*K22+T24*(1-K22)</f>
        <v>16.3370000000001</v>
      </c>
      <c r="W22" s="318" t="n">
        <v>0.244756874823155</v>
      </c>
      <c r="X22" s="319" t="n">
        <f aca="false">IF($I22-DateToday+1&gt;=$A$10,"",IF($I22-DateToday+1&lt;$A$5,1,MATCH($I22-DateToday+1,$A$5:$A$10)))</f>
        <v>5</v>
      </c>
      <c r="Y22" s="348" t="n">
        <f aca="false">IF($X22="",Y21^2/Y20,INDEX(B$5:B$10,$X22)^((INDEX($A$5:$A$10,$X22+1)-($I22-DateToday+1))/(INDEX($A$5:$A$10,$X22+1)-INDEX($A$5:$A$10,$X22)))/INDEX(B$5:B$10,$X22+1)^((INDEX($A$5:$A$10,$X22)-($I22-DateToday+1))/(INDEX($A$5:$A$10,$X22+1)-INDEX($A$5:$A$10,$X22))))</f>
        <v>0.0108056357658777</v>
      </c>
      <c r="Z22" s="348" t="n">
        <f aca="false">IF($X22="",Z21^2/Z20,INDEX(C$5:C$10,$X22)^((INDEX($A$5:$A$10,$X22+1)-($I22-DateToday+1))/(INDEX($A$5:$A$10,$X22+1)-INDEX($A$5:$A$10,$X22)))/INDEX(C$5:C$10,$X22+1)^((INDEX($A$5:$A$10,$X22)-($I22-DateToday+1))/(INDEX($A$5:$A$10,$X22+1)-INDEX($A$5:$A$10,$X22))))</f>
        <v>0.00610004640084711</v>
      </c>
      <c r="AA22" s="348" t="n">
        <f aca="false">IF($X22="",AA21^2/AA20,INDEX(D$5:D$10,$X22)^((INDEX($A$5:$A$10,$X22+1)-($I22-DateToday+1))/(INDEX($A$5:$A$10,$X22+1)-INDEX($A$5:$A$10,$X22)))/INDEX(D$5:D$10,$X22+1)^((INDEX($A$5:$A$10,$X22)-($I22-DateToday+1))/(INDEX($A$5:$A$10,$X22+1)-INDEX($A$5:$A$10,$X22))))</f>
        <v>0.00278291659063077</v>
      </c>
      <c r="AB22" s="348" t="n">
        <f aca="false">IF($X22="",AB21^2/AB20,INDEX(E$5:E$10,$X22)^((INDEX($A$5:$A$10,$X22+1)-($I22-DateToday+1))/(INDEX($A$5:$A$10,$X22+1)-INDEX($A$5:$A$10,$X22)))/INDEX(E$5:E$10,$X22+1)^((INDEX($A$5:$A$10,$X22)-($I22-DateToday+1))/(INDEX($A$5:$A$10,$X22+1)-INDEX($A$5:$A$10,$X22))))</f>
        <v>0.006269354495373</v>
      </c>
      <c r="AC22" s="348" t="n">
        <f aca="false">IF($X22="",AC21^2/AC20,INDEX(F$5:F$10,$X22)^((INDEX($A$5:$A$10,$X22+1)-($I22-DateToday+1))/(INDEX($A$5:$A$10,$X22+1)-INDEX($A$5:$A$10,$X22)))/INDEX(F$5:F$10,$X22+1)^((INDEX($A$5:$A$10,$X22)-($I22-DateToday+1))/(INDEX($A$5:$A$10,$X22+1)-INDEX($A$5:$A$10,$X22))))</f>
        <v>0.0137421845318284</v>
      </c>
      <c r="AD22" s="348" t="n">
        <f aca="false">IF($X22="",AD21^2/AD20,INDEX(G$5:G$10,$X22)^((INDEX($A$5:$A$10,$X22+1)-($I22-DateToday+1))/(INDEX($A$5:$A$10,$X22+1)-INDEX($A$5:$A$10,$X22)))/INDEX(G$5:G$10,$X22+1)^((INDEX($A$5:$A$10,$X22)-($I22-DateToday+1))/(INDEX($A$5:$A$10,$X22+1)-INDEX($A$5:$A$10,$X22))))</f>
        <v>0.0243429362533692</v>
      </c>
      <c r="AE22" s="321" t="n">
        <v>0.069307120196115</v>
      </c>
      <c r="AF22" s="316" t="n">
        <f aca="false">(1+AE22/2)^(-2*(I23-DateToday)/365.25)</f>
        <v>0.907386573530566</v>
      </c>
      <c r="AG22" s="316" t="n">
        <f aca="false">AG21*(1+IF(AND(M22=1,L22&gt;YearStart),Escalation,0))</f>
        <v>1</v>
      </c>
      <c r="AH22" s="322" t="n">
        <f aca="false">IF(OR(DateStart&gt;=I23,DateEnd&lt;I22),0,Volume*AG22)</f>
        <v>0</v>
      </c>
      <c r="AI22" s="322" t="n">
        <f aca="false">AH22*AF22</f>
        <v>0</v>
      </c>
      <c r="AJ22" s="322" t="n">
        <f aca="false">IF(OR(DateStart2&gt;=I23,DateEnd2&lt;I22),0,VolumeSwaption*AG22)</f>
        <v>0</v>
      </c>
      <c r="AK22" s="322" t="n">
        <f aca="false">AJ22*AF22</f>
        <v>0</v>
      </c>
      <c r="AL22" s="316" t="str">
        <f aca="true">IF(AH22,OFFSET(BY22,0,HorizontalPriceOffset)+PriceSpreadAsian,"")</f>
        <v/>
      </c>
      <c r="AM22" s="316" t="str">
        <f aca="false">IF(AH22,Strike1/AL22-1,"")</f>
        <v/>
      </c>
      <c r="AN22" s="316" t="str">
        <f aca="false">IF(AH22,Strike2/AL22-1,"")</f>
        <v/>
      </c>
      <c r="AO22" s="323" t="str">
        <f aca="false">IF(AH22,IF(VolOverrideAsian,VolOverrideAsian,IF(ProductGroup=1,IF(Product&lt;3,DA23,DE23),W23)+VolSpreadAsian),"")</f>
        <v/>
      </c>
      <c r="AP22" s="323" t="str">
        <f aca="false">IF($AH22,$AO22+IF(SkewFlag=1,IF(AM22&gt;0,$AA22*MIN(AM22/10%,1)+($Z22-$AA22)*MAX(0,MIN(AM22/10%-1,1))+($Y22-$Z22)*MAX(0,AM22/10%-2),$AB22*MIN(-AM22/10%,1)+($AC22-$AB22)*MAX(0,MIN(-AM22/10%-1,1))+($AD22-$AC22)*MAX(0,-AM22/10%-2)),0),"")</f>
        <v/>
      </c>
      <c r="AQ22" s="323" t="str">
        <f aca="false">IF($AH22,$AO22+IF(SkewFlag=1,IF(AN22&gt;0,$AA22*MIN(AN22/10%,1)+($Z22-$AA22)*MAX(0,MIN(AN22/10%-1,1))+($Y22-$Z22)*MAX(0,AN22/10%-2),$AB22*MIN(-AN22/10%,1)+($AC22-$AB22)*MAX(0,MIN(-AN22/10%-1,1))+($AD22-$AC22)*MAX(0,-AN22/10%-2)),0),"")</f>
        <v/>
      </c>
      <c r="AR22" s="324" t="n">
        <f aca="false">IF(AH22,xASN(AL22,Strike1,AE22,AP22,0,N22,0,P22,Q22,IF(OptControl=4,0,1),0),0)</f>
        <v>0</v>
      </c>
      <c r="AS22" s="324" t="n">
        <f aca="false">IF(AH22,xASN(AL22,Strike1,AE22,AP22,0,N22,0,P22,Q22,IF(OptControl=4,0,1),1),0)</f>
        <v>0</v>
      </c>
      <c r="AT22" s="324" t="n">
        <f aca="false">IF(AH22,xASN(AL22,Strike1,AE22,AP22,0,N22,0,P22,Q22,IF(OptControl=4,0,1),2),0)</f>
        <v>0</v>
      </c>
      <c r="AU22" s="324" t="n">
        <f aca="false">IF(AH22,xASN(AL22,Strike1,AE22,AP22,0,N22,0,P22,Q22,IF(OptControl=4,0,1),3)/100,0)</f>
        <v>0</v>
      </c>
      <c r="AV22" s="324" t="n">
        <f aca="false">IF(AH22,xASN(AL22,Strike1,AE22,AP22,0,N22,0,P22-DaysForThetaCalculation/365.25,Q22-DaysForThetaCalculation/365.25,IF(OptControl=4,0,1),0)-xASN(AL22,Strike1,AE22,AP22,0,N22,0,P22,Q22,IF(OptControl=4,0,1),0),0)</f>
        <v>0</v>
      </c>
      <c r="AW22" s="324" t="n">
        <f aca="false">IF(AH22,xASN(AL22,Strike2,AE22,AQ22,0,N22,0,P22,Q22,IF(OptControl=3,1,0),0),0)</f>
        <v>0</v>
      </c>
      <c r="AX22" s="324" t="n">
        <f aca="false">IF(AH22,xASN(AL22,Strike2,AE22,AQ22,0,N22,0,P22,Q22,IF(OptControl=3,1,0),1),0)</f>
        <v>0</v>
      </c>
      <c r="AY22" s="324" t="n">
        <f aca="false">IF(AH22,xASN(AL22,Strike2,AE22,AQ22,0,N22,0,P22,Q22,IF(OptControl=3,1,0),2),0)</f>
        <v>0</v>
      </c>
      <c r="AZ22" s="324" t="n">
        <f aca="false">IF(AH22,xASN(AL22,Strike2,AE22,AQ22,0,N22,0,P22,Q22,IF(OptControl=3,1,0),3)/100,0)</f>
        <v>0</v>
      </c>
      <c r="BA22" s="324" t="n">
        <f aca="false">IF(AH22,xASN(AL22,Strike2,AE22,AQ22,0,N22,0,P22-DaysForThetaCalculation/365.25,Q22-DaysForThetaCalculation/365.25,IF(OptControl=3,1,0),0)-xASN(AL22,Strike2,AE22,AQ22,0,N22,0,P22,Q22,IF(OptControl=3,1,0),0),0)</f>
        <v>0</v>
      </c>
      <c r="BB22" s="325" t="str">
        <f aca="false">IF(AH22,IF(ProductGroup=1,IF(Product=1,BX22+PriceSpreadEuro,IF(Product=3,CK22+PriceSpreadEuro,"N/A")),"N/A"),"")</f>
        <v/>
      </c>
      <c r="BC22" s="316" t="str">
        <f aca="false">IF(AH22,Strike1/BB22-1,"")</f>
        <v/>
      </c>
      <c r="BD22" s="316" t="str">
        <f aca="false">IF(AH22,Strike2/BB22-1,"")</f>
        <v/>
      </c>
      <c r="BE22" s="326" t="str">
        <f aca="false">IF(AH22,IF(VolOverrideEuro,VolOverrideEuro,IF(ProductGroup=1,IF(Product&lt;3,DA22,DE22)+VolSpreadEuro,"N/A")),"")</f>
        <v/>
      </c>
      <c r="BF22" s="323" t="str">
        <f aca="false">IF($AH22,$BE22+IF(SkewFlag=1,IF(BC22&gt;0,$AA22*MIN(BC22/10%,1)+($Z22-$AA22)*MAX(0,MIN(BC22/10%-1,1))+($Y22-$Z22)*MAX(0,BC22/10%-2),$AB22*MIN(-BC22/10%,1)+($AC22-$AB22)*MAX(0,MIN(-BC22/10%-1,1))+($AD22-$AC22)*MAX(0,-BC22/10%-2)),0),"")</f>
        <v/>
      </c>
      <c r="BG22" s="323" t="str">
        <f aca="false">IF($AH22,$BE22+IF(SkewFlag=1,IF(BD22&gt;0,$AA22*MIN(BD22/10%,1)+($Z22-$AA22)*MAX(0,MIN(BD22/10%-1,1))+($Y22-$Z22)*MAX(0,BD22/10%-2),$AB22*MIN(-BD22/10%,1)+($AC22-$AB22)*MAX(0,MIN(-BD22/10%-1,1))+($AD22-$AC22)*MAX(0,-BD22/10%-2)),0),"")</f>
        <v/>
      </c>
      <c r="BH22" s="324" t="n">
        <f aca="false">IF(AH22,xEURO(BB22,Strike1,AE22,AE22,BF22,O22,IF(OptControl=4,0,1),0),0)</f>
        <v>0</v>
      </c>
      <c r="BI22" s="324" t="n">
        <f aca="false">IF(AH22,xEURO(BB22,Strike1,AE22,AE22,BF22,O22,IF(OptControl=4,0,1),1),0)</f>
        <v>0</v>
      </c>
      <c r="BJ22" s="324" t="n">
        <f aca="false">IF(AH22,xEURO(BB22,Strike1,AE22,AE22,BF22,O22,IF(OptControl=4,0,1),2),0)</f>
        <v>0</v>
      </c>
      <c r="BK22" s="324" t="n">
        <f aca="false">IF(AH22,xEURO(BB22,Strike1,AE22,AE22,BF22,O22,IF(OptControl=4,0,1),3)/100,0)</f>
        <v>0</v>
      </c>
      <c r="BL22" s="324" t="n">
        <f aca="false">IF(AH22,xEURO(BB22,Strike1,AE22,AE22,BF22,O22-DaysForThetaCalculation,IF(OptControl=4,0,1),0)-xEURO(BB22,Strike1,AE22,AE22,BF22,O22,IF(OptControl=4,0,1),0),0)</f>
        <v>0</v>
      </c>
      <c r="BM22" s="324" t="n">
        <f aca="false">IF(AH22,xEURO(BB22,Strike2,AE22,AE22,BG22,O22,IF(OptControl=3,1,0),0),0)</f>
        <v>0</v>
      </c>
      <c r="BN22" s="324" t="n">
        <f aca="false">IF(AH22,xEURO(BB22,Strike2,AE22,AE22,BG22,O22,IF(OptControl=3,1,0),1),0)</f>
        <v>0</v>
      </c>
      <c r="BO22" s="324" t="n">
        <f aca="false">IF(AH22,xEURO(BB22,Strike2,AE22,AE22,BG22,O22,IF(OptControl=3,1,0),2),0)</f>
        <v>0</v>
      </c>
      <c r="BP22" s="324" t="n">
        <f aca="false">IF(AH22,xEURO(BB22,Strike2,AE22,AE22,BG22,O22,IF(OptControl=3,1,0),3)/100,0)</f>
        <v>0</v>
      </c>
      <c r="BQ22" s="327" t="n">
        <f aca="false">IF(AH22,xEURO(BB22,Strike2,AE22,AE22,BG22,O22-DaysForThetaCalculation,IF(OptControl=3,1,0),0)-xEURO(BB22,Strike2,AE22,AE22,BG22,O22,IF(OptControl=3,1,0),0),0)</f>
        <v>0</v>
      </c>
      <c r="BR22" s="343"/>
      <c r="BS22" s="314" t="n">
        <v>28.493</v>
      </c>
      <c r="BT22" s="329" t="n">
        <f aca="false">BS22*100/42</f>
        <v>67.8404761904762</v>
      </c>
      <c r="BU22" s="329" t="n">
        <f aca="false">BS23-$U22</f>
        <v>11.3959999999999</v>
      </c>
      <c r="BV22" s="224"/>
      <c r="BW22" s="329" t="n">
        <f aca="false">BW10+VLOOKUP(1900+$L22,ProductSpreadTable,2)</f>
        <v>14.139</v>
      </c>
      <c r="BX22" s="329" t="n">
        <f aca="false">($V21+BW21)*100/42</f>
        <v>72.8077922077924</v>
      </c>
      <c r="BY22" s="332" t="n">
        <f aca="false">BX23</f>
        <v>72.561904761905</v>
      </c>
      <c r="BZ22" s="314" t="n">
        <v>25.843</v>
      </c>
      <c r="CA22" s="329" t="n">
        <f aca="false">BZ22*100/42</f>
        <v>61.5309523809524</v>
      </c>
      <c r="CB22" s="329" t="n">
        <f aca="false">BZ22-$U22</f>
        <v>9.5059999999999</v>
      </c>
      <c r="CC22" s="329" t="n">
        <f aca="false">CC10+VLOOKUP(1900+$L22,ProductSpreadTable,3)</f>
        <v>11.724</v>
      </c>
      <c r="CD22" s="329" t="n">
        <f aca="false">($V22+CC22)*100/42</f>
        <v>66.811904761905</v>
      </c>
      <c r="CE22" s="333" t="n">
        <f aca="false">CD22-BY22</f>
        <v>-5.75</v>
      </c>
      <c r="CF22" s="314" t="n">
        <v>24.163</v>
      </c>
      <c r="CG22" s="329" t="n">
        <f aca="false">CF22*100/42</f>
        <v>57.5309523809524</v>
      </c>
      <c r="CH22" s="329" t="n">
        <f aca="false">CF23-$U22</f>
        <v>8.0359999999999</v>
      </c>
      <c r="CI22" s="330" t="n">
        <v>0</v>
      </c>
      <c r="CJ22" s="331" t="n">
        <f aca="false">CF23+CI23/10000*42-$V22</f>
        <v>8.0359999999999</v>
      </c>
      <c r="CK22" s="344" t="n">
        <f aca="false">CG22+CI22/100</f>
        <v>57.5309523809524</v>
      </c>
      <c r="CL22" s="332" t="n">
        <f aca="false">CK23</f>
        <v>58.0309523809524</v>
      </c>
      <c r="CM22" s="314" t="n">
        <v>23.449</v>
      </c>
      <c r="CN22" s="329" t="n">
        <f aca="false">CM22*100/42</f>
        <v>55.8309523809524</v>
      </c>
      <c r="CO22" s="329" t="n">
        <f aca="false">CM22-$U22</f>
        <v>7.1119999999999</v>
      </c>
      <c r="CP22" s="331" t="n">
        <f aca="false">CO22</f>
        <v>7.1119999999999</v>
      </c>
      <c r="CQ22" s="329" t="n">
        <f aca="false">($V22+CP22)*100/42</f>
        <v>55.8309523809524</v>
      </c>
      <c r="CR22" s="333" t="n">
        <f aca="false">CQ22-CL22</f>
        <v>-2.2</v>
      </c>
      <c r="CS22" s="314" t="n">
        <v>24.625</v>
      </c>
      <c r="CT22" s="329" t="n">
        <f aca="false">CS22*100/42</f>
        <v>58.6309523809524</v>
      </c>
      <c r="CU22" s="329" t="n">
        <f aca="false">CT22-CG23</f>
        <v>0.599999999999994</v>
      </c>
      <c r="CV22" s="331" t="n">
        <f aca="false">CU22</f>
        <v>0.599999999999994</v>
      </c>
      <c r="CW22" s="333" t="n">
        <f aca="false">CL22+CV22</f>
        <v>58.6309523809524</v>
      </c>
      <c r="CX22" s="318" t="n">
        <v>0.245</v>
      </c>
      <c r="CY22" s="326" t="n">
        <f aca="false">CX22-$W22</f>
        <v>0.000243125176844966</v>
      </c>
      <c r="CZ22" s="326" t="n">
        <f aca="false">VLOOKUP(1900+$L22,ProductSpreadTable,7)</f>
        <v>-0.03</v>
      </c>
      <c r="DA22" s="365" t="n">
        <f aca="false">$W22+CZ22</f>
        <v>0.214756874823155</v>
      </c>
      <c r="DB22" s="318" t="n">
        <v>0.245</v>
      </c>
      <c r="DC22" s="326" t="n">
        <f aca="false">DB22-$W22</f>
        <v>0.000243125176844966</v>
      </c>
      <c r="DD22" s="326" t="n">
        <f aca="false">VLOOKUP(1900+$L22,ProductSpreadTable,8)</f>
        <v>0.03</v>
      </c>
      <c r="DE22" s="365" t="n">
        <f aca="false">$W22+DD22</f>
        <v>0.274756874823155</v>
      </c>
      <c r="DG22" s="336"/>
      <c r="DH22" s="314" t="n">
        <v>17.574</v>
      </c>
      <c r="DI22" s="325" t="n">
        <f aca="false">DH22-$U22</f>
        <v>1.2369999999999</v>
      </c>
      <c r="DJ22" s="325" t="n">
        <f aca="false">VLOOKUP(1900+$L22,ResidSpreadTable,2)</f>
        <v>-2</v>
      </c>
      <c r="DK22" s="337" t="n">
        <f aca="false">$V22+DJ22</f>
        <v>14.3370000000001</v>
      </c>
      <c r="DL22" s="314" t="n">
        <v>16.474</v>
      </c>
      <c r="DM22" s="325" t="n">
        <f aca="false">DL22-$U22</f>
        <v>0.136999999999897</v>
      </c>
      <c r="DN22" s="325" t="n">
        <f aca="false">VLOOKUP(1900+$L22,ResidSpreadTable,3)</f>
        <v>-3</v>
      </c>
      <c r="DO22" s="337" t="n">
        <f aca="false">$V22+DN22</f>
        <v>13.3370000000001</v>
      </c>
      <c r="DP22" s="314" t="n">
        <v>15.724</v>
      </c>
      <c r="DQ22" s="325" t="n">
        <f aca="false">DP22-$U22</f>
        <v>-0.613000000000101</v>
      </c>
      <c r="DR22" s="325" t="n">
        <f aca="false">VLOOKUP(1900+$L22,ResidSpreadTable,4)</f>
        <v>-6</v>
      </c>
      <c r="DS22" s="337" t="n">
        <f aca="false">$V22+DR22</f>
        <v>10.3370000000001</v>
      </c>
      <c r="DT22" s="314" t="n">
        <v>16.524</v>
      </c>
      <c r="DU22" s="325" t="n">
        <f aca="false">DT22-$U22</f>
        <v>0.186999999999898</v>
      </c>
      <c r="DV22" s="325" t="n">
        <f aca="false">VLOOKUP(1900+$L22,ResidSpreadTable,5)</f>
        <v>-5</v>
      </c>
      <c r="DW22" s="337" t="n">
        <f aca="false">$V22+DV22</f>
        <v>11.3370000000001</v>
      </c>
      <c r="DY22" s="366" t="n">
        <v>2009</v>
      </c>
      <c r="DZ22" s="367" t="n">
        <v>0.15</v>
      </c>
      <c r="EA22" s="368" t="n">
        <v>0.15</v>
      </c>
      <c r="EB22" s="367" t="n">
        <v>0.15</v>
      </c>
      <c r="EC22" s="368" t="n">
        <v>0.15</v>
      </c>
      <c r="ED22" s="369" t="n">
        <v>0.15</v>
      </c>
      <c r="EE22" s="373" t="n">
        <v>-0.03</v>
      </c>
      <c r="EF22" s="373" t="n">
        <v>0.03</v>
      </c>
    </row>
    <row r="23" customFormat="false" ht="12.75" hidden="false" customHeight="false" outlineLevel="0" collapsed="false">
      <c r="B23" s="371" t="n">
        <v>36251</v>
      </c>
      <c r="C23" s="372" t="n">
        <v>36241</v>
      </c>
      <c r="I23" s="338" t="n">
        <f aca="false">EOMONTH(I22,0)+1</f>
        <v>46447</v>
      </c>
      <c r="J23" s="307" t="n">
        <f aca="false">VLOOKUP(I23,$B$12:$C$332,2)</f>
        <v>45644</v>
      </c>
      <c r="K23" s="339" t="n">
        <f aca="false">NETWORKDAYS(I23,J24)/N23</f>
        <v>-24.9565217391304</v>
      </c>
      <c r="L23" s="309" t="n">
        <f aca="false">YEAR(I23)-1900</f>
        <v>127</v>
      </c>
      <c r="M23" s="310" t="n">
        <f aca="false">MONTH(I23)</f>
        <v>3</v>
      </c>
      <c r="N23" s="340" t="n">
        <f aca="false">NETWORKDAYS(I23,I24-1)</f>
        <v>23</v>
      </c>
      <c r="O23" s="341" t="n">
        <f aca="false">I23-DateToday-IF(EuroExpDateToggle=1,3+IF(WEEKDAY(I23-1)=7,1,IF(WEEKDAY(I23-1)&lt;5,2,0)),1+IF(WEEKDAY(I23-1)=7,1,IF(WEEKDAY(I23-1)&lt;3,2,0)))</f>
        <v>516</v>
      </c>
      <c r="P23" s="342" t="n">
        <f aca="false">(I23-DateToday+1)/365.25</f>
        <v>1.42915811088296</v>
      </c>
      <c r="Q23" s="342" t="n">
        <f aca="false">(I24-DateToday)/365.25</f>
        <v>1.51129363449692</v>
      </c>
      <c r="R23" s="314" t="n">
        <v>21.79</v>
      </c>
      <c r="S23" s="347" t="n">
        <v>0</v>
      </c>
      <c r="T23" s="316" t="n">
        <f aca="false">R23+S23/100</f>
        <v>21.79</v>
      </c>
      <c r="U23" s="325" t="n">
        <f aca="false">R24*K23+R25*(1-K23)</f>
        <v>16.6682608695652</v>
      </c>
      <c r="V23" s="337" t="n">
        <f aca="false">T24*K23+T25*(1-K23)</f>
        <v>16.6682608695652</v>
      </c>
      <c r="W23" s="318" t="n">
        <v>0.24141401765002</v>
      </c>
      <c r="X23" s="319" t="n">
        <f aca="false">IF($I23-DateToday+1&gt;=$A$10,"",IF($I23-DateToday+1&lt;$A$5,1,MATCH($I23-DateToday+1,$A$5:$A$10)))</f>
        <v>5</v>
      </c>
      <c r="Y23" s="348" t="n">
        <f aca="false">IF($X23="",Y22^2/Y21,INDEX(B$5:B$10,$X23)^((INDEX($A$5:$A$10,$X23+1)-($I23-DateToday+1))/(INDEX($A$5:$A$10,$X23+1)-INDEX($A$5:$A$10,$X23)))/INDEX(B$5:B$10,$X23+1)^((INDEX($A$5:$A$10,$X23)-($I23-DateToday+1))/(INDEX($A$5:$A$10,$X23+1)-INDEX($A$5:$A$10,$X23))))</f>
        <v>0.0105964723699626</v>
      </c>
      <c r="Z23" s="348" t="n">
        <f aca="false">IF($X23="",Z22^2/Z21,INDEX(C$5:C$10,$X23)^((INDEX($A$5:$A$10,$X23+1)-($I23-DateToday+1))/(INDEX($A$5:$A$10,$X23+1)-INDEX($A$5:$A$10,$X23)))/INDEX(C$5:C$10,$X23+1)^((INDEX($A$5:$A$10,$X23)-($I23-DateToday+1))/(INDEX($A$5:$A$10,$X23+1)-INDEX($A$5:$A$10,$X23))))</f>
        <v>0.00595303271637526</v>
      </c>
      <c r="AA23" s="348" t="n">
        <f aca="false">IF($X23="",AA22^2/AA21,INDEX(D$5:D$10,$X23)^((INDEX($A$5:$A$10,$X23+1)-($I23-DateToday+1))/(INDEX($A$5:$A$10,$X23+1)-INDEX($A$5:$A$10,$X23)))/INDEX(D$5:D$10,$X23+1)^((INDEX($A$5:$A$10,$X23)-($I23-DateToday+1))/(INDEX($A$5:$A$10,$X23+1)-INDEX($A$5:$A$10,$X23))))</f>
        <v>0.00270926826185512</v>
      </c>
      <c r="AB23" s="348" t="n">
        <f aca="false">IF($X23="",AB22^2/AB21,INDEX(E$5:E$10,$X23)^((INDEX($A$5:$A$10,$X23+1)-($I23-DateToday+1))/(INDEX($A$5:$A$10,$X23+1)-INDEX($A$5:$A$10,$X23)))/INDEX(E$5:E$10,$X23+1)^((INDEX($A$5:$A$10,$X23)-($I23-DateToday+1))/(INDEX($A$5:$A$10,$X23+1)-INDEX($A$5:$A$10,$X23))))</f>
        <v>0.00610343954030721</v>
      </c>
      <c r="AC23" s="348" t="n">
        <f aca="false">IF($X23="",AC22^2/AC21,INDEX(F$5:F$10,$X23)^((INDEX($A$5:$A$10,$X23+1)-($I23-DateToday+1))/(INDEX($A$5:$A$10,$X23+1)-INDEX($A$5:$A$10,$X23)))/INDEX(F$5:F$10,$X23+1)^((INDEX($A$5:$A$10,$X23)-($I23-DateToday+1))/(INDEX($A$5:$A$10,$X23+1)-INDEX($A$5:$A$10,$X23))))</f>
        <v>0.0134109921034502</v>
      </c>
      <c r="AD23" s="348" t="n">
        <f aca="false">IF($X23="",AD22^2/AD21,INDEX(G$5:G$10,$X23)^((INDEX($A$5:$A$10,$X23+1)-($I23-DateToday+1))/(INDEX($A$5:$A$10,$X23+1)-INDEX($A$5:$A$10,$X23)))/INDEX(G$5:G$10,$X23+1)^((INDEX($A$5:$A$10,$X23)-($I23-DateToday+1))/(INDEX($A$5:$A$10,$X23+1)-INDEX($A$5:$A$10,$X23))))</f>
        <v>0.0238717329550517</v>
      </c>
      <c r="AE23" s="321" t="n">
        <v>0.069571075397404</v>
      </c>
      <c r="AF23" s="316" t="n">
        <f aca="false">(1+AE23/2)^(-2*(I24-DateToday)/365.25)</f>
        <v>0.901806829923337</v>
      </c>
      <c r="AG23" s="316" t="n">
        <f aca="false">AG22*(1+IF(AND(M23=1,L23&gt;YearStart),Escalation,0))</f>
        <v>1</v>
      </c>
      <c r="AH23" s="322" t="n">
        <f aca="false">IF(OR(DateStart&gt;=I24,DateEnd&lt;I23),0,Volume*AG23)</f>
        <v>0</v>
      </c>
      <c r="AI23" s="322" t="n">
        <f aca="false">AH23*AF23</f>
        <v>0</v>
      </c>
      <c r="AJ23" s="322" t="n">
        <f aca="false">IF(OR(DateStart2&gt;=I24,DateEnd2&lt;I23),0,VolumeSwaption*AG23)</f>
        <v>0</v>
      </c>
      <c r="AK23" s="322" t="n">
        <f aca="false">AJ23*AF23</f>
        <v>0</v>
      </c>
      <c r="AL23" s="316" t="str">
        <f aca="true">IF(AH23,OFFSET(BY23,0,HorizontalPriceOffset)+PriceSpreadAsian,"")</f>
        <v/>
      </c>
      <c r="AM23" s="316" t="str">
        <f aca="false">IF(AH23,Strike1/AL23-1,"")</f>
        <v/>
      </c>
      <c r="AN23" s="316" t="str">
        <f aca="false">IF(AH23,Strike2/AL23-1,"")</f>
        <v/>
      </c>
      <c r="AO23" s="323" t="str">
        <f aca="false">IF(AH23,IF(VolOverrideAsian,VolOverrideAsian,IF(ProductGroup=1,IF(Product&lt;3,DA24,DE24),W24)+VolSpreadAsian),"")</f>
        <v/>
      </c>
      <c r="AP23" s="323" t="str">
        <f aca="false">IF($AH23,$AO23+IF(SkewFlag=1,IF(AM23&gt;0,$AA23*MIN(AM23/10%,1)+($Z23-$AA23)*MAX(0,MIN(AM23/10%-1,1))+($Y23-$Z23)*MAX(0,AM23/10%-2),$AB23*MIN(-AM23/10%,1)+($AC23-$AB23)*MAX(0,MIN(-AM23/10%-1,1))+($AD23-$AC23)*MAX(0,-AM23/10%-2)),0),"")</f>
        <v/>
      </c>
      <c r="AQ23" s="323" t="str">
        <f aca="false">IF($AH23,$AO23+IF(SkewFlag=1,IF(AN23&gt;0,$AA23*MIN(AN23/10%,1)+($Z23-$AA23)*MAX(0,MIN(AN23/10%-1,1))+($Y23-$Z23)*MAX(0,AN23/10%-2),$AB23*MIN(-AN23/10%,1)+($AC23-$AB23)*MAX(0,MIN(-AN23/10%-1,1))+($AD23-$AC23)*MAX(0,-AN23/10%-2)),0),"")</f>
        <v/>
      </c>
      <c r="AR23" s="324" t="n">
        <f aca="false">IF(AH23,xASN(AL23,Strike1,AE23,AP23,0,N23,0,P23,Q23,IF(OptControl=4,0,1),0),0)</f>
        <v>0</v>
      </c>
      <c r="AS23" s="324" t="n">
        <f aca="false">IF(AH23,xASN(AL23,Strike1,AE23,AP23,0,N23,0,P23,Q23,IF(OptControl=4,0,1),1),0)</f>
        <v>0</v>
      </c>
      <c r="AT23" s="324" t="n">
        <f aca="false">IF(AH23,xASN(AL23,Strike1,AE23,AP23,0,N23,0,P23,Q23,IF(OptControl=4,0,1),2),0)</f>
        <v>0</v>
      </c>
      <c r="AU23" s="324" t="n">
        <f aca="false">IF(AH23,xASN(AL23,Strike1,AE23,AP23,0,N23,0,P23,Q23,IF(OptControl=4,0,1),3)/100,0)</f>
        <v>0</v>
      </c>
      <c r="AV23" s="324" t="n">
        <f aca="false">IF(AH23,xASN(AL23,Strike1,AE23,AP23,0,N23,0,P23-DaysForThetaCalculation/365.25,Q23-DaysForThetaCalculation/365.25,IF(OptControl=4,0,1),0)-xASN(AL23,Strike1,AE23,AP23,0,N23,0,P23,Q23,IF(OptControl=4,0,1),0),0)</f>
        <v>0</v>
      </c>
      <c r="AW23" s="324" t="n">
        <f aca="false">IF(AH23,xASN(AL23,Strike2,AE23,AQ23,0,N23,0,P23,Q23,IF(OptControl=3,1,0),0),0)</f>
        <v>0</v>
      </c>
      <c r="AX23" s="324" t="n">
        <f aca="false">IF(AH23,xASN(AL23,Strike2,AE23,AQ23,0,N23,0,P23,Q23,IF(OptControl=3,1,0),1),0)</f>
        <v>0</v>
      </c>
      <c r="AY23" s="324" t="n">
        <f aca="false">IF(AH23,xASN(AL23,Strike2,AE23,AQ23,0,N23,0,P23,Q23,IF(OptControl=3,1,0),2),0)</f>
        <v>0</v>
      </c>
      <c r="AZ23" s="324" t="n">
        <f aca="false">IF(AH23,xASN(AL23,Strike2,AE23,AQ23,0,N23,0,P23,Q23,IF(OptControl=3,1,0),3)/100,0)</f>
        <v>0</v>
      </c>
      <c r="BA23" s="324" t="n">
        <f aca="false">IF(AH23,xASN(AL23,Strike2,AE23,AQ23,0,N23,0,P23-DaysForThetaCalculation/365.25,Q23-DaysForThetaCalculation/365.25,IF(OptControl=3,1,0),0)-xASN(AL23,Strike2,AE23,AQ23,0,N23,0,P23,Q23,IF(OptControl=3,1,0),0),0)</f>
        <v>0</v>
      </c>
      <c r="BB23" s="325" t="str">
        <f aca="false">IF(AH23,IF(ProductGroup=1,IF(Product=1,BX23+PriceSpreadEuro,IF(Product=3,CK23+PriceSpreadEuro,"N/A")),"N/A"),"")</f>
        <v/>
      </c>
      <c r="BC23" s="316" t="str">
        <f aca="false">IF(AH23,Strike1/BB23-1,"")</f>
        <v/>
      </c>
      <c r="BD23" s="316" t="str">
        <f aca="false">IF(AH23,Strike2/BB23-1,"")</f>
        <v/>
      </c>
      <c r="BE23" s="326" t="str">
        <f aca="false">IF(AH23,IF(VolOverrideEuro,VolOverrideEuro,IF(ProductGroup=1,IF(Product&lt;3,DA23,DE23)+VolSpreadEuro,"N/A")),"")</f>
        <v/>
      </c>
      <c r="BF23" s="323" t="str">
        <f aca="false">IF($AH23,$BE23+IF(SkewFlag=1,IF(BC23&gt;0,$AA23*MIN(BC23/10%,1)+($Z23-$AA23)*MAX(0,MIN(BC23/10%-1,1))+($Y23-$Z23)*MAX(0,BC23/10%-2),$AB23*MIN(-BC23/10%,1)+($AC23-$AB23)*MAX(0,MIN(-BC23/10%-1,1))+($AD23-$AC23)*MAX(0,-BC23/10%-2)),0),"")</f>
        <v/>
      </c>
      <c r="BG23" s="323" t="str">
        <f aca="false">IF($AH23,$BE23+IF(SkewFlag=1,IF(BD23&gt;0,$AA23*MIN(BD23/10%,1)+($Z23-$AA23)*MAX(0,MIN(BD23/10%-1,1))+($Y23-$Z23)*MAX(0,BD23/10%-2),$AB23*MIN(-BD23/10%,1)+($AC23-$AB23)*MAX(0,MIN(-BD23/10%-1,1))+($AD23-$AC23)*MAX(0,-BD23/10%-2)),0),"")</f>
        <v/>
      </c>
      <c r="BH23" s="324" t="n">
        <f aca="false">IF(AH23,xEURO(BB23,Strike1,AE23,AE23,BF23,O23,IF(OptControl=4,0,1),0),0)</f>
        <v>0</v>
      </c>
      <c r="BI23" s="324" t="n">
        <f aca="false">IF(AH23,xEURO(BB23,Strike1,AE23,AE23,BF23,O23,IF(OptControl=4,0,1),1),0)</f>
        <v>0</v>
      </c>
      <c r="BJ23" s="324" t="n">
        <f aca="false">IF(AH23,xEURO(BB23,Strike1,AE23,AE23,BF23,O23,IF(OptControl=4,0,1),2),0)</f>
        <v>0</v>
      </c>
      <c r="BK23" s="324" t="n">
        <f aca="false">IF(AH23,xEURO(BB23,Strike1,AE23,AE23,BF23,O23,IF(OptControl=4,0,1),3)/100,0)</f>
        <v>0</v>
      </c>
      <c r="BL23" s="324" t="n">
        <f aca="false">IF(AH23,xEURO(BB23,Strike1,AE23,AE23,BF23,O23-DaysForThetaCalculation,IF(OptControl=4,0,1),0)-xEURO(BB23,Strike1,AE23,AE23,BF23,O23,IF(OptControl=4,0,1),0),0)</f>
        <v>0</v>
      </c>
      <c r="BM23" s="324" t="n">
        <f aca="false">IF(AH23,xEURO(BB23,Strike2,AE23,AE23,BG23,O23,IF(OptControl=3,1,0),0),0)</f>
        <v>0</v>
      </c>
      <c r="BN23" s="324" t="n">
        <f aca="false">IF(AH23,xEURO(BB23,Strike2,AE23,AE23,BG23,O23,IF(OptControl=3,1,0),1),0)</f>
        <v>0</v>
      </c>
      <c r="BO23" s="324" t="n">
        <f aca="false">IF(AH23,xEURO(BB23,Strike2,AE23,AE23,BG23,O23,IF(OptControl=3,1,0),2),0)</f>
        <v>0</v>
      </c>
      <c r="BP23" s="324" t="n">
        <f aca="false">IF(AH23,xEURO(BB23,Strike2,AE23,AE23,BG23,O23,IF(OptControl=3,1,0),3)/100,0)</f>
        <v>0</v>
      </c>
      <c r="BQ23" s="327" t="n">
        <f aca="false">IF(AH23,xEURO(BB23,Strike2,AE23,AE23,BG23,O23-DaysForThetaCalculation,IF(OptControl=3,1,0),0)-xEURO(BB23,Strike2,AE23,AE23,BG23,O23,IF(OptControl=3,1,0),0),0)</f>
        <v>0</v>
      </c>
      <c r="BR23" s="343"/>
      <c r="BS23" s="314" t="n">
        <v>27.733</v>
      </c>
      <c r="BT23" s="329" t="n">
        <f aca="false">BS23*100/42</f>
        <v>66.0309523809524</v>
      </c>
      <c r="BU23" s="329" t="n">
        <f aca="false">BS24-$U23</f>
        <v>9.83773913043481</v>
      </c>
      <c r="BV23" s="224"/>
      <c r="BW23" s="329" t="n">
        <f aca="false">BW11+VLOOKUP(1900+$L23,ProductSpreadTable,2)</f>
        <v>11.6669999999999</v>
      </c>
      <c r="BX23" s="329" t="n">
        <f aca="false">($V22+BW22)*100/42</f>
        <v>72.561904761905</v>
      </c>
      <c r="BY23" s="332" t="n">
        <f aca="false">BX24</f>
        <v>67.4649068322979</v>
      </c>
      <c r="BZ23" s="314" t="n">
        <v>24.616</v>
      </c>
      <c r="CA23" s="329" t="n">
        <f aca="false">BZ23*100/42</f>
        <v>58.6095238095238</v>
      </c>
      <c r="CB23" s="329" t="n">
        <f aca="false">BZ23-$U23</f>
        <v>7.94773913043481</v>
      </c>
      <c r="CC23" s="329" t="n">
        <f aca="false">CC11+VLOOKUP(1900+$L23,ProductSpreadTable,3)</f>
        <v>9.25199999999992</v>
      </c>
      <c r="CD23" s="329" t="n">
        <f aca="false">($V23+CC23)*100/42</f>
        <v>61.7149068322979</v>
      </c>
      <c r="CE23" s="333" t="n">
        <f aca="false">CD23-BY23</f>
        <v>-5.74999999999999</v>
      </c>
      <c r="CF23" s="314" t="n">
        <v>24.373</v>
      </c>
      <c r="CG23" s="329" t="n">
        <f aca="false">CF23*100/42</f>
        <v>58.0309523809524</v>
      </c>
      <c r="CH23" s="329" t="n">
        <f aca="false">CF24-$U23</f>
        <v>8.16173913043481</v>
      </c>
      <c r="CI23" s="330" t="n">
        <v>0</v>
      </c>
      <c r="CJ23" s="329" t="n">
        <f aca="false">CJ11+VLOOKUP(1900+$L23,ProductSpreadTable,4)</f>
        <v>9.55899999999992</v>
      </c>
      <c r="CK23" s="344" t="n">
        <f aca="false">CG23+CI23/100</f>
        <v>58.0309523809524</v>
      </c>
      <c r="CL23" s="332" t="n">
        <f aca="false">CK24</f>
        <v>62.4458592132503</v>
      </c>
      <c r="CM23" s="314" t="n">
        <v>23.726</v>
      </c>
      <c r="CN23" s="329" t="n">
        <f aca="false">CM23*100/42</f>
        <v>56.4904761904762</v>
      </c>
      <c r="CO23" s="329" t="n">
        <f aca="false">CM23-$U23</f>
        <v>7.05773913043481</v>
      </c>
      <c r="CP23" s="331" t="n">
        <f aca="false">CO23</f>
        <v>7.05773913043481</v>
      </c>
      <c r="CQ23" s="329" t="n">
        <f aca="false">($V23+CP23)*100/42</f>
        <v>56.4904761904762</v>
      </c>
      <c r="CR23" s="333" t="n">
        <f aca="false">CQ23-CL23</f>
        <v>-5.95538302277407</v>
      </c>
      <c r="CS23" s="314" t="n">
        <v>25.082</v>
      </c>
      <c r="CT23" s="329" t="n">
        <f aca="false">CS23*100/42</f>
        <v>59.7190476190476</v>
      </c>
      <c r="CU23" s="329" t="n">
        <f aca="false">CT23-CG24</f>
        <v>0.600000000000009</v>
      </c>
      <c r="CV23" s="331" t="n">
        <f aca="false">CU23</f>
        <v>0.600000000000009</v>
      </c>
      <c r="CW23" s="333" t="n">
        <f aca="false">CL23+CV23</f>
        <v>63.0458592132503</v>
      </c>
      <c r="CX23" s="318" t="n">
        <v>0.241</v>
      </c>
      <c r="CY23" s="326" t="n">
        <f aca="false">CX23-$W23</f>
        <v>-0.000414017650020027</v>
      </c>
      <c r="CZ23" s="326" t="n">
        <f aca="false">VLOOKUP(1900+$L23,ProductSpreadTable,7)</f>
        <v>-0.03</v>
      </c>
      <c r="DA23" s="365" t="n">
        <f aca="false">$W23+CZ23</f>
        <v>0.21141401765002</v>
      </c>
      <c r="DB23" s="318" t="n">
        <v>0.241</v>
      </c>
      <c r="DC23" s="326" t="n">
        <f aca="false">DB23-$W23</f>
        <v>-0.000414017650020027</v>
      </c>
      <c r="DD23" s="326" t="n">
        <f aca="false">VLOOKUP(1900+$L23,ProductSpreadTable,8)</f>
        <v>0.03</v>
      </c>
      <c r="DE23" s="365" t="n">
        <f aca="false">$W23+DD23</f>
        <v>0.27141401765002</v>
      </c>
      <c r="DG23" s="336"/>
      <c r="DH23" s="314" t="n">
        <v>17.393</v>
      </c>
      <c r="DI23" s="325" t="n">
        <f aca="false">DH23-$U23</f>
        <v>0.724739130434813</v>
      </c>
      <c r="DJ23" s="325" t="n">
        <f aca="false">VLOOKUP(1900+$L23,ResidSpreadTable,2)</f>
        <v>-2</v>
      </c>
      <c r="DK23" s="337" t="n">
        <f aca="false">$V23+DJ23</f>
        <v>14.6682608695652</v>
      </c>
      <c r="DL23" s="314" t="n">
        <v>16.293</v>
      </c>
      <c r="DM23" s="325" t="n">
        <f aca="false">DL23-$U23</f>
        <v>-0.375260869565189</v>
      </c>
      <c r="DN23" s="325" t="n">
        <f aca="false">VLOOKUP(1900+$L23,ResidSpreadTable,3)</f>
        <v>-3</v>
      </c>
      <c r="DO23" s="337" t="n">
        <f aca="false">$V23+DN23</f>
        <v>13.6682608695652</v>
      </c>
      <c r="DP23" s="314" t="n">
        <v>15.543</v>
      </c>
      <c r="DQ23" s="325" t="n">
        <f aca="false">DP23-$U23</f>
        <v>-1.12526086956519</v>
      </c>
      <c r="DR23" s="325" t="n">
        <f aca="false">VLOOKUP(1900+$L23,ResidSpreadTable,4)</f>
        <v>-6</v>
      </c>
      <c r="DS23" s="337" t="n">
        <f aca="false">$V23+DR23</f>
        <v>10.6682608695652</v>
      </c>
      <c r="DT23" s="314" t="n">
        <v>16.343</v>
      </c>
      <c r="DU23" s="325" t="n">
        <f aca="false">DT23-$U23</f>
        <v>-0.325260869565188</v>
      </c>
      <c r="DV23" s="325" t="n">
        <f aca="false">VLOOKUP(1900+$L23,ResidSpreadTable,5)</f>
        <v>-5</v>
      </c>
      <c r="DW23" s="337" t="n">
        <f aca="false">$V23+DV23</f>
        <v>11.6682608695652</v>
      </c>
      <c r="DY23" s="366" t="n">
        <v>2010</v>
      </c>
      <c r="DZ23" s="367" t="n">
        <v>0.15</v>
      </c>
      <c r="EA23" s="368" t="n">
        <v>0.15</v>
      </c>
      <c r="EB23" s="367" t="n">
        <v>0.15</v>
      </c>
      <c r="EC23" s="368" t="n">
        <v>0.15</v>
      </c>
      <c r="ED23" s="369" t="n">
        <v>0.15</v>
      </c>
      <c r="EE23" s="373" t="n">
        <v>-0.03</v>
      </c>
      <c r="EF23" s="373" t="n">
        <v>0.03</v>
      </c>
    </row>
    <row r="24" customFormat="false" ht="12.75" hidden="false" customHeight="false" outlineLevel="0" collapsed="false">
      <c r="B24" s="371" t="n">
        <v>36281</v>
      </c>
      <c r="C24" s="372" t="n">
        <v>36270</v>
      </c>
      <c r="I24" s="338" t="n">
        <f aca="false">EOMONTH(I23,0)+1</f>
        <v>46478</v>
      </c>
      <c r="J24" s="307" t="n">
        <f aca="false">VLOOKUP(I24,$B$12:$C$332,2)</f>
        <v>45644</v>
      </c>
      <c r="K24" s="339" t="n">
        <f aca="false">NETWORKDAYS(I24,J25)/N24</f>
        <v>-27.1363636363636</v>
      </c>
      <c r="L24" s="309" t="n">
        <f aca="false">YEAR(I24)-1900</f>
        <v>127</v>
      </c>
      <c r="M24" s="310" t="n">
        <f aca="false">MONTH(I24)</f>
        <v>4</v>
      </c>
      <c r="N24" s="340" t="n">
        <f aca="false">NETWORKDAYS(I24,I25-1)</f>
        <v>22</v>
      </c>
      <c r="O24" s="341" t="n">
        <f aca="false">I24-DateToday-IF(EuroExpDateToggle=1,3+IF(WEEKDAY(I24-1)=7,1,IF(WEEKDAY(I24-1)&lt;5,2,0)),1+IF(WEEKDAY(I24-1)=7,1,IF(WEEKDAY(I24-1)&lt;3,2,0)))</f>
        <v>547</v>
      </c>
      <c r="P24" s="342" t="n">
        <f aca="false">(I24-DateToday+1)/365.25</f>
        <v>1.51403148528405</v>
      </c>
      <c r="Q24" s="342" t="n">
        <f aca="false">(I25-DateToday)/365.25</f>
        <v>1.59342915811088</v>
      </c>
      <c r="R24" s="314" t="n">
        <v>21.6</v>
      </c>
      <c r="S24" s="347" t="n">
        <v>0</v>
      </c>
      <c r="T24" s="316" t="n">
        <f aca="false">R24+S24/100</f>
        <v>21.6</v>
      </c>
      <c r="U24" s="325" t="n">
        <f aca="false">R25*K24+R26*(1-K24)</f>
        <v>16.6268181818182</v>
      </c>
      <c r="V24" s="337" t="n">
        <f aca="false">T25*K24+T26*(1-K24)</f>
        <v>16.6268181818182</v>
      </c>
      <c r="W24" s="318" t="n">
        <v>0.237042817923153</v>
      </c>
      <c r="X24" s="319" t="n">
        <f aca="false">IF($I24-DateToday+1&gt;=$A$10,"",IF($I24-DateToday+1&lt;$A$5,1,MATCH($I24-DateToday+1,$A$5:$A$10)))</f>
        <v>5</v>
      </c>
      <c r="Y24" s="348" t="n">
        <f aca="false">IF($X24="",Y23^2/Y22,INDEX(B$5:B$10,$X24)^((INDEX($A$5:$A$10,$X24+1)-($I24-DateToday+1))/(INDEX($A$5:$A$10,$X24+1)-INDEX($A$5:$A$10,$X24)))/INDEX(B$5:B$10,$X24+1)^((INDEX($A$5:$A$10,$X24)-($I24-DateToday+1))/(INDEX($A$5:$A$10,$X24+1)-INDEX($A$5:$A$10,$X24))))</f>
        <v>0.0103696180129856</v>
      </c>
      <c r="Z24" s="348" t="n">
        <f aca="false">IF($X24="",Z23^2/Z22,INDEX(C$5:C$10,$X24)^((INDEX($A$5:$A$10,$X24+1)-($I24-DateToday+1))/(INDEX($A$5:$A$10,$X24+1)-INDEX($A$5:$A$10,$X24)))/INDEX(C$5:C$10,$X24+1)^((INDEX($A$5:$A$10,$X24)-($I24-DateToday+1))/(INDEX($A$5:$A$10,$X24+1)-INDEX($A$5:$A$10,$X24))))</f>
        <v>0.00579439684283655</v>
      </c>
      <c r="AA24" s="348" t="n">
        <f aca="false">IF($X24="",AA23^2/AA22,INDEX(D$5:D$10,$X24)^((INDEX($A$5:$A$10,$X24+1)-($I24-DateToday+1))/(INDEX($A$5:$A$10,$X24+1)-INDEX($A$5:$A$10,$X24)))/INDEX(D$5:D$10,$X24+1)^((INDEX($A$5:$A$10,$X24)-($I24-DateToday+1))/(INDEX($A$5:$A$10,$X24+1)-INDEX($A$5:$A$10,$X24))))</f>
        <v>0.00263000037013385</v>
      </c>
      <c r="AB24" s="348" t="n">
        <f aca="false">IF($X24="",AB23^2/AB22,INDEX(E$5:E$10,$X24)^((INDEX($A$5:$A$10,$X24+1)-($I24-DateToday+1))/(INDEX($A$5:$A$10,$X24+1)-INDEX($A$5:$A$10,$X24)))/INDEX(E$5:E$10,$X24+1)^((INDEX($A$5:$A$10,$X24)-($I24-DateToday+1))/(INDEX($A$5:$A$10,$X24+1)-INDEX($A$5:$A$10,$X24))))</f>
        <v>0.00592486483383754</v>
      </c>
      <c r="AC24" s="348" t="n">
        <f aca="false">IF($X24="",AC23^2/AC22,INDEX(F$5:F$10,$X24)^((INDEX($A$5:$A$10,$X24+1)-($I24-DateToday+1))/(INDEX($A$5:$A$10,$X24+1)-INDEX($A$5:$A$10,$X24)))/INDEX(F$5:F$10,$X24+1)^((INDEX($A$5:$A$10,$X24)-($I24-DateToday+1))/(INDEX($A$5:$A$10,$X24+1)-INDEX($A$5:$A$10,$X24))))</f>
        <v>0.0130536172075422</v>
      </c>
      <c r="AD24" s="348" t="n">
        <f aca="false">IF($X24="",AD23^2/AD22,INDEX(G$5:G$10,$X24)^((INDEX($A$5:$A$10,$X24+1)-($I24-DateToday+1))/(INDEX($A$5:$A$10,$X24+1)-INDEX($A$5:$A$10,$X24)))/INDEX(G$5:G$10,$X24+1)^((INDEX($A$5:$A$10,$X24)-($I24-DateToday+1))/(INDEX($A$5:$A$10,$X24+1)-INDEX($A$5:$A$10,$X24))))</f>
        <v>0.0233606754596539</v>
      </c>
      <c r="AE24" s="321" t="n">
        <v>0.069805835369684</v>
      </c>
      <c r="AF24" s="316" t="n">
        <f aca="false">(1+AE24/2)^(-2*(I25-DateToday)/365.25)</f>
        <v>0.896431377644502</v>
      </c>
      <c r="AG24" s="316" t="n">
        <f aca="false">AG23*(1+IF(AND(M24=1,L24&gt;YearStart),Escalation,0))</f>
        <v>1</v>
      </c>
      <c r="AH24" s="322" t="n">
        <f aca="false">IF(OR(DateStart&gt;=I25,DateEnd&lt;I24),0,Volume*AG24)</f>
        <v>0</v>
      </c>
      <c r="AI24" s="322" t="n">
        <f aca="false">AH24*AF24</f>
        <v>0</v>
      </c>
      <c r="AJ24" s="322" t="n">
        <f aca="false">IF(OR(DateStart2&gt;=I25,DateEnd2&lt;I24),0,VolumeSwaption*AG24)</f>
        <v>0</v>
      </c>
      <c r="AK24" s="322" t="n">
        <f aca="false">AJ24*AF24</f>
        <v>0</v>
      </c>
      <c r="AL24" s="316" t="str">
        <f aca="true">IF(AH24,OFFSET(BY24,0,HorizontalPriceOffset)+PriceSpreadAsian,"")</f>
        <v/>
      </c>
      <c r="AM24" s="316" t="str">
        <f aca="false">IF(AH24,Strike1/AL24-1,"")</f>
        <v/>
      </c>
      <c r="AN24" s="316" t="str">
        <f aca="false">IF(AH24,Strike2/AL24-1,"")</f>
        <v/>
      </c>
      <c r="AO24" s="323" t="str">
        <f aca="false">IF(AH24,IF(VolOverrideAsian,VolOverrideAsian,IF(ProductGroup=1,IF(Product&lt;3,DA25,DE25),W25)+VolSpreadAsian),"")</f>
        <v/>
      </c>
      <c r="AP24" s="323" t="str">
        <f aca="false">IF($AH24,$AO24+IF(SkewFlag=1,IF(AM24&gt;0,$AA24*MIN(AM24/10%,1)+($Z24-$AA24)*MAX(0,MIN(AM24/10%-1,1))+($Y24-$Z24)*MAX(0,AM24/10%-2),$AB24*MIN(-AM24/10%,1)+($AC24-$AB24)*MAX(0,MIN(-AM24/10%-1,1))+($AD24-$AC24)*MAX(0,-AM24/10%-2)),0),"")</f>
        <v/>
      </c>
      <c r="AQ24" s="323" t="str">
        <f aca="false">IF($AH24,$AO24+IF(SkewFlag=1,IF(AN24&gt;0,$AA24*MIN(AN24/10%,1)+($Z24-$AA24)*MAX(0,MIN(AN24/10%-1,1))+($Y24-$Z24)*MAX(0,AN24/10%-2),$AB24*MIN(-AN24/10%,1)+($AC24-$AB24)*MAX(0,MIN(-AN24/10%-1,1))+($AD24-$AC24)*MAX(0,-AN24/10%-2)),0),"")</f>
        <v/>
      </c>
      <c r="AR24" s="324" t="n">
        <f aca="false">IF(AH24,xASN(AL24,Strike1,AE24,AP24,0,N24,0,P24,Q24,IF(OptControl=4,0,1),0),0)</f>
        <v>0</v>
      </c>
      <c r="AS24" s="324" t="n">
        <f aca="false">IF(AH24,xASN(AL24,Strike1,AE24,AP24,0,N24,0,P24,Q24,IF(OptControl=4,0,1),1),0)</f>
        <v>0</v>
      </c>
      <c r="AT24" s="324" t="n">
        <f aca="false">IF(AH24,xASN(AL24,Strike1,AE24,AP24,0,N24,0,P24,Q24,IF(OptControl=4,0,1),2),0)</f>
        <v>0</v>
      </c>
      <c r="AU24" s="324" t="n">
        <f aca="false">IF(AH24,xASN(AL24,Strike1,AE24,AP24,0,N24,0,P24,Q24,IF(OptControl=4,0,1),3)/100,0)</f>
        <v>0</v>
      </c>
      <c r="AV24" s="324" t="n">
        <f aca="false">IF(AH24,xASN(AL24,Strike1,AE24,AP24,0,N24,0,P24-DaysForThetaCalculation/365.25,Q24-DaysForThetaCalculation/365.25,IF(OptControl=4,0,1),0)-xASN(AL24,Strike1,AE24,AP24,0,N24,0,P24,Q24,IF(OptControl=4,0,1),0),0)</f>
        <v>0</v>
      </c>
      <c r="AW24" s="324" t="n">
        <f aca="false">IF(AH24,xASN(AL24,Strike2,AE24,AQ24,0,N24,0,P24,Q24,IF(OptControl=3,1,0),0),0)</f>
        <v>0</v>
      </c>
      <c r="AX24" s="324" t="n">
        <f aca="false">IF(AH24,xASN(AL24,Strike2,AE24,AQ24,0,N24,0,P24,Q24,IF(OptControl=3,1,0),1),0)</f>
        <v>0</v>
      </c>
      <c r="AY24" s="324" t="n">
        <f aca="false">IF(AH24,xASN(AL24,Strike2,AE24,AQ24,0,N24,0,P24,Q24,IF(OptControl=3,1,0),2),0)</f>
        <v>0</v>
      </c>
      <c r="AZ24" s="324" t="n">
        <f aca="false">IF(AH24,xASN(AL24,Strike2,AE24,AQ24,0,N24,0,P24,Q24,IF(OptControl=3,1,0),3)/100,0)</f>
        <v>0</v>
      </c>
      <c r="BA24" s="324" t="n">
        <f aca="false">IF(AH24,xASN(AL24,Strike2,AE24,AQ24,0,N24,0,P24-DaysForThetaCalculation/365.25,Q24-DaysForThetaCalculation/365.25,IF(OptControl=3,1,0),0)-xASN(AL24,Strike2,AE24,AQ24,0,N24,0,P24,Q24,IF(OptControl=3,1,0),0),0)</f>
        <v>0</v>
      </c>
      <c r="BB24" s="325" t="str">
        <f aca="false">IF(AH24,IF(ProductGroup=1,IF(Product=1,BX24+PriceSpreadEuro,IF(Product=3,CK24+PriceSpreadEuro,"N/A")),"N/A"),"")</f>
        <v/>
      </c>
      <c r="BC24" s="316" t="str">
        <f aca="false">IF(AH24,Strike1/BB24-1,"")</f>
        <v/>
      </c>
      <c r="BD24" s="316" t="str">
        <f aca="false">IF(AH24,Strike2/BB24-1,"")</f>
        <v/>
      </c>
      <c r="BE24" s="326" t="str">
        <f aca="false">IF(AH24,IF(VolOverrideEuro,VolOverrideEuro,IF(ProductGroup=1,IF(Product&lt;3,DA24,DE24)+VolSpreadEuro,"N/A")),"")</f>
        <v/>
      </c>
      <c r="BF24" s="323" t="str">
        <f aca="false">IF($AH24,$BE24+IF(SkewFlag=1,IF(BC24&gt;0,$AA24*MIN(BC24/10%,1)+($Z24-$AA24)*MAX(0,MIN(BC24/10%-1,1))+($Y24-$Z24)*MAX(0,BC24/10%-2),$AB24*MIN(-BC24/10%,1)+($AC24-$AB24)*MAX(0,MIN(-BC24/10%-1,1))+($AD24-$AC24)*MAX(0,-BC24/10%-2)),0),"")</f>
        <v/>
      </c>
      <c r="BG24" s="323" t="str">
        <f aca="false">IF($AH24,$BE24+IF(SkewFlag=1,IF(BD24&gt;0,$AA24*MIN(BD24/10%,1)+($Z24-$AA24)*MAX(0,MIN(BD24/10%-1,1))+($Y24-$Z24)*MAX(0,BD24/10%-2),$AB24*MIN(-BD24/10%,1)+($AC24-$AB24)*MAX(0,MIN(-BD24/10%-1,1))+($AD24-$AC24)*MAX(0,-BD24/10%-2)),0),"")</f>
        <v/>
      </c>
      <c r="BH24" s="324" t="n">
        <f aca="false">IF(AH24,xEURO(BB24,Strike1,AE24,AE24,BF24,O24,IF(OptControl=4,0,1),0),0)</f>
        <v>0</v>
      </c>
      <c r="BI24" s="324" t="n">
        <f aca="false">IF(AH24,xEURO(BB24,Strike1,AE24,AE24,BF24,O24,IF(OptControl=4,0,1),1),0)</f>
        <v>0</v>
      </c>
      <c r="BJ24" s="324" t="n">
        <f aca="false">IF(AH24,xEURO(BB24,Strike1,AE24,AE24,BF24,O24,IF(OptControl=4,0,1),2),0)</f>
        <v>0</v>
      </c>
      <c r="BK24" s="324" t="n">
        <f aca="false">IF(AH24,xEURO(BB24,Strike1,AE24,AE24,BF24,O24,IF(OptControl=4,0,1),3)/100,0)</f>
        <v>0</v>
      </c>
      <c r="BL24" s="324" t="n">
        <f aca="false">IF(AH24,xEURO(BB24,Strike1,AE24,AE24,BF24,O24-DaysForThetaCalculation,IF(OptControl=4,0,1),0)-xEURO(BB24,Strike1,AE24,AE24,BF24,O24,IF(OptControl=4,0,1),0),0)</f>
        <v>0</v>
      </c>
      <c r="BM24" s="324" t="n">
        <f aca="false">IF(AH24,xEURO(BB24,Strike2,AE24,AE24,BG24,O24,IF(OptControl=3,1,0),0),0)</f>
        <v>0</v>
      </c>
      <c r="BN24" s="324" t="n">
        <f aca="false">IF(AH24,xEURO(BB24,Strike2,AE24,AE24,BG24,O24,IF(OptControl=3,1,0),1),0)</f>
        <v>0</v>
      </c>
      <c r="BO24" s="324" t="n">
        <f aca="false">IF(AH24,xEURO(BB24,Strike2,AE24,AE24,BG24,O24,IF(OptControl=3,1,0),2),0)</f>
        <v>0</v>
      </c>
      <c r="BP24" s="324" t="n">
        <f aca="false">IF(AH24,xEURO(BB24,Strike2,AE24,AE24,BG24,O24,IF(OptControl=3,1,0),3)/100,0)</f>
        <v>0</v>
      </c>
      <c r="BQ24" s="327" t="n">
        <f aca="false">IF(AH24,xEURO(BB24,Strike2,AE24,AE24,BG24,O24-DaysForThetaCalculation,IF(OptControl=3,1,0),0)-xEURO(BB24,Strike2,AE24,AE24,BG24,O24,IF(OptControl=3,1,0),0),0)</f>
        <v>0</v>
      </c>
      <c r="BR24" s="343"/>
      <c r="BS24" s="314" t="n">
        <v>26.506</v>
      </c>
      <c r="BT24" s="329" t="n">
        <f aca="false">BS24*100/42</f>
        <v>63.1095238095238</v>
      </c>
      <c r="BU24" s="329" t="n">
        <f aca="false">BS25-$U24</f>
        <v>9.27918181818182</v>
      </c>
      <c r="BV24" s="224"/>
      <c r="BW24" s="329" t="n">
        <f aca="false">BW12+VLOOKUP(1900+$L24,ProductSpreadTable,2)</f>
        <v>11.2388181818182</v>
      </c>
      <c r="BX24" s="329" t="n">
        <f aca="false">($V23+BW23)*100/42</f>
        <v>67.4649068322979</v>
      </c>
      <c r="BY24" s="332" t="n">
        <f aca="false">BX25</f>
        <v>66.3467532467533</v>
      </c>
      <c r="BZ24" s="314" t="n">
        <v>22.495</v>
      </c>
      <c r="CA24" s="329" t="n">
        <f aca="false">BZ24*100/42</f>
        <v>53.5595238095238</v>
      </c>
      <c r="CB24" s="329" t="n">
        <f aca="false">BZ24-$U24</f>
        <v>5.86818181818182</v>
      </c>
      <c r="CC24" s="329" t="n">
        <f aca="false">CC12+VLOOKUP(1900+$L24,ProductSpreadTable,3)</f>
        <v>8.92881818181819</v>
      </c>
      <c r="CD24" s="329" t="n">
        <f aca="false">($V24+CC24)*100/42</f>
        <v>60.8467532467533</v>
      </c>
      <c r="CE24" s="333" t="n">
        <f aca="false">CD24-BY24</f>
        <v>-5.49999999999999</v>
      </c>
      <c r="CF24" s="314" t="n">
        <v>24.83</v>
      </c>
      <c r="CG24" s="329" t="n">
        <f aca="false">CF24*100/42</f>
        <v>59.1190476190476</v>
      </c>
      <c r="CH24" s="329" t="n">
        <f aca="false">CF25-$U24</f>
        <v>8.57318181818182</v>
      </c>
      <c r="CI24" s="224"/>
      <c r="CJ24" s="329" t="n">
        <f aca="false">CJ12+VLOOKUP(1900+$L24,ProductSpreadTable,4)</f>
        <v>10.0968181818182</v>
      </c>
      <c r="CK24" s="329" t="n">
        <f aca="false">($V23+CJ23)*100/42</f>
        <v>62.4458592132503</v>
      </c>
      <c r="CL24" s="332" t="n">
        <f aca="false">CK25</f>
        <v>63.6277056277056</v>
      </c>
      <c r="CM24" s="314" t="n">
        <v>23.86</v>
      </c>
      <c r="CN24" s="329" t="n">
        <f aca="false">CM24*100/42</f>
        <v>56.8095238095238</v>
      </c>
      <c r="CO24" s="329" t="n">
        <f aca="false">CM24-$U24</f>
        <v>7.23318181818182</v>
      </c>
      <c r="CP24" s="329" t="n">
        <f aca="false">CP12+VLOOKUP(1900+$L24,ProductSpreadTable,5)</f>
        <v>8.89981818181818</v>
      </c>
      <c r="CQ24" s="329" t="n">
        <f aca="false">($V24+CP24)*100/42</f>
        <v>60.7777056277056</v>
      </c>
      <c r="CR24" s="333" t="n">
        <f aca="false">CQ24-CL24</f>
        <v>-2.85</v>
      </c>
      <c r="CS24" s="314" t="n">
        <v>25.452</v>
      </c>
      <c r="CT24" s="329" t="n">
        <f aca="false">CS24*100/42</f>
        <v>60.6</v>
      </c>
      <c r="CU24" s="329" t="n">
        <f aca="false">CT24-CG25</f>
        <v>0.600000000000009</v>
      </c>
      <c r="CV24" s="329" t="n">
        <f aca="false">CV12+VLOOKUP(1900+$L24,ProductSpreadTable,6)</f>
        <v>0.750000000000009</v>
      </c>
      <c r="CW24" s="333" t="n">
        <f aca="false">CL24+CV24</f>
        <v>64.3777056277056</v>
      </c>
      <c r="CX24" s="318" t="n">
        <v>0.237</v>
      </c>
      <c r="CY24" s="326" t="n">
        <f aca="false">CX24-$W24</f>
        <v>-4.2817923152999E-005</v>
      </c>
      <c r="CZ24" s="326" t="n">
        <f aca="false">VLOOKUP(1900+$L24,ProductSpreadTable,7)</f>
        <v>-0.03</v>
      </c>
      <c r="DA24" s="365" t="n">
        <f aca="false">$W24+CZ24</f>
        <v>0.207042817923153</v>
      </c>
      <c r="DB24" s="318" t="n">
        <v>0.237</v>
      </c>
      <c r="DC24" s="326" t="n">
        <f aca="false">DB24-$W24</f>
        <v>-4.2817923152999E-005</v>
      </c>
      <c r="DD24" s="326" t="n">
        <f aca="false">VLOOKUP(1900+$L24,ProductSpreadTable,8)</f>
        <v>0.03</v>
      </c>
      <c r="DE24" s="365" t="n">
        <f aca="false">$W24+DD24</f>
        <v>0.267042817923153</v>
      </c>
      <c r="DG24" s="336"/>
      <c r="DH24" s="314" t="n">
        <v>17.208</v>
      </c>
      <c r="DI24" s="325" t="n">
        <f aca="false">DH24-$U24</f>
        <v>0.581181818181818</v>
      </c>
      <c r="DJ24" s="325" t="n">
        <f aca="false">VLOOKUP(1900+$L24,ResidSpreadTable,2)</f>
        <v>-2</v>
      </c>
      <c r="DK24" s="337" t="n">
        <f aca="false">$V24+DJ24</f>
        <v>14.6268181818182</v>
      </c>
      <c r="DL24" s="314" t="n">
        <v>16.108</v>
      </c>
      <c r="DM24" s="325" t="n">
        <f aca="false">DL24-$U24</f>
        <v>-0.51881818181818</v>
      </c>
      <c r="DN24" s="325" t="n">
        <f aca="false">VLOOKUP(1900+$L24,ResidSpreadTable,3)</f>
        <v>-3</v>
      </c>
      <c r="DO24" s="337" t="n">
        <f aca="false">$V24+DN24</f>
        <v>13.6268181818182</v>
      </c>
      <c r="DP24" s="314" t="n">
        <v>15.358</v>
      </c>
      <c r="DQ24" s="325" t="n">
        <f aca="false">DP24-$U24</f>
        <v>-1.26881818181818</v>
      </c>
      <c r="DR24" s="325" t="n">
        <f aca="false">VLOOKUP(1900+$L24,ResidSpreadTable,4)</f>
        <v>-6</v>
      </c>
      <c r="DS24" s="337" t="n">
        <f aca="false">$V24+DR24</f>
        <v>10.6268181818182</v>
      </c>
      <c r="DT24" s="314" t="n">
        <v>16.158</v>
      </c>
      <c r="DU24" s="325" t="n">
        <f aca="false">DT24-$U24</f>
        <v>-0.468818181818179</v>
      </c>
      <c r="DV24" s="325" t="n">
        <f aca="false">VLOOKUP(1900+$L24,ResidSpreadTable,5)</f>
        <v>-5</v>
      </c>
      <c r="DW24" s="337" t="n">
        <f aca="false">$V24+DV24</f>
        <v>11.6268181818182</v>
      </c>
      <c r="DY24" s="366" t="n">
        <v>2011</v>
      </c>
      <c r="DZ24" s="367" t="n">
        <v>0.15</v>
      </c>
      <c r="EA24" s="368" t="n">
        <v>0.15</v>
      </c>
      <c r="EB24" s="367" t="n">
        <v>0.15</v>
      </c>
      <c r="EC24" s="368" t="n">
        <v>0.15</v>
      </c>
      <c r="ED24" s="369" t="n">
        <v>0.15</v>
      </c>
      <c r="EE24" s="373" t="n">
        <v>-0.03</v>
      </c>
      <c r="EF24" s="373" t="n">
        <v>0.03</v>
      </c>
    </row>
    <row r="25" customFormat="false" ht="12.75" hidden="false" customHeight="false" outlineLevel="0" collapsed="false">
      <c r="B25" s="371" t="n">
        <v>36312</v>
      </c>
      <c r="C25" s="372" t="n">
        <v>36300</v>
      </c>
      <c r="I25" s="338" t="n">
        <f aca="false">EOMONTH(I24,0)+1</f>
        <v>46508</v>
      </c>
      <c r="J25" s="307" t="n">
        <f aca="false">VLOOKUP(I25,$B$12:$C$332,2)</f>
        <v>45644</v>
      </c>
      <c r="K25" s="339" t="n">
        <f aca="false">NETWORKDAYS(I25,J26)/N25</f>
        <v>-29.4285714285714</v>
      </c>
      <c r="L25" s="309" t="n">
        <f aca="false">YEAR(I25)-1900</f>
        <v>127</v>
      </c>
      <c r="M25" s="310" t="n">
        <f aca="false">MONTH(I25)</f>
        <v>5</v>
      </c>
      <c r="N25" s="340" t="n">
        <f aca="false">NETWORKDAYS(I25,I26-1)</f>
        <v>21</v>
      </c>
      <c r="O25" s="341" t="n">
        <f aca="false">I25-DateToday-IF(EuroExpDateToggle=1,3+IF(WEEKDAY(I25-1)=7,1,IF(WEEKDAY(I25-1)&lt;5,2,0)),1+IF(WEEKDAY(I25-1)=7,1,IF(WEEKDAY(I25-1)&lt;3,2,0)))</f>
        <v>579</v>
      </c>
      <c r="P25" s="342" t="n">
        <f aca="false">(I25-DateToday+1)/365.25</f>
        <v>1.59616700889802</v>
      </c>
      <c r="Q25" s="342" t="n">
        <f aca="false">(I26-DateToday)/365.25</f>
        <v>1.67830253251198</v>
      </c>
      <c r="R25" s="314" t="n">
        <v>21.41</v>
      </c>
      <c r="S25" s="347" t="n">
        <v>0</v>
      </c>
      <c r="T25" s="316" t="n">
        <f aca="false">R25+S25/100</f>
        <v>21.41</v>
      </c>
      <c r="U25" s="325" t="n">
        <f aca="false">R26*K25+R27*(1-K25)</f>
        <v>16.0671428571429</v>
      </c>
      <c r="V25" s="337" t="n">
        <f aca="false">T26*K25+T27*(1-K25)</f>
        <v>16.0671428571429</v>
      </c>
      <c r="W25" s="318" t="n">
        <v>0.23363456251915</v>
      </c>
      <c r="X25" s="319" t="n">
        <f aca="false">IF($I25-DateToday+1&gt;=$A$10,"",IF($I25-DateToday+1&lt;$A$5,1,MATCH($I25-DateToday+1,$A$5:$A$10)))</f>
        <v>5</v>
      </c>
      <c r="Y25" s="348" t="n">
        <f aca="false">IF($X25="",Y24^2/Y23,INDEX(B$5:B$10,$X25)^((INDEX($A$5:$A$10,$X25+1)-($I25-DateToday+1))/(INDEX($A$5:$A$10,$X25+1)-INDEX($A$5:$A$10,$X25)))/INDEX(B$5:B$10,$X25+1)^((INDEX($A$5:$A$10,$X25)-($I25-DateToday+1))/(INDEX($A$5:$A$10,$X25+1)-INDEX($A$5:$A$10,$X25))))</f>
        <v>0.010154706745398</v>
      </c>
      <c r="Z25" s="348" t="n">
        <f aca="false">IF($X25="",Z24^2/Z23,INDEX(C$5:C$10,$X25)^((INDEX($A$5:$A$10,$X25+1)-($I25-DateToday+1))/(INDEX($A$5:$A$10,$X25+1)-INDEX($A$5:$A$10,$X25)))/INDEX(C$5:C$10,$X25+1)^((INDEX($A$5:$A$10,$X25)-($I25-DateToday+1))/(INDEX($A$5:$A$10,$X25+1)-INDEX($A$5:$A$10,$X25))))</f>
        <v>0.00564490438313546</v>
      </c>
      <c r="AA25" s="348" t="n">
        <f aca="false">IF($X25="",AA24^2/AA23,INDEX(D$5:D$10,$X25)^((INDEX($A$5:$A$10,$X25+1)-($I25-DateToday+1))/(INDEX($A$5:$A$10,$X25+1)-INDEX($A$5:$A$10,$X25)))/INDEX(D$5:D$10,$X25+1)^((INDEX($A$5:$A$10,$X25)-($I25-DateToday+1))/(INDEX($A$5:$A$10,$X25+1)-INDEX($A$5:$A$10,$X25))))</f>
        <v>0.00255549841688815</v>
      </c>
      <c r="AB25" s="348" t="n">
        <f aca="false">IF($X25="",AB24^2/AB23,INDEX(E$5:E$10,$X25)^((INDEX($A$5:$A$10,$X25+1)-($I25-DateToday+1))/(INDEX($A$5:$A$10,$X25+1)-INDEX($A$5:$A$10,$X25)))/INDEX(E$5:E$10,$X25+1)^((INDEX($A$5:$A$10,$X25)-($I25-DateToday+1))/(INDEX($A$5:$A$10,$X25+1)-INDEX($A$5:$A$10,$X25))))</f>
        <v>0.00575702683356563</v>
      </c>
      <c r="AC25" s="348" t="n">
        <f aca="false">IF($X25="",AC24^2/AC23,INDEX(F$5:F$10,$X25)^((INDEX($A$5:$A$10,$X25+1)-($I25-DateToday+1))/(INDEX($A$5:$A$10,$X25+1)-INDEX($A$5:$A$10,$X25)))/INDEX(F$5:F$10,$X25+1)^((INDEX($A$5:$A$10,$X25)-($I25-DateToday+1))/(INDEX($A$5:$A$10,$X25+1)-INDEX($A$5:$A$10,$X25))))</f>
        <v>0.0127168405943276</v>
      </c>
      <c r="AD25" s="348" t="n">
        <f aca="false">IF($X25="",AD24^2/AD23,INDEX(G$5:G$10,$X25)^((INDEX($A$5:$A$10,$X25+1)-($I25-DateToday+1))/(INDEX($A$5:$A$10,$X25+1)-INDEX($A$5:$A$10,$X25)))/INDEX(G$5:G$10,$X25+1)^((INDEX($A$5:$A$10,$X25)-($I25-DateToday+1))/(INDEX($A$5:$A$10,$X25+1)-INDEX($A$5:$A$10,$X25))))</f>
        <v>0.0228765233560326</v>
      </c>
      <c r="AE25" s="321" t="n">
        <v>0.070014436980023</v>
      </c>
      <c r="AF25" s="316" t="n">
        <f aca="false">(1+AE25/2)^(-2*(I26-DateToday)/365.25)</f>
        <v>0.890924658593696</v>
      </c>
      <c r="AG25" s="316" t="n">
        <f aca="false">AG24*(1+IF(AND(M25=1,L25&gt;YearStart),Escalation,0))</f>
        <v>1</v>
      </c>
      <c r="AH25" s="322" t="n">
        <f aca="false">IF(OR(DateStart&gt;=I26,DateEnd&lt;I25),0,Volume*AG25)</f>
        <v>0</v>
      </c>
      <c r="AI25" s="322" t="n">
        <f aca="false">AH25*AF25</f>
        <v>0</v>
      </c>
      <c r="AJ25" s="322" t="n">
        <f aca="false">IF(OR(DateStart2&gt;=I26,DateEnd2&lt;I25),0,VolumeSwaption*AG25)</f>
        <v>0</v>
      </c>
      <c r="AK25" s="322" t="n">
        <f aca="false">AJ25*AF25</f>
        <v>0</v>
      </c>
      <c r="AL25" s="316" t="str">
        <f aca="true">IF(AH25,OFFSET(BY25,0,HorizontalPriceOffset)+PriceSpreadAsian,"")</f>
        <v/>
      </c>
      <c r="AM25" s="316" t="str">
        <f aca="false">IF(AH25,Strike1/AL25-1,"")</f>
        <v/>
      </c>
      <c r="AN25" s="316" t="str">
        <f aca="false">IF(AH25,Strike2/AL25-1,"")</f>
        <v/>
      </c>
      <c r="AO25" s="323" t="str">
        <f aca="false">IF(AH25,IF(VolOverrideAsian,VolOverrideAsian,IF(ProductGroup=1,IF(Product&lt;3,DA26,DE26),W26)+VolSpreadAsian),"")</f>
        <v/>
      </c>
      <c r="AP25" s="323" t="str">
        <f aca="false">IF($AH25,$AO25+IF(SkewFlag=1,IF(AM25&gt;0,$AA25*MIN(AM25/10%,1)+($Z25-$AA25)*MAX(0,MIN(AM25/10%-1,1))+($Y25-$Z25)*MAX(0,AM25/10%-2),$AB25*MIN(-AM25/10%,1)+($AC25-$AB25)*MAX(0,MIN(-AM25/10%-1,1))+($AD25-$AC25)*MAX(0,-AM25/10%-2)),0),"")</f>
        <v/>
      </c>
      <c r="AQ25" s="323" t="str">
        <f aca="false">IF($AH25,$AO25+IF(SkewFlag=1,IF(AN25&gt;0,$AA25*MIN(AN25/10%,1)+($Z25-$AA25)*MAX(0,MIN(AN25/10%-1,1))+($Y25-$Z25)*MAX(0,AN25/10%-2),$AB25*MIN(-AN25/10%,1)+($AC25-$AB25)*MAX(0,MIN(-AN25/10%-1,1))+($AD25-$AC25)*MAX(0,-AN25/10%-2)),0),"")</f>
        <v/>
      </c>
      <c r="AR25" s="324" t="n">
        <f aca="false">IF(AH25,xASN(AL25,Strike1,AE25,AP25,0,N25,0,P25,Q25,IF(OptControl=4,0,1),0),0)</f>
        <v>0</v>
      </c>
      <c r="AS25" s="324" t="n">
        <f aca="false">IF(AH25,xASN(AL25,Strike1,AE25,AP25,0,N25,0,P25,Q25,IF(OptControl=4,0,1),1),0)</f>
        <v>0</v>
      </c>
      <c r="AT25" s="324" t="n">
        <f aca="false">IF(AH25,xASN(AL25,Strike1,AE25,AP25,0,N25,0,P25,Q25,IF(OptControl=4,0,1),2),0)</f>
        <v>0</v>
      </c>
      <c r="AU25" s="324" t="n">
        <f aca="false">IF(AH25,xASN(AL25,Strike1,AE25,AP25,0,N25,0,P25,Q25,IF(OptControl=4,0,1),3)/100,0)</f>
        <v>0</v>
      </c>
      <c r="AV25" s="324" t="n">
        <f aca="false">IF(AH25,xASN(AL25,Strike1,AE25,AP25,0,N25,0,P25-DaysForThetaCalculation/365.25,Q25-DaysForThetaCalculation/365.25,IF(OptControl=4,0,1),0)-xASN(AL25,Strike1,AE25,AP25,0,N25,0,P25,Q25,IF(OptControl=4,0,1),0),0)</f>
        <v>0</v>
      </c>
      <c r="AW25" s="324" t="n">
        <f aca="false">IF(AH25,xASN(AL25,Strike2,AE25,AQ25,0,N25,0,P25,Q25,IF(OptControl=3,1,0),0),0)</f>
        <v>0</v>
      </c>
      <c r="AX25" s="324" t="n">
        <f aca="false">IF(AH25,xASN(AL25,Strike2,AE25,AQ25,0,N25,0,P25,Q25,IF(OptControl=3,1,0),1),0)</f>
        <v>0</v>
      </c>
      <c r="AY25" s="324" t="n">
        <f aca="false">IF(AH25,xASN(AL25,Strike2,AE25,AQ25,0,N25,0,P25,Q25,IF(OptControl=3,1,0),2),0)</f>
        <v>0</v>
      </c>
      <c r="AZ25" s="324" t="n">
        <f aca="false">IF(AH25,xASN(AL25,Strike2,AE25,AQ25,0,N25,0,P25,Q25,IF(OptControl=3,1,0),3)/100,0)</f>
        <v>0</v>
      </c>
      <c r="BA25" s="324" t="n">
        <f aca="false">IF(AH25,xASN(AL25,Strike2,AE25,AQ25,0,N25,0,P25-DaysForThetaCalculation/365.25,Q25-DaysForThetaCalculation/365.25,IF(OptControl=3,1,0),0)-xASN(AL25,Strike2,AE25,AQ25,0,N25,0,P25,Q25,IF(OptControl=3,1,0),0),0)</f>
        <v>0</v>
      </c>
      <c r="BB25" s="325" t="str">
        <f aca="false">IF(AH25,IF(ProductGroup=1,IF(Product=1,BX25+PriceSpreadEuro,IF(Product=3,CK25+PriceSpreadEuro,"N/A")),"N/A"),"")</f>
        <v/>
      </c>
      <c r="BC25" s="316" t="str">
        <f aca="false">IF(AH25,Strike1/BB25-1,"")</f>
        <v/>
      </c>
      <c r="BD25" s="316" t="str">
        <f aca="false">IF(AH25,Strike2/BB25-1,"")</f>
        <v/>
      </c>
      <c r="BE25" s="326" t="str">
        <f aca="false">IF(AH25,IF(VolOverrideEuro,VolOverrideEuro,IF(ProductGroup=1,IF(Product&lt;3,DA25,DE25)+VolSpreadEuro,"N/A")),"")</f>
        <v/>
      </c>
      <c r="BF25" s="323" t="str">
        <f aca="false">IF($AH25,$BE25+IF(SkewFlag=1,IF(BC25&gt;0,$AA25*MIN(BC25/10%,1)+($Z25-$AA25)*MAX(0,MIN(BC25/10%-1,1))+($Y25-$Z25)*MAX(0,BC25/10%-2),$AB25*MIN(-BC25/10%,1)+($AC25-$AB25)*MAX(0,MIN(-BC25/10%-1,1))+($AD25-$AC25)*MAX(0,-BC25/10%-2)),0),"")</f>
        <v/>
      </c>
      <c r="BG25" s="323" t="str">
        <f aca="false">IF($AH25,$BE25+IF(SkewFlag=1,IF(BD25&gt;0,$AA25*MIN(BD25/10%,1)+($Z25-$AA25)*MAX(0,MIN(BD25/10%-1,1))+($Y25-$Z25)*MAX(0,BD25/10%-2),$AB25*MIN(-BD25/10%,1)+($AC25-$AB25)*MAX(0,MIN(-BD25/10%-1,1))+($AD25-$AC25)*MAX(0,-BD25/10%-2)),0),"")</f>
        <v/>
      </c>
      <c r="BH25" s="324" t="n">
        <f aca="false">IF(AH25,xEURO(BB25,Strike1,AE25,AE25,BF25,O25,IF(OptControl=4,0,1),0),0)</f>
        <v>0</v>
      </c>
      <c r="BI25" s="324" t="n">
        <f aca="false">IF(AH25,xEURO(BB25,Strike1,AE25,AE25,BF25,O25,IF(OptControl=4,0,1),1),0)</f>
        <v>0</v>
      </c>
      <c r="BJ25" s="324" t="n">
        <f aca="false">IF(AH25,xEURO(BB25,Strike1,AE25,AE25,BF25,O25,IF(OptControl=4,0,1),2),0)</f>
        <v>0</v>
      </c>
      <c r="BK25" s="324" t="n">
        <f aca="false">IF(AH25,xEURO(BB25,Strike1,AE25,AE25,BF25,O25,IF(OptControl=4,0,1),3)/100,0)</f>
        <v>0</v>
      </c>
      <c r="BL25" s="324" t="n">
        <f aca="false">IF(AH25,xEURO(BB25,Strike1,AE25,AE25,BF25,O25-DaysForThetaCalculation,IF(OptControl=4,0,1),0)-xEURO(BB25,Strike1,AE25,AE25,BF25,O25,IF(OptControl=4,0,1),0),0)</f>
        <v>0</v>
      </c>
      <c r="BM25" s="324" t="n">
        <f aca="false">IF(AH25,xEURO(BB25,Strike2,AE25,AE25,BG25,O25,IF(OptControl=3,1,0),0),0)</f>
        <v>0</v>
      </c>
      <c r="BN25" s="324" t="n">
        <f aca="false">IF(AH25,xEURO(BB25,Strike2,AE25,AE25,BG25,O25,IF(OptControl=3,1,0),1),0)</f>
        <v>0</v>
      </c>
      <c r="BO25" s="324" t="n">
        <f aca="false">IF(AH25,xEURO(BB25,Strike2,AE25,AE25,BG25,O25,IF(OptControl=3,1,0),2),0)</f>
        <v>0</v>
      </c>
      <c r="BP25" s="324" t="n">
        <f aca="false">IF(AH25,xEURO(BB25,Strike2,AE25,AE25,BG25,O25,IF(OptControl=3,1,0),3)/100,0)</f>
        <v>0</v>
      </c>
      <c r="BQ25" s="327" t="n">
        <f aca="false">IF(AH25,xEURO(BB25,Strike2,AE25,AE25,BG25,O25-DaysForThetaCalculation,IF(OptControl=3,1,0),0)-xEURO(BB25,Strike2,AE25,AE25,BG25,O25,IF(OptControl=3,1,0),0),0)</f>
        <v>0</v>
      </c>
      <c r="BR25" s="343"/>
      <c r="BS25" s="314" t="n">
        <v>25.906</v>
      </c>
      <c r="BT25" s="329" t="n">
        <f aca="false">BS25*100/42</f>
        <v>61.6809523809524</v>
      </c>
      <c r="BU25" s="329" t="n">
        <f aca="false">BS26-$U25</f>
        <v>9.49785714285708</v>
      </c>
      <c r="BV25" s="224"/>
      <c r="BW25" s="329" t="n">
        <f aca="false">BW13+VLOOKUP(1900+$L25,ProductSpreadTable,2)</f>
        <v>11.2470952380953</v>
      </c>
      <c r="BX25" s="329" t="n">
        <f aca="false">($V24+BW24)*100/42</f>
        <v>66.3467532467533</v>
      </c>
      <c r="BY25" s="332" t="n">
        <f aca="false">BX26</f>
        <v>65.0339002267577</v>
      </c>
      <c r="BZ25" s="314" t="n">
        <v>22.155</v>
      </c>
      <c r="CA25" s="329" t="n">
        <f aca="false">BZ25*100/42</f>
        <v>52.75</v>
      </c>
      <c r="CB25" s="329" t="n">
        <f aca="false">BZ25-$U25</f>
        <v>6.08785714285708</v>
      </c>
      <c r="CC25" s="329" t="n">
        <f aca="false">CC13+VLOOKUP(1900+$L25,ProductSpreadTable,3)</f>
        <v>8.93709523809531</v>
      </c>
      <c r="CD25" s="329" t="n">
        <f aca="false">($V25+CC25)*100/42</f>
        <v>59.5339002267577</v>
      </c>
      <c r="CE25" s="333" t="n">
        <f aca="false">CD25-BY25</f>
        <v>-5.50000000000001</v>
      </c>
      <c r="CF25" s="314" t="n">
        <v>25.2</v>
      </c>
      <c r="CG25" s="329" t="n">
        <f aca="false">CF25*100/42</f>
        <v>60</v>
      </c>
      <c r="CH25" s="329" t="n">
        <f aca="false">CF26-$U25</f>
        <v>9.50685714285708</v>
      </c>
      <c r="CI25" s="224"/>
      <c r="CJ25" s="329" t="n">
        <f aca="false">CJ13+VLOOKUP(1900+$L25,ProductSpreadTable,4)</f>
        <v>10.8190952380953</v>
      </c>
      <c r="CK25" s="329" t="n">
        <f aca="false">($V24+CJ24)*100/42</f>
        <v>63.6277056277056</v>
      </c>
      <c r="CL25" s="329" t="n">
        <f aca="false">CK26</f>
        <v>64.0148526077101</v>
      </c>
      <c r="CM25" s="314" t="n">
        <v>24.23</v>
      </c>
      <c r="CN25" s="329" t="n">
        <f aca="false">CM25*100/42</f>
        <v>57.6904761904762</v>
      </c>
      <c r="CO25" s="329" t="n">
        <f aca="false">CM25-$U25</f>
        <v>8.16285714285707</v>
      </c>
      <c r="CP25" s="329" t="n">
        <f aca="false">CP13+VLOOKUP(1900+$L25,ProductSpreadTable,5)</f>
        <v>9.62209523809531</v>
      </c>
      <c r="CQ25" s="329" t="n">
        <f aca="false">($V25+CP25)*100/42</f>
        <v>61.1648526077101</v>
      </c>
      <c r="CR25" s="333" t="n">
        <f aca="false">CQ25-CL25</f>
        <v>-2.84999999999999</v>
      </c>
      <c r="CS25" s="314" t="n">
        <v>25.826</v>
      </c>
      <c r="CT25" s="329" t="n">
        <f aca="false">CS25*100/42</f>
        <v>61.4904761904762</v>
      </c>
      <c r="CU25" s="329" t="n">
        <f aca="false">CT25-CG26</f>
        <v>0.599999999999994</v>
      </c>
      <c r="CV25" s="329" t="n">
        <f aca="false">CV13+VLOOKUP(1900+$L25,ProductSpreadTable,6)</f>
        <v>0.750000000000009</v>
      </c>
      <c r="CW25" s="333" t="n">
        <f aca="false">CL25+CV25</f>
        <v>64.7648526077101</v>
      </c>
      <c r="CX25" s="318" t="n">
        <v>0.234</v>
      </c>
      <c r="CY25" s="326" t="n">
        <f aca="false">CX25-$W25</f>
        <v>0.000365437480849939</v>
      </c>
      <c r="CZ25" s="326" t="n">
        <f aca="false">VLOOKUP(1900+$L25,ProductSpreadTable,7)</f>
        <v>-0.03</v>
      </c>
      <c r="DA25" s="365" t="n">
        <f aca="false">$W25+CZ25</f>
        <v>0.20363456251915</v>
      </c>
      <c r="DB25" s="318" t="n">
        <v>0.234</v>
      </c>
      <c r="DC25" s="326" t="n">
        <f aca="false">DB25-$W25</f>
        <v>0.000365437480849939</v>
      </c>
      <c r="DD25" s="326" t="n">
        <f aca="false">VLOOKUP(1900+$L25,ProductSpreadTable,8)</f>
        <v>0.03</v>
      </c>
      <c r="DE25" s="365" t="n">
        <f aca="false">$W25+DD25</f>
        <v>0.26363456251915</v>
      </c>
      <c r="DG25" s="336"/>
      <c r="DH25" s="314" t="n">
        <v>17.02</v>
      </c>
      <c r="DI25" s="325" t="n">
        <f aca="false">DH25-$U25</f>
        <v>0.952857142857074</v>
      </c>
      <c r="DJ25" s="325" t="n">
        <f aca="false">VLOOKUP(1900+$L25,ResidSpreadTable,2)</f>
        <v>-2</v>
      </c>
      <c r="DK25" s="337" t="n">
        <f aca="false">$V25+DJ25</f>
        <v>14.0671428571429</v>
      </c>
      <c r="DL25" s="314" t="n">
        <v>15.92</v>
      </c>
      <c r="DM25" s="325" t="n">
        <f aca="false">DL25-$U25</f>
        <v>-0.147142857142926</v>
      </c>
      <c r="DN25" s="325" t="n">
        <f aca="false">VLOOKUP(1900+$L25,ResidSpreadTable,3)</f>
        <v>-3</v>
      </c>
      <c r="DO25" s="337" t="n">
        <f aca="false">$V25+DN25</f>
        <v>13.0671428571429</v>
      </c>
      <c r="DP25" s="314" t="n">
        <v>15.17</v>
      </c>
      <c r="DQ25" s="325" t="n">
        <f aca="false">DP25-$U25</f>
        <v>-0.897142857142926</v>
      </c>
      <c r="DR25" s="325" t="n">
        <f aca="false">VLOOKUP(1900+$L25,ResidSpreadTable,4)</f>
        <v>-6</v>
      </c>
      <c r="DS25" s="337" t="n">
        <f aca="false">$V25+DR25</f>
        <v>10.0671428571429</v>
      </c>
      <c r="DT25" s="314" t="n">
        <v>15.97</v>
      </c>
      <c r="DU25" s="325" t="n">
        <f aca="false">DT25-$U25</f>
        <v>-0.0971428571429254</v>
      </c>
      <c r="DV25" s="325" t="n">
        <f aca="false">VLOOKUP(1900+$L25,ResidSpreadTable,5)</f>
        <v>-5</v>
      </c>
      <c r="DW25" s="337" t="n">
        <f aca="false">$V25+DV25</f>
        <v>11.0671428571429</v>
      </c>
      <c r="DY25" s="366" t="n">
        <v>2012</v>
      </c>
      <c r="DZ25" s="367" t="n">
        <v>0.15</v>
      </c>
      <c r="EA25" s="368" t="n">
        <v>0.15</v>
      </c>
      <c r="EB25" s="367" t="n">
        <v>0.15</v>
      </c>
      <c r="EC25" s="368" t="n">
        <v>0.15</v>
      </c>
      <c r="ED25" s="369" t="n">
        <v>0.15</v>
      </c>
      <c r="EE25" s="373" t="n">
        <v>-0.03</v>
      </c>
      <c r="EF25" s="373" t="n">
        <v>0.03</v>
      </c>
    </row>
    <row r="26" customFormat="false" ht="12.75" hidden="false" customHeight="false" outlineLevel="0" collapsed="false">
      <c r="B26" s="371" t="n">
        <v>36342</v>
      </c>
      <c r="C26" s="372" t="n">
        <v>36333</v>
      </c>
      <c r="I26" s="338" t="n">
        <f aca="false">EOMONTH(I25,0)+1</f>
        <v>46539</v>
      </c>
      <c r="J26" s="307" t="n">
        <f aca="false">VLOOKUP(I26,$B$12:$C$332,2)</f>
        <v>45644</v>
      </c>
      <c r="K26" s="339" t="n">
        <f aca="false">NETWORKDAYS(I26,J27)/N26</f>
        <v>-29.0909090909091</v>
      </c>
      <c r="L26" s="309" t="n">
        <f aca="false">YEAR(I26)-1900</f>
        <v>127</v>
      </c>
      <c r="M26" s="310" t="n">
        <f aca="false">MONTH(I26)</f>
        <v>6</v>
      </c>
      <c r="N26" s="340" t="n">
        <f aca="false">NETWORKDAYS(I26,I27-1)</f>
        <v>22</v>
      </c>
      <c r="O26" s="341" t="n">
        <f aca="false">I26-DateToday-IF(EuroExpDateToggle=1,3+IF(WEEKDAY(I26-1)=7,1,IF(WEEKDAY(I26-1)&lt;5,2,0)),1+IF(WEEKDAY(I26-1)=7,1,IF(WEEKDAY(I26-1)&lt;3,2,0)))</f>
        <v>608</v>
      </c>
      <c r="P26" s="342" t="n">
        <f aca="false">(I26-DateToday+1)/365.25</f>
        <v>1.68104038329911</v>
      </c>
      <c r="Q26" s="342" t="n">
        <f aca="false">(I27-DateToday)/365.25</f>
        <v>1.76043805612594</v>
      </c>
      <c r="R26" s="314" t="n">
        <v>21.24</v>
      </c>
      <c r="S26" s="347" t="n">
        <v>0</v>
      </c>
      <c r="T26" s="316" t="n">
        <f aca="false">R26+S26/100</f>
        <v>21.24</v>
      </c>
      <c r="U26" s="325" t="n">
        <f aca="false">R27*K26+R28*(1-K26)</f>
        <v>15.9545454545455</v>
      </c>
      <c r="V26" s="337" t="n">
        <f aca="false">T27*K26+T28*(1-K26)</f>
        <v>15.9545454545455</v>
      </c>
      <c r="W26" s="318" t="n">
        <v>0.231107436077276</v>
      </c>
      <c r="X26" s="319" t="n">
        <f aca="false">IF($I26-DateToday+1&gt;=$A$10,"",IF($I26-DateToday+1&lt;$A$5,1,MATCH($I26-DateToday+1,$A$5:$A$10)))</f>
        <v>5</v>
      </c>
      <c r="Y26" s="348" t="n">
        <f aca="false">IF($X26="",Y25^2/Y24,INDEX(B$5:B$10,$X26)^((INDEX($A$5:$A$10,$X26+1)-($I26-DateToday+1))/(INDEX($A$5:$A$10,$X26+1)-INDEX($A$5:$A$10,$X26)))/INDEX(B$5:B$10,$X26+1)^((INDEX($A$5:$A$10,$X26)-($I26-DateToday+1))/(INDEX($A$5:$A$10,$X26+1)-INDEX($A$5:$A$10,$X26))))</f>
        <v>0.00993730991854948</v>
      </c>
      <c r="Z26" s="348" t="n">
        <f aca="false">IF($X26="",Z25^2/Z24,INDEX(C$5:C$10,$X26)^((INDEX($A$5:$A$10,$X26+1)-($I26-DateToday+1))/(INDEX($A$5:$A$10,$X26+1)-INDEX($A$5:$A$10,$X26)))/INDEX(C$5:C$10,$X26+1)^((INDEX($A$5:$A$10,$X26)-($I26-DateToday+1))/(INDEX($A$5:$A$10,$X26+1)-INDEX($A$5:$A$10,$X26))))</f>
        <v>0.00549447948535218</v>
      </c>
      <c r="AA26" s="348" t="n">
        <f aca="false">IF($X26="",AA25^2/AA24,INDEX(D$5:D$10,$X26)^((INDEX($A$5:$A$10,$X26+1)-($I26-DateToday+1))/(INDEX($A$5:$A$10,$X26+1)-INDEX($A$5:$A$10,$X26)))/INDEX(D$5:D$10,$X26+1)^((INDEX($A$5:$A$10,$X26)-($I26-DateToday+1))/(INDEX($A$5:$A$10,$X26+1)-INDEX($A$5:$A$10,$X26))))</f>
        <v>0.00248072953015375</v>
      </c>
      <c r="AB26" s="348" t="n">
        <f aca="false">IF($X26="",AB25^2/AB24,INDEX(E$5:E$10,$X26)^((INDEX($A$5:$A$10,$X26+1)-($I26-DateToday+1))/(INDEX($A$5:$A$10,$X26+1)-INDEX($A$5:$A$10,$X26)))/INDEX(E$5:E$10,$X26+1)^((INDEX($A$5:$A$10,$X26)-($I26-DateToday+1))/(INDEX($A$5:$A$10,$X26+1)-INDEX($A$5:$A$10,$X26))))</f>
        <v>0.00558858748553036</v>
      </c>
      <c r="AC26" s="348" t="n">
        <f aca="false">IF($X26="",AC25^2/AC24,INDEX(F$5:F$10,$X26)^((INDEX($A$5:$A$10,$X26+1)-($I26-DateToday+1))/(INDEX($A$5:$A$10,$X26+1)-INDEX($A$5:$A$10,$X26)))/INDEX(F$5:F$10,$X26+1)^((INDEX($A$5:$A$10,$X26)-($I26-DateToday+1))/(INDEX($A$5:$A$10,$X26+1)-INDEX($A$5:$A$10,$X26))))</f>
        <v>0.0123779633846014</v>
      </c>
      <c r="AD26" s="348" t="n">
        <f aca="false">IF($X26="",AD25^2/AD24,INDEX(G$5:G$10,$X26)^((INDEX($A$5:$A$10,$X26+1)-($I26-DateToday+1))/(INDEX($A$5:$A$10,$X26+1)-INDEX($A$5:$A$10,$X26)))/INDEX(G$5:G$10,$X26+1)^((INDEX($A$5:$A$10,$X26)-($I26-DateToday+1))/(INDEX($A$5:$A$10,$X26+1)-INDEX($A$5:$A$10,$X26))))</f>
        <v>0.0223867717845083</v>
      </c>
      <c r="AE26" s="321" t="n">
        <v>0.070216309519858</v>
      </c>
      <c r="AF26" s="316" t="n">
        <f aca="false">(1+AE26/2)^(-2*(I27-DateToday)/365.25)</f>
        <v>0.885598966523876</v>
      </c>
      <c r="AG26" s="316" t="n">
        <f aca="false">AG25*(1+IF(AND(M26=1,L26&gt;YearStart),Escalation,0))</f>
        <v>1</v>
      </c>
      <c r="AH26" s="322" t="n">
        <f aca="false">IF(OR(DateStart&gt;=I27,DateEnd&lt;I26),0,Volume*AG26)</f>
        <v>0</v>
      </c>
      <c r="AI26" s="322" t="n">
        <f aca="false">AH26*AF26</f>
        <v>0</v>
      </c>
      <c r="AJ26" s="322" t="n">
        <f aca="false">IF(OR(DateStart2&gt;=I27,DateEnd2&lt;I26),0,VolumeSwaption*AG26)</f>
        <v>0</v>
      </c>
      <c r="AK26" s="322" t="n">
        <f aca="false">AJ26*AF26</f>
        <v>0</v>
      </c>
      <c r="AL26" s="316" t="str">
        <f aca="true">IF(AH26,OFFSET(BY26,0,HorizontalPriceOffset)+PriceSpreadAsian,"")</f>
        <v/>
      </c>
      <c r="AM26" s="316" t="str">
        <f aca="false">IF(AH26,Strike1/AL26-1,"")</f>
        <v/>
      </c>
      <c r="AN26" s="316" t="str">
        <f aca="false">IF(AH26,Strike2/AL26-1,"")</f>
        <v/>
      </c>
      <c r="AO26" s="323" t="str">
        <f aca="false">IF(AH26,IF(VolOverrideAsian,VolOverrideAsian,IF(ProductGroup=1,IF(Product&lt;3,DA27,DE27),W27)+VolSpreadAsian),"")</f>
        <v/>
      </c>
      <c r="AP26" s="323" t="str">
        <f aca="false">IF($AH26,$AO26+IF(SkewFlag=1,IF(AM26&gt;0,$AA26*MIN(AM26/10%,1)+($Z26-$AA26)*MAX(0,MIN(AM26/10%-1,1))+($Y26-$Z26)*MAX(0,AM26/10%-2),$AB26*MIN(-AM26/10%,1)+($AC26-$AB26)*MAX(0,MIN(-AM26/10%-1,1))+($AD26-$AC26)*MAX(0,-AM26/10%-2)),0),"")</f>
        <v/>
      </c>
      <c r="AQ26" s="323" t="str">
        <f aca="false">IF($AH26,$AO26+IF(SkewFlag=1,IF(AN26&gt;0,$AA26*MIN(AN26/10%,1)+($Z26-$AA26)*MAX(0,MIN(AN26/10%-1,1))+($Y26-$Z26)*MAX(0,AN26/10%-2),$AB26*MIN(-AN26/10%,1)+($AC26-$AB26)*MAX(0,MIN(-AN26/10%-1,1))+($AD26-$AC26)*MAX(0,-AN26/10%-2)),0),"")</f>
        <v/>
      </c>
      <c r="AR26" s="324" t="n">
        <f aca="false">IF(AH26,xASN(AL26,Strike1,AE26,AP26,0,N26,0,P26,Q26,IF(OptControl=4,0,1),0),0)</f>
        <v>0</v>
      </c>
      <c r="AS26" s="324" t="n">
        <f aca="false">IF(AH26,xASN(AL26,Strike1,AE26,AP26,0,N26,0,P26,Q26,IF(OptControl=4,0,1),1),0)</f>
        <v>0</v>
      </c>
      <c r="AT26" s="324" t="n">
        <f aca="false">IF(AH26,xASN(AL26,Strike1,AE26,AP26,0,N26,0,P26,Q26,IF(OptControl=4,0,1),2),0)</f>
        <v>0</v>
      </c>
      <c r="AU26" s="324" t="n">
        <f aca="false">IF(AH26,xASN(AL26,Strike1,AE26,AP26,0,N26,0,P26,Q26,IF(OptControl=4,0,1),3)/100,0)</f>
        <v>0</v>
      </c>
      <c r="AV26" s="324" t="n">
        <f aca="false">IF(AH26,xASN(AL26,Strike1,AE26,AP26,0,N26,0,P26-DaysForThetaCalculation/365.25,Q26-DaysForThetaCalculation/365.25,IF(OptControl=4,0,1),0)-xASN(AL26,Strike1,AE26,AP26,0,N26,0,P26,Q26,IF(OptControl=4,0,1),0),0)</f>
        <v>0</v>
      </c>
      <c r="AW26" s="324" t="n">
        <f aca="false">IF(AH26,xASN(AL26,Strike2,AE26,AQ26,0,N26,0,P26,Q26,IF(OptControl=3,1,0),0),0)</f>
        <v>0</v>
      </c>
      <c r="AX26" s="324" t="n">
        <f aca="false">IF(AH26,xASN(AL26,Strike2,AE26,AQ26,0,N26,0,P26,Q26,IF(OptControl=3,1,0),1),0)</f>
        <v>0</v>
      </c>
      <c r="AY26" s="324" t="n">
        <f aca="false">IF(AH26,xASN(AL26,Strike2,AE26,AQ26,0,N26,0,P26,Q26,IF(OptControl=3,1,0),2),0)</f>
        <v>0</v>
      </c>
      <c r="AZ26" s="324" t="n">
        <f aca="false">IF(AH26,xASN(AL26,Strike2,AE26,AQ26,0,N26,0,P26,Q26,IF(OptControl=3,1,0),3)/100,0)</f>
        <v>0</v>
      </c>
      <c r="BA26" s="324" t="n">
        <f aca="false">IF(AH26,xASN(AL26,Strike2,AE26,AQ26,0,N26,0,P26-DaysForThetaCalculation/365.25,Q26-DaysForThetaCalculation/365.25,IF(OptControl=3,1,0),0)-xASN(AL26,Strike2,AE26,AQ26,0,N26,0,P26,Q26,IF(OptControl=3,1,0),0),0)</f>
        <v>0</v>
      </c>
      <c r="BB26" s="325" t="str">
        <f aca="false">IF(AH26,IF(ProductGroup=1,IF(Product=1,BX26+PriceSpreadEuro,IF(Product=3,CK26+PriceSpreadEuro,"N/A")),"N/A"),"")</f>
        <v/>
      </c>
      <c r="BC26" s="316" t="str">
        <f aca="false">IF(AH26,Strike1/BB26-1,"")</f>
        <v/>
      </c>
      <c r="BD26" s="316" t="str">
        <f aca="false">IF(AH26,Strike2/BB26-1,"")</f>
        <v/>
      </c>
      <c r="BE26" s="326" t="str">
        <f aca="false">IF(AH26,IF(VolOverrideEuro,VolOverrideEuro,IF(ProductGroup=1,IF(Product&lt;3,DA26,DE26)+VolSpreadEuro,"N/A")),"")</f>
        <v/>
      </c>
      <c r="BF26" s="323" t="str">
        <f aca="false">IF($AH26,$BE26+IF(SkewFlag=1,IF(BC26&gt;0,$AA26*MIN(BC26/10%,1)+($Z26-$AA26)*MAX(0,MIN(BC26/10%-1,1))+($Y26-$Z26)*MAX(0,BC26/10%-2),$AB26*MIN(-BC26/10%,1)+($AC26-$AB26)*MAX(0,MIN(-BC26/10%-1,1))+($AD26-$AC26)*MAX(0,-BC26/10%-2)),0),"")</f>
        <v/>
      </c>
      <c r="BG26" s="323" t="str">
        <f aca="false">IF($AH26,$BE26+IF(SkewFlag=1,IF(BD26&gt;0,$AA26*MIN(BD26/10%,1)+($Z26-$AA26)*MAX(0,MIN(BD26/10%-1,1))+($Y26-$Z26)*MAX(0,BD26/10%-2),$AB26*MIN(-BD26/10%,1)+($AC26-$AB26)*MAX(0,MIN(-BD26/10%-1,1))+($AD26-$AC26)*MAX(0,-BD26/10%-2)),0),"")</f>
        <v/>
      </c>
      <c r="BH26" s="324" t="n">
        <f aca="false">IF(AH26,xEURO(BB26,Strike1,AE26,AE26,BF26,O26,IF(OptControl=4,0,1),0),0)</f>
        <v>0</v>
      </c>
      <c r="BI26" s="324" t="n">
        <f aca="false">IF(AH26,xEURO(BB26,Strike1,AE26,AE26,BF26,O26,IF(OptControl=4,0,1),1),0)</f>
        <v>0</v>
      </c>
      <c r="BJ26" s="324" t="n">
        <f aca="false">IF(AH26,xEURO(BB26,Strike1,AE26,AE26,BF26,O26,IF(OptControl=4,0,1),2),0)</f>
        <v>0</v>
      </c>
      <c r="BK26" s="324" t="n">
        <f aca="false">IF(AH26,xEURO(BB26,Strike1,AE26,AE26,BF26,O26,IF(OptControl=4,0,1),3)/100,0)</f>
        <v>0</v>
      </c>
      <c r="BL26" s="324" t="n">
        <f aca="false">IF(AH26,xEURO(BB26,Strike1,AE26,AE26,BF26,O26-DaysForThetaCalculation,IF(OptControl=4,0,1),0)-xEURO(BB26,Strike1,AE26,AE26,BF26,O26,IF(OptControl=4,0,1),0),0)</f>
        <v>0</v>
      </c>
      <c r="BM26" s="324" t="n">
        <f aca="false">IF(AH26,xEURO(BB26,Strike2,AE26,AE26,BG26,O26,IF(OptControl=3,1,0),0),0)</f>
        <v>0</v>
      </c>
      <c r="BN26" s="324" t="n">
        <f aca="false">IF(AH26,xEURO(BB26,Strike2,AE26,AE26,BG26,O26,IF(OptControl=3,1,0),1),0)</f>
        <v>0</v>
      </c>
      <c r="BO26" s="324" t="n">
        <f aca="false">IF(AH26,xEURO(BB26,Strike2,AE26,AE26,BG26,O26,IF(OptControl=3,1,0),2),0)</f>
        <v>0</v>
      </c>
      <c r="BP26" s="324" t="n">
        <f aca="false">IF(AH26,xEURO(BB26,Strike2,AE26,AE26,BG26,O26,IF(OptControl=3,1,0),3)/100,0)</f>
        <v>0</v>
      </c>
      <c r="BQ26" s="327" t="n">
        <f aca="false">IF(AH26,xEURO(BB26,Strike2,AE26,AE26,BG26,O26-DaysForThetaCalculation,IF(OptControl=3,1,0),0)-xEURO(BB26,Strike2,AE26,AE26,BG26,O26,IF(OptControl=3,1,0),0),0)</f>
        <v>0</v>
      </c>
      <c r="BR26" s="343"/>
      <c r="BS26" s="314" t="n">
        <v>25.565</v>
      </c>
      <c r="BT26" s="329" t="n">
        <f aca="false">BS26*100/42</f>
        <v>60.8690476190476</v>
      </c>
      <c r="BU26" s="329" t="n">
        <f aca="false">BS27-$U26</f>
        <v>9.61045454545451</v>
      </c>
      <c r="BV26" s="224"/>
      <c r="BW26" s="329" t="n">
        <f aca="false">BW14+VLOOKUP(1900+$L26,ProductSpreadTable,2)</f>
        <v>11.1418181818182</v>
      </c>
      <c r="BX26" s="329" t="n">
        <f aca="false">($V25+BW25)*100/42</f>
        <v>65.0339002267577</v>
      </c>
      <c r="BY26" s="332" t="n">
        <f aca="false">BX27</f>
        <v>64.5151515151516</v>
      </c>
      <c r="BZ26" s="314" t="n">
        <v>22.256</v>
      </c>
      <c r="CA26" s="329" t="n">
        <f aca="false">BZ26*100/42</f>
        <v>52.9904761904762</v>
      </c>
      <c r="CB26" s="329" t="n">
        <f aca="false">BZ26-$U26</f>
        <v>6.3014545454545</v>
      </c>
      <c r="CC26" s="329" t="n">
        <f aca="false">CC14+VLOOKUP(1900+$L26,ProductSpreadTable,3)</f>
        <v>8.83181818181819</v>
      </c>
      <c r="CD26" s="329" t="n">
        <f aca="false">($V26+CC26)*100/42</f>
        <v>59.0151515151516</v>
      </c>
      <c r="CE26" s="333" t="n">
        <f aca="false">CD26-BY26</f>
        <v>-5.50000000000001</v>
      </c>
      <c r="CF26" s="314" t="n">
        <v>25.574</v>
      </c>
      <c r="CG26" s="329" t="n">
        <f aca="false">CF26*100/42</f>
        <v>60.8904761904762</v>
      </c>
      <c r="CH26" s="329" t="n">
        <f aca="false">CF27-$U26</f>
        <v>9.78345454545451</v>
      </c>
      <c r="CI26" s="224"/>
      <c r="CJ26" s="329" t="n">
        <f aca="false">CJ14+VLOOKUP(1900+$L26,ProductSpreadTable,4)</f>
        <v>10.9028181818182</v>
      </c>
      <c r="CK26" s="329" t="n">
        <f aca="false">($V25+CJ25)*100/42</f>
        <v>64.0148526077101</v>
      </c>
      <c r="CL26" s="329" t="n">
        <f aca="false">CK27</f>
        <v>63.946103896104</v>
      </c>
      <c r="CM26" s="314" t="n">
        <v>24.423</v>
      </c>
      <c r="CN26" s="329" t="n">
        <f aca="false">CM26*100/42</f>
        <v>58.15</v>
      </c>
      <c r="CO26" s="329" t="n">
        <f aca="false">CM26-$U26</f>
        <v>8.46845454545451</v>
      </c>
      <c r="CP26" s="329" t="n">
        <f aca="false">CP14+VLOOKUP(1900+$L26,ProductSpreadTable,5)</f>
        <v>9.70581818181819</v>
      </c>
      <c r="CQ26" s="329" t="n">
        <f aca="false">($V26+CP26)*100/42</f>
        <v>61.096103896104</v>
      </c>
      <c r="CR26" s="333" t="n">
        <f aca="false">CQ26-CL26</f>
        <v>-2.84999999999999</v>
      </c>
      <c r="CS26" s="314" t="n">
        <v>25.99</v>
      </c>
      <c r="CT26" s="329" t="n">
        <f aca="false">CS26*100/42</f>
        <v>61.8809523809524</v>
      </c>
      <c r="CU26" s="329" t="n">
        <f aca="false">CT26-CG27</f>
        <v>0.599999999999994</v>
      </c>
      <c r="CV26" s="329" t="n">
        <f aca="false">CV14+VLOOKUP(1900+$L26,ProductSpreadTable,6)</f>
        <v>0.750000000000009</v>
      </c>
      <c r="CW26" s="333" t="n">
        <f aca="false">CL26+CV26</f>
        <v>64.696103896104</v>
      </c>
      <c r="CX26" s="318" t="n">
        <v>0.231</v>
      </c>
      <c r="CY26" s="326" t="n">
        <f aca="false">CX26-$W26</f>
        <v>-0.000107436077276091</v>
      </c>
      <c r="CZ26" s="326" t="n">
        <f aca="false">VLOOKUP(1900+$L26,ProductSpreadTable,7)</f>
        <v>-0.03</v>
      </c>
      <c r="DA26" s="365" t="n">
        <f aca="false">$W26+CZ26</f>
        <v>0.201107436077276</v>
      </c>
      <c r="DB26" s="318" t="n">
        <v>0.231</v>
      </c>
      <c r="DC26" s="326" t="n">
        <f aca="false">DB26-$W26</f>
        <v>-0.000107436077276091</v>
      </c>
      <c r="DD26" s="326" t="n">
        <f aca="false">VLOOKUP(1900+$L26,ProductSpreadTable,8)</f>
        <v>0.03</v>
      </c>
      <c r="DE26" s="365" t="n">
        <f aca="false">$W26+DD26</f>
        <v>0.261107436077276</v>
      </c>
      <c r="DG26" s="336"/>
      <c r="DH26" s="314" t="n">
        <v>16.861</v>
      </c>
      <c r="DI26" s="325" t="n">
        <f aca="false">DH26-$U26</f>
        <v>0.906454545454505</v>
      </c>
      <c r="DJ26" s="325" t="n">
        <f aca="false">VLOOKUP(1900+$L26,ResidSpreadTable,2)</f>
        <v>-2</v>
      </c>
      <c r="DK26" s="337" t="n">
        <f aca="false">$V26+DJ26</f>
        <v>13.9545454545455</v>
      </c>
      <c r="DL26" s="314" t="n">
        <v>15.761</v>
      </c>
      <c r="DM26" s="325" t="n">
        <f aca="false">DL26-$U26</f>
        <v>-0.193545454545495</v>
      </c>
      <c r="DN26" s="325" t="n">
        <f aca="false">VLOOKUP(1900+$L26,ResidSpreadTable,3)</f>
        <v>-3</v>
      </c>
      <c r="DO26" s="337" t="n">
        <f aca="false">$V26+DN26</f>
        <v>12.9545454545455</v>
      </c>
      <c r="DP26" s="314" t="n">
        <v>15.011</v>
      </c>
      <c r="DQ26" s="325" t="n">
        <f aca="false">DP26-$U26</f>
        <v>-0.943545454545495</v>
      </c>
      <c r="DR26" s="325" t="n">
        <f aca="false">VLOOKUP(1900+$L26,ResidSpreadTable,4)</f>
        <v>-6</v>
      </c>
      <c r="DS26" s="337" t="n">
        <f aca="false">$V26+DR26</f>
        <v>9.9545454545455</v>
      </c>
      <c r="DT26" s="314" t="n">
        <v>15.811</v>
      </c>
      <c r="DU26" s="325" t="n">
        <f aca="false">DT26-$U26</f>
        <v>-0.143545454545494</v>
      </c>
      <c r="DV26" s="325" t="n">
        <f aca="false">VLOOKUP(1900+$L26,ResidSpreadTable,5)</f>
        <v>-5</v>
      </c>
      <c r="DW26" s="337" t="n">
        <f aca="false">$V26+DV26</f>
        <v>10.9545454545455</v>
      </c>
      <c r="DY26" s="366" t="n">
        <v>2013</v>
      </c>
      <c r="DZ26" s="367" t="n">
        <v>0.15</v>
      </c>
      <c r="EA26" s="368" t="n">
        <v>0.15</v>
      </c>
      <c r="EB26" s="367" t="n">
        <v>0.15</v>
      </c>
      <c r="EC26" s="368" t="n">
        <v>0.15</v>
      </c>
      <c r="ED26" s="369" t="n">
        <v>0.15</v>
      </c>
      <c r="EE26" s="373" t="n">
        <v>-0.03</v>
      </c>
      <c r="EF26" s="373" t="n">
        <v>0.03</v>
      </c>
    </row>
    <row r="27" customFormat="false" ht="12.75" hidden="false" customHeight="false" outlineLevel="0" collapsed="false">
      <c r="B27" s="371" t="n">
        <v>36373</v>
      </c>
      <c r="C27" s="372" t="n">
        <v>36361</v>
      </c>
      <c r="H27" s="1"/>
      <c r="I27" s="338" t="n">
        <f aca="false">EOMONTH(I26,0)+1</f>
        <v>46569</v>
      </c>
      <c r="J27" s="307" t="n">
        <f aca="false">VLOOKUP(I27,$B$12:$C$332,2)</f>
        <v>45644</v>
      </c>
      <c r="K27" s="339" t="n">
        <f aca="false">NETWORKDAYS(I27,J28)/N27</f>
        <v>-30.0909090909091</v>
      </c>
      <c r="L27" s="309" t="n">
        <f aca="false">YEAR(I27)-1900</f>
        <v>127</v>
      </c>
      <c r="M27" s="310" t="n">
        <f aca="false">MONTH(I27)</f>
        <v>7</v>
      </c>
      <c r="N27" s="340" t="n">
        <f aca="false">NETWORKDAYS(I27,I28-1)</f>
        <v>22</v>
      </c>
      <c r="O27" s="341" t="n">
        <f aca="false">I27-DateToday-IF(EuroExpDateToggle=1,3+IF(WEEKDAY(I27-1)=7,1,IF(WEEKDAY(I27-1)&lt;5,2,0)),1+IF(WEEKDAY(I27-1)=7,1,IF(WEEKDAY(I27-1)&lt;3,2,0)))</f>
        <v>638</v>
      </c>
      <c r="P27" s="342" t="n">
        <f aca="false">(I27-DateToday+1)/365.25</f>
        <v>1.76317590691307</v>
      </c>
      <c r="Q27" s="342" t="n">
        <f aca="false">(I28-DateToday)/365.25</f>
        <v>1.84531143052704</v>
      </c>
      <c r="R27" s="314" t="n">
        <v>21.07</v>
      </c>
      <c r="S27" s="347" t="n">
        <v>0</v>
      </c>
      <c r="T27" s="316" t="n">
        <f aca="false">R27+S27/100</f>
        <v>21.07</v>
      </c>
      <c r="U27" s="325" t="n">
        <f aca="false">R28*K27+R29*(1-K27)</f>
        <v>16.8581818181818</v>
      </c>
      <c r="V27" s="337" t="n">
        <f aca="false">T28*K27+T29*(1-K27)</f>
        <v>16.8581818181818</v>
      </c>
      <c r="W27" s="318" t="n">
        <v>0.230352148868757</v>
      </c>
      <c r="X27" s="319" t="n">
        <f aca="false">IF($I27-DateToday+1&gt;=$A$10,"",IF($I27-DateToday+1&lt;$A$5,1,MATCH($I27-DateToday+1,$A$5:$A$10)))</f>
        <v>5</v>
      </c>
      <c r="Y27" s="348" t="n">
        <f aca="false">IF($X27="",Y26^2/Y25,INDEX(B$5:B$10,$X27)^((INDEX($A$5:$A$10,$X27+1)-($I27-DateToday+1))/(INDEX($A$5:$A$10,$X27+1)-INDEX($A$5:$A$10,$X27)))/INDEX(B$5:B$10,$X27+1)^((INDEX($A$5:$A$10,$X27)-($I27-DateToday+1))/(INDEX($A$5:$A$10,$X27+1)-INDEX($A$5:$A$10,$X27))))</f>
        <v>0.00973135827516864</v>
      </c>
      <c r="Z27" s="348" t="n">
        <f aca="false">IF($X27="",Z26^2/Z25,INDEX(C$5:C$10,$X27)^((INDEX($A$5:$A$10,$X27+1)-($I27-DateToday+1))/(INDEX($A$5:$A$10,$X27+1)-INDEX($A$5:$A$10,$X27)))/INDEX(C$5:C$10,$X27+1)^((INDEX($A$5:$A$10,$X27)-($I27-DateToday+1))/(INDEX($A$5:$A$10,$X27+1)-INDEX($A$5:$A$10,$X27))))</f>
        <v>0.00535272473928954</v>
      </c>
      <c r="AA27" s="348" t="n">
        <f aca="false">IF($X27="",AA26^2/AA25,INDEX(D$5:D$10,$X27)^((INDEX($A$5:$A$10,$X27+1)-($I27-DateToday+1))/(INDEX($A$5:$A$10,$X27+1)-INDEX($A$5:$A$10,$X27)))/INDEX(D$5:D$10,$X27+1)^((INDEX($A$5:$A$10,$X27)-($I27-DateToday+1))/(INDEX($A$5:$A$10,$X27+1)-INDEX($A$5:$A$10,$X27))))</f>
        <v>0.00241045608168981</v>
      </c>
      <c r="AB27" s="348" t="n">
        <f aca="false">IF($X27="",AB26^2/AB25,INDEX(E$5:E$10,$X27)^((INDEX($A$5:$A$10,$X27+1)-($I27-DateToday+1))/(INDEX($A$5:$A$10,$X27+1)-INDEX($A$5:$A$10,$X27)))/INDEX(E$5:E$10,$X27+1)^((INDEX($A$5:$A$10,$X27)-($I27-DateToday+1))/(INDEX($A$5:$A$10,$X27+1)-INDEX($A$5:$A$10,$X27))))</f>
        <v>0.00543027546083081</v>
      </c>
      <c r="AC27" s="348" t="n">
        <f aca="false">IF($X27="",AC26^2/AC25,INDEX(F$5:F$10,$X27)^((INDEX($A$5:$A$10,$X27+1)-($I27-DateToday+1))/(INDEX($A$5:$A$10,$X27+1)-INDEX($A$5:$A$10,$X27)))/INDEX(F$5:F$10,$X27+1)^((INDEX($A$5:$A$10,$X27)-($I27-DateToday+1))/(INDEX($A$5:$A$10,$X27+1)-INDEX($A$5:$A$10,$X27))))</f>
        <v>0.0120586182926715</v>
      </c>
      <c r="AD27" s="348" t="n">
        <f aca="false">IF($X27="",AD26^2/AD25,INDEX(G$5:G$10,$X27)^((INDEX($A$5:$A$10,$X27+1)-($I27-DateToday+1))/(INDEX($A$5:$A$10,$X27+1)-INDEX($A$5:$A$10,$X27)))/INDEX(G$5:G$10,$X27+1)^((INDEX($A$5:$A$10,$X27)-($I27-DateToday+1))/(INDEX($A$5:$A$10,$X27+1)-INDEX($A$5:$A$10,$X27))))</f>
        <v>0.0219228039222999</v>
      </c>
      <c r="AE27" s="321" t="n">
        <v>0.070414885023056</v>
      </c>
      <c r="AF27" s="316" t="n">
        <f aca="false">(1+AE27/2)^(-2*(I28-DateToday)/365.25)</f>
        <v>0.880115332651963</v>
      </c>
      <c r="AG27" s="316" t="n">
        <f aca="false">AG26*(1+IF(AND(M27=1,L27&gt;YearStart),Escalation,0))</f>
        <v>1</v>
      </c>
      <c r="AH27" s="322" t="n">
        <f aca="false">IF(OR(DateStart&gt;=I28,DateEnd&lt;I27),0,Volume*AG27)</f>
        <v>0</v>
      </c>
      <c r="AI27" s="322" t="n">
        <f aca="false">AH27*AF27</f>
        <v>0</v>
      </c>
      <c r="AJ27" s="322" t="n">
        <f aca="false">IF(OR(DateStart2&gt;=I28,DateEnd2&lt;I27),0,VolumeSwaption*AG27)</f>
        <v>0</v>
      </c>
      <c r="AK27" s="322" t="n">
        <f aca="false">AJ27*AF27</f>
        <v>0</v>
      </c>
      <c r="AL27" s="316" t="str">
        <f aca="true">IF(AH27,OFFSET(BY27,0,HorizontalPriceOffset)+PriceSpreadAsian,"")</f>
        <v/>
      </c>
      <c r="AM27" s="316" t="str">
        <f aca="false">IF(AH27,Strike1/AL27-1,"")</f>
        <v/>
      </c>
      <c r="AN27" s="316" t="str">
        <f aca="false">IF(AH27,Strike2/AL27-1,"")</f>
        <v/>
      </c>
      <c r="AO27" s="323" t="str">
        <f aca="false">IF(AH27,IF(VolOverrideAsian,VolOverrideAsian,IF(ProductGroup=1,IF(Product&lt;3,DA28,DE28),W28)+VolSpreadAsian),"")</f>
        <v/>
      </c>
      <c r="AP27" s="323" t="str">
        <f aca="false">IF($AH27,$AO27+IF(SkewFlag=1,IF(AM27&gt;0,$AA27*MIN(AM27/10%,1)+($Z27-$AA27)*MAX(0,MIN(AM27/10%-1,1))+($Y27-$Z27)*MAX(0,AM27/10%-2),$AB27*MIN(-AM27/10%,1)+($AC27-$AB27)*MAX(0,MIN(-AM27/10%-1,1))+($AD27-$AC27)*MAX(0,-AM27/10%-2)),0),"")</f>
        <v/>
      </c>
      <c r="AQ27" s="323" t="str">
        <f aca="false">IF($AH27,$AO27+IF(SkewFlag=1,IF(AN27&gt;0,$AA27*MIN(AN27/10%,1)+($Z27-$AA27)*MAX(0,MIN(AN27/10%-1,1))+($Y27-$Z27)*MAX(0,AN27/10%-2),$AB27*MIN(-AN27/10%,1)+($AC27-$AB27)*MAX(0,MIN(-AN27/10%-1,1))+($AD27-$AC27)*MAX(0,-AN27/10%-2)),0),"")</f>
        <v/>
      </c>
      <c r="AR27" s="324" t="n">
        <f aca="false">IF(AH27,xASN(AL27,Strike1,AE27,AP27,0,N27,0,P27,Q27,IF(OptControl=4,0,1),0),0)</f>
        <v>0</v>
      </c>
      <c r="AS27" s="324" t="n">
        <f aca="false">IF(AH27,xASN(AL27,Strike1,AE27,AP27,0,N27,0,P27,Q27,IF(OptControl=4,0,1),1),0)</f>
        <v>0</v>
      </c>
      <c r="AT27" s="324" t="n">
        <f aca="false">IF(AH27,xASN(AL27,Strike1,AE27,AP27,0,N27,0,P27,Q27,IF(OptControl=4,0,1),2),0)</f>
        <v>0</v>
      </c>
      <c r="AU27" s="324" t="n">
        <f aca="false">IF(AH27,xASN(AL27,Strike1,AE27,AP27,0,N27,0,P27,Q27,IF(OptControl=4,0,1),3)/100,0)</f>
        <v>0</v>
      </c>
      <c r="AV27" s="324" t="n">
        <f aca="false">IF(AH27,xASN(AL27,Strike1,AE27,AP27,0,N27,0,P27-DaysForThetaCalculation/365.25,Q27-DaysForThetaCalculation/365.25,IF(OptControl=4,0,1),0)-xASN(AL27,Strike1,AE27,AP27,0,N27,0,P27,Q27,IF(OptControl=4,0,1),0),0)</f>
        <v>0</v>
      </c>
      <c r="AW27" s="324" t="n">
        <f aca="false">IF(AH27,xASN(AL27,Strike2,AE27,AQ27,0,N27,0,P27,Q27,IF(OptControl=3,1,0),0),0)</f>
        <v>0</v>
      </c>
      <c r="AX27" s="324" t="n">
        <f aca="false">IF(AH27,xASN(AL27,Strike2,AE27,AQ27,0,N27,0,P27,Q27,IF(OptControl=3,1,0),1),0)</f>
        <v>0</v>
      </c>
      <c r="AY27" s="324" t="n">
        <f aca="false">IF(AH27,xASN(AL27,Strike2,AE27,AQ27,0,N27,0,P27,Q27,IF(OptControl=3,1,0),2),0)</f>
        <v>0</v>
      </c>
      <c r="AZ27" s="324" t="n">
        <f aca="false">IF(AH27,xASN(AL27,Strike2,AE27,AQ27,0,N27,0,P27,Q27,IF(OptControl=3,1,0),3)/100,0)</f>
        <v>0</v>
      </c>
      <c r="BA27" s="324" t="n">
        <f aca="false">IF(AH27,xASN(AL27,Strike2,AE27,AQ27,0,N27,0,P27-DaysForThetaCalculation/365.25,Q27-DaysForThetaCalculation/365.25,IF(OptControl=3,1,0),0)-xASN(AL27,Strike2,AE27,AQ27,0,N27,0,P27,Q27,IF(OptControl=3,1,0),0),0)</f>
        <v>0</v>
      </c>
      <c r="BB27" s="325" t="str">
        <f aca="false">IF(AH27,IF(ProductGroup=1,IF(Product=1,BX27+PriceSpreadEuro,IF(Product=3,CK27+PriceSpreadEuro,"N/A")),"N/A"),"")</f>
        <v/>
      </c>
      <c r="BC27" s="316" t="str">
        <f aca="false">IF(AH27,Strike1/BB27-1,"")</f>
        <v/>
      </c>
      <c r="BD27" s="316" t="str">
        <f aca="false">IF(AH27,Strike2/BB27-1,"")</f>
        <v/>
      </c>
      <c r="BE27" s="326" t="str">
        <f aca="false">IF(AH27,IF(VolOverrideEuro,VolOverrideEuro,IF(ProductGroup=1,IF(Product&lt;3,DA27,DE27)+VolSpreadEuro,"N/A")),"")</f>
        <v/>
      </c>
      <c r="BF27" s="323" t="str">
        <f aca="false">IF($AH27,$BE27+IF(SkewFlag=1,IF(BC27&gt;0,$AA27*MIN(BC27/10%,1)+($Z27-$AA27)*MAX(0,MIN(BC27/10%-1,1))+($Y27-$Z27)*MAX(0,BC27/10%-2),$AB27*MIN(-BC27/10%,1)+($AC27-$AB27)*MAX(0,MIN(-BC27/10%-1,1))+($AD27-$AC27)*MAX(0,-BC27/10%-2)),0),"")</f>
        <v/>
      </c>
      <c r="BG27" s="323" t="str">
        <f aca="false">IF($AH27,$BE27+IF(SkewFlag=1,IF(BD27&gt;0,$AA27*MIN(BD27/10%,1)+($Z27-$AA27)*MAX(0,MIN(BD27/10%-1,1))+($Y27-$Z27)*MAX(0,BD27/10%-2),$AB27*MIN(-BD27/10%,1)+($AC27-$AB27)*MAX(0,MIN(-BD27/10%-1,1))+($AD27-$AC27)*MAX(0,-BD27/10%-2)),0),"")</f>
        <v/>
      </c>
      <c r="BH27" s="324" t="n">
        <f aca="false">IF(AH27,xEURO(BB27,Strike1,AE27,AE27,BF27,O27,IF(OptControl=4,0,1),0),0)</f>
        <v>0</v>
      </c>
      <c r="BI27" s="324" t="n">
        <f aca="false">IF(AH27,xEURO(BB27,Strike1,AE27,AE27,BF27,O27,IF(OptControl=4,0,1),1),0)</f>
        <v>0</v>
      </c>
      <c r="BJ27" s="324" t="n">
        <f aca="false">IF(AH27,xEURO(BB27,Strike1,AE27,AE27,BF27,O27,IF(OptControl=4,0,1),2),0)</f>
        <v>0</v>
      </c>
      <c r="BK27" s="324" t="n">
        <f aca="false">IF(AH27,xEURO(BB27,Strike1,AE27,AE27,BF27,O27,IF(OptControl=4,0,1),3)/100,0)</f>
        <v>0</v>
      </c>
      <c r="BL27" s="324" t="n">
        <f aca="false">IF(AH27,xEURO(BB27,Strike1,AE27,AE27,BF27,O27-DaysForThetaCalculation,IF(OptControl=4,0,1),0)-xEURO(BB27,Strike1,AE27,AE27,BF27,O27,IF(OptControl=4,0,1),0),0)</f>
        <v>0</v>
      </c>
      <c r="BM27" s="324" t="n">
        <f aca="false">IF(AH27,xEURO(BB27,Strike2,AE27,AE27,BG27,O27,IF(OptControl=3,1,0),0),0)</f>
        <v>0</v>
      </c>
      <c r="BN27" s="324" t="n">
        <f aca="false">IF(AH27,xEURO(BB27,Strike2,AE27,AE27,BG27,O27,IF(OptControl=3,1,0),1),0)</f>
        <v>0</v>
      </c>
      <c r="BO27" s="324" t="n">
        <f aca="false">IF(AH27,xEURO(BB27,Strike2,AE27,AE27,BG27,O27,IF(OptControl=3,1,0),2),0)</f>
        <v>0</v>
      </c>
      <c r="BP27" s="324" t="n">
        <f aca="false">IF(AH27,xEURO(BB27,Strike2,AE27,AE27,BG27,O27,IF(OptControl=3,1,0),3)/100,0)</f>
        <v>0</v>
      </c>
      <c r="BQ27" s="327" t="n">
        <f aca="false">IF(AH27,xEURO(BB27,Strike2,AE27,AE27,BG27,O27-DaysForThetaCalculation,IF(OptControl=3,1,0),0)-xEURO(BB27,Strike2,AE27,AE27,BG27,O27,IF(OptControl=3,1,0),0),0)</f>
        <v>0</v>
      </c>
      <c r="BR27" s="343"/>
      <c r="BS27" s="314" t="n">
        <v>25.565</v>
      </c>
      <c r="BT27" s="329" t="n">
        <f aca="false">BS27*100/42</f>
        <v>60.8690476190476</v>
      </c>
      <c r="BU27" s="329" t="n">
        <f aca="false">BS28-$U27</f>
        <v>9.50481818181817</v>
      </c>
      <c r="BV27" s="224"/>
      <c r="BW27" s="329" t="n">
        <f aca="false">BW15+VLOOKUP(1900+$L27,ProductSpreadTable,2)</f>
        <v>11.1238260869565</v>
      </c>
      <c r="BX27" s="329" t="n">
        <f aca="false">($V26+BW26)*100/42</f>
        <v>64.5151515151516</v>
      </c>
      <c r="BY27" s="332" t="n">
        <f aca="false">BX28</f>
        <v>66.6238283455676</v>
      </c>
      <c r="BZ27" s="314" t="n">
        <v>24.36</v>
      </c>
      <c r="CA27" s="329" t="n">
        <f aca="false">BZ27*100/42</f>
        <v>58</v>
      </c>
      <c r="CB27" s="329" t="n">
        <f aca="false">BZ27-$U27</f>
        <v>7.50181818181817</v>
      </c>
      <c r="CC27" s="329" t="n">
        <f aca="false">CC15+VLOOKUP(1900+$L27,ProductSpreadTable,3)</f>
        <v>9.61182608695654</v>
      </c>
      <c r="CD27" s="329" t="n">
        <f aca="false">($V27+CC27)*100/42</f>
        <v>63.0238283455676</v>
      </c>
      <c r="CE27" s="333" t="n">
        <f aca="false">CD27-BY27</f>
        <v>-3.59999999999999</v>
      </c>
      <c r="CF27" s="314" t="n">
        <v>25.738</v>
      </c>
      <c r="CG27" s="329" t="n">
        <f aca="false">CF27*100/42</f>
        <v>61.2809523809524</v>
      </c>
      <c r="CH27" s="329" t="n">
        <f aca="false">CF28-$U27</f>
        <v>8.43381818181817</v>
      </c>
      <c r="CI27" s="224"/>
      <c r="CJ27" s="329" t="n">
        <f aca="false">CJ15+VLOOKUP(1900+$L27,ProductSpreadTable,4)</f>
        <v>10.4438260869565</v>
      </c>
      <c r="CK27" s="329" t="n">
        <f aca="false">($V26+CJ26)*100/42</f>
        <v>63.946103896104</v>
      </c>
      <c r="CL27" s="329" t="n">
        <f aca="false">CK28</f>
        <v>65.0047807265199</v>
      </c>
      <c r="CM27" s="314" t="n">
        <v>24.007</v>
      </c>
      <c r="CN27" s="329" t="n">
        <f aca="false">CM27*100/42</f>
        <v>57.1595238095238</v>
      </c>
      <c r="CO27" s="329" t="n">
        <f aca="false">CM27-$U27</f>
        <v>7.14881818181817</v>
      </c>
      <c r="CP27" s="329" t="n">
        <f aca="false">CP15+VLOOKUP(1900+$L27,ProductSpreadTable,5)</f>
        <v>9.33082608695654</v>
      </c>
      <c r="CQ27" s="329" t="n">
        <f aca="false">($V27+CP27)*100/42</f>
        <v>62.3547807265199</v>
      </c>
      <c r="CR27" s="333" t="n">
        <f aca="false">CQ27-CL27</f>
        <v>-2.64999999999999</v>
      </c>
      <c r="CS27" s="314" t="n">
        <v>25.544</v>
      </c>
      <c r="CT27" s="329" t="n">
        <f aca="false">CS27*100/42</f>
        <v>60.8190476190476</v>
      </c>
      <c r="CU27" s="329" t="n">
        <f aca="false">CT27-CG28</f>
        <v>0.599999999999994</v>
      </c>
      <c r="CV27" s="329" t="n">
        <f aca="false">CV15+VLOOKUP(1900+$L27,ProductSpreadTable,6)</f>
        <v>0.750000000000009</v>
      </c>
      <c r="CW27" s="333" t="n">
        <f aca="false">CL27+CV27</f>
        <v>65.7547807265199</v>
      </c>
      <c r="CX27" s="318" t="n">
        <v>0.23</v>
      </c>
      <c r="CY27" s="326" t="n">
        <f aca="false">CX27-$W27</f>
        <v>-0.000352148868757035</v>
      </c>
      <c r="CZ27" s="326" t="n">
        <f aca="false">VLOOKUP(1900+$L27,ProductSpreadTable,7)</f>
        <v>-0.03</v>
      </c>
      <c r="DA27" s="365" t="n">
        <f aca="false">$W27+CZ27</f>
        <v>0.200352148868757</v>
      </c>
      <c r="DB27" s="318" t="n">
        <v>0.23</v>
      </c>
      <c r="DC27" s="326" t="n">
        <f aca="false">DB27-$W27</f>
        <v>-0.000352148868757035</v>
      </c>
      <c r="DD27" s="326" t="n">
        <f aca="false">VLOOKUP(1900+$L27,ProductSpreadTable,8)</f>
        <v>0.03</v>
      </c>
      <c r="DE27" s="365" t="n">
        <f aca="false">$W27+DD27</f>
        <v>0.260352148868757</v>
      </c>
      <c r="DG27" s="336"/>
      <c r="DH27" s="314" t="n">
        <v>17.609</v>
      </c>
      <c r="DI27" s="325" t="n">
        <f aca="false">DH27-$U27</f>
        <v>0.750818181818168</v>
      </c>
      <c r="DJ27" s="325" t="n">
        <f aca="false">VLOOKUP(1900+$L27,ResidSpreadTable,2)</f>
        <v>-2</v>
      </c>
      <c r="DK27" s="337" t="n">
        <f aca="false">$V27+DJ27</f>
        <v>14.8581818181818</v>
      </c>
      <c r="DL27" s="314" t="n">
        <v>15.609</v>
      </c>
      <c r="DM27" s="325" t="n">
        <f aca="false">DL27-$U27</f>
        <v>-1.24918181818183</v>
      </c>
      <c r="DN27" s="325" t="n">
        <f aca="false">VLOOKUP(1900+$L27,ResidSpreadTable,3)</f>
        <v>-3</v>
      </c>
      <c r="DO27" s="337" t="n">
        <f aca="false">$V27+DN27</f>
        <v>13.8581818181818</v>
      </c>
      <c r="DP27" s="314" t="n">
        <v>14.859</v>
      </c>
      <c r="DQ27" s="325" t="n">
        <f aca="false">DP27-$U27</f>
        <v>-1.99918181818183</v>
      </c>
      <c r="DR27" s="325" t="n">
        <f aca="false">VLOOKUP(1900+$L27,ResidSpreadTable,4)</f>
        <v>-6</v>
      </c>
      <c r="DS27" s="337" t="n">
        <f aca="false">$V27+DR27</f>
        <v>10.8581818181818</v>
      </c>
      <c r="DT27" s="314" t="n">
        <v>16.309</v>
      </c>
      <c r="DU27" s="325" t="n">
        <f aca="false">DT27-$U27</f>
        <v>-0.549181818181832</v>
      </c>
      <c r="DV27" s="325" t="n">
        <f aca="false">VLOOKUP(1900+$L27,ResidSpreadTable,5)</f>
        <v>-5</v>
      </c>
      <c r="DW27" s="337" t="n">
        <f aca="false">$V27+DV27</f>
        <v>11.8581818181818</v>
      </c>
      <c r="DY27" s="366" t="n">
        <v>2014</v>
      </c>
      <c r="DZ27" s="367" t="n">
        <v>0.15</v>
      </c>
      <c r="EA27" s="368" t="n">
        <v>0.15</v>
      </c>
      <c r="EB27" s="367" t="n">
        <v>0.15</v>
      </c>
      <c r="EC27" s="368" t="n">
        <v>0.15</v>
      </c>
      <c r="ED27" s="369" t="n">
        <v>0.15</v>
      </c>
      <c r="EE27" s="373" t="n">
        <v>-0.03</v>
      </c>
      <c r="EF27" s="373" t="n">
        <v>0.03</v>
      </c>
    </row>
    <row r="28" customFormat="false" ht="13.5" hidden="false" customHeight="false" outlineLevel="0" collapsed="false">
      <c r="B28" s="371" t="n">
        <v>36404</v>
      </c>
      <c r="C28" s="372" t="n">
        <v>36392</v>
      </c>
      <c r="H28" s="265"/>
      <c r="I28" s="338" t="n">
        <f aca="false">EOMONTH(I27,0)+1</f>
        <v>46600</v>
      </c>
      <c r="J28" s="307" t="n">
        <f aca="false">VLOOKUP(I28,$B$12:$C$332,2)</f>
        <v>45644</v>
      </c>
      <c r="K28" s="339" t="n">
        <f aca="false">NETWORKDAYS(I28,J29)/N28</f>
        <v>-31.0454545454545</v>
      </c>
      <c r="L28" s="309" t="n">
        <f aca="false">YEAR(I28)-1900</f>
        <v>127</v>
      </c>
      <c r="M28" s="310" t="n">
        <f aca="false">MONTH(I28)</f>
        <v>8</v>
      </c>
      <c r="N28" s="340" t="n">
        <f aca="false">NETWORKDAYS(I28,I29-1)</f>
        <v>22</v>
      </c>
      <c r="O28" s="341" t="n">
        <f aca="false">I28-DateToday-IF(EuroExpDateToggle=1,3+IF(WEEKDAY(I28-1)=7,1,IF(WEEKDAY(I28-1)&lt;5,2,0)),1+IF(WEEKDAY(I28-1)=7,1,IF(WEEKDAY(I28-1)&lt;3,2,0)))</f>
        <v>670</v>
      </c>
      <c r="P28" s="342" t="n">
        <f aca="false">(I28-DateToday+1)/365.25</f>
        <v>1.84804928131417</v>
      </c>
      <c r="Q28" s="342" t="n">
        <f aca="false">(I29-DateToday)/365.25</f>
        <v>1.93018480492813</v>
      </c>
      <c r="R28" s="314" t="n">
        <v>20.9</v>
      </c>
      <c r="S28" s="347" t="n">
        <v>0</v>
      </c>
      <c r="T28" s="316" t="n">
        <f aca="false">R28+S28/100</f>
        <v>20.9</v>
      </c>
      <c r="U28" s="325" t="n">
        <f aca="false">R29*K28+R30*(1-K28)</f>
        <v>16.9245454545454</v>
      </c>
      <c r="V28" s="337" t="n">
        <f aca="false">T29*K28+T30*(1-K28)</f>
        <v>16.9245454545454</v>
      </c>
      <c r="W28" s="318" t="n">
        <v>0.228904202319501</v>
      </c>
      <c r="X28" s="319" t="n">
        <f aca="false">IF($I28-DateToday+1&gt;=$A$10,"",IF($I28-DateToday+1&lt;$A$5,1,MATCH($I28-DateToday+1,$A$5:$A$10)))</f>
        <v>5</v>
      </c>
      <c r="Y28" s="348" t="n">
        <f aca="false">IF($X28="",Y27^2/Y26,INDEX(B$5:B$10,$X28)^((INDEX($A$5:$A$10,$X28+1)-($I28-DateToday+1))/(INDEX($A$5:$A$10,$X28+1)-INDEX($A$5:$A$10,$X28)))/INDEX(B$5:B$10,$X28+1)^((INDEX($A$5:$A$10,$X28)-($I28-DateToday+1))/(INDEX($A$5:$A$10,$X28+1)-INDEX($A$5:$A$10,$X28))))</f>
        <v>0.00952302469518551</v>
      </c>
      <c r="Z28" s="348" t="n">
        <f aca="false">IF($X28="",Z27^2/Z26,INDEX(C$5:C$10,$X28)^((INDEX($A$5:$A$10,$X28+1)-($I28-DateToday+1))/(INDEX($A$5:$A$10,$X28+1)-INDEX($A$5:$A$10,$X28)))/INDEX(C$5:C$10,$X28+1)^((INDEX($A$5:$A$10,$X28)-($I28-DateToday+1))/(INDEX($A$5:$A$10,$X28+1)-INDEX($A$5:$A$10,$X28))))</f>
        <v>0.00521008581803958</v>
      </c>
      <c r="AA28" s="348" t="n">
        <f aca="false">IF($X28="",AA27^2/AA26,INDEX(D$5:D$10,$X28)^((INDEX($A$5:$A$10,$X28+1)-($I28-DateToday+1))/(INDEX($A$5:$A$10,$X28+1)-INDEX($A$5:$A$10,$X28)))/INDEX(D$5:D$10,$X28+1)^((INDEX($A$5:$A$10,$X28)-($I28-DateToday+1))/(INDEX($A$5:$A$10,$X28+1)-INDEX($A$5:$A$10,$X28))))</f>
        <v>0.00233993085007195</v>
      </c>
      <c r="AB28" s="348" t="n">
        <f aca="false">IF($X28="",AB27^2/AB26,INDEX(E$5:E$10,$X28)^((INDEX($A$5:$A$10,$X28+1)-($I28-DateToday+1))/(INDEX($A$5:$A$10,$X28+1)-INDEX($A$5:$A$10,$X28)))/INDEX(E$5:E$10,$X28+1)^((INDEX($A$5:$A$10,$X28)-($I28-DateToday+1))/(INDEX($A$5:$A$10,$X28+1)-INDEX($A$5:$A$10,$X28))))</f>
        <v>0.00527139621904208</v>
      </c>
      <c r="AC28" s="348" t="n">
        <f aca="false">IF($X28="",AC27^2/AC26,INDEX(F$5:F$10,$X28)^((INDEX($A$5:$A$10,$X28+1)-($I28-DateToday+1))/(INDEX($A$5:$A$10,$X28+1)-INDEX($A$5:$A$10,$X28)))/INDEX(F$5:F$10,$X28+1)^((INDEX($A$5:$A$10,$X28)-($I28-DateToday+1))/(INDEX($A$5:$A$10,$X28+1)-INDEX($A$5:$A$10,$X28))))</f>
        <v>0.0117372813308796</v>
      </c>
      <c r="AD28" s="348" t="n">
        <f aca="false">IF($X28="",AD27^2/AD26,INDEX(G$5:G$10,$X28)^((INDEX($A$5:$A$10,$X28+1)-($I28-DateToday+1))/(INDEX($A$5:$A$10,$X28+1)-INDEX($A$5:$A$10,$X28)))/INDEX(G$5:G$10,$X28+1)^((INDEX($A$5:$A$10,$X28)-($I28-DateToday+1))/(INDEX($A$5:$A$10,$X28+1)-INDEX($A$5:$A$10,$X28))))</f>
        <v>0.0214534700333139</v>
      </c>
      <c r="AE28" s="321" t="n">
        <v>0.070599578197038</v>
      </c>
      <c r="AF28" s="316" t="n">
        <f aca="false">(1+AE28/2)^(-2*(I29-DateToday)/365.25)</f>
        <v>0.874659840944104</v>
      </c>
      <c r="AG28" s="316" t="n">
        <f aca="false">AG27*(1+IF(AND(M28=1,L28&gt;YearStart),Escalation,0))</f>
        <v>1</v>
      </c>
      <c r="AH28" s="322" t="n">
        <f aca="false">IF(OR(DateStart&gt;=I29,DateEnd&lt;I28),0,Volume*AG28)</f>
        <v>0</v>
      </c>
      <c r="AI28" s="322" t="n">
        <f aca="false">AH28*AF28</f>
        <v>0</v>
      </c>
      <c r="AJ28" s="322" t="n">
        <f aca="false">IF(OR(DateStart2&gt;=I29,DateEnd2&lt;I28),0,VolumeSwaption*AG28)</f>
        <v>0</v>
      </c>
      <c r="AK28" s="322" t="n">
        <f aca="false">AJ28*AF28</f>
        <v>0</v>
      </c>
      <c r="AL28" s="316" t="str">
        <f aca="true">IF(AH28,OFFSET(BY28,0,HorizontalPriceOffset)+PriceSpreadAsian,"")</f>
        <v/>
      </c>
      <c r="AM28" s="316" t="str">
        <f aca="false">IF(AH28,Strike1/AL28-1,"")</f>
        <v/>
      </c>
      <c r="AN28" s="316" t="str">
        <f aca="false">IF(AH28,Strike2/AL28-1,"")</f>
        <v/>
      </c>
      <c r="AO28" s="323" t="str">
        <f aca="false">IF(AH28,IF(VolOverrideAsian,VolOverrideAsian,IF(ProductGroup=1,IF(Product&lt;3,DA29,DE29),W29)+VolSpreadAsian),"")</f>
        <v/>
      </c>
      <c r="AP28" s="323" t="str">
        <f aca="false">IF($AH28,$AO28+IF(SkewFlag=1,IF(AM28&gt;0,$AA28*MIN(AM28/10%,1)+($Z28-$AA28)*MAX(0,MIN(AM28/10%-1,1))+($Y28-$Z28)*MAX(0,AM28/10%-2),$AB28*MIN(-AM28/10%,1)+($AC28-$AB28)*MAX(0,MIN(-AM28/10%-1,1))+($AD28-$AC28)*MAX(0,-AM28/10%-2)),0),"")</f>
        <v/>
      </c>
      <c r="AQ28" s="323" t="str">
        <f aca="false">IF($AH28,$AO28+IF(SkewFlag=1,IF(AN28&gt;0,$AA28*MIN(AN28/10%,1)+($Z28-$AA28)*MAX(0,MIN(AN28/10%-1,1))+($Y28-$Z28)*MAX(0,AN28/10%-2),$AB28*MIN(-AN28/10%,1)+($AC28-$AB28)*MAX(0,MIN(-AN28/10%-1,1))+($AD28-$AC28)*MAX(0,-AN28/10%-2)),0),"")</f>
        <v/>
      </c>
      <c r="AR28" s="324" t="n">
        <f aca="false">IF(AH28,xASN(AL28,Strike1,AE28,AP28,0,N28,0,P28,Q28,IF(OptControl=4,0,1),0),0)</f>
        <v>0</v>
      </c>
      <c r="AS28" s="324" t="n">
        <f aca="false">IF(AH28,xASN(AL28,Strike1,AE28,AP28,0,N28,0,P28,Q28,IF(OptControl=4,0,1),1),0)</f>
        <v>0</v>
      </c>
      <c r="AT28" s="324" t="n">
        <f aca="false">IF(AH28,xASN(AL28,Strike1,AE28,AP28,0,N28,0,P28,Q28,IF(OptControl=4,0,1),2),0)</f>
        <v>0</v>
      </c>
      <c r="AU28" s="324" t="n">
        <f aca="false">IF(AH28,xASN(AL28,Strike1,AE28,AP28,0,N28,0,P28,Q28,IF(OptControl=4,0,1),3)/100,0)</f>
        <v>0</v>
      </c>
      <c r="AV28" s="324" t="n">
        <f aca="false">IF(AH28,xASN(AL28,Strike1,AE28,AP28,0,N28,0,P28-DaysForThetaCalculation/365.25,Q28-DaysForThetaCalculation/365.25,IF(OptControl=4,0,1),0)-xASN(AL28,Strike1,AE28,AP28,0,N28,0,P28,Q28,IF(OptControl=4,0,1),0),0)</f>
        <v>0</v>
      </c>
      <c r="AW28" s="324" t="n">
        <f aca="false">IF(AH28,xASN(AL28,Strike2,AE28,AQ28,0,N28,0,P28,Q28,IF(OptControl=3,1,0),0),0)</f>
        <v>0</v>
      </c>
      <c r="AX28" s="324" t="n">
        <f aca="false">IF(AH28,xASN(AL28,Strike2,AE28,AQ28,0,N28,0,P28,Q28,IF(OptControl=3,1,0),1),0)</f>
        <v>0</v>
      </c>
      <c r="AY28" s="324" t="n">
        <f aca="false">IF(AH28,xASN(AL28,Strike2,AE28,AQ28,0,N28,0,P28,Q28,IF(OptControl=3,1,0),2),0)</f>
        <v>0</v>
      </c>
      <c r="AZ28" s="324" t="n">
        <f aca="false">IF(AH28,xASN(AL28,Strike2,AE28,AQ28,0,N28,0,P28,Q28,IF(OptControl=3,1,0),3)/100,0)</f>
        <v>0</v>
      </c>
      <c r="BA28" s="324" t="n">
        <f aca="false">IF(AH28,xASN(AL28,Strike2,AE28,AQ28,0,N28,0,P28-DaysForThetaCalculation/365.25,Q28-DaysForThetaCalculation/365.25,IF(OptControl=3,1,0),0)-xASN(AL28,Strike2,AE28,AQ28,0,N28,0,P28,Q28,IF(OptControl=3,1,0),0),0)</f>
        <v>0</v>
      </c>
      <c r="BB28" s="325" t="str">
        <f aca="false">IF(AH28,IF(ProductGroup=1,IF(Product=1,BX28+PriceSpreadEuro,IF(Product=3,CK28+PriceSpreadEuro,"N/A")),"N/A"),"")</f>
        <v/>
      </c>
      <c r="BC28" s="316" t="str">
        <f aca="false">IF(AH28,Strike1/BB28-1,"")</f>
        <v/>
      </c>
      <c r="BD28" s="316" t="str">
        <f aca="false">IF(AH28,Strike2/BB28-1,"")</f>
        <v/>
      </c>
      <c r="BE28" s="326" t="str">
        <f aca="false">IF(AH28,IF(VolOverrideEuro,VolOverrideEuro,IF(ProductGroup=1,IF(Product&lt;3,DA28,DE28)+VolSpreadEuro,"N/A")),"")</f>
        <v/>
      </c>
      <c r="BF28" s="323" t="str">
        <f aca="false">IF($AH28,$BE28+IF(SkewFlag=1,IF(BC28&gt;0,$AA28*MIN(BC28/10%,1)+($Z28-$AA28)*MAX(0,MIN(BC28/10%-1,1))+($Y28-$Z28)*MAX(0,BC28/10%-2),$AB28*MIN(-BC28/10%,1)+($AC28-$AB28)*MAX(0,MIN(-BC28/10%-1,1))+($AD28-$AC28)*MAX(0,-BC28/10%-2)),0),"")</f>
        <v/>
      </c>
      <c r="BG28" s="323" t="str">
        <f aca="false">IF($AH28,$BE28+IF(SkewFlag=1,IF(BD28&gt;0,$AA28*MIN(BD28/10%,1)+($Z28-$AA28)*MAX(0,MIN(BD28/10%-1,1))+($Y28-$Z28)*MAX(0,BD28/10%-2),$AB28*MIN(-BD28/10%,1)+($AC28-$AB28)*MAX(0,MIN(-BD28/10%-1,1))+($AD28-$AC28)*MAX(0,-BD28/10%-2)),0),"")</f>
        <v/>
      </c>
      <c r="BH28" s="324" t="n">
        <f aca="false">IF(AH28,xEURO(BB28,Strike1,AE28,AE28,BF28,O28,IF(OptControl=4,0,1),0),0)</f>
        <v>0</v>
      </c>
      <c r="BI28" s="324" t="n">
        <f aca="false">IF(AH28,xEURO(BB28,Strike1,AE28,AE28,BF28,O28,IF(OptControl=4,0,1),1),0)</f>
        <v>0</v>
      </c>
      <c r="BJ28" s="324" t="n">
        <f aca="false">IF(AH28,xEURO(BB28,Strike1,AE28,AE28,BF28,O28,IF(OptControl=4,0,1),2),0)</f>
        <v>0</v>
      </c>
      <c r="BK28" s="324" t="n">
        <f aca="false">IF(AH28,xEURO(BB28,Strike1,AE28,AE28,BF28,O28,IF(OptControl=4,0,1),3)/100,0)</f>
        <v>0</v>
      </c>
      <c r="BL28" s="324" t="n">
        <f aca="false">IF(AH28,xEURO(BB28,Strike1,AE28,AE28,BF28,O28-DaysForThetaCalculation,IF(OptControl=4,0,1),0)-xEURO(BB28,Strike1,AE28,AE28,BF28,O28,IF(OptControl=4,0,1),0),0)</f>
        <v>0</v>
      </c>
      <c r="BM28" s="324" t="n">
        <f aca="false">IF(AH28,xEURO(BB28,Strike2,AE28,AE28,BG28,O28,IF(OptControl=3,1,0),0),0)</f>
        <v>0</v>
      </c>
      <c r="BN28" s="324" t="n">
        <f aca="false">IF(AH28,xEURO(BB28,Strike2,AE28,AE28,BG28,O28,IF(OptControl=3,1,0),1),0)</f>
        <v>0</v>
      </c>
      <c r="BO28" s="324" t="n">
        <f aca="false">IF(AH28,xEURO(BB28,Strike2,AE28,AE28,BG28,O28,IF(OptControl=3,1,0),2),0)</f>
        <v>0</v>
      </c>
      <c r="BP28" s="324" t="n">
        <f aca="false">IF(AH28,xEURO(BB28,Strike2,AE28,AE28,BG28,O28,IF(OptControl=3,1,0),3)/100,0)</f>
        <v>0</v>
      </c>
      <c r="BQ28" s="327" t="n">
        <f aca="false">IF(AH28,xEURO(BB28,Strike2,AE28,AE28,BG28,O28-DaysForThetaCalculation,IF(OptControl=3,1,0),0)-xEURO(BB28,Strike2,AE28,AE28,BG28,O28,IF(OptControl=3,1,0),0),0)</f>
        <v>0</v>
      </c>
      <c r="BR28" s="343"/>
      <c r="BS28" s="314" t="n">
        <v>26.363</v>
      </c>
      <c r="BT28" s="329" t="n">
        <f aca="false">BS28*100/42</f>
        <v>62.7690476190476</v>
      </c>
      <c r="BU28" s="329" t="n">
        <f aca="false">BS29-$U28</f>
        <v>9.64845454545459</v>
      </c>
      <c r="BV28" s="224"/>
      <c r="BW28" s="329" t="n">
        <f aca="false">BW16+VLOOKUP(1900+$L28,ProductSpreadTable,2)</f>
        <v>12.4265714285714</v>
      </c>
      <c r="BX28" s="329" t="n">
        <f aca="false">($V27+BW27)*100/42</f>
        <v>66.6238283455676</v>
      </c>
      <c r="BY28" s="332" t="n">
        <f aca="false">BX29</f>
        <v>69.8836116264687</v>
      </c>
      <c r="BZ28" s="314" t="n">
        <v>24.566</v>
      </c>
      <c r="CA28" s="329" t="n">
        <f aca="false">BZ28*100/42</f>
        <v>58.4904761904762</v>
      </c>
      <c r="CB28" s="329" t="n">
        <f aca="false">BZ28-$U28</f>
        <v>7.64145454545459</v>
      </c>
      <c r="CC28" s="329" t="n">
        <f aca="false">CC16+VLOOKUP(1900+$L28,ProductSpreadTable,3)</f>
        <v>10.8685714285714</v>
      </c>
      <c r="CD28" s="329" t="n">
        <f aca="false">($V28+CC28)*100/42</f>
        <v>66.1740878169449</v>
      </c>
      <c r="CE28" s="333" t="n">
        <f aca="false">CD28-BY28</f>
        <v>-3.70952380952382</v>
      </c>
      <c r="CF28" s="314" t="n">
        <v>25.292</v>
      </c>
      <c r="CG28" s="329" t="n">
        <f aca="false">CF28*100/42</f>
        <v>60.2190476190476</v>
      </c>
      <c r="CH28" s="329" t="n">
        <f aca="false">CF29-$U28</f>
        <v>7.50245454545459</v>
      </c>
      <c r="CI28" s="224"/>
      <c r="CJ28" s="329" t="n">
        <f aca="false">CJ16+VLOOKUP(1900+$L28,ProductSpreadTable,4)</f>
        <v>10.6545714285714</v>
      </c>
      <c r="CK28" s="329" t="n">
        <f aca="false">($V27+CJ27)*100/42</f>
        <v>65.0047807265199</v>
      </c>
      <c r="CL28" s="329" t="n">
        <f aca="false">CK29</f>
        <v>65.6645640074211</v>
      </c>
      <c r="CM28" s="314" t="n">
        <v>23.167</v>
      </c>
      <c r="CN28" s="329" t="n">
        <f aca="false">CM28*100/42</f>
        <v>55.1595238095238</v>
      </c>
      <c r="CO28" s="329" t="n">
        <f aca="false">CM28-$U28</f>
        <v>6.24245454545459</v>
      </c>
      <c r="CP28" s="329" t="n">
        <f aca="false">CP16+VLOOKUP(1900+$L28,ProductSpreadTable,5)</f>
        <v>9.54157142857143</v>
      </c>
      <c r="CQ28" s="329" t="n">
        <f aca="false">($V28+CP28)*100/42</f>
        <v>63.014564007421</v>
      </c>
      <c r="CR28" s="333" t="n">
        <f aca="false">CQ28-CL28</f>
        <v>-2.65000000000001</v>
      </c>
      <c r="CS28" s="314" t="n">
        <v>24.679</v>
      </c>
      <c r="CT28" s="329" t="n">
        <f aca="false">CS28*100/42</f>
        <v>58.7595238095238</v>
      </c>
      <c r="CU28" s="329" t="n">
        <f aca="false">CT28-CG29</f>
        <v>0.599999999999994</v>
      </c>
      <c r="CV28" s="329" t="n">
        <f aca="false">CV16+VLOOKUP(1900+$L28,ProductSpreadTable,6)</f>
        <v>0.750000000000009</v>
      </c>
      <c r="CW28" s="333" t="n">
        <f aca="false">CL28+CV28</f>
        <v>66.4145640074211</v>
      </c>
      <c r="CX28" s="318" t="n">
        <v>0.229</v>
      </c>
      <c r="CY28" s="326" t="n">
        <f aca="false">CX28-$W28</f>
        <v>9.57976804989991E-005</v>
      </c>
      <c r="CZ28" s="326" t="n">
        <f aca="false">VLOOKUP(1900+$L28,ProductSpreadTable,7)</f>
        <v>-0.03</v>
      </c>
      <c r="DA28" s="365" t="n">
        <f aca="false">$W28+CZ28</f>
        <v>0.198904202319501</v>
      </c>
      <c r="DB28" s="318" t="n">
        <v>0.229</v>
      </c>
      <c r="DC28" s="326" t="n">
        <f aca="false">DB28-$W28</f>
        <v>9.57976804989991E-005</v>
      </c>
      <c r="DD28" s="326" t="n">
        <f aca="false">VLOOKUP(1900+$L28,ProductSpreadTable,8)</f>
        <v>0.03</v>
      </c>
      <c r="DE28" s="365" t="n">
        <f aca="false">$W28+DD28</f>
        <v>0.258904202319501</v>
      </c>
      <c r="DG28" s="336"/>
      <c r="DH28" s="314" t="n">
        <v>17.484</v>
      </c>
      <c r="DI28" s="325" t="n">
        <f aca="false">DH28-$U28</f>
        <v>0.559454545454592</v>
      </c>
      <c r="DJ28" s="325" t="n">
        <f aca="false">VLOOKUP(1900+$L28,ResidSpreadTable,2)</f>
        <v>-2</v>
      </c>
      <c r="DK28" s="337" t="n">
        <f aca="false">$V28+DJ28</f>
        <v>14.9245454545454</v>
      </c>
      <c r="DL28" s="314" t="n">
        <v>15.484</v>
      </c>
      <c r="DM28" s="325" t="n">
        <f aca="false">DL28-$U28</f>
        <v>-1.44054545454541</v>
      </c>
      <c r="DN28" s="325" t="n">
        <f aca="false">VLOOKUP(1900+$L28,ResidSpreadTable,3)</f>
        <v>-3</v>
      </c>
      <c r="DO28" s="337" t="n">
        <f aca="false">$V28+DN28</f>
        <v>13.9245454545454</v>
      </c>
      <c r="DP28" s="314" t="n">
        <v>14.734</v>
      </c>
      <c r="DQ28" s="325" t="n">
        <f aca="false">DP28-$U28</f>
        <v>-2.19054545454541</v>
      </c>
      <c r="DR28" s="325" t="n">
        <f aca="false">VLOOKUP(1900+$L28,ResidSpreadTable,4)</f>
        <v>-6</v>
      </c>
      <c r="DS28" s="337" t="n">
        <f aca="false">$V28+DR28</f>
        <v>10.9245454545454</v>
      </c>
      <c r="DT28" s="314" t="n">
        <v>16.184</v>
      </c>
      <c r="DU28" s="325" t="n">
        <f aca="false">DT28-$U28</f>
        <v>-0.740545454545408</v>
      </c>
      <c r="DV28" s="325" t="n">
        <f aca="false">VLOOKUP(1900+$L28,ResidSpreadTable,5)</f>
        <v>-5</v>
      </c>
      <c r="DW28" s="337" t="n">
        <f aca="false">$V28+DV28</f>
        <v>11.9245454545454</v>
      </c>
      <c r="DY28" s="374" t="n">
        <v>2015</v>
      </c>
      <c r="DZ28" s="375" t="n">
        <v>0.15</v>
      </c>
      <c r="EA28" s="376" t="n">
        <v>0.15</v>
      </c>
      <c r="EB28" s="375" t="n">
        <v>0.15</v>
      </c>
      <c r="EC28" s="376" t="n">
        <v>0.15</v>
      </c>
      <c r="ED28" s="377" t="n">
        <v>0.15</v>
      </c>
      <c r="EE28" s="378" t="n">
        <v>-0.03</v>
      </c>
      <c r="EF28" s="378" t="n">
        <v>0.03</v>
      </c>
    </row>
    <row r="29" customFormat="false" ht="12.75" hidden="false" customHeight="false" outlineLevel="0" collapsed="false">
      <c r="B29" s="371" t="n">
        <v>36434</v>
      </c>
      <c r="C29" s="372" t="n">
        <v>36424</v>
      </c>
      <c r="H29" s="265"/>
      <c r="I29" s="338" t="n">
        <f aca="false">EOMONTH(I28,0)+1</f>
        <v>46631</v>
      </c>
      <c r="J29" s="307" t="n">
        <f aca="false">VLOOKUP(I29,$B$12:$C$332,2)</f>
        <v>45644</v>
      </c>
      <c r="K29" s="339" t="n">
        <f aca="false">NETWORKDAYS(I29,J30)/N29</f>
        <v>-32.0909090909091</v>
      </c>
      <c r="L29" s="309" t="n">
        <f aca="false">YEAR(I29)-1900</f>
        <v>127</v>
      </c>
      <c r="M29" s="310" t="n">
        <f aca="false">MONTH(I29)</f>
        <v>9</v>
      </c>
      <c r="N29" s="340" t="n">
        <f aca="false">NETWORKDAYS(I29,I30-1)</f>
        <v>22</v>
      </c>
      <c r="O29" s="341" t="n">
        <f aca="false">I29-DateToday-IF(EuroExpDateToggle=1,3+IF(WEEKDAY(I29-1)=7,1,IF(WEEKDAY(I29-1)&lt;5,2,0)),1+IF(WEEKDAY(I29-1)=7,1,IF(WEEKDAY(I29-1)&lt;3,2,0)))</f>
        <v>700</v>
      </c>
      <c r="P29" s="342" t="n">
        <f aca="false">(I29-DateToday+1)/365.25</f>
        <v>1.93292265571526</v>
      </c>
      <c r="Q29" s="342" t="n">
        <f aca="false">(I30-DateToday)/365.25</f>
        <v>2.01232032854209</v>
      </c>
      <c r="R29" s="314" t="n">
        <v>20.77</v>
      </c>
      <c r="S29" s="347" t="n">
        <v>0</v>
      </c>
      <c r="T29" s="316" t="n">
        <f aca="false">R29+S29/100</f>
        <v>20.77</v>
      </c>
      <c r="U29" s="325" t="n">
        <f aca="false">R30*K29+R31*(1-K29)</f>
        <v>17.0100000000001</v>
      </c>
      <c r="V29" s="337" t="n">
        <f aca="false">T30*K29+T31*(1-K29)</f>
        <v>17.0100000000001</v>
      </c>
      <c r="W29" s="318" t="n">
        <v>0.228342940350695</v>
      </c>
      <c r="X29" s="319" t="n">
        <f aca="false">IF($I29-DateToday+1&gt;=$A$10,"",IF($I29-DateToday+1&lt;$A$5,1,MATCH($I29-DateToday+1,$A$5:$A$10)))</f>
        <v>5</v>
      </c>
      <c r="Y29" s="348" t="n">
        <f aca="false">IF($X29="",Y28^2/Y27,INDEX(B$5:B$10,$X29)^((INDEX($A$5:$A$10,$X29+1)-($I29-DateToday+1))/(INDEX($A$5:$A$10,$X29+1)-INDEX($A$5:$A$10,$X29)))/INDEX(B$5:B$10,$X29+1)^((INDEX($A$5:$A$10,$X29)-($I29-DateToday+1))/(INDEX($A$5:$A$10,$X29+1)-INDEX($A$5:$A$10,$X29))))</f>
        <v>0.0093191512202896</v>
      </c>
      <c r="Z29" s="348" t="n">
        <f aca="false">IF($X29="",Z28^2/Z27,INDEX(C$5:C$10,$X29)^((INDEX($A$5:$A$10,$X29+1)-($I29-DateToday+1))/(INDEX($A$5:$A$10,$X29+1)-INDEX($A$5:$A$10,$X29)))/INDEX(C$5:C$10,$X29+1)^((INDEX($A$5:$A$10,$X29)-($I29-DateToday+1))/(INDEX($A$5:$A$10,$X29+1)-INDEX($A$5:$A$10,$X29))))</f>
        <v>0.00507124792576949</v>
      </c>
      <c r="AA29" s="348" t="n">
        <f aca="false">IF($X29="",AA28^2/AA27,INDEX(D$5:D$10,$X29)^((INDEX($A$5:$A$10,$X29+1)-($I29-DateToday+1))/(INDEX($A$5:$A$10,$X29+1)-INDEX($A$5:$A$10,$X29)))/INDEX(D$5:D$10,$X29+1)^((INDEX($A$5:$A$10,$X29)-($I29-DateToday+1))/(INDEX($A$5:$A$10,$X29+1)-INDEX($A$5:$A$10,$X29))))</f>
        <v>0.00227146904882833</v>
      </c>
      <c r="AB29" s="348" t="n">
        <f aca="false">IF($X29="",AB28^2/AB27,INDEX(E$5:E$10,$X29)^((INDEX($A$5:$A$10,$X29+1)-($I29-DateToday+1))/(INDEX($A$5:$A$10,$X29+1)-INDEX($A$5:$A$10,$X29)))/INDEX(E$5:E$10,$X29+1)^((INDEX($A$5:$A$10,$X29)-($I29-DateToday+1))/(INDEX($A$5:$A$10,$X29+1)-INDEX($A$5:$A$10,$X29))))</f>
        <v>0.00511716547320047</v>
      </c>
      <c r="AC29" s="348" t="n">
        <f aca="false">IF($X29="",AC28^2/AC27,INDEX(F$5:F$10,$X29)^((INDEX($A$5:$A$10,$X29+1)-($I29-DateToday+1))/(INDEX($A$5:$A$10,$X29+1)-INDEX($A$5:$A$10,$X29)))/INDEX(F$5:F$10,$X29+1)^((INDEX($A$5:$A$10,$X29)-($I29-DateToday+1))/(INDEX($A$5:$A$10,$X29+1)-INDEX($A$5:$A$10,$X29))))</f>
        <v>0.0114245073271735</v>
      </c>
      <c r="AD29" s="348" t="n">
        <f aca="false">IF($X29="",AD28^2/AD27,INDEX(G$5:G$10,$X29)^((INDEX($A$5:$A$10,$X29+1)-($I29-DateToday+1))/(INDEX($A$5:$A$10,$X29+1)-INDEX($A$5:$A$10,$X29)))/INDEX(G$5:G$10,$X29+1)^((INDEX($A$5:$A$10,$X29)-($I29-DateToday+1))/(INDEX($A$5:$A$10,$X29+1)-INDEX($A$5:$A$10,$X29))))</f>
        <v>0.0209941838690684</v>
      </c>
      <c r="AE29" s="321" t="n">
        <v>0.070766397847746</v>
      </c>
      <c r="AF29" s="316" t="n">
        <f aca="false">(1+AE29/2)^(-2*(I30-DateToday)/365.25)</f>
        <v>0.869407625177456</v>
      </c>
      <c r="AG29" s="316" t="n">
        <f aca="false">AG28*(1+IF(AND(M29=1,L29&gt;YearStart),Escalation,0))</f>
        <v>1</v>
      </c>
      <c r="AH29" s="322" t="n">
        <f aca="false">IF(OR(DateStart&gt;=I30,DateEnd&lt;I29),0,Volume*AG29)</f>
        <v>0</v>
      </c>
      <c r="AI29" s="322" t="n">
        <f aca="false">AH29*AF29</f>
        <v>0</v>
      </c>
      <c r="AJ29" s="322" t="n">
        <f aca="false">IF(OR(DateStart2&gt;=I30,DateEnd2&lt;I29),0,VolumeSwaption*AG29)</f>
        <v>0</v>
      </c>
      <c r="AK29" s="322" t="n">
        <f aca="false">AJ29*AF29</f>
        <v>0</v>
      </c>
      <c r="AL29" s="316" t="str">
        <f aca="true">IF(AH29,OFFSET(BY29,0,HorizontalPriceOffset)+PriceSpreadAsian,"")</f>
        <v/>
      </c>
      <c r="AM29" s="316" t="str">
        <f aca="false">IF(AH29,Strike1/AL29-1,"")</f>
        <v/>
      </c>
      <c r="AN29" s="316" t="str">
        <f aca="false">IF(AH29,Strike2/AL29-1,"")</f>
        <v/>
      </c>
      <c r="AO29" s="323" t="str">
        <f aca="false">IF(AH29,IF(VolOverrideAsian,VolOverrideAsian,IF(ProductGroup=1,IF(Product&lt;3,DA30,DE30),W30)+VolSpreadAsian),"")</f>
        <v/>
      </c>
      <c r="AP29" s="323" t="str">
        <f aca="false">IF($AH29,$AO29+IF(SkewFlag=1,IF(AM29&gt;0,$AA29*MIN(AM29/10%,1)+($Z29-$AA29)*MAX(0,MIN(AM29/10%-1,1))+($Y29-$Z29)*MAX(0,AM29/10%-2),$AB29*MIN(-AM29/10%,1)+($AC29-$AB29)*MAX(0,MIN(-AM29/10%-1,1))+($AD29-$AC29)*MAX(0,-AM29/10%-2)),0),"")</f>
        <v/>
      </c>
      <c r="AQ29" s="323" t="str">
        <f aca="false">IF($AH29,$AO29+IF(SkewFlag=1,IF(AN29&gt;0,$AA29*MIN(AN29/10%,1)+($Z29-$AA29)*MAX(0,MIN(AN29/10%-1,1))+($Y29-$Z29)*MAX(0,AN29/10%-2),$AB29*MIN(-AN29/10%,1)+($AC29-$AB29)*MAX(0,MIN(-AN29/10%-1,1))+($AD29-$AC29)*MAX(0,-AN29/10%-2)),0),"")</f>
        <v/>
      </c>
      <c r="AR29" s="324" t="n">
        <f aca="false">IF(AH29,xASN(AL29,Strike1,AE29,AP29,0,N29,0,P29,Q29,IF(OptControl=4,0,1),0),0)</f>
        <v>0</v>
      </c>
      <c r="AS29" s="324" t="n">
        <f aca="false">IF(AH29,xASN(AL29,Strike1,AE29,AP29,0,N29,0,P29,Q29,IF(OptControl=4,0,1),1),0)</f>
        <v>0</v>
      </c>
      <c r="AT29" s="324" t="n">
        <f aca="false">IF(AH29,xASN(AL29,Strike1,AE29,AP29,0,N29,0,P29,Q29,IF(OptControl=4,0,1),2),0)</f>
        <v>0</v>
      </c>
      <c r="AU29" s="324" t="n">
        <f aca="false">IF(AH29,xASN(AL29,Strike1,AE29,AP29,0,N29,0,P29,Q29,IF(OptControl=4,0,1),3)/100,0)</f>
        <v>0</v>
      </c>
      <c r="AV29" s="324" t="n">
        <f aca="false">IF(AH29,xASN(AL29,Strike1,AE29,AP29,0,N29,0,P29-DaysForThetaCalculation/365.25,Q29-DaysForThetaCalculation/365.25,IF(OptControl=4,0,1),0)-xASN(AL29,Strike1,AE29,AP29,0,N29,0,P29,Q29,IF(OptControl=4,0,1),0),0)</f>
        <v>0</v>
      </c>
      <c r="AW29" s="324" t="n">
        <f aca="false">IF(AH29,xASN(AL29,Strike2,AE29,AQ29,0,N29,0,P29,Q29,IF(OptControl=3,1,0),0),0)</f>
        <v>0</v>
      </c>
      <c r="AX29" s="324" t="n">
        <f aca="false">IF(AH29,xASN(AL29,Strike2,AE29,AQ29,0,N29,0,P29,Q29,IF(OptControl=3,1,0),1),0)</f>
        <v>0</v>
      </c>
      <c r="AY29" s="324" t="n">
        <f aca="false">IF(AH29,xASN(AL29,Strike2,AE29,AQ29,0,N29,0,P29,Q29,IF(OptControl=3,1,0),2),0)</f>
        <v>0</v>
      </c>
      <c r="AZ29" s="324" t="n">
        <f aca="false">IF(AH29,xASN(AL29,Strike2,AE29,AQ29,0,N29,0,P29,Q29,IF(OptControl=3,1,0),3)/100,0)</f>
        <v>0</v>
      </c>
      <c r="BA29" s="324" t="n">
        <f aca="false">IF(AH29,xASN(AL29,Strike2,AE29,AQ29,0,N29,0,P29-DaysForThetaCalculation/365.25,Q29-DaysForThetaCalculation/365.25,IF(OptControl=3,1,0),0)-xASN(AL29,Strike2,AE29,AQ29,0,N29,0,P29,Q29,IF(OptControl=3,1,0),0),0)</f>
        <v>0</v>
      </c>
      <c r="BB29" s="325" t="str">
        <f aca="false">IF(AH29,IF(ProductGroup=1,IF(Product=1,BX29+PriceSpreadEuro,IF(Product=3,CK29+PriceSpreadEuro,"N/A")),"N/A"),"")</f>
        <v/>
      </c>
      <c r="BC29" s="316" t="str">
        <f aca="false">IF(AH29,Strike1/BB29-1,"")</f>
        <v/>
      </c>
      <c r="BD29" s="316" t="str">
        <f aca="false">IF(AH29,Strike2/BB29-1,"")</f>
        <v/>
      </c>
      <c r="BE29" s="326" t="str">
        <f aca="false">IF(AH29,IF(VolOverrideEuro,VolOverrideEuro,IF(ProductGroup=1,IF(Product&lt;3,DA29,DE29)+VolSpreadEuro,"N/A")),"")</f>
        <v/>
      </c>
      <c r="BF29" s="323" t="str">
        <f aca="false">IF($AH29,$BE29+IF(SkewFlag=1,IF(BC29&gt;0,$AA29*MIN(BC29/10%,1)+($Z29-$AA29)*MAX(0,MIN(BC29/10%-1,1))+($Y29-$Z29)*MAX(0,BC29/10%-2),$AB29*MIN(-BC29/10%,1)+($AC29-$AB29)*MAX(0,MIN(-BC29/10%-1,1))+($AD29-$AC29)*MAX(0,-BC29/10%-2)),0),"")</f>
        <v/>
      </c>
      <c r="BG29" s="323" t="str">
        <f aca="false">IF($AH29,$BE29+IF(SkewFlag=1,IF(BD29&gt;0,$AA29*MIN(BD29/10%,1)+($Z29-$AA29)*MAX(0,MIN(BD29/10%-1,1))+($Y29-$Z29)*MAX(0,BD29/10%-2),$AB29*MIN(-BD29/10%,1)+($AC29-$AB29)*MAX(0,MIN(-BD29/10%-1,1))+($AD29-$AC29)*MAX(0,-BD29/10%-2)),0),"")</f>
        <v/>
      </c>
      <c r="BH29" s="324" t="n">
        <f aca="false">IF(AH29,xEURO(BB29,Strike1,AE29,AE29,BF29,O29,IF(OptControl=4,0,1),0),0)</f>
        <v>0</v>
      </c>
      <c r="BI29" s="324" t="n">
        <f aca="false">IF(AH29,xEURO(BB29,Strike1,AE29,AE29,BF29,O29,IF(OptControl=4,0,1),1),0)</f>
        <v>0</v>
      </c>
      <c r="BJ29" s="324" t="n">
        <f aca="false">IF(AH29,xEURO(BB29,Strike1,AE29,AE29,BF29,O29,IF(OptControl=4,0,1),2),0)</f>
        <v>0</v>
      </c>
      <c r="BK29" s="324" t="n">
        <f aca="false">IF(AH29,xEURO(BB29,Strike1,AE29,AE29,BF29,O29,IF(OptControl=4,0,1),3)/100,0)</f>
        <v>0</v>
      </c>
      <c r="BL29" s="324" t="n">
        <f aca="false">IF(AH29,xEURO(BB29,Strike1,AE29,AE29,BF29,O29-DaysForThetaCalculation,IF(OptControl=4,0,1),0)-xEURO(BB29,Strike1,AE29,AE29,BF29,O29,IF(OptControl=4,0,1),0),0)</f>
        <v>0</v>
      </c>
      <c r="BM29" s="324" t="n">
        <f aca="false">IF(AH29,xEURO(BB29,Strike2,AE29,AE29,BG29,O29,IF(OptControl=3,1,0),0),0)</f>
        <v>0</v>
      </c>
      <c r="BN29" s="324" t="n">
        <f aca="false">IF(AH29,xEURO(BB29,Strike2,AE29,AE29,BG29,O29,IF(OptControl=3,1,0),1),0)</f>
        <v>0</v>
      </c>
      <c r="BO29" s="324" t="n">
        <f aca="false">IF(AH29,xEURO(BB29,Strike2,AE29,AE29,BG29,O29,IF(OptControl=3,1,0),2),0)</f>
        <v>0</v>
      </c>
      <c r="BP29" s="324" t="n">
        <f aca="false">IF(AH29,xEURO(BB29,Strike2,AE29,AE29,BG29,O29,IF(OptControl=3,1,0),3)/100,0)</f>
        <v>0</v>
      </c>
      <c r="BQ29" s="327" t="n">
        <f aca="false">IF(AH29,xEURO(BB29,Strike2,AE29,AE29,BG29,O29-DaysForThetaCalculation,IF(OptControl=3,1,0),0)-xEURO(BB29,Strike2,AE29,AE29,BG29,O29,IF(OptControl=3,1,0),0),0)</f>
        <v>0</v>
      </c>
      <c r="BR29" s="343"/>
      <c r="BS29" s="314" t="n">
        <v>26.573</v>
      </c>
      <c r="BT29" s="329" t="n">
        <f aca="false">BS29*100/42</f>
        <v>63.2690476190476</v>
      </c>
      <c r="BU29" s="329" t="n">
        <f aca="false">BS30-$U29</f>
        <v>13.1919999999999</v>
      </c>
      <c r="BV29" s="224"/>
      <c r="BW29" s="329" t="n">
        <f aca="false">BW17+VLOOKUP(1900+$L29,ProductSpreadTable,2)</f>
        <v>10.492</v>
      </c>
      <c r="BX29" s="329" t="n">
        <f aca="false">($V28+BW28)*100/42</f>
        <v>69.8836116264687</v>
      </c>
      <c r="BY29" s="332" t="n">
        <f aca="false">BX30</f>
        <v>65.4809523809526</v>
      </c>
      <c r="BZ29" s="314" t="n">
        <v>26.624</v>
      </c>
      <c r="CA29" s="329" t="n">
        <f aca="false">BZ29*100/42</f>
        <v>63.3904761904762</v>
      </c>
      <c r="CB29" s="329" t="n">
        <f aca="false">BZ29-$U29</f>
        <v>9.6139999999999</v>
      </c>
      <c r="CC29" s="329" t="n">
        <f aca="false">CC17+VLOOKUP(1900+$L29,ProductSpreadTable,3)</f>
        <v>12.843</v>
      </c>
      <c r="CD29" s="329" t="n">
        <f aca="false">($V29+CC29)*100/42</f>
        <v>71.0785714285716</v>
      </c>
      <c r="CE29" s="333" t="n">
        <f aca="false">CD29-BY29</f>
        <v>5.59761904761898</v>
      </c>
      <c r="CF29" s="314" t="n">
        <v>24.427</v>
      </c>
      <c r="CG29" s="329" t="n">
        <f aca="false">CF29*100/42</f>
        <v>58.1595238095238</v>
      </c>
      <c r="CH29" s="329" t="n">
        <f aca="false">CF30-$U29</f>
        <v>6.6609999999999</v>
      </c>
      <c r="CI29" s="224"/>
      <c r="CJ29" s="329" t="n">
        <f aca="false">CJ17+VLOOKUP(1900+$L29,ProductSpreadTable,4)</f>
        <v>9.82399999999996</v>
      </c>
      <c r="CK29" s="329" t="n">
        <f aca="false">($V28+CJ28)*100/42</f>
        <v>65.6645640074211</v>
      </c>
      <c r="CL29" s="329" t="n">
        <f aca="false">CK30</f>
        <v>63.8904761904764</v>
      </c>
      <c r="CM29" s="314" t="n">
        <v>22.42</v>
      </c>
      <c r="CN29" s="329" t="n">
        <f aca="false">CM29*100/42</f>
        <v>53.3809523809524</v>
      </c>
      <c r="CO29" s="329" t="n">
        <f aca="false">CM29-$U29</f>
        <v>5.4099999999999</v>
      </c>
      <c r="CP29" s="329" t="n">
        <f aca="false">CP17+VLOOKUP(1900+$L29,ProductSpreadTable,5)</f>
        <v>8.71099999999997</v>
      </c>
      <c r="CQ29" s="329" t="n">
        <f aca="false">($V29+CP29)*100/42</f>
        <v>61.2404761904764</v>
      </c>
      <c r="CR29" s="333" t="n">
        <f aca="false">CQ29-CL29</f>
        <v>-2.65000000000001</v>
      </c>
      <c r="CS29" s="314" t="n">
        <v>23.923</v>
      </c>
      <c r="CT29" s="329" t="n">
        <f aca="false">CS29*100/42</f>
        <v>56.9595238095238</v>
      </c>
      <c r="CU29" s="329" t="n">
        <f aca="false">CT29-CG30</f>
        <v>0.600000000000009</v>
      </c>
      <c r="CV29" s="329" t="n">
        <f aca="false">CV17+VLOOKUP(1900+$L29,ProductSpreadTable,6)</f>
        <v>0.749999999999994</v>
      </c>
      <c r="CW29" s="333" t="n">
        <f aca="false">CL29+CV29</f>
        <v>64.6404761904764</v>
      </c>
      <c r="CX29" s="318" t="n">
        <v>0.228</v>
      </c>
      <c r="CY29" s="326" t="n">
        <f aca="false">CX29-$W29</f>
        <v>-0.000342940350695015</v>
      </c>
      <c r="CZ29" s="326" t="n">
        <f aca="false">VLOOKUP(1900+$L29,ProductSpreadTable,7)</f>
        <v>-0.03</v>
      </c>
      <c r="DA29" s="365" t="n">
        <f aca="false">$W29+CZ29</f>
        <v>0.198342940350695</v>
      </c>
      <c r="DB29" s="318" t="n">
        <v>0.228</v>
      </c>
      <c r="DC29" s="326" t="n">
        <f aca="false">DB29-$W29</f>
        <v>-0.000342940350695015</v>
      </c>
      <c r="DD29" s="326" t="n">
        <f aca="false">VLOOKUP(1900+$L29,ProductSpreadTable,8)</f>
        <v>0.03</v>
      </c>
      <c r="DE29" s="365" t="n">
        <f aca="false">$W29+DD29</f>
        <v>0.258342940350695</v>
      </c>
      <c r="DG29" s="336"/>
      <c r="DH29" s="314" t="n">
        <v>17.363</v>
      </c>
      <c r="DI29" s="325" t="n">
        <f aca="false">DH29-$U29</f>
        <v>0.352999999999895</v>
      </c>
      <c r="DJ29" s="325" t="n">
        <f aca="false">VLOOKUP(1900+$L29,ResidSpreadTable,2)</f>
        <v>-2</v>
      </c>
      <c r="DK29" s="337" t="n">
        <f aca="false">$V29+DJ29</f>
        <v>15.0100000000001</v>
      </c>
      <c r="DL29" s="314" t="n">
        <v>15.363</v>
      </c>
      <c r="DM29" s="325" t="n">
        <f aca="false">DL29-$U29</f>
        <v>-1.64700000000011</v>
      </c>
      <c r="DN29" s="325" t="n">
        <f aca="false">VLOOKUP(1900+$L29,ResidSpreadTable,3)</f>
        <v>-3</v>
      </c>
      <c r="DO29" s="337" t="n">
        <f aca="false">$V29+DN29</f>
        <v>14.0100000000001</v>
      </c>
      <c r="DP29" s="314" t="n">
        <v>14.613</v>
      </c>
      <c r="DQ29" s="325" t="n">
        <f aca="false">DP29-$U29</f>
        <v>-2.39700000000011</v>
      </c>
      <c r="DR29" s="325" t="n">
        <f aca="false">VLOOKUP(1900+$L29,ResidSpreadTable,4)</f>
        <v>-6</v>
      </c>
      <c r="DS29" s="337" t="n">
        <f aca="false">$V29+DR29</f>
        <v>11.0100000000001</v>
      </c>
      <c r="DT29" s="314" t="n">
        <v>16.063</v>
      </c>
      <c r="DU29" s="325" t="n">
        <f aca="false">DT29-$U29</f>
        <v>-0.947000000000106</v>
      </c>
      <c r="DV29" s="325" t="n">
        <f aca="false">VLOOKUP(1900+$L29,ResidSpreadTable,5)</f>
        <v>-5</v>
      </c>
      <c r="DW29" s="337" t="n">
        <f aca="false">$V29+DV29</f>
        <v>12.0100000000001</v>
      </c>
    </row>
    <row r="30" customFormat="false" ht="12.75" hidden="false" customHeight="false" outlineLevel="0" collapsed="false">
      <c r="B30" s="371" t="n">
        <v>36465</v>
      </c>
      <c r="C30" s="372" t="n">
        <v>36453</v>
      </c>
      <c r="H30" s="265"/>
      <c r="I30" s="338" t="n">
        <f aca="false">EOMONTH(I29,0)+1</f>
        <v>46661</v>
      </c>
      <c r="J30" s="307" t="n">
        <f aca="false">VLOOKUP(I30,$B$12:$C$332,2)</f>
        <v>45644</v>
      </c>
      <c r="K30" s="339" t="n">
        <f aca="false">NETWORKDAYS(I30,J31)/N30</f>
        <v>-34.6666666666667</v>
      </c>
      <c r="L30" s="309" t="n">
        <f aca="false">YEAR(I30)-1900</f>
        <v>127</v>
      </c>
      <c r="M30" s="310" t="n">
        <f aca="false">MONTH(I30)</f>
        <v>10</v>
      </c>
      <c r="N30" s="340" t="n">
        <f aca="false">NETWORKDAYS(I30,I31-1)</f>
        <v>21</v>
      </c>
      <c r="O30" s="341" t="n">
        <f aca="false">I30-DateToday-IF(EuroExpDateToggle=1,3+IF(WEEKDAY(I30-1)=7,1,IF(WEEKDAY(I30-1)&lt;5,2,0)),1+IF(WEEKDAY(I30-1)=7,1,IF(WEEKDAY(I30-1)&lt;3,2,0)))</f>
        <v>732</v>
      </c>
      <c r="P30" s="342" t="n">
        <f aca="false">(I30-DateToday+1)/365.25</f>
        <v>2.01505817932923</v>
      </c>
      <c r="Q30" s="342" t="n">
        <f aca="false">(I31-DateToday)/365.25</f>
        <v>2.09719370294319</v>
      </c>
      <c r="R30" s="314" t="n">
        <v>20.65</v>
      </c>
      <c r="S30" s="347" t="n">
        <v>0</v>
      </c>
      <c r="T30" s="316" t="n">
        <f aca="false">R30+S30/100</f>
        <v>20.65</v>
      </c>
      <c r="U30" s="325" t="n">
        <f aca="false">R31*K30+R32*(1-K30)</f>
        <v>16.6166666666667</v>
      </c>
      <c r="V30" s="337" t="n">
        <f aca="false">T31*K30+T32*(1-K30)</f>
        <v>16.6166666666667</v>
      </c>
      <c r="W30" s="318" t="n">
        <v>0.226835576775641</v>
      </c>
      <c r="X30" s="319" t="str">
        <f aca="false">IF($I30-DateToday+1&gt;=$A$10,"",IF($I30-DateToday+1&lt;$A$5,1,MATCH($I30-DateToday+1,$A$5:$A$10)))</f>
        <v/>
      </c>
      <c r="Y30" s="348" t="n">
        <f aca="false">IF($X30="",Y29^2/Y28,INDEX(B$5:B$10,$X30)^((INDEX($A$5:$A$10,$X30+1)-($I30-DateToday+1))/(INDEX($A$5:$A$10,$X30+1)-INDEX($A$5:$A$10,$X30)))/INDEX(B$5:B$10,$X30+1)^((INDEX($A$5:$A$10,$X30)-($I30-DateToday+1))/(INDEX($A$5:$A$10,$X30+1)-INDEX($A$5:$A$10,$X30))))</f>
        <v>0.00911964236641447</v>
      </c>
      <c r="Z30" s="348" t="n">
        <f aca="false">IF($X30="",Z29^2/Z28,INDEX(C$5:C$10,$X30)^((INDEX($A$5:$A$10,$X30+1)-($I30-DateToday+1))/(INDEX($A$5:$A$10,$X30+1)-INDEX($A$5:$A$10,$X30)))/INDEX(C$5:C$10,$X30+1)^((INDEX($A$5:$A$10,$X30)-($I30-DateToday+1))/(INDEX($A$5:$A$10,$X30+1)-INDEX($A$5:$A$10,$X30))))</f>
        <v>0.00493610977300529</v>
      </c>
      <c r="AA30" s="348" t="n">
        <f aca="false">IF($X30="",AA29^2/AA28,INDEX(D$5:D$10,$X30)^((INDEX($A$5:$A$10,$X30+1)-($I30-DateToday+1))/(INDEX($A$5:$A$10,$X30+1)-INDEX($A$5:$A$10,$X30)))/INDEX(D$5:D$10,$X30+1)^((INDEX($A$5:$A$10,$X30)-($I30-DateToday+1))/(INDEX($A$5:$A$10,$X30+1)-INDEX($A$5:$A$10,$X30))))</f>
        <v>0.00220501030602098</v>
      </c>
      <c r="AB30" s="348" t="n">
        <f aca="false">IF($X30="",AB29^2/AB28,INDEX(E$5:E$10,$X30)^((INDEX($A$5:$A$10,$X30+1)-($I30-DateToday+1))/(INDEX($A$5:$A$10,$X30+1)-INDEX($A$5:$A$10,$X30)))/INDEX(E$5:E$10,$X30+1)^((INDEX($A$5:$A$10,$X30)-($I30-DateToday+1))/(INDEX($A$5:$A$10,$X30+1)-INDEX($A$5:$A$10,$X30))))</f>
        <v>0.00496744721740407</v>
      </c>
      <c r="AC30" s="348" t="n">
        <f aca="false">IF($X30="",AC29^2/AC28,INDEX(F$5:F$10,$X30)^((INDEX($A$5:$A$10,$X30+1)-($I30-DateToday+1))/(INDEX($A$5:$A$10,$X30+1)-INDEX($A$5:$A$10,$X30)))/INDEX(F$5:F$10,$X30+1)^((INDEX($A$5:$A$10,$X30)-($I30-DateToday+1))/(INDEX($A$5:$A$10,$X30+1)-INDEX($A$5:$A$10,$X30))))</f>
        <v>0.0111200680966263</v>
      </c>
      <c r="AD30" s="348" t="n">
        <f aca="false">IF($X30="",AD29^2/AD28,INDEX(G$5:G$10,$X30)^((INDEX($A$5:$A$10,$X30+1)-($I30-DateToday+1))/(INDEX($A$5:$A$10,$X30+1)-INDEX($A$5:$A$10,$X30)))/INDEX(G$5:G$10,$X30+1)^((INDEX($A$5:$A$10,$X30)-($I30-DateToday+1))/(INDEX($A$5:$A$10,$X30+1)-INDEX($A$5:$A$10,$X30))))</f>
        <v>0.0205447303230585</v>
      </c>
      <c r="AE30" s="321" t="n">
        <v>0.070927168841762</v>
      </c>
      <c r="AF30" s="316" t="n">
        <f aca="false">(1+AE30/2)^(-2*(I31-DateToday)/365.25)</f>
        <v>0.864009781924333</v>
      </c>
      <c r="AG30" s="316" t="n">
        <f aca="false">AG29*(1+IF(AND(M30=1,L30&gt;YearStart),Escalation,0))</f>
        <v>1</v>
      </c>
      <c r="AH30" s="322" t="n">
        <f aca="false">IF(OR(DateStart&gt;=I31,DateEnd&lt;I30),0,Volume*AG30)</f>
        <v>0</v>
      </c>
      <c r="AI30" s="322" t="n">
        <f aca="false">AH30*AF30</f>
        <v>0</v>
      </c>
      <c r="AJ30" s="322" t="n">
        <f aca="false">IF(OR(DateStart2&gt;=I31,DateEnd2&lt;I30),0,VolumeSwaption*AG30)</f>
        <v>0</v>
      </c>
      <c r="AK30" s="322" t="n">
        <f aca="false">AJ30*AF30</f>
        <v>0</v>
      </c>
      <c r="AL30" s="316" t="str">
        <f aca="true">IF(AH30,OFFSET(BY30,0,HorizontalPriceOffset)+PriceSpreadAsian,"")</f>
        <v/>
      </c>
      <c r="AM30" s="316" t="str">
        <f aca="false">IF(AH30,Strike1/AL30-1,"")</f>
        <v/>
      </c>
      <c r="AN30" s="316" t="str">
        <f aca="false">IF(AH30,Strike2/AL30-1,"")</f>
        <v/>
      </c>
      <c r="AO30" s="323" t="str">
        <f aca="false">IF(AH30,IF(VolOverrideAsian,VolOverrideAsian,IF(ProductGroup=1,IF(Product&lt;3,DA31,DE31),W31)+VolSpreadAsian),"")</f>
        <v/>
      </c>
      <c r="AP30" s="323" t="str">
        <f aca="false">IF($AH30,$AO30+IF(SkewFlag=1,IF(AM30&gt;0,$AA30*MIN(AM30/10%,1)+($Z30-$AA30)*MAX(0,MIN(AM30/10%-1,1))+($Y30-$Z30)*MAX(0,AM30/10%-2),$AB30*MIN(-AM30/10%,1)+($AC30-$AB30)*MAX(0,MIN(-AM30/10%-1,1))+($AD30-$AC30)*MAX(0,-AM30/10%-2)),0),"")</f>
        <v/>
      </c>
      <c r="AQ30" s="323" t="str">
        <f aca="false">IF($AH30,$AO30+IF(SkewFlag=1,IF(AN30&gt;0,$AA30*MIN(AN30/10%,1)+($Z30-$AA30)*MAX(0,MIN(AN30/10%-1,1))+($Y30-$Z30)*MAX(0,AN30/10%-2),$AB30*MIN(-AN30/10%,1)+($AC30-$AB30)*MAX(0,MIN(-AN30/10%-1,1))+($AD30-$AC30)*MAX(0,-AN30/10%-2)),0),"")</f>
        <v/>
      </c>
      <c r="AR30" s="324" t="n">
        <f aca="false">IF(AH30,xASN(AL30,Strike1,AE30,AP30,0,N30,0,P30,Q30,IF(OptControl=4,0,1),0),0)</f>
        <v>0</v>
      </c>
      <c r="AS30" s="324" t="n">
        <f aca="false">IF(AH30,xASN(AL30,Strike1,AE30,AP30,0,N30,0,P30,Q30,IF(OptControl=4,0,1),1),0)</f>
        <v>0</v>
      </c>
      <c r="AT30" s="324" t="n">
        <f aca="false">IF(AH30,xASN(AL30,Strike1,AE30,AP30,0,N30,0,P30,Q30,IF(OptControl=4,0,1),2),0)</f>
        <v>0</v>
      </c>
      <c r="AU30" s="324" t="n">
        <f aca="false">IF(AH30,xASN(AL30,Strike1,AE30,AP30,0,N30,0,P30,Q30,IF(OptControl=4,0,1),3)/100,0)</f>
        <v>0</v>
      </c>
      <c r="AV30" s="324" t="n">
        <f aca="false">IF(AH30,xASN(AL30,Strike1,AE30,AP30,0,N30,0,P30-DaysForThetaCalculation/365.25,Q30-DaysForThetaCalculation/365.25,IF(OptControl=4,0,1),0)-xASN(AL30,Strike1,AE30,AP30,0,N30,0,P30,Q30,IF(OptControl=4,0,1),0),0)</f>
        <v>0</v>
      </c>
      <c r="AW30" s="324" t="n">
        <f aca="false">IF(AH30,xASN(AL30,Strike2,AE30,AQ30,0,N30,0,P30,Q30,IF(OptControl=3,1,0),0),0)</f>
        <v>0</v>
      </c>
      <c r="AX30" s="324" t="n">
        <f aca="false">IF(AH30,xASN(AL30,Strike2,AE30,AQ30,0,N30,0,P30,Q30,IF(OptControl=3,1,0),1),0)</f>
        <v>0</v>
      </c>
      <c r="AY30" s="324" t="n">
        <f aca="false">IF(AH30,xASN(AL30,Strike2,AE30,AQ30,0,N30,0,P30,Q30,IF(OptControl=3,1,0),2),0)</f>
        <v>0</v>
      </c>
      <c r="AZ30" s="324" t="n">
        <f aca="false">IF(AH30,xASN(AL30,Strike2,AE30,AQ30,0,N30,0,P30,Q30,IF(OptControl=3,1,0),3)/100,0)</f>
        <v>0</v>
      </c>
      <c r="BA30" s="324" t="n">
        <f aca="false">IF(AH30,xASN(AL30,Strike2,AE30,AQ30,0,N30,0,P30-DaysForThetaCalculation/365.25,Q30-DaysForThetaCalculation/365.25,IF(OptControl=3,1,0),0)-xASN(AL30,Strike2,AE30,AQ30,0,N30,0,P30,Q30,IF(OptControl=3,1,0),0),0)</f>
        <v>0</v>
      </c>
      <c r="BB30" s="325" t="str">
        <f aca="false">IF(AH30,IF(ProductGroup=1,IF(Product=1,BX30+PriceSpreadEuro,IF(Product=3,CK30+PriceSpreadEuro,"N/A")),"N/A"),"")</f>
        <v/>
      </c>
      <c r="BC30" s="316" t="str">
        <f aca="false">IF(AH30,Strike1/BB30-1,"")</f>
        <v/>
      </c>
      <c r="BD30" s="316" t="str">
        <f aca="false">IF(AH30,Strike2/BB30-1,"")</f>
        <v/>
      </c>
      <c r="BE30" s="326" t="str">
        <f aca="false">IF(AH30,IF(VolOverrideEuro,VolOverrideEuro,IF(ProductGroup=1,IF(Product&lt;3,DA30,DE30)+VolSpreadEuro,"N/A")),"")</f>
        <v/>
      </c>
      <c r="BF30" s="323" t="str">
        <f aca="false">IF($AH30,$BE30+IF(SkewFlag=1,IF(BC30&gt;0,$AA30*MIN(BC30/10%,1)+($Z30-$AA30)*MAX(0,MIN(BC30/10%-1,1))+($Y30-$Z30)*MAX(0,BC30/10%-2),$AB30*MIN(-BC30/10%,1)+($AC30-$AB30)*MAX(0,MIN(-BC30/10%-1,1))+($AD30-$AC30)*MAX(0,-BC30/10%-2)),0),"")</f>
        <v/>
      </c>
      <c r="BG30" s="323" t="str">
        <f aca="false">IF($AH30,$BE30+IF(SkewFlag=1,IF(BD30&gt;0,$AA30*MIN(BD30/10%,1)+($Z30-$AA30)*MAX(0,MIN(BD30/10%-1,1))+($Y30-$Z30)*MAX(0,BD30/10%-2),$AB30*MIN(-BD30/10%,1)+($AC30-$AB30)*MAX(0,MIN(-BD30/10%-1,1))+($AD30-$AC30)*MAX(0,-BD30/10%-2)),0),"")</f>
        <v/>
      </c>
      <c r="BH30" s="324" t="n">
        <f aca="false">IF(AH30,xEURO(BB30,Strike1,AE30,AE30,BF30,O30,IF(OptControl=4,0,1),0),0)</f>
        <v>0</v>
      </c>
      <c r="BI30" s="324" t="n">
        <f aca="false">IF(AH30,xEURO(BB30,Strike1,AE30,AE30,BF30,O30,IF(OptControl=4,0,1),1),0)</f>
        <v>0</v>
      </c>
      <c r="BJ30" s="324" t="n">
        <f aca="false">IF(AH30,xEURO(BB30,Strike1,AE30,AE30,BF30,O30,IF(OptControl=4,0,1),2),0)</f>
        <v>0</v>
      </c>
      <c r="BK30" s="324" t="n">
        <f aca="false">IF(AH30,xEURO(BB30,Strike1,AE30,AE30,BF30,O30,IF(OptControl=4,0,1),3)/100,0)</f>
        <v>0</v>
      </c>
      <c r="BL30" s="324" t="n">
        <f aca="false">IF(AH30,xEURO(BB30,Strike1,AE30,AE30,BF30,O30-DaysForThetaCalculation,IF(OptControl=4,0,1),0)-xEURO(BB30,Strike1,AE30,AE30,BF30,O30,IF(OptControl=4,0,1),0),0)</f>
        <v>0</v>
      </c>
      <c r="BM30" s="324" t="n">
        <f aca="false">IF(AH30,xEURO(BB30,Strike2,AE30,AE30,BG30,O30,IF(OptControl=3,1,0),0),0)</f>
        <v>0</v>
      </c>
      <c r="BN30" s="324" t="n">
        <f aca="false">IF(AH30,xEURO(BB30,Strike2,AE30,AE30,BG30,O30,IF(OptControl=3,1,0),1),0)</f>
        <v>0</v>
      </c>
      <c r="BO30" s="324" t="n">
        <f aca="false">IF(AH30,xEURO(BB30,Strike2,AE30,AE30,BG30,O30,IF(OptControl=3,1,0),2),0)</f>
        <v>0</v>
      </c>
      <c r="BP30" s="324" t="n">
        <f aca="false">IF(AH30,xEURO(BB30,Strike2,AE30,AE30,BG30,O30,IF(OptControl=3,1,0),3)/100,0)</f>
        <v>0</v>
      </c>
      <c r="BQ30" s="327" t="n">
        <f aca="false">IF(AH30,xEURO(BB30,Strike2,AE30,AE30,BG30,O30-DaysForThetaCalculation,IF(OptControl=3,1,0),0)-xEURO(BB30,Strike2,AE30,AE30,BG30,O30,IF(OptControl=3,1,0),0),0)</f>
        <v>0</v>
      </c>
      <c r="BR30" s="343"/>
      <c r="BS30" s="314" t="n">
        <v>30.202</v>
      </c>
      <c r="BT30" s="329" t="n">
        <f aca="false">BS30*100/42</f>
        <v>71.9095238095238</v>
      </c>
      <c r="BU30" s="329" t="n">
        <f aca="false">BS31-$U30</f>
        <v>11.9773333333333</v>
      </c>
      <c r="BV30" s="224"/>
      <c r="BW30" s="329" t="n">
        <f aca="false">BW18+VLOOKUP(1900+$L30,ProductSpreadTable,2)</f>
        <v>20.724347826087</v>
      </c>
      <c r="BX30" s="329" t="n">
        <f aca="false">($V29+BW29)*100/42</f>
        <v>65.4809523809526</v>
      </c>
      <c r="BY30" s="332" t="n">
        <f aca="false">BX31</f>
        <v>88.9071773636991</v>
      </c>
      <c r="BZ30" s="314" t="n">
        <v>26.905</v>
      </c>
      <c r="CA30" s="329" t="n">
        <f aca="false">BZ30*100/42</f>
        <v>64.0595238095238</v>
      </c>
      <c r="CB30" s="329" t="n">
        <f aca="false">BZ30-$U30</f>
        <v>10.2883333333333</v>
      </c>
      <c r="CC30" s="329" t="n">
        <f aca="false">CC18+VLOOKUP(1900+$L30,ProductSpreadTable,3)</f>
        <v>18.099347826087</v>
      </c>
      <c r="CD30" s="329" t="n">
        <f aca="false">($V30+CC30)*100/42</f>
        <v>82.6571773636991</v>
      </c>
      <c r="CE30" s="333" t="n">
        <f aca="false">CD30-BY30</f>
        <v>-6.25</v>
      </c>
      <c r="CF30" s="314" t="n">
        <v>23.671</v>
      </c>
      <c r="CG30" s="329" t="n">
        <f aca="false">CF30*100/42</f>
        <v>56.3595238095238</v>
      </c>
      <c r="CH30" s="329" t="n">
        <f aca="false">CF31-$U30</f>
        <v>6.36533333333333</v>
      </c>
      <c r="CI30" s="224"/>
      <c r="CJ30" s="329" t="n">
        <f aca="false">CJ18+VLOOKUP(1900+$L30,ProductSpreadTable,4)</f>
        <v>8.51163636363634</v>
      </c>
      <c r="CK30" s="329" t="n">
        <f aca="false">($V29+CJ29)*100/42</f>
        <v>63.8904761904764</v>
      </c>
      <c r="CL30" s="329" t="n">
        <f aca="false">CK31</f>
        <v>59.8292929292929</v>
      </c>
      <c r="CM30" s="314" t="n">
        <v>22.058</v>
      </c>
      <c r="CN30" s="329" t="n">
        <f aca="false">CM30*100/42</f>
        <v>52.5190476190476</v>
      </c>
      <c r="CO30" s="329" t="n">
        <f aca="false">CM30-$U30</f>
        <v>5.44133333333333</v>
      </c>
      <c r="CP30" s="329" t="n">
        <f aca="false">CP18+VLOOKUP(1900+$L30,ProductSpreadTable,5)</f>
        <v>7.58763636363634</v>
      </c>
      <c r="CQ30" s="329" t="n">
        <f aca="false">($V30+CP30)*100/42</f>
        <v>57.6292929292929</v>
      </c>
      <c r="CR30" s="333" t="n">
        <f aca="false">CQ30-CL30</f>
        <v>-2.19999999999999</v>
      </c>
      <c r="CS30" s="314" t="n">
        <v>23.234</v>
      </c>
      <c r="CT30" s="329" t="n">
        <f aca="false">CS30*100/42</f>
        <v>55.3190476190476</v>
      </c>
      <c r="CU30" s="329" t="n">
        <f aca="false">CT30-CG31</f>
        <v>0.599999999999994</v>
      </c>
      <c r="CV30" s="329" t="n">
        <f aca="false">CV18+VLOOKUP(1900+$L30,ProductSpreadTable,6)</f>
        <v>0.749999999999994</v>
      </c>
      <c r="CW30" s="333" t="n">
        <f aca="false">CL30+CV30</f>
        <v>60.5792929292929</v>
      </c>
      <c r="CX30" s="318" t="n">
        <v>0.227</v>
      </c>
      <c r="CY30" s="326" t="n">
        <f aca="false">CX30-$W30</f>
        <v>0.000164423224358973</v>
      </c>
      <c r="CZ30" s="326" t="n">
        <f aca="false">VLOOKUP(1900+$L30,ProductSpreadTable,7)</f>
        <v>-0.03</v>
      </c>
      <c r="DA30" s="365" t="n">
        <f aca="false">$W30+CZ30</f>
        <v>0.196835576775641</v>
      </c>
      <c r="DB30" s="318" t="n">
        <v>0.227</v>
      </c>
      <c r="DC30" s="326" t="n">
        <f aca="false">DB30-$W30</f>
        <v>0.000164423224358973</v>
      </c>
      <c r="DD30" s="326" t="n">
        <f aca="false">VLOOKUP(1900+$L30,ProductSpreadTable,8)</f>
        <v>0.03</v>
      </c>
      <c r="DE30" s="365" t="n">
        <f aca="false">$W30+DD30</f>
        <v>0.256835576775641</v>
      </c>
      <c r="DG30" s="336"/>
      <c r="DH30" s="314" t="n">
        <v>17.26</v>
      </c>
      <c r="DI30" s="325" t="n">
        <f aca="false">DH30-$U30</f>
        <v>0.643333333333327</v>
      </c>
      <c r="DJ30" s="325" t="n">
        <f aca="false">VLOOKUP(1900+$L30,ResidSpreadTable,2)</f>
        <v>-2</v>
      </c>
      <c r="DK30" s="337" t="n">
        <f aca="false">$V30+DJ30</f>
        <v>14.6166666666667</v>
      </c>
      <c r="DL30" s="314" t="n">
        <v>15.26</v>
      </c>
      <c r="DM30" s="325" t="n">
        <f aca="false">DL30-$U30</f>
        <v>-1.35666666666667</v>
      </c>
      <c r="DN30" s="325" t="n">
        <f aca="false">VLOOKUP(1900+$L30,ResidSpreadTable,3)</f>
        <v>-3</v>
      </c>
      <c r="DO30" s="337" t="n">
        <f aca="false">$V30+DN30</f>
        <v>13.6166666666667</v>
      </c>
      <c r="DP30" s="314" t="n">
        <v>14.51</v>
      </c>
      <c r="DQ30" s="325" t="n">
        <f aca="false">DP30-$U30</f>
        <v>-2.10666666666667</v>
      </c>
      <c r="DR30" s="325" t="n">
        <f aca="false">VLOOKUP(1900+$L30,ResidSpreadTable,4)</f>
        <v>-6</v>
      </c>
      <c r="DS30" s="337" t="n">
        <f aca="false">$V30+DR30</f>
        <v>10.6166666666667</v>
      </c>
      <c r="DT30" s="314" t="n">
        <v>16.06</v>
      </c>
      <c r="DU30" s="325" t="n">
        <f aca="false">DT30-$U30</f>
        <v>-0.556666666666676</v>
      </c>
      <c r="DV30" s="325" t="n">
        <f aca="false">VLOOKUP(1900+$L30,ResidSpreadTable,5)</f>
        <v>-5</v>
      </c>
      <c r="DW30" s="337" t="n">
        <f aca="false">$V30+DV30</f>
        <v>11.6166666666667</v>
      </c>
      <c r="DY30" s="265"/>
      <c r="DZ30" s="265"/>
      <c r="EA30" s="265"/>
      <c r="EB30" s="265"/>
      <c r="EC30" s="265"/>
      <c r="ED30" s="379"/>
      <c r="EE30" s="379"/>
      <c r="EF30" s="379"/>
    </row>
    <row r="31" customFormat="false" ht="13.5" hidden="false" customHeight="false" outlineLevel="0" collapsed="false">
      <c r="B31" s="371" t="n">
        <v>36495</v>
      </c>
      <c r="C31" s="372" t="n">
        <v>36483</v>
      </c>
      <c r="I31" s="338" t="n">
        <f aca="false">EOMONTH(I30,0)+1</f>
        <v>46692</v>
      </c>
      <c r="J31" s="307" t="n">
        <f aca="false">VLOOKUP(I31,$B$12:$C$332,2)</f>
        <v>45644</v>
      </c>
      <c r="K31" s="339" t="n">
        <f aca="false">NETWORKDAYS(I31,J32)/N31</f>
        <v>-34.0454545454546</v>
      </c>
      <c r="L31" s="309" t="n">
        <f aca="false">YEAR(I31)-1900</f>
        <v>127</v>
      </c>
      <c r="M31" s="310" t="n">
        <f aca="false">MONTH(I31)</f>
        <v>11</v>
      </c>
      <c r="N31" s="340" t="n">
        <f aca="false">NETWORKDAYS(I31,I32-1)</f>
        <v>22</v>
      </c>
      <c r="O31" s="341" t="n">
        <f aca="false">I31-DateToday-IF(EuroExpDateToggle=1,3+IF(WEEKDAY(I31-1)=7,1,IF(WEEKDAY(I31-1)&lt;5,2,0)),1+IF(WEEKDAY(I31-1)=7,1,IF(WEEKDAY(I31-1)&lt;3,2,0)))</f>
        <v>761</v>
      </c>
      <c r="P31" s="342" t="n">
        <f aca="false">(I31-DateToday+1)/365.25</f>
        <v>2.09993155373032</v>
      </c>
      <c r="Q31" s="342" t="n">
        <f aca="false">(I32-DateToday)/365.25</f>
        <v>2.17932922655715</v>
      </c>
      <c r="R31" s="314" t="n">
        <v>20.54</v>
      </c>
      <c r="S31" s="347" t="n">
        <v>0</v>
      </c>
      <c r="T31" s="316" t="n">
        <f aca="false">R31+S31/100</f>
        <v>20.54</v>
      </c>
      <c r="U31" s="325" t="n">
        <f aca="false">R32*K31+R33*(1-K31)</f>
        <v>16.5749999999999</v>
      </c>
      <c r="V31" s="337" t="n">
        <f aca="false">T32*K31+T33*(1-K31)</f>
        <v>16.5749999999999</v>
      </c>
      <c r="W31" s="318" t="n">
        <v>0.226072148472829</v>
      </c>
      <c r="X31" s="319" t="str">
        <f aca="false">IF($I31-DateToday+1&gt;=$A$10,"",IF($I31-DateToday+1&lt;$A$5,1,MATCH($I31-DateToday+1,$A$5:$A$10)))</f>
        <v/>
      </c>
      <c r="Y31" s="348" t="n">
        <f aca="false">IF($X31="",Y30^2/Y29,INDEX(B$5:B$10,$X31)^((INDEX($A$5:$A$10,$X31+1)-($I31-DateToday+1))/(INDEX($A$5:$A$10,$X31+1)-INDEX($A$5:$A$10,$X31)))/INDEX(B$5:B$10,$X31+1)^((INDEX($A$5:$A$10,$X31)-($I31-DateToday+1))/(INDEX($A$5:$A$10,$X31+1)-INDEX($A$5:$A$10,$X31))))</f>
        <v>0.00892440469366236</v>
      </c>
      <c r="Z31" s="348" t="n">
        <f aca="false">IF($X31="",Z30^2/Z29,INDEX(C$5:C$10,$X31)^((INDEX($A$5:$A$10,$X31+1)-($I31-DateToday+1))/(INDEX($A$5:$A$10,$X31+1)-INDEX($A$5:$A$10,$X31)))/INDEX(C$5:C$10,$X31+1)^((INDEX($A$5:$A$10,$X31)-($I31-DateToday+1))/(INDEX($A$5:$A$10,$X31+1)-INDEX($A$5:$A$10,$X31))))</f>
        <v>0.00480457276942562</v>
      </c>
      <c r="AA31" s="348" t="n">
        <f aca="false">IF($X31="",AA30^2/AA29,INDEX(D$5:D$10,$X31)^((INDEX($A$5:$A$10,$X31+1)-($I31-DateToday+1))/(INDEX($A$5:$A$10,$X31+1)-INDEX($A$5:$A$10,$X31)))/INDEX(D$5:D$10,$X31+1)^((INDEX($A$5:$A$10,$X31)-($I31-DateToday+1))/(INDEX($A$5:$A$10,$X31+1)-INDEX($A$5:$A$10,$X31))))</f>
        <v>0.00214049601607678</v>
      </c>
      <c r="AB31" s="348" t="n">
        <f aca="false">IF($X31="",AB30^2/AB29,INDEX(E$5:E$10,$X31)^((INDEX($A$5:$A$10,$X31+1)-($I31-DateToday+1))/(INDEX($A$5:$A$10,$X31+1)-INDEX($A$5:$A$10,$X31)))/INDEX(E$5:E$10,$X31+1)^((INDEX($A$5:$A$10,$X31)-($I31-DateToday+1))/(INDEX($A$5:$A$10,$X31+1)-INDEX($A$5:$A$10,$X31))))</f>
        <v>0.00482210942501776</v>
      </c>
      <c r="AC31" s="348" t="n">
        <f aca="false">IF($X31="",AC30^2/AC29,INDEX(F$5:F$10,$X31)^((INDEX($A$5:$A$10,$X31+1)-($I31-DateToday+1))/(INDEX($A$5:$A$10,$X31+1)-INDEX($A$5:$A$10,$X31)))/INDEX(F$5:F$10,$X31+1)^((INDEX($A$5:$A$10,$X31)-($I31-DateToday+1))/(INDEX($A$5:$A$10,$X31+1)-INDEX($A$5:$A$10,$X31))))</f>
        <v>0.010823741534962</v>
      </c>
      <c r="AD31" s="348" t="n">
        <f aca="false">IF($X31="",AD30^2/AD29,INDEX(G$5:G$10,$X31)^((INDEX($A$5:$A$10,$X31+1)-($I31-DateToday+1))/(INDEX($A$5:$A$10,$X31+1)-INDEX($A$5:$A$10,$X31)))/INDEX(G$5:G$10,$X31+1)^((INDEX($A$5:$A$10,$X31)-($I31-DateToday+1))/(INDEX($A$5:$A$10,$X31+1)-INDEX($A$5:$A$10,$X31))))</f>
        <v>0.0201048988938826</v>
      </c>
      <c r="AE31" s="321" t="n">
        <v>0.071047395459357</v>
      </c>
      <c r="AF31" s="316" t="n">
        <f aca="false">(1+AE31/2)^(-2*(I32-DateToday)/365.25)</f>
        <v>0.858860351615802</v>
      </c>
      <c r="AG31" s="316" t="n">
        <f aca="false">AG30*(1+IF(AND(M31=1,L31&gt;YearStart),Escalation,0))</f>
        <v>1</v>
      </c>
      <c r="AH31" s="322" t="n">
        <f aca="false">IF(OR(DateStart&gt;=I32,DateEnd&lt;I31),0,Volume*AG31)</f>
        <v>0</v>
      </c>
      <c r="AI31" s="322" t="n">
        <f aca="false">AH31*AF31</f>
        <v>0</v>
      </c>
      <c r="AJ31" s="322" t="n">
        <f aca="false">IF(OR(DateStart2&gt;=I32,DateEnd2&lt;I31),0,VolumeSwaption*AG31)</f>
        <v>0</v>
      </c>
      <c r="AK31" s="322" t="n">
        <f aca="false">AJ31*AF31</f>
        <v>0</v>
      </c>
      <c r="AL31" s="316" t="str">
        <f aca="true">IF(AH31,OFFSET(BY31,0,HorizontalPriceOffset)+PriceSpreadAsian,"")</f>
        <v/>
      </c>
      <c r="AM31" s="316" t="str">
        <f aca="false">IF(AH31,Strike1/AL31-1,"")</f>
        <v/>
      </c>
      <c r="AN31" s="316" t="str">
        <f aca="false">IF(AH31,Strike2/AL31-1,"")</f>
        <v/>
      </c>
      <c r="AO31" s="323" t="str">
        <f aca="false">IF(AH31,IF(VolOverrideAsian,VolOverrideAsian,IF(ProductGroup=1,IF(Product&lt;3,DA32,DE32),W32)+VolSpreadAsian),"")</f>
        <v/>
      </c>
      <c r="AP31" s="323" t="str">
        <f aca="false">IF($AH31,$AO31+IF(SkewFlag=1,IF(AM31&gt;0,$AA31*MIN(AM31/10%,1)+($Z31-$AA31)*MAX(0,MIN(AM31/10%-1,1))+($Y31-$Z31)*MAX(0,AM31/10%-2),$AB31*MIN(-AM31/10%,1)+($AC31-$AB31)*MAX(0,MIN(-AM31/10%-1,1))+($AD31-$AC31)*MAX(0,-AM31/10%-2)),0),"")</f>
        <v/>
      </c>
      <c r="AQ31" s="323" t="str">
        <f aca="false">IF($AH31,$AO31+IF(SkewFlag=1,IF(AN31&gt;0,$AA31*MIN(AN31/10%,1)+($Z31-$AA31)*MAX(0,MIN(AN31/10%-1,1))+($Y31-$Z31)*MAX(0,AN31/10%-2),$AB31*MIN(-AN31/10%,1)+($AC31-$AB31)*MAX(0,MIN(-AN31/10%-1,1))+($AD31-$AC31)*MAX(0,-AN31/10%-2)),0),"")</f>
        <v/>
      </c>
      <c r="AR31" s="324" t="n">
        <f aca="false">IF(AH31,xASN(AL31,Strike1,AE31,AP31,0,N31,0,P31,Q31,IF(OptControl=4,0,1),0),0)</f>
        <v>0</v>
      </c>
      <c r="AS31" s="324" t="n">
        <f aca="false">IF(AH31,xASN(AL31,Strike1,AE31,AP31,0,N31,0,P31,Q31,IF(OptControl=4,0,1),1),0)</f>
        <v>0</v>
      </c>
      <c r="AT31" s="324" t="n">
        <f aca="false">IF(AH31,xASN(AL31,Strike1,AE31,AP31,0,N31,0,P31,Q31,IF(OptControl=4,0,1),2),0)</f>
        <v>0</v>
      </c>
      <c r="AU31" s="324" t="n">
        <f aca="false">IF(AH31,xASN(AL31,Strike1,AE31,AP31,0,N31,0,P31,Q31,IF(OptControl=4,0,1),3)/100,0)</f>
        <v>0</v>
      </c>
      <c r="AV31" s="324" t="n">
        <f aca="false">IF(AH31,xASN(AL31,Strike1,AE31,AP31,0,N31,0,P31-DaysForThetaCalculation/365.25,Q31-DaysForThetaCalculation/365.25,IF(OptControl=4,0,1),0)-xASN(AL31,Strike1,AE31,AP31,0,N31,0,P31,Q31,IF(OptControl=4,0,1),0),0)</f>
        <v>0</v>
      </c>
      <c r="AW31" s="324" t="n">
        <f aca="false">IF(AH31,xASN(AL31,Strike2,AE31,AQ31,0,N31,0,P31,Q31,IF(OptControl=3,1,0),0),0)</f>
        <v>0</v>
      </c>
      <c r="AX31" s="324" t="n">
        <f aca="false">IF(AH31,xASN(AL31,Strike2,AE31,AQ31,0,N31,0,P31,Q31,IF(OptControl=3,1,0),1),0)</f>
        <v>0</v>
      </c>
      <c r="AY31" s="324" t="n">
        <f aca="false">IF(AH31,xASN(AL31,Strike2,AE31,AQ31,0,N31,0,P31,Q31,IF(OptControl=3,1,0),2),0)</f>
        <v>0</v>
      </c>
      <c r="AZ31" s="324" t="n">
        <f aca="false">IF(AH31,xASN(AL31,Strike2,AE31,AQ31,0,N31,0,P31,Q31,IF(OptControl=3,1,0),3)/100,0)</f>
        <v>0</v>
      </c>
      <c r="BA31" s="324" t="n">
        <f aca="false">IF(AH31,xASN(AL31,Strike2,AE31,AQ31,0,N31,0,P31-DaysForThetaCalculation/365.25,Q31-DaysForThetaCalculation/365.25,IF(OptControl=3,1,0),0)-xASN(AL31,Strike2,AE31,AQ31,0,N31,0,P31,Q31,IF(OptControl=3,1,0),0),0)</f>
        <v>0</v>
      </c>
      <c r="BB31" s="325" t="str">
        <f aca="false">IF(AH31,IF(ProductGroup=1,IF(Product=1,BX31+PriceSpreadEuro,IF(Product=3,CK31+PriceSpreadEuro,"N/A")),"N/A"),"")</f>
        <v/>
      </c>
      <c r="BC31" s="316" t="str">
        <f aca="false">IF(AH31,Strike1/BB31-1,"")</f>
        <v/>
      </c>
      <c r="BD31" s="316" t="str">
        <f aca="false">IF(AH31,Strike2/BB31-1,"")</f>
        <v/>
      </c>
      <c r="BE31" s="326" t="str">
        <f aca="false">IF(AH31,IF(VolOverrideEuro,VolOverrideEuro,IF(ProductGroup=1,IF(Product&lt;3,DA31,DE31)+VolSpreadEuro,"N/A")),"")</f>
        <v/>
      </c>
      <c r="BF31" s="323" t="str">
        <f aca="false">IF($AH31,$BE31+IF(SkewFlag=1,IF(BC31&gt;0,$AA31*MIN(BC31/10%,1)+($Z31-$AA31)*MAX(0,MIN(BC31/10%-1,1))+($Y31-$Z31)*MAX(0,BC31/10%-2),$AB31*MIN(-BC31/10%,1)+($AC31-$AB31)*MAX(0,MIN(-BC31/10%-1,1))+($AD31-$AC31)*MAX(0,-BC31/10%-2)),0),"")</f>
        <v/>
      </c>
      <c r="BG31" s="323" t="str">
        <f aca="false">IF($AH31,$BE31+IF(SkewFlag=1,IF(BD31&gt;0,$AA31*MIN(BD31/10%,1)+($Z31-$AA31)*MAX(0,MIN(BD31/10%-1,1))+($Y31-$Z31)*MAX(0,BD31/10%-2),$AB31*MIN(-BD31/10%,1)+($AC31-$AB31)*MAX(0,MIN(-BD31/10%-1,1))+($AD31-$AC31)*MAX(0,-BD31/10%-2)),0),"")</f>
        <v/>
      </c>
      <c r="BH31" s="324" t="n">
        <f aca="false">IF(AH31,xEURO(BB31,Strike1,AE31,AE31,BF31,O31,IF(OptControl=4,0,1),0),0)</f>
        <v>0</v>
      </c>
      <c r="BI31" s="324" t="n">
        <f aca="false">IF(AH31,xEURO(BB31,Strike1,AE31,AE31,BF31,O31,IF(OptControl=4,0,1),1),0)</f>
        <v>0</v>
      </c>
      <c r="BJ31" s="324" t="n">
        <f aca="false">IF(AH31,xEURO(BB31,Strike1,AE31,AE31,BF31,O31,IF(OptControl=4,0,1),2),0)</f>
        <v>0</v>
      </c>
      <c r="BK31" s="324" t="n">
        <f aca="false">IF(AH31,xEURO(BB31,Strike1,AE31,AE31,BF31,O31,IF(OptControl=4,0,1),3)/100,0)</f>
        <v>0</v>
      </c>
      <c r="BL31" s="324" t="n">
        <f aca="false">IF(AH31,xEURO(BB31,Strike1,AE31,AE31,BF31,O31-DaysForThetaCalculation,IF(OptControl=4,0,1),0)-xEURO(BB31,Strike1,AE31,AE31,BF31,O31,IF(OptControl=4,0,1),0),0)</f>
        <v>0</v>
      </c>
      <c r="BM31" s="324" t="n">
        <f aca="false">IF(AH31,xEURO(BB31,Strike2,AE31,AE31,BG31,O31,IF(OptControl=3,1,0),0),0)</f>
        <v>0</v>
      </c>
      <c r="BN31" s="324" t="n">
        <f aca="false">IF(AH31,xEURO(BB31,Strike2,AE31,AE31,BG31,O31,IF(OptControl=3,1,0),1),0)</f>
        <v>0</v>
      </c>
      <c r="BO31" s="324" t="n">
        <f aca="false">IF(AH31,xEURO(BB31,Strike2,AE31,AE31,BG31,O31,IF(OptControl=3,1,0),2),0)</f>
        <v>0</v>
      </c>
      <c r="BP31" s="324" t="n">
        <f aca="false">IF(AH31,xEURO(BB31,Strike2,AE31,AE31,BG31,O31,IF(OptControl=3,1,0),3)/100,0)</f>
        <v>0</v>
      </c>
      <c r="BQ31" s="327" t="n">
        <f aca="false">IF(AH31,xEURO(BB31,Strike2,AE31,AE31,BG31,O31-DaysForThetaCalculation,IF(OptControl=3,1,0),0)-xEURO(BB31,Strike2,AE31,AE31,BG31,O31,IF(OptControl=3,1,0),0),0)</f>
        <v>0</v>
      </c>
      <c r="BR31" s="343"/>
      <c r="BS31" s="314" t="n">
        <v>28.594</v>
      </c>
      <c r="BT31" s="329" t="n">
        <f aca="false">BS31*100/42</f>
        <v>68.0809523809524</v>
      </c>
      <c r="BU31" s="329" t="n">
        <f aca="false">BS32-$U31</f>
        <v>11.3420000000001</v>
      </c>
      <c r="BV31" s="224"/>
      <c r="BW31" s="329" t="n">
        <f aca="false">BW19+VLOOKUP(1900+$L31,ProductSpreadTable,2)</f>
        <v>18.74</v>
      </c>
      <c r="BX31" s="329" t="n">
        <f aca="false">($V30+BW30)*100/42</f>
        <v>88.9071773636991</v>
      </c>
      <c r="BY31" s="332" t="n">
        <f aca="false">BX32</f>
        <v>84.0833333333331</v>
      </c>
      <c r="BZ31" s="314" t="n">
        <v>26.229</v>
      </c>
      <c r="CA31" s="329" t="n">
        <f aca="false">BZ31*100/42</f>
        <v>62.45</v>
      </c>
      <c r="CB31" s="329" t="n">
        <f aca="false">BZ31-$U31</f>
        <v>9.65400000000007</v>
      </c>
      <c r="CC31" s="329" t="n">
        <f aca="false">CC19+VLOOKUP(1900+$L31,ProductSpreadTable,3)</f>
        <v>16.115</v>
      </c>
      <c r="CD31" s="329" t="n">
        <f aca="false">($V31+CC31)*100/42</f>
        <v>77.8333333333331</v>
      </c>
      <c r="CE31" s="333" t="n">
        <f aca="false">CD31-BY31</f>
        <v>-6.25</v>
      </c>
      <c r="CF31" s="314" t="n">
        <v>22.982</v>
      </c>
      <c r="CG31" s="329" t="n">
        <f aca="false">CF31*100/42</f>
        <v>54.7190476190476</v>
      </c>
      <c r="CH31" s="329" t="n">
        <f aca="false">CF32-$U31</f>
        <v>5.90800000000007</v>
      </c>
      <c r="CI31" s="224"/>
      <c r="CJ31" s="329" t="n">
        <f aca="false">CJ19+VLOOKUP(1900+$L31,ProductSpreadTable,4)</f>
        <v>7.95552380952372</v>
      </c>
      <c r="CK31" s="329" t="n">
        <f aca="false">($V30+CJ30)*100/42</f>
        <v>59.8292929292929</v>
      </c>
      <c r="CL31" s="329" t="n">
        <f aca="false">CK32</f>
        <v>58.4060090702944</v>
      </c>
      <c r="CM31" s="314" t="n">
        <v>21.546</v>
      </c>
      <c r="CN31" s="329" t="n">
        <f aca="false">CM31*100/42</f>
        <v>51.3</v>
      </c>
      <c r="CO31" s="329" t="n">
        <f aca="false">CM31-$U31</f>
        <v>4.97100000000007</v>
      </c>
      <c r="CP31" s="329" t="n">
        <f aca="false">CP19+VLOOKUP(1900+$L31,ProductSpreadTable,5)</f>
        <v>7.03152380952372</v>
      </c>
      <c r="CQ31" s="329" t="n">
        <f aca="false">($V31+CP31)*100/42</f>
        <v>56.2060090702944</v>
      </c>
      <c r="CR31" s="333" t="n">
        <f aca="false">CQ31-CL31</f>
        <v>-2.19999999999998</v>
      </c>
      <c r="CS31" s="314" t="n">
        <v>22.609</v>
      </c>
      <c r="CT31" s="329" t="n">
        <f aca="false">CS31*100/42</f>
        <v>53.8309523809524</v>
      </c>
      <c r="CU31" s="329" t="n">
        <f aca="false">CT31-CG32</f>
        <v>0.299999999999997</v>
      </c>
      <c r="CV31" s="329" t="n">
        <f aca="false">CV19+VLOOKUP(1900+$L31,ProductSpreadTable,6)</f>
        <v>0.750000000000009</v>
      </c>
      <c r="CW31" s="333" t="n">
        <f aca="false">CL31+CV31</f>
        <v>59.1560090702944</v>
      </c>
      <c r="CX31" s="318" t="n">
        <v>0.226</v>
      </c>
      <c r="CY31" s="326" t="n">
        <f aca="false">CX31-$W31</f>
        <v>-7.21484728290756E-005</v>
      </c>
      <c r="CZ31" s="326" t="n">
        <f aca="false">VLOOKUP(1900+$L31,ProductSpreadTable,7)</f>
        <v>-0.03</v>
      </c>
      <c r="DA31" s="365" t="n">
        <f aca="false">$W31+CZ31</f>
        <v>0.196072148472829</v>
      </c>
      <c r="DB31" s="318" t="n">
        <v>0.226</v>
      </c>
      <c r="DC31" s="326" t="n">
        <f aca="false">DB31-$W31</f>
        <v>-7.21484728290756E-005</v>
      </c>
      <c r="DD31" s="326" t="n">
        <f aca="false">VLOOKUP(1900+$L31,ProductSpreadTable,8)</f>
        <v>0.03</v>
      </c>
      <c r="DE31" s="365" t="n">
        <f aca="false">$W31+DD31</f>
        <v>0.256072148472829</v>
      </c>
      <c r="DG31" s="336"/>
      <c r="DH31" s="314" t="n">
        <v>17.142</v>
      </c>
      <c r="DI31" s="325" t="n">
        <f aca="false">DH31-$U31</f>
        <v>0.567000000000068</v>
      </c>
      <c r="DJ31" s="325" t="n">
        <f aca="false">VLOOKUP(1900+$L31,ResidSpreadTable,2)</f>
        <v>-2</v>
      </c>
      <c r="DK31" s="337" t="n">
        <f aca="false">$V31+DJ31</f>
        <v>14.5749999999999</v>
      </c>
      <c r="DL31" s="314" t="n">
        <v>15.142</v>
      </c>
      <c r="DM31" s="325" t="n">
        <f aca="false">DL31-$U31</f>
        <v>-1.43299999999993</v>
      </c>
      <c r="DN31" s="325" t="n">
        <f aca="false">VLOOKUP(1900+$L31,ResidSpreadTable,3)</f>
        <v>-3</v>
      </c>
      <c r="DO31" s="337" t="n">
        <f aca="false">$V31+DN31</f>
        <v>13.5749999999999</v>
      </c>
      <c r="DP31" s="314" t="n">
        <v>14.392</v>
      </c>
      <c r="DQ31" s="325" t="n">
        <f aca="false">DP31-$U31</f>
        <v>-2.18299999999993</v>
      </c>
      <c r="DR31" s="325" t="n">
        <f aca="false">VLOOKUP(1900+$L31,ResidSpreadTable,4)</f>
        <v>-6</v>
      </c>
      <c r="DS31" s="337" t="n">
        <f aca="false">$V31+DR31</f>
        <v>10.5749999999999</v>
      </c>
      <c r="DT31" s="314" t="n">
        <v>15.942</v>
      </c>
      <c r="DU31" s="325" t="n">
        <f aca="false">DT31-$U31</f>
        <v>-0.632999999999932</v>
      </c>
      <c r="DV31" s="325" t="n">
        <f aca="false">VLOOKUP(1900+$L31,ResidSpreadTable,5)</f>
        <v>-5</v>
      </c>
      <c r="DW31" s="337" t="n">
        <f aca="false">$V31+DV31</f>
        <v>11.5749999999999</v>
      </c>
      <c r="ED31" s="379"/>
      <c r="EE31" s="379"/>
      <c r="EF31" s="379"/>
    </row>
    <row r="32" customFormat="false" ht="12.75" hidden="false" customHeight="false" outlineLevel="0" collapsed="false">
      <c r="B32" s="371" t="n">
        <v>36526</v>
      </c>
      <c r="C32" s="372" t="n">
        <v>36515</v>
      </c>
      <c r="I32" s="338" t="n">
        <f aca="false">EOMONTH(I31,0)+1</f>
        <v>46722</v>
      </c>
      <c r="J32" s="307" t="n">
        <f aca="false">VLOOKUP(I32,$B$12:$C$332,2)</f>
        <v>45644</v>
      </c>
      <c r="K32" s="339" t="n">
        <f aca="false">NETWORKDAYS(I32,J33)/N32</f>
        <v>-33.5217391304348</v>
      </c>
      <c r="L32" s="309" t="n">
        <f aca="false">YEAR(I32)-1900</f>
        <v>127</v>
      </c>
      <c r="M32" s="310" t="n">
        <f aca="false">MONTH(I32)</f>
        <v>12</v>
      </c>
      <c r="N32" s="340" t="n">
        <f aca="false">NETWORKDAYS(I32,I33-1)</f>
        <v>23</v>
      </c>
      <c r="O32" s="341" t="n">
        <f aca="false">I32-DateToday-IF(EuroExpDateToggle=1,3+IF(WEEKDAY(I32-1)=7,1,IF(WEEKDAY(I32-1)&lt;5,2,0)),1+IF(WEEKDAY(I32-1)=7,1,IF(WEEKDAY(I32-1)&lt;3,2,0)))</f>
        <v>791</v>
      </c>
      <c r="P32" s="342" t="n">
        <f aca="false">(I32-DateToday+1)/365.25</f>
        <v>2.18206707734428</v>
      </c>
      <c r="Q32" s="342" t="n">
        <f aca="false">(I33-DateToday)/365.25</f>
        <v>2.26420260095825</v>
      </c>
      <c r="R32" s="314" t="n">
        <v>20.43</v>
      </c>
      <c r="S32" s="347" t="n">
        <v>0</v>
      </c>
      <c r="T32" s="316" t="n">
        <f aca="false">R32+S32/100</f>
        <v>20.43</v>
      </c>
      <c r="U32" s="325" t="n">
        <f aca="false">R33*K32+R34*(1-K32)</f>
        <v>16.8678260869565</v>
      </c>
      <c r="V32" s="337" t="n">
        <f aca="false">T33*K32+T34*(1-K32)</f>
        <v>16.8678260869565</v>
      </c>
      <c r="W32" s="318" t="n">
        <v>0.22332009498595</v>
      </c>
      <c r="X32" s="319" t="str">
        <f aca="false">IF($I32-DateToday+1&gt;=$A$10,"",IF($I32-DateToday+1&lt;$A$5,1,MATCH($I32-DateToday+1,$A$5:$A$10)))</f>
        <v/>
      </c>
      <c r="Y32" s="348" t="n">
        <f aca="false">IF($X32="",Y31^2/Y30,INDEX(B$5:B$10,$X32)^((INDEX($A$5:$A$10,$X32+1)-($I32-DateToday+1))/(INDEX($A$5:$A$10,$X32+1)-INDEX($A$5:$A$10,$X32)))/INDEX(B$5:B$10,$X32+1)^((INDEX($A$5:$A$10,$X32)-($I32-DateToday+1))/(INDEX($A$5:$A$10,$X32+1)-INDEX($A$5:$A$10,$X32))))</f>
        <v>0.00873334676254157</v>
      </c>
      <c r="Z32" s="348" t="n">
        <f aca="false">IF($X32="",Z31^2/Z30,INDEX(C$5:C$10,$X32)^((INDEX($A$5:$A$10,$X32+1)-($I32-DateToday+1))/(INDEX($A$5:$A$10,$X32+1)-INDEX($A$5:$A$10,$X32)))/INDEX(C$5:C$10,$X32+1)^((INDEX($A$5:$A$10,$X32)-($I32-DateToday+1))/(INDEX($A$5:$A$10,$X32+1)-INDEX($A$5:$A$10,$X32))))</f>
        <v>0.00467654095193508</v>
      </c>
      <c r="AA32" s="348" t="n">
        <f aca="false">IF($X32="",AA31^2/AA30,INDEX(D$5:D$10,$X32)^((INDEX($A$5:$A$10,$X32+1)-($I32-DateToday+1))/(INDEX($A$5:$A$10,$X32+1)-INDEX($A$5:$A$10,$X32)))/INDEX(D$5:D$10,$X32+1)^((INDEX($A$5:$A$10,$X32)-($I32-DateToday+1))/(INDEX($A$5:$A$10,$X32+1)-INDEX($A$5:$A$10,$X32))))</f>
        <v>0.00207786928810706</v>
      </c>
      <c r="AB32" s="348" t="n">
        <f aca="false">IF($X32="",AB31^2/AB30,INDEX(E$5:E$10,$X32)^((INDEX($A$5:$A$10,$X32+1)-($I32-DateToday+1))/(INDEX($A$5:$A$10,$X32+1)-INDEX($A$5:$A$10,$X32)))/INDEX(E$5:E$10,$X32+1)^((INDEX($A$5:$A$10,$X32)-($I32-DateToday+1))/(INDEX($A$5:$A$10,$X32+1)-INDEX($A$5:$A$10,$X32))))</f>
        <v>0.00468102393224759</v>
      </c>
      <c r="AC32" s="348" t="n">
        <f aca="false">IF($X32="",AC31^2/AC30,INDEX(F$5:F$10,$X32)^((INDEX($A$5:$A$10,$X32+1)-($I32-DateToday+1))/(INDEX($A$5:$A$10,$X32+1)-INDEX($A$5:$A$10,$X32)))/INDEX(F$5:F$10,$X32+1)^((INDEX($A$5:$A$10,$X32)-($I32-DateToday+1))/(INDEX($A$5:$A$10,$X32+1)-INDEX($A$5:$A$10,$X32))))</f>
        <v>0.0105353114565194</v>
      </c>
      <c r="AD32" s="348" t="n">
        <f aca="false">IF($X32="",AD31^2/AD30,INDEX(G$5:G$10,$X32)^((INDEX($A$5:$A$10,$X32+1)-($I32-DateToday+1))/(INDEX($A$5:$A$10,$X32+1)-INDEX($A$5:$A$10,$X32)))/INDEX(G$5:G$10,$X32+1)^((INDEX($A$5:$A$10,$X32)-($I32-DateToday+1))/(INDEX($A$5:$A$10,$X32+1)-INDEX($A$5:$A$10,$X32))))</f>
        <v>0.0196744835866536</v>
      </c>
      <c r="AE32" s="321" t="n">
        <v>0.071171629635889</v>
      </c>
      <c r="AF32" s="316" t="n">
        <f aca="false">(1+AE32/2)^(-2*(I33-DateToday)/365.25)</f>
        <v>0.853554424063876</v>
      </c>
      <c r="AG32" s="316" t="n">
        <f aca="false">AG31*(1+IF(AND(M32=1,L32&gt;YearStart),Escalation,0))</f>
        <v>1</v>
      </c>
      <c r="AH32" s="322" t="n">
        <f aca="false">IF(OR(DateStart&gt;=I33,DateEnd&lt;I32),0,Volume*AG32)</f>
        <v>0</v>
      </c>
      <c r="AI32" s="322" t="n">
        <f aca="false">AH32*AF32</f>
        <v>0</v>
      </c>
      <c r="AJ32" s="322" t="n">
        <f aca="false">IF(OR(DateStart2&gt;=I33,DateEnd2&lt;I32),0,VolumeSwaption*AG32)</f>
        <v>0</v>
      </c>
      <c r="AK32" s="322" t="n">
        <f aca="false">AJ32*AF32</f>
        <v>0</v>
      </c>
      <c r="AL32" s="316" t="str">
        <f aca="true">IF(AH32,OFFSET(BY32,0,HorizontalPriceOffset)+PriceSpreadAsian,"")</f>
        <v/>
      </c>
      <c r="AM32" s="316" t="str">
        <f aca="false">IF(AH32,Strike1/AL32-1,"")</f>
        <v/>
      </c>
      <c r="AN32" s="316" t="str">
        <f aca="false">IF(AH32,Strike2/AL32-1,"")</f>
        <v/>
      </c>
      <c r="AO32" s="323" t="str">
        <f aca="false">IF(AH32,IF(VolOverrideAsian,VolOverrideAsian,IF(ProductGroup=1,IF(Product&lt;3,DA33,DE33),W33)+VolSpreadAsian),"")</f>
        <v/>
      </c>
      <c r="AP32" s="323" t="str">
        <f aca="false">IF($AH32,$AO32+IF(SkewFlag=1,IF(AM32&gt;0,$AA32*MIN(AM32/10%,1)+($Z32-$AA32)*MAX(0,MIN(AM32/10%-1,1))+($Y32-$Z32)*MAX(0,AM32/10%-2),$AB32*MIN(-AM32/10%,1)+($AC32-$AB32)*MAX(0,MIN(-AM32/10%-1,1))+($AD32-$AC32)*MAX(0,-AM32/10%-2)),0),"")</f>
        <v/>
      </c>
      <c r="AQ32" s="323" t="str">
        <f aca="false">IF($AH32,$AO32+IF(SkewFlag=1,IF(AN32&gt;0,$AA32*MIN(AN32/10%,1)+($Z32-$AA32)*MAX(0,MIN(AN32/10%-1,1))+($Y32-$Z32)*MAX(0,AN32/10%-2),$AB32*MIN(-AN32/10%,1)+($AC32-$AB32)*MAX(0,MIN(-AN32/10%-1,1))+($AD32-$AC32)*MAX(0,-AN32/10%-2)),0),"")</f>
        <v/>
      </c>
      <c r="AR32" s="324" t="n">
        <f aca="false">IF(AH32,xASN(AL32,Strike1,AE32,AP32,0,N32,0,P32,Q32,IF(OptControl=4,0,1),0),0)</f>
        <v>0</v>
      </c>
      <c r="AS32" s="324" t="n">
        <f aca="false">IF(AH32,xASN(AL32,Strike1,AE32,AP32,0,N32,0,P32,Q32,IF(OptControl=4,0,1),1),0)</f>
        <v>0</v>
      </c>
      <c r="AT32" s="324" t="n">
        <f aca="false">IF(AH32,xASN(AL32,Strike1,AE32,AP32,0,N32,0,P32,Q32,IF(OptControl=4,0,1),2),0)</f>
        <v>0</v>
      </c>
      <c r="AU32" s="324" t="n">
        <f aca="false">IF(AH32,xASN(AL32,Strike1,AE32,AP32,0,N32,0,P32,Q32,IF(OptControl=4,0,1),3)/100,0)</f>
        <v>0</v>
      </c>
      <c r="AV32" s="324" t="n">
        <f aca="false">IF(AH32,xASN(AL32,Strike1,AE32,AP32,0,N32,0,P32-DaysForThetaCalculation/365.25,Q32-DaysForThetaCalculation/365.25,IF(OptControl=4,0,1),0)-xASN(AL32,Strike1,AE32,AP32,0,N32,0,P32,Q32,IF(OptControl=4,0,1),0),0)</f>
        <v>0</v>
      </c>
      <c r="AW32" s="324" t="n">
        <f aca="false">IF(AH32,xASN(AL32,Strike2,AE32,AQ32,0,N32,0,P32,Q32,IF(OptControl=3,1,0),0),0)</f>
        <v>0</v>
      </c>
      <c r="AX32" s="324" t="n">
        <f aca="false">IF(AH32,xASN(AL32,Strike2,AE32,AQ32,0,N32,0,P32,Q32,IF(OptControl=3,1,0),1),0)</f>
        <v>0</v>
      </c>
      <c r="AY32" s="324" t="n">
        <f aca="false">IF(AH32,xASN(AL32,Strike2,AE32,AQ32,0,N32,0,P32,Q32,IF(OptControl=3,1,0),2),0)</f>
        <v>0</v>
      </c>
      <c r="AZ32" s="324" t="n">
        <f aca="false">IF(AH32,xASN(AL32,Strike2,AE32,AQ32,0,N32,0,P32,Q32,IF(OptControl=3,1,0),3)/100,0)</f>
        <v>0</v>
      </c>
      <c r="BA32" s="324" t="n">
        <f aca="false">IF(AH32,xASN(AL32,Strike2,AE32,AQ32,0,N32,0,P32-DaysForThetaCalculation/365.25,Q32-DaysForThetaCalculation/365.25,IF(OptControl=3,1,0),0)-xASN(AL32,Strike2,AE32,AQ32,0,N32,0,P32,Q32,IF(OptControl=3,1,0),0),0)</f>
        <v>0</v>
      </c>
      <c r="BB32" s="325" t="str">
        <f aca="false">IF(AH32,IF(ProductGroup=1,IF(Product=1,BX32+PriceSpreadEuro,IF(Product=3,CK32+PriceSpreadEuro,"N/A")),"N/A"),"")</f>
        <v/>
      </c>
      <c r="BC32" s="316" t="str">
        <f aca="false">IF(AH32,Strike1/BB32-1,"")</f>
        <v/>
      </c>
      <c r="BD32" s="316" t="str">
        <f aca="false">IF(AH32,Strike2/BB32-1,"")</f>
        <v/>
      </c>
      <c r="BE32" s="326" t="str">
        <f aca="false">IF(AH32,IF(VolOverrideEuro,VolOverrideEuro,IF(ProductGroup=1,IF(Product&lt;3,DA32,DE32)+VolSpreadEuro,"N/A")),"")</f>
        <v/>
      </c>
      <c r="BF32" s="323" t="str">
        <f aca="false">IF($AH32,$BE32+IF(SkewFlag=1,IF(BC32&gt;0,$AA32*MIN(BC32/10%,1)+($Z32-$AA32)*MAX(0,MIN(BC32/10%-1,1))+($Y32-$Z32)*MAX(0,BC32/10%-2),$AB32*MIN(-BC32/10%,1)+($AC32-$AB32)*MAX(0,MIN(-BC32/10%-1,1))+($AD32-$AC32)*MAX(0,-BC32/10%-2)),0),"")</f>
        <v/>
      </c>
      <c r="BG32" s="323" t="str">
        <f aca="false">IF($AH32,$BE32+IF(SkewFlag=1,IF(BD32&gt;0,$AA32*MIN(BD32/10%,1)+($Z32-$AA32)*MAX(0,MIN(BD32/10%-1,1))+($Y32-$Z32)*MAX(0,BD32/10%-2),$AB32*MIN(-BD32/10%,1)+($AC32-$AB32)*MAX(0,MIN(-BD32/10%-1,1))+($AD32-$AC32)*MAX(0,-BD32/10%-2)),0),"")</f>
        <v/>
      </c>
      <c r="BH32" s="324" t="n">
        <f aca="false">IF(AH32,xEURO(BB32,Strike1,AE32,AE32,BF32,O32,IF(OptControl=4,0,1),0),0)</f>
        <v>0</v>
      </c>
      <c r="BI32" s="324" t="n">
        <f aca="false">IF(AH32,xEURO(BB32,Strike1,AE32,AE32,BF32,O32,IF(OptControl=4,0,1),1),0)</f>
        <v>0</v>
      </c>
      <c r="BJ32" s="324" t="n">
        <f aca="false">IF(AH32,xEURO(BB32,Strike1,AE32,AE32,BF32,O32,IF(OptControl=4,0,1),2),0)</f>
        <v>0</v>
      </c>
      <c r="BK32" s="324" t="n">
        <f aca="false">IF(AH32,xEURO(BB32,Strike1,AE32,AE32,BF32,O32,IF(OptControl=4,0,1),3)/100,0)</f>
        <v>0</v>
      </c>
      <c r="BL32" s="324" t="n">
        <f aca="false">IF(AH32,xEURO(BB32,Strike1,AE32,AE32,BF32,O32-DaysForThetaCalculation,IF(OptControl=4,0,1),0)-xEURO(BB32,Strike1,AE32,AE32,BF32,O32,IF(OptControl=4,0,1),0),0)</f>
        <v>0</v>
      </c>
      <c r="BM32" s="324" t="n">
        <f aca="false">IF(AH32,xEURO(BB32,Strike2,AE32,AE32,BG32,O32,IF(OptControl=3,1,0),0),0)</f>
        <v>0</v>
      </c>
      <c r="BN32" s="324" t="n">
        <f aca="false">IF(AH32,xEURO(BB32,Strike2,AE32,AE32,BG32,O32,IF(OptControl=3,1,0),1),0)</f>
        <v>0</v>
      </c>
      <c r="BO32" s="324" t="n">
        <f aca="false">IF(AH32,xEURO(BB32,Strike2,AE32,AE32,BG32,O32,IF(OptControl=3,1,0),2),0)</f>
        <v>0</v>
      </c>
      <c r="BP32" s="324" t="n">
        <f aca="false">IF(AH32,xEURO(BB32,Strike2,AE32,AE32,BG32,O32,IF(OptControl=3,1,0),3)/100,0)</f>
        <v>0</v>
      </c>
      <c r="BQ32" s="327" t="n">
        <f aca="false">IF(AH32,xEURO(BB32,Strike2,AE32,AE32,BG32,O32-DaysForThetaCalculation,IF(OptControl=3,1,0),0)-xEURO(BB32,Strike2,AE32,AE32,BG32,O32,IF(OptControl=3,1,0),0),0)</f>
        <v>0</v>
      </c>
      <c r="BR32" s="343"/>
      <c r="BS32" s="314" t="n">
        <v>27.917</v>
      </c>
      <c r="BT32" s="329" t="n">
        <f aca="false">BS32*100/42</f>
        <v>66.4690476190476</v>
      </c>
      <c r="BU32" s="329" t="n">
        <f aca="false">BS33-$U32</f>
        <v>10.5161739130435</v>
      </c>
      <c r="BV32" s="224"/>
      <c r="BW32" s="329" t="n">
        <f aca="false">BW20+VLOOKUP(1900+$L32,ProductSpreadTable,2)</f>
        <v>14.8439565217392</v>
      </c>
      <c r="BX32" s="329" t="n">
        <f aca="false">($V31+BW31)*100/42</f>
        <v>84.0833333333331</v>
      </c>
      <c r="BY32" s="332" t="n">
        <f aca="false">BX33</f>
        <v>75.5042443064183</v>
      </c>
      <c r="BZ32" s="314" t="n">
        <v>25.696</v>
      </c>
      <c r="CA32" s="329" t="n">
        <f aca="false">BZ32*100/42</f>
        <v>61.1809523809524</v>
      </c>
      <c r="CB32" s="329" t="n">
        <f aca="false">BZ32-$U32</f>
        <v>8.82817391304351</v>
      </c>
      <c r="CC32" s="329" t="n">
        <f aca="false">CC20+VLOOKUP(1900+$L32,ProductSpreadTable,3)</f>
        <v>12.2189565217392</v>
      </c>
      <c r="CD32" s="329" t="n">
        <f aca="false">($V32+CC32)*100/42</f>
        <v>69.2542443064183</v>
      </c>
      <c r="CE32" s="333" t="n">
        <f aca="false">CD32-BY32</f>
        <v>-6.25</v>
      </c>
      <c r="CF32" s="314" t="n">
        <v>22.483</v>
      </c>
      <c r="CG32" s="329" t="n">
        <f aca="false">CF32*100/42</f>
        <v>53.5309523809524</v>
      </c>
      <c r="CH32" s="329" t="n">
        <f aca="false">CF33-$U32</f>
        <v>5.57717391304352</v>
      </c>
      <c r="CI32" s="224"/>
      <c r="CJ32" s="329" t="n">
        <f aca="false">CJ20+VLOOKUP(1900+$L32,ProductSpreadTable,4)</f>
        <v>7.30800000000003</v>
      </c>
      <c r="CK32" s="329" t="n">
        <f aca="false">($V31+CJ31)*100/42</f>
        <v>58.4060090702944</v>
      </c>
      <c r="CL32" s="329" t="n">
        <f aca="false">CK33</f>
        <v>57.5614906832298</v>
      </c>
      <c r="CM32" s="314" t="n">
        <v>21.525</v>
      </c>
      <c r="CN32" s="329" t="n">
        <f aca="false">CM32*100/42</f>
        <v>51.25</v>
      </c>
      <c r="CO32" s="329" t="n">
        <f aca="false">CM32-$U32</f>
        <v>4.65717391304352</v>
      </c>
      <c r="CP32" s="329" t="n">
        <f aca="false">CP20+VLOOKUP(1900+$L32,ProductSpreadTable,5)</f>
        <v>6.38400000000002</v>
      </c>
      <c r="CQ32" s="329" t="n">
        <f aca="false">($V32+CP32)*100/42</f>
        <v>55.3614906832298</v>
      </c>
      <c r="CR32" s="333" t="n">
        <f aca="false">CQ32-CL32</f>
        <v>-2.20000000000001</v>
      </c>
      <c r="CS32" s="314" t="n">
        <v>22.571</v>
      </c>
      <c r="CT32" s="329" t="n">
        <f aca="false">CS32*100/42</f>
        <v>53.7404761904762</v>
      </c>
      <c r="CU32" s="329" t="n">
        <f aca="false">CT32-CG33</f>
        <v>0.299999999999997</v>
      </c>
      <c r="CV32" s="329" t="n">
        <f aca="false">CV20+VLOOKUP(1900+$L32,ProductSpreadTable,6)</f>
        <v>0.749999999999994</v>
      </c>
      <c r="CW32" s="333" t="n">
        <f aca="false">CL32+CV32</f>
        <v>58.3114906832298</v>
      </c>
      <c r="CX32" s="318" t="n">
        <v>0.223</v>
      </c>
      <c r="CY32" s="326" t="n">
        <f aca="false">CX32-$W32</f>
        <v>-0.000320094985950037</v>
      </c>
      <c r="CZ32" s="326" t="n">
        <f aca="false">VLOOKUP(1900+$L32,ProductSpreadTable,7)</f>
        <v>-0.03</v>
      </c>
      <c r="DA32" s="365" t="n">
        <f aca="false">$W32+CZ32</f>
        <v>0.19332009498595</v>
      </c>
      <c r="DB32" s="318" t="n">
        <v>0.223</v>
      </c>
      <c r="DC32" s="326" t="n">
        <f aca="false">DB32-$W32</f>
        <v>-0.000320094985950037</v>
      </c>
      <c r="DD32" s="326" t="n">
        <f aca="false">VLOOKUP(1900+$L32,ProductSpreadTable,8)</f>
        <v>0.03</v>
      </c>
      <c r="DE32" s="365" t="n">
        <f aca="false">$W32+DD32</f>
        <v>0.25332009498595</v>
      </c>
      <c r="DG32" s="336"/>
      <c r="DH32" s="314" t="n">
        <v>17.04</v>
      </c>
      <c r="DI32" s="325" t="n">
        <f aca="false">DH32-$U32</f>
        <v>0.172173913043515</v>
      </c>
      <c r="DJ32" s="325" t="n">
        <f aca="false">VLOOKUP(1900+$L32,ResidSpreadTable,2)</f>
        <v>-2</v>
      </c>
      <c r="DK32" s="337" t="n">
        <f aca="false">$V32+DJ32</f>
        <v>14.8678260869565</v>
      </c>
      <c r="DL32" s="314" t="n">
        <v>15.04</v>
      </c>
      <c r="DM32" s="325" t="n">
        <f aca="false">DL32-$U32</f>
        <v>-1.82782608695648</v>
      </c>
      <c r="DN32" s="325" t="n">
        <f aca="false">VLOOKUP(1900+$L32,ResidSpreadTable,3)</f>
        <v>-3</v>
      </c>
      <c r="DO32" s="337" t="n">
        <f aca="false">$V32+DN32</f>
        <v>13.8678260869565</v>
      </c>
      <c r="DP32" s="314" t="n">
        <v>14.29</v>
      </c>
      <c r="DQ32" s="325" t="n">
        <f aca="false">DP32-$U32</f>
        <v>-2.57782608695648</v>
      </c>
      <c r="DR32" s="325" t="n">
        <f aca="false">VLOOKUP(1900+$L32,ResidSpreadTable,4)</f>
        <v>-6</v>
      </c>
      <c r="DS32" s="337" t="n">
        <f aca="false">$V32+DR32</f>
        <v>10.8678260869565</v>
      </c>
      <c r="DT32" s="314" t="n">
        <v>15.84</v>
      </c>
      <c r="DU32" s="325" t="n">
        <f aca="false">DT32-$U32</f>
        <v>-1.02782608695648</v>
      </c>
      <c r="DV32" s="325" t="n">
        <f aca="false">VLOOKUP(1900+$L32,ResidSpreadTable,5)</f>
        <v>-5</v>
      </c>
      <c r="DW32" s="337" t="n">
        <f aca="false">$V32+DV32</f>
        <v>11.8678260869565</v>
      </c>
      <c r="DY32" s="380" t="s">
        <v>188</v>
      </c>
      <c r="DZ32" s="380"/>
      <c r="EA32" s="380"/>
      <c r="EB32" s="380"/>
      <c r="EC32" s="380"/>
      <c r="ED32" s="275"/>
      <c r="EE32" s="275"/>
      <c r="EF32" s="275"/>
    </row>
    <row r="33" customFormat="false" ht="12.75" hidden="false" customHeight="false" outlineLevel="0" collapsed="false">
      <c r="B33" s="371" t="n">
        <v>36557</v>
      </c>
      <c r="C33" s="372" t="n">
        <v>36545</v>
      </c>
      <c r="I33" s="338" t="n">
        <f aca="false">EOMONTH(I32,0)+1</f>
        <v>46753</v>
      </c>
      <c r="J33" s="307" t="n">
        <f aca="false">VLOOKUP(I33,$B$12:$C$332,2)</f>
        <v>45644</v>
      </c>
      <c r="K33" s="339" t="n">
        <f aca="false">NETWORKDAYS(I33,J34)/N33</f>
        <v>-37.7619047619048</v>
      </c>
      <c r="L33" s="309" t="n">
        <f aca="false">YEAR(I33)-1900</f>
        <v>128</v>
      </c>
      <c r="M33" s="310" t="n">
        <f aca="false">MONTH(I33)</f>
        <v>1</v>
      </c>
      <c r="N33" s="340" t="n">
        <f aca="false">NETWORKDAYS(I33,I34-1)</f>
        <v>21</v>
      </c>
      <c r="O33" s="341" t="n">
        <f aca="false">I33-DateToday-IF(EuroExpDateToggle=1,3+IF(WEEKDAY(I33-1)=7,1,IF(WEEKDAY(I33-1)&lt;5,2,0)),1+IF(WEEKDAY(I33-1)=7,1,IF(WEEKDAY(I33-1)&lt;3,2,0)))</f>
        <v>824</v>
      </c>
      <c r="P33" s="342" t="n">
        <f aca="false">(I33-DateToday+1)/365.25</f>
        <v>2.26694045174538</v>
      </c>
      <c r="Q33" s="342" t="n">
        <f aca="false">(I34-DateToday)/365.25</f>
        <v>2.34907597535934</v>
      </c>
      <c r="R33" s="314" t="n">
        <v>20.32</v>
      </c>
      <c r="S33" s="347" t="n">
        <v>0</v>
      </c>
      <c r="T33" s="316" t="n">
        <f aca="false">R33+S33/100</f>
        <v>20.32</v>
      </c>
      <c r="U33" s="325" t="n">
        <f aca="false">R34*K33+R35*(1-K33)</f>
        <v>16.3438095238096</v>
      </c>
      <c r="V33" s="337" t="n">
        <f aca="false">T34*K33+T35*(1-K33)</f>
        <v>16.3438095238096</v>
      </c>
      <c r="W33" s="318" t="n">
        <v>0.221870583010342</v>
      </c>
      <c r="X33" s="319" t="str">
        <f aca="false">IF($I33-DateToday+1&gt;=$A$10,"",IF($I33-DateToday+1&lt;$A$5,1,MATCH($I33-DateToday+1,$A$5:$A$10)))</f>
        <v/>
      </c>
      <c r="Y33" s="348" t="n">
        <f aca="false">IF($X33="",Y32^2/Y31,INDEX(B$5:B$10,$X33)^((INDEX($A$5:$A$10,$X33+1)-($I33-DateToday+1))/(INDEX($A$5:$A$10,$X33+1)-INDEX($A$5:$A$10,$X33)))/INDEX(B$5:B$10,$X33+1)^((INDEX($A$5:$A$10,$X33)-($I33-DateToday+1))/(INDEX($A$5:$A$10,$X33+1)-INDEX($A$5:$A$10,$X33))))</f>
        <v>0.00854637909114085</v>
      </c>
      <c r="Z33" s="348" t="n">
        <f aca="false">IF($X33="",Z32^2/Z31,INDEX(C$5:C$10,$X33)^((INDEX($A$5:$A$10,$X33+1)-($I33-DateToday+1))/(INDEX($A$5:$A$10,$X33+1)-INDEX($A$5:$A$10,$X33)))/INDEX(C$5:C$10,$X33+1)^((INDEX($A$5:$A$10,$X33)-($I33-DateToday+1))/(INDEX($A$5:$A$10,$X33+1)-INDEX($A$5:$A$10,$X33))))</f>
        <v>0.00455192091465407</v>
      </c>
      <c r="AA33" s="348" t="n">
        <f aca="false">IF($X33="",AA32^2/AA31,INDEX(D$5:D$10,$X33)^((INDEX($A$5:$A$10,$X33+1)-($I33-DateToday+1))/(INDEX($A$5:$A$10,$X33+1)-INDEX($A$5:$A$10,$X33)))/INDEX(D$5:D$10,$X33+1)^((INDEX($A$5:$A$10,$X33)-($I33-DateToday+1))/(INDEX($A$5:$A$10,$X33+1)-INDEX($A$5:$A$10,$X33))))</f>
        <v>0.00201707489573934</v>
      </c>
      <c r="AB33" s="348" t="n">
        <f aca="false">IF($X33="",AB32^2/AB31,INDEX(E$5:E$10,$X33)^((INDEX($A$5:$A$10,$X33+1)-($I33-DateToday+1))/(INDEX($A$5:$A$10,$X33+1)-INDEX($A$5:$A$10,$X33)))/INDEX(E$5:E$10,$X33+1)^((INDEX($A$5:$A$10,$X33)-($I33-DateToday+1))/(INDEX($A$5:$A$10,$X33+1)-INDEX($A$5:$A$10,$X33))))</f>
        <v>0.0045440663251216</v>
      </c>
      <c r="AC33" s="348" t="n">
        <f aca="false">IF($X33="",AC32^2/AC31,INDEX(F$5:F$10,$X33)^((INDEX($A$5:$A$10,$X33+1)-($I33-DateToday+1))/(INDEX($A$5:$A$10,$X33+1)-INDEX($A$5:$A$10,$X33)))/INDEX(F$5:F$10,$X33+1)^((INDEX($A$5:$A$10,$X33)-($I33-DateToday+1))/(INDEX($A$5:$A$10,$X33+1)-INDEX($A$5:$A$10,$X33))))</f>
        <v>0.0102545674365327</v>
      </c>
      <c r="AD33" s="348" t="n">
        <f aca="false">IF($X33="",AD32^2/AD31,INDEX(G$5:G$10,$X33)^((INDEX($A$5:$A$10,$X33+1)-($I33-DateToday+1))/(INDEX($A$5:$A$10,$X33+1)-INDEX($A$5:$A$10,$X33)))/INDEX(G$5:G$10,$X33+1)^((INDEX($A$5:$A$10,$X33)-($I33-DateToday+1))/(INDEX($A$5:$A$10,$X33+1)-INDEX($A$5:$A$10,$X33))))</f>
        <v>0.0192532828165221</v>
      </c>
      <c r="AE33" s="321" t="n">
        <v>0.071281437036359</v>
      </c>
      <c r="AF33" s="316" t="n">
        <f aca="false">(1+AE33/2)^(-2*(I34-DateToday)/365.25)</f>
        <v>0.848291774067054</v>
      </c>
      <c r="AG33" s="316" t="n">
        <f aca="false">AG32*(1+IF(AND(M33=1,L33&gt;YearStart),Escalation,0))</f>
        <v>1</v>
      </c>
      <c r="AH33" s="322" t="n">
        <f aca="false">IF(OR(DateStart&gt;=I34,DateEnd&lt;I33),0,Volume*AG33)</f>
        <v>0</v>
      </c>
      <c r="AI33" s="322" t="n">
        <f aca="false">AH33*AF33</f>
        <v>0</v>
      </c>
      <c r="AJ33" s="322" t="n">
        <f aca="false">IF(OR(DateStart2&gt;=I34,DateEnd2&lt;I33),0,VolumeSwaption*AG33)</f>
        <v>0</v>
      </c>
      <c r="AK33" s="322" t="n">
        <f aca="false">AJ33*AF33</f>
        <v>0</v>
      </c>
      <c r="AL33" s="316" t="str">
        <f aca="true">IF(AH33,OFFSET(BY33,0,HorizontalPriceOffset)+PriceSpreadAsian,"")</f>
        <v/>
      </c>
      <c r="AM33" s="316" t="str">
        <f aca="false">IF(AH33,Strike1/AL33-1,"")</f>
        <v/>
      </c>
      <c r="AN33" s="316" t="str">
        <f aca="false">IF(AH33,Strike2/AL33-1,"")</f>
        <v/>
      </c>
      <c r="AO33" s="323" t="str">
        <f aca="false">IF(AH33,IF(VolOverrideAsian,VolOverrideAsian,IF(ProductGroup=1,IF(Product&lt;3,DA34,DE34),W34)+VolSpreadAsian),"")</f>
        <v/>
      </c>
      <c r="AP33" s="323" t="str">
        <f aca="false">IF($AH33,$AO33+IF(SkewFlag=1,IF(AM33&gt;0,$AA33*MIN(AM33/10%,1)+($Z33-$AA33)*MAX(0,MIN(AM33/10%-1,1))+($Y33-$Z33)*MAX(0,AM33/10%-2),$AB33*MIN(-AM33/10%,1)+($AC33-$AB33)*MAX(0,MIN(-AM33/10%-1,1))+($AD33-$AC33)*MAX(0,-AM33/10%-2)),0),"")</f>
        <v/>
      </c>
      <c r="AQ33" s="323" t="str">
        <f aca="false">IF($AH33,$AO33+IF(SkewFlag=1,IF(AN33&gt;0,$AA33*MIN(AN33/10%,1)+($Z33-$AA33)*MAX(0,MIN(AN33/10%-1,1))+($Y33-$Z33)*MAX(0,AN33/10%-2),$AB33*MIN(-AN33/10%,1)+($AC33-$AB33)*MAX(0,MIN(-AN33/10%-1,1))+($AD33-$AC33)*MAX(0,-AN33/10%-2)),0),"")</f>
        <v/>
      </c>
      <c r="AR33" s="324" t="n">
        <f aca="false">IF(AH33,xASN(AL33,Strike1,AE33,AP33,0,N33,0,P33,Q33,IF(OptControl=4,0,1),0),0)</f>
        <v>0</v>
      </c>
      <c r="AS33" s="324" t="n">
        <f aca="false">IF(AH33,xASN(AL33,Strike1,AE33,AP33,0,N33,0,P33,Q33,IF(OptControl=4,0,1),1),0)</f>
        <v>0</v>
      </c>
      <c r="AT33" s="324" t="n">
        <f aca="false">IF(AH33,xASN(AL33,Strike1,AE33,AP33,0,N33,0,P33,Q33,IF(OptControl=4,0,1),2),0)</f>
        <v>0</v>
      </c>
      <c r="AU33" s="324" t="n">
        <f aca="false">IF(AH33,xASN(AL33,Strike1,AE33,AP33,0,N33,0,P33,Q33,IF(OptControl=4,0,1),3)/100,0)</f>
        <v>0</v>
      </c>
      <c r="AV33" s="324" t="n">
        <f aca="false">IF(AH33,xASN(AL33,Strike1,AE33,AP33,0,N33,0,P33-DaysForThetaCalculation/365.25,Q33-DaysForThetaCalculation/365.25,IF(OptControl=4,0,1),0)-xASN(AL33,Strike1,AE33,AP33,0,N33,0,P33,Q33,IF(OptControl=4,0,1),0),0)</f>
        <v>0</v>
      </c>
      <c r="AW33" s="324" t="n">
        <f aca="false">IF(AH33,xASN(AL33,Strike2,AE33,AQ33,0,N33,0,P33,Q33,IF(OptControl=3,1,0),0),0)</f>
        <v>0</v>
      </c>
      <c r="AX33" s="324" t="n">
        <f aca="false">IF(AH33,xASN(AL33,Strike2,AE33,AQ33,0,N33,0,P33,Q33,IF(OptControl=3,1,0),1),0)</f>
        <v>0</v>
      </c>
      <c r="AY33" s="324" t="n">
        <f aca="false">IF(AH33,xASN(AL33,Strike2,AE33,AQ33,0,N33,0,P33,Q33,IF(OptControl=3,1,0),2),0)</f>
        <v>0</v>
      </c>
      <c r="AZ33" s="324" t="n">
        <f aca="false">IF(AH33,xASN(AL33,Strike2,AE33,AQ33,0,N33,0,P33,Q33,IF(OptControl=3,1,0),3)/100,0)</f>
        <v>0</v>
      </c>
      <c r="BA33" s="324" t="n">
        <f aca="false">IF(AH33,xASN(AL33,Strike2,AE33,AQ33,0,N33,0,P33-DaysForThetaCalculation/365.25,Q33-DaysForThetaCalculation/365.25,IF(OptControl=3,1,0),0)-xASN(AL33,Strike2,AE33,AQ33,0,N33,0,P33,Q33,IF(OptControl=3,1,0),0),0)</f>
        <v>0</v>
      </c>
      <c r="BB33" s="325" t="str">
        <f aca="false">IF(AH33,IF(ProductGroup=1,IF(Product=1,BX33+PriceSpreadEuro,IF(Product=3,CK33+PriceSpreadEuro,"N/A")),"N/A"),"")</f>
        <v/>
      </c>
      <c r="BC33" s="316" t="str">
        <f aca="false">IF(AH33,Strike1/BB33-1,"")</f>
        <v/>
      </c>
      <c r="BD33" s="316" t="str">
        <f aca="false">IF(AH33,Strike2/BB33-1,"")</f>
        <v/>
      </c>
      <c r="BE33" s="326" t="str">
        <f aca="false">IF(AH33,IF(VolOverrideEuro,VolOverrideEuro,IF(ProductGroup=1,IF(Product&lt;3,DA33,DE33)+VolSpreadEuro,"N/A")),"")</f>
        <v/>
      </c>
      <c r="BF33" s="323" t="str">
        <f aca="false">IF($AH33,$BE33+IF(SkewFlag=1,IF(BC33&gt;0,$AA33*MIN(BC33/10%,1)+($Z33-$AA33)*MAX(0,MIN(BC33/10%-1,1))+($Y33-$Z33)*MAX(0,BC33/10%-2),$AB33*MIN(-BC33/10%,1)+($AC33-$AB33)*MAX(0,MIN(-BC33/10%-1,1))+($AD33-$AC33)*MAX(0,-BC33/10%-2)),0),"")</f>
        <v/>
      </c>
      <c r="BG33" s="323" t="str">
        <f aca="false">IF($AH33,$BE33+IF(SkewFlag=1,IF(BD33&gt;0,$AA33*MIN(BD33/10%,1)+($Z33-$AA33)*MAX(0,MIN(BD33/10%-1,1))+($Y33-$Z33)*MAX(0,BD33/10%-2),$AB33*MIN(-BD33/10%,1)+($AC33-$AB33)*MAX(0,MIN(-BD33/10%-1,1))+($AD33-$AC33)*MAX(0,-BD33/10%-2)),0),"")</f>
        <v/>
      </c>
      <c r="BH33" s="324" t="n">
        <f aca="false">IF(AH33,xEURO(BB33,Strike1,AE33,AE33,BF33,O33,IF(OptControl=4,0,1),0),0)</f>
        <v>0</v>
      </c>
      <c r="BI33" s="324" t="n">
        <f aca="false">IF(AH33,xEURO(BB33,Strike1,AE33,AE33,BF33,O33,IF(OptControl=4,0,1),1),0)</f>
        <v>0</v>
      </c>
      <c r="BJ33" s="324" t="n">
        <f aca="false">IF(AH33,xEURO(BB33,Strike1,AE33,AE33,BF33,O33,IF(OptControl=4,0,1),2),0)</f>
        <v>0</v>
      </c>
      <c r="BK33" s="324" t="n">
        <f aca="false">IF(AH33,xEURO(BB33,Strike1,AE33,AE33,BF33,O33,IF(OptControl=4,0,1),3)/100,0)</f>
        <v>0</v>
      </c>
      <c r="BL33" s="324" t="n">
        <f aca="false">IF(AH33,xEURO(BB33,Strike1,AE33,AE33,BF33,O33-DaysForThetaCalculation,IF(OptControl=4,0,1),0)-xEURO(BB33,Strike1,AE33,AE33,BF33,O33,IF(OptControl=4,0,1),0),0)</f>
        <v>0</v>
      </c>
      <c r="BM33" s="324" t="n">
        <f aca="false">IF(AH33,xEURO(BB33,Strike2,AE33,AE33,BG33,O33,IF(OptControl=3,1,0),0),0)</f>
        <v>0</v>
      </c>
      <c r="BN33" s="324" t="n">
        <f aca="false">IF(AH33,xEURO(BB33,Strike2,AE33,AE33,BG33,O33,IF(OptControl=3,1,0),1),0)</f>
        <v>0</v>
      </c>
      <c r="BO33" s="324" t="n">
        <f aca="false">IF(AH33,xEURO(BB33,Strike2,AE33,AE33,BG33,O33,IF(OptControl=3,1,0),2),0)</f>
        <v>0</v>
      </c>
      <c r="BP33" s="324" t="n">
        <f aca="false">IF(AH33,xEURO(BB33,Strike2,AE33,AE33,BG33,O33,IF(OptControl=3,1,0),3)/100,0)</f>
        <v>0</v>
      </c>
      <c r="BQ33" s="327" t="n">
        <f aca="false">IF(AH33,xEURO(BB33,Strike2,AE33,AE33,BG33,O33-DaysForThetaCalculation,IF(OptControl=3,1,0),0)-xEURO(BB33,Strike2,AE33,AE33,BG33,O33,IF(OptControl=3,1,0),0),0)</f>
        <v>0</v>
      </c>
      <c r="BR33" s="343"/>
      <c r="BS33" s="314" t="n">
        <v>27.384</v>
      </c>
      <c r="BT33" s="329" t="n">
        <f aca="false">BS33*100/42</f>
        <v>65.2</v>
      </c>
      <c r="BU33" s="329" t="n">
        <f aca="false">BS34-$U33</f>
        <v>10.4061904761904</v>
      </c>
      <c r="BV33" s="224"/>
      <c r="BW33" s="329" t="n">
        <f aca="false">BW21+VLOOKUP(1900+$L33,ProductSpreadTable,2)</f>
        <v>14.2692727272728</v>
      </c>
      <c r="BX33" s="329" t="n">
        <f aca="false">($V32+BW32)*100/42</f>
        <v>75.5042443064183</v>
      </c>
      <c r="BY33" s="332" t="n">
        <f aca="false">BX34</f>
        <v>72.8882910740055</v>
      </c>
      <c r="BZ33" s="314" t="n">
        <v>25.061</v>
      </c>
      <c r="CA33" s="329" t="n">
        <f aca="false">BZ33*100/42</f>
        <v>59.6690476190476</v>
      </c>
      <c r="CB33" s="329" t="n">
        <f aca="false">BZ33-$U33</f>
        <v>8.71719047619043</v>
      </c>
      <c r="CC33" s="329" t="n">
        <f aca="false">CC21+VLOOKUP(1900+$L33,ProductSpreadTable,3)</f>
        <v>11.8542727272728</v>
      </c>
      <c r="CD33" s="329" t="n">
        <f aca="false">($V33+CC33)*100/42</f>
        <v>67.1382910740055</v>
      </c>
      <c r="CE33" s="333" t="n">
        <f aca="false">CD33-BY33</f>
        <v>-5.75000000000001</v>
      </c>
      <c r="CF33" s="314" t="n">
        <v>22.445</v>
      </c>
      <c r="CG33" s="329" t="n">
        <f aca="false">CF33*100/42</f>
        <v>53.4404761904762</v>
      </c>
      <c r="CH33" s="329" t="n">
        <f aca="false">CF34-$U33</f>
        <v>6.32819047619044</v>
      </c>
      <c r="CI33" s="224"/>
      <c r="CJ33" s="329" t="n">
        <f aca="false">CJ21+VLOOKUP(1900+$L33,ProductSpreadTable,4)</f>
        <v>7.85299999999997</v>
      </c>
      <c r="CK33" s="329" t="n">
        <f aca="false">($V32+CJ32)*100/42</f>
        <v>57.5614906832298</v>
      </c>
      <c r="CL33" s="329" t="n">
        <f aca="false">CK34</f>
        <v>57.6114512471656</v>
      </c>
      <c r="CM33" s="314" t="n">
        <v>21.647</v>
      </c>
      <c r="CN33" s="329" t="n">
        <f aca="false">CM33*100/42</f>
        <v>51.5404761904762</v>
      </c>
      <c r="CO33" s="329" t="n">
        <f aca="false">CM33-$U33</f>
        <v>5.30319047619043</v>
      </c>
      <c r="CP33" s="329" t="n">
        <f aca="false">CP21+VLOOKUP(1900+$L33,ProductSpreadTable,5)</f>
        <v>6.92899999999997</v>
      </c>
      <c r="CQ33" s="329" t="n">
        <f aca="false">($V33+CP33)*100/42</f>
        <v>55.4114512471656</v>
      </c>
      <c r="CR33" s="333" t="n">
        <f aca="false">CQ33-CL33</f>
        <v>-2.2</v>
      </c>
      <c r="CS33" s="314" t="n">
        <v>22.798</v>
      </c>
      <c r="CT33" s="329" t="n">
        <f aca="false">CS33*100/42</f>
        <v>54.2809523809524</v>
      </c>
      <c r="CU33" s="329" t="n">
        <f aca="false">CT33-CG34</f>
        <v>0.299999999999997</v>
      </c>
      <c r="CV33" s="329" t="n">
        <f aca="false">CV21+VLOOKUP(1900+$L33,ProductSpreadTable,6)</f>
        <v>0.749999999999994</v>
      </c>
      <c r="CW33" s="333" t="n">
        <f aca="false">CL33+CV33</f>
        <v>58.3614512471656</v>
      </c>
      <c r="CX33" s="318" t="n">
        <v>0.222</v>
      </c>
      <c r="CY33" s="326" t="n">
        <f aca="false">CX33-$W33</f>
        <v>0.000129416989657905</v>
      </c>
      <c r="CZ33" s="326" t="n">
        <f aca="false">VLOOKUP(1900+$L33,ProductSpreadTable,7)</f>
        <v>-0.03</v>
      </c>
      <c r="DA33" s="365" t="n">
        <f aca="false">$W33+CZ33</f>
        <v>0.191870583010342</v>
      </c>
      <c r="DB33" s="318" t="n">
        <v>0.222</v>
      </c>
      <c r="DC33" s="326" t="n">
        <f aca="false">DB33-$W33</f>
        <v>0.000129416989657905</v>
      </c>
      <c r="DD33" s="326" t="n">
        <f aca="false">VLOOKUP(1900+$L33,ProductSpreadTable,8)</f>
        <v>0.03</v>
      </c>
      <c r="DE33" s="365" t="n">
        <f aca="false">$W33+DD33</f>
        <v>0.251870583010342</v>
      </c>
      <c r="DG33" s="336"/>
      <c r="DH33" s="314" t="n">
        <v>16.938</v>
      </c>
      <c r="DI33" s="325" t="n">
        <f aca="false">DH33-$U33</f>
        <v>0.59419047619043</v>
      </c>
      <c r="DJ33" s="325" t="n">
        <f aca="false">VLOOKUP(1900+$L33,ResidSpreadTable,2)</f>
        <v>-2</v>
      </c>
      <c r="DK33" s="337" t="n">
        <f aca="false">$V33+DJ33</f>
        <v>14.3438095238096</v>
      </c>
      <c r="DL33" s="314" t="n">
        <v>14.938</v>
      </c>
      <c r="DM33" s="325" t="n">
        <f aca="false">DL33-$U33</f>
        <v>-1.40580952380957</v>
      </c>
      <c r="DN33" s="325" t="n">
        <f aca="false">VLOOKUP(1900+$L33,ResidSpreadTable,3)</f>
        <v>-3</v>
      </c>
      <c r="DO33" s="337" t="n">
        <f aca="false">$V33+DN33</f>
        <v>13.3438095238096</v>
      </c>
      <c r="DP33" s="314" t="n">
        <v>14.188</v>
      </c>
      <c r="DQ33" s="325" t="n">
        <f aca="false">DP33-$U33</f>
        <v>-2.15580952380957</v>
      </c>
      <c r="DR33" s="325" t="n">
        <f aca="false">VLOOKUP(1900+$L33,ResidSpreadTable,4)</f>
        <v>-6</v>
      </c>
      <c r="DS33" s="337" t="n">
        <f aca="false">$V33+DR33</f>
        <v>10.3438095238096</v>
      </c>
      <c r="DT33" s="314" t="n">
        <v>15.888</v>
      </c>
      <c r="DU33" s="325" t="n">
        <f aca="false">DT33-$U33</f>
        <v>-0.455809523809569</v>
      </c>
      <c r="DV33" s="325" t="n">
        <f aca="false">VLOOKUP(1900+$L33,ResidSpreadTable,5)</f>
        <v>-5</v>
      </c>
      <c r="DW33" s="337" t="n">
        <f aca="false">$V33+DV33</f>
        <v>11.3438095238096</v>
      </c>
      <c r="DY33" s="381"/>
      <c r="DZ33" s="382" t="n">
        <v>0.01</v>
      </c>
      <c r="EA33" s="382" t="n">
        <v>0.01</v>
      </c>
      <c r="EB33" s="382" t="n">
        <v>0.03</v>
      </c>
      <c r="EC33" s="383" t="n">
        <v>0.022</v>
      </c>
      <c r="ED33" s="275"/>
      <c r="EE33" s="275"/>
      <c r="EF33" s="275"/>
    </row>
    <row r="34" customFormat="false" ht="12.75" hidden="false" customHeight="false" outlineLevel="0" collapsed="false">
      <c r="B34" s="371" t="n">
        <v>36586</v>
      </c>
      <c r="C34" s="372" t="n">
        <v>36578</v>
      </c>
      <c r="I34" s="338" t="n">
        <f aca="false">EOMONTH(I33,0)+1</f>
        <v>46784</v>
      </c>
      <c r="J34" s="307" t="n">
        <f aca="false">VLOOKUP(I34,$B$12:$C$332,2)</f>
        <v>45644</v>
      </c>
      <c r="K34" s="339" t="n">
        <f aca="false">NETWORKDAYS(I34,J35)/N34</f>
        <v>-38.8095238095238</v>
      </c>
      <c r="L34" s="309" t="n">
        <f aca="false">YEAR(I34)-1900</f>
        <v>128</v>
      </c>
      <c r="M34" s="310" t="n">
        <f aca="false">MONTH(I34)</f>
        <v>2</v>
      </c>
      <c r="N34" s="340" t="n">
        <f aca="false">NETWORKDAYS(I34,I35-1)</f>
        <v>21</v>
      </c>
      <c r="O34" s="341" t="n">
        <f aca="false">I34-DateToday-IF(EuroExpDateToggle=1,3+IF(WEEKDAY(I34-1)=7,1,IF(WEEKDAY(I34-1)&lt;5,2,0)),1+IF(WEEKDAY(I34-1)=7,1,IF(WEEKDAY(I34-1)&lt;3,2,0)))</f>
        <v>853</v>
      </c>
      <c r="P34" s="342" t="n">
        <f aca="false">(I34-DateToday+1)/365.25</f>
        <v>2.35181382614648</v>
      </c>
      <c r="Q34" s="342" t="n">
        <f aca="false">(I35-DateToday)/365.25</f>
        <v>2.42847364818617</v>
      </c>
      <c r="R34" s="314" t="n">
        <v>20.22</v>
      </c>
      <c r="S34" s="347" t="n">
        <v>0</v>
      </c>
      <c r="T34" s="316" t="n">
        <f aca="false">R34+S34/100</f>
        <v>20.22</v>
      </c>
      <c r="U34" s="325" t="n">
        <f aca="false">R35*K34+R36*(1-K34)</f>
        <v>16.802539682541</v>
      </c>
      <c r="V34" s="337" t="n">
        <f aca="false">T35*K34+T36*(1-K34)</f>
        <v>16.802539682541</v>
      </c>
      <c r="W34" s="318" t="n">
        <v>0.220168922547068</v>
      </c>
      <c r="X34" s="319" t="str">
        <f aca="false">IF($I34-DateToday+1&gt;=$A$10,"",IF($I34-DateToday+1&lt;$A$5,1,MATCH($I34-DateToday+1,$A$5:$A$10)))</f>
        <v/>
      </c>
      <c r="Y34" s="348" t="n">
        <f aca="false">IF($X34="",Y33^2/Y32,INDEX(B$5:B$10,$X34)^((INDEX($A$5:$A$10,$X34+1)-($I34-DateToday+1))/(INDEX($A$5:$A$10,$X34+1)-INDEX($A$5:$A$10,$X34)))/INDEX(B$5:B$10,$X34+1)^((INDEX($A$5:$A$10,$X34)-($I34-DateToday+1))/(INDEX($A$5:$A$10,$X34+1)-INDEX($A$5:$A$10,$X34))))</f>
        <v>0.0083634141132206</v>
      </c>
      <c r="Z34" s="348" t="n">
        <f aca="false">IF($X34="",Z33^2/Z32,INDEX(C$5:C$10,$X34)^((INDEX($A$5:$A$10,$X34+1)-($I34-DateToday+1))/(INDEX($A$5:$A$10,$X34+1)-INDEX($A$5:$A$10,$X34)))/INDEX(C$5:C$10,$X34+1)^((INDEX($A$5:$A$10,$X34)-($I34-DateToday+1))/(INDEX($A$5:$A$10,$X34+1)-INDEX($A$5:$A$10,$X34))))</f>
        <v>0.00443062174077434</v>
      </c>
      <c r="AA34" s="348" t="n">
        <f aca="false">IF($X34="",AA33^2/AA32,INDEX(D$5:D$10,$X34)^((INDEX($A$5:$A$10,$X34+1)-($I34-DateToday+1))/(INDEX($A$5:$A$10,$X34+1)-INDEX($A$5:$A$10,$X34)))/INDEX(D$5:D$10,$X34+1)^((INDEX($A$5:$A$10,$X34)-($I34-DateToday+1))/(INDEX($A$5:$A$10,$X34+1)-INDEX($A$5:$A$10,$X34))))</f>
        <v>0.0019580592284168</v>
      </c>
      <c r="AB34" s="348" t="n">
        <f aca="false">IF($X34="",AB33^2/AB32,INDEX(E$5:E$10,$X34)^((INDEX($A$5:$A$10,$X34+1)-($I34-DateToday+1))/(INDEX($A$5:$A$10,$X34+1)-INDEX($A$5:$A$10,$X34)))/INDEX(E$5:E$10,$X34+1)^((INDEX($A$5:$A$10,$X34)-($I34-DateToday+1))/(INDEX($A$5:$A$10,$X34+1)-INDEX($A$5:$A$10,$X34))))</f>
        <v>0.00441111582977738</v>
      </c>
      <c r="AC34" s="348" t="n">
        <f aca="false">IF($X34="",AC33^2/AC32,INDEX(F$5:F$10,$X34)^((INDEX($A$5:$A$10,$X34+1)-($I34-DateToday+1))/(INDEX($A$5:$A$10,$X34+1)-INDEX($A$5:$A$10,$X34)))/INDEX(F$5:F$10,$X34+1)^((INDEX($A$5:$A$10,$X34)-($I34-DateToday+1))/(INDEX($A$5:$A$10,$X34+1)-INDEX($A$5:$A$10,$X34))))</f>
        <v>0.00998130465761643</v>
      </c>
      <c r="AD34" s="348" t="n">
        <f aca="false">IF($X34="",AD33^2/AD32,INDEX(G$5:G$10,$X34)^((INDEX($A$5:$A$10,$X34+1)-($I34-DateToday+1))/(INDEX($A$5:$A$10,$X34+1)-INDEX($A$5:$A$10,$X34)))/INDEX(G$5:G$10,$X34+1)^((INDEX($A$5:$A$10,$X34)-($I34-DateToday+1))/(INDEX($A$5:$A$10,$X34+1)-INDEX($A$5:$A$10,$X34))))</f>
        <v>0.0188410993142633</v>
      </c>
      <c r="AE34" s="321" t="n">
        <v>0.071377725113933</v>
      </c>
      <c r="AF34" s="316" t="n">
        <f aca="false">(1+AE34/2)^(-2*(I35-DateToday)/365.25)</f>
        <v>0.843397022204725</v>
      </c>
      <c r="AG34" s="316" t="n">
        <f aca="false">AG33*(1+IF(AND(M34=1,L34&gt;YearStart),Escalation,0))</f>
        <v>1</v>
      </c>
      <c r="AH34" s="322" t="n">
        <f aca="false">IF(OR(DateStart&gt;=I35,DateEnd&lt;I34),0,Volume*AG34)</f>
        <v>0</v>
      </c>
      <c r="AI34" s="322" t="n">
        <f aca="false">AH34*AF34</f>
        <v>0</v>
      </c>
      <c r="AJ34" s="322" t="n">
        <f aca="false">IF(OR(DateStart2&gt;=I35,DateEnd2&lt;I34),0,VolumeSwaption*AG34)</f>
        <v>0</v>
      </c>
      <c r="AK34" s="322" t="n">
        <f aca="false">AJ34*AF34</f>
        <v>0</v>
      </c>
      <c r="AL34" s="316" t="str">
        <f aca="true">IF(AH34,OFFSET(BY34,0,HorizontalPriceOffset)+PriceSpreadAsian,"")</f>
        <v/>
      </c>
      <c r="AM34" s="316" t="str">
        <f aca="false">IF(AH34,Strike1/AL34-1,"")</f>
        <v/>
      </c>
      <c r="AN34" s="316" t="str">
        <f aca="false">IF(AH34,Strike2/AL34-1,"")</f>
        <v/>
      </c>
      <c r="AO34" s="323" t="str">
        <f aca="false">IF(AH34,IF(VolOverrideAsian,VolOverrideAsian,IF(ProductGroup=1,IF(Product&lt;3,DA35,DE35),W35)+VolSpreadAsian),"")</f>
        <v/>
      </c>
      <c r="AP34" s="323" t="str">
        <f aca="false">IF($AH34,$AO34+IF(SkewFlag=1,IF(AM34&gt;0,$AA34*MIN(AM34/10%,1)+($Z34-$AA34)*MAX(0,MIN(AM34/10%-1,1))+($Y34-$Z34)*MAX(0,AM34/10%-2),$AB34*MIN(-AM34/10%,1)+($AC34-$AB34)*MAX(0,MIN(-AM34/10%-1,1))+($AD34-$AC34)*MAX(0,-AM34/10%-2)),0),"")</f>
        <v/>
      </c>
      <c r="AQ34" s="323" t="str">
        <f aca="false">IF($AH34,$AO34+IF(SkewFlag=1,IF(AN34&gt;0,$AA34*MIN(AN34/10%,1)+($Z34-$AA34)*MAX(0,MIN(AN34/10%-1,1))+($Y34-$Z34)*MAX(0,AN34/10%-2),$AB34*MIN(-AN34/10%,1)+($AC34-$AB34)*MAX(0,MIN(-AN34/10%-1,1))+($AD34-$AC34)*MAX(0,-AN34/10%-2)),0),"")</f>
        <v/>
      </c>
      <c r="AR34" s="324" t="n">
        <f aca="false">IF(AH34,xASN(AL34,Strike1,AE34,AP34,0,N34,0,P34,Q34,IF(OptControl=4,0,1),0),0)</f>
        <v>0</v>
      </c>
      <c r="AS34" s="324" t="n">
        <f aca="false">IF(AH34,xASN(AL34,Strike1,AE34,AP34,0,N34,0,P34,Q34,IF(OptControl=4,0,1),1),0)</f>
        <v>0</v>
      </c>
      <c r="AT34" s="324" t="n">
        <f aca="false">IF(AH34,xASN(AL34,Strike1,AE34,AP34,0,N34,0,P34,Q34,IF(OptControl=4,0,1),2),0)</f>
        <v>0</v>
      </c>
      <c r="AU34" s="324" t="n">
        <f aca="false">IF(AH34,xASN(AL34,Strike1,AE34,AP34,0,N34,0,P34,Q34,IF(OptControl=4,0,1),3)/100,0)</f>
        <v>0</v>
      </c>
      <c r="AV34" s="324" t="n">
        <f aca="false">IF(AH34,xASN(AL34,Strike1,AE34,AP34,0,N34,0,P34-DaysForThetaCalculation/365.25,Q34-DaysForThetaCalculation/365.25,IF(OptControl=4,0,1),0)-xASN(AL34,Strike1,AE34,AP34,0,N34,0,P34,Q34,IF(OptControl=4,0,1),0),0)</f>
        <v>0</v>
      </c>
      <c r="AW34" s="324" t="n">
        <f aca="false">IF(AH34,xASN(AL34,Strike2,AE34,AQ34,0,N34,0,P34,Q34,IF(OptControl=3,1,0),0),0)</f>
        <v>0</v>
      </c>
      <c r="AX34" s="324" t="n">
        <f aca="false">IF(AH34,xASN(AL34,Strike2,AE34,AQ34,0,N34,0,P34,Q34,IF(OptControl=3,1,0),1),0)</f>
        <v>0</v>
      </c>
      <c r="AY34" s="324" t="n">
        <f aca="false">IF(AH34,xASN(AL34,Strike2,AE34,AQ34,0,N34,0,P34,Q34,IF(OptControl=3,1,0),2),0)</f>
        <v>0</v>
      </c>
      <c r="AZ34" s="324" t="n">
        <f aca="false">IF(AH34,xASN(AL34,Strike2,AE34,AQ34,0,N34,0,P34,Q34,IF(OptControl=3,1,0),3)/100,0)</f>
        <v>0</v>
      </c>
      <c r="BA34" s="324" t="n">
        <f aca="false">IF(AH34,xASN(AL34,Strike2,AE34,AQ34,0,N34,0,P34-DaysForThetaCalculation/365.25,Q34-DaysForThetaCalculation/365.25,IF(OptControl=3,1,0),0)-xASN(AL34,Strike2,AE34,AQ34,0,N34,0,P34,Q34,IF(OptControl=3,1,0),0),0)</f>
        <v>0</v>
      </c>
      <c r="BB34" s="325" t="str">
        <f aca="false">IF(AH34,IF(ProductGroup=1,IF(Product=1,BX34+PriceSpreadEuro,IF(Product=3,CK34+PriceSpreadEuro,"N/A")),"N/A"),"")</f>
        <v/>
      </c>
      <c r="BC34" s="316" t="str">
        <f aca="false">IF(AH34,Strike1/BB34-1,"")</f>
        <v/>
      </c>
      <c r="BD34" s="316" t="str">
        <f aca="false">IF(AH34,Strike2/BB34-1,"")</f>
        <v/>
      </c>
      <c r="BE34" s="326" t="str">
        <f aca="false">IF(AH34,IF(VolOverrideEuro,VolOverrideEuro,IF(ProductGroup=1,IF(Product&lt;3,DA34,DE34)+VolSpreadEuro,"N/A")),"")</f>
        <v/>
      </c>
      <c r="BF34" s="323" t="str">
        <f aca="false">IF($AH34,$BE34+IF(SkewFlag=1,IF(BC34&gt;0,$AA34*MIN(BC34/10%,1)+($Z34-$AA34)*MAX(0,MIN(BC34/10%-1,1))+($Y34-$Z34)*MAX(0,BC34/10%-2),$AB34*MIN(-BC34/10%,1)+($AC34-$AB34)*MAX(0,MIN(-BC34/10%-1,1))+($AD34-$AC34)*MAX(0,-BC34/10%-2)),0),"")</f>
        <v/>
      </c>
      <c r="BG34" s="323" t="str">
        <f aca="false">IF($AH34,$BE34+IF(SkewFlag=1,IF(BD34&gt;0,$AA34*MIN(BD34/10%,1)+($Z34-$AA34)*MAX(0,MIN(BD34/10%-1,1))+($Y34-$Z34)*MAX(0,BD34/10%-2),$AB34*MIN(-BD34/10%,1)+($AC34-$AB34)*MAX(0,MIN(-BD34/10%-1,1))+($AD34-$AC34)*MAX(0,-BD34/10%-2)),0),"")</f>
        <v/>
      </c>
      <c r="BH34" s="324" t="n">
        <f aca="false">IF(AH34,xEURO(BB34,Strike1,AE34,AE34,BF34,O34,IF(OptControl=4,0,1),0),0)</f>
        <v>0</v>
      </c>
      <c r="BI34" s="324" t="n">
        <f aca="false">IF(AH34,xEURO(BB34,Strike1,AE34,AE34,BF34,O34,IF(OptControl=4,0,1),1),0)</f>
        <v>0</v>
      </c>
      <c r="BJ34" s="324" t="n">
        <f aca="false">IF(AH34,xEURO(BB34,Strike1,AE34,AE34,BF34,O34,IF(OptControl=4,0,1),2),0)</f>
        <v>0</v>
      </c>
      <c r="BK34" s="324" t="n">
        <f aca="false">IF(AH34,xEURO(BB34,Strike1,AE34,AE34,BF34,O34,IF(OptControl=4,0,1),3)/100,0)</f>
        <v>0</v>
      </c>
      <c r="BL34" s="324" t="n">
        <f aca="false">IF(AH34,xEURO(BB34,Strike1,AE34,AE34,BF34,O34-DaysForThetaCalculation,IF(OptControl=4,0,1),0)-xEURO(BB34,Strike1,AE34,AE34,BF34,O34,IF(OptControl=4,0,1),0),0)</f>
        <v>0</v>
      </c>
      <c r="BM34" s="324" t="n">
        <f aca="false">IF(AH34,xEURO(BB34,Strike2,AE34,AE34,BG34,O34,IF(OptControl=3,1,0),0),0)</f>
        <v>0</v>
      </c>
      <c r="BN34" s="324" t="n">
        <f aca="false">IF(AH34,xEURO(BB34,Strike2,AE34,AE34,BG34,O34,IF(OptControl=3,1,0),1),0)</f>
        <v>0</v>
      </c>
      <c r="BO34" s="324" t="n">
        <f aca="false">IF(AH34,xEURO(BB34,Strike2,AE34,AE34,BG34,O34,IF(OptControl=3,1,0),2),0)</f>
        <v>0</v>
      </c>
      <c r="BP34" s="324" t="n">
        <f aca="false">IF(AH34,xEURO(BB34,Strike2,AE34,AE34,BG34,O34,IF(OptControl=3,1,0),3)/100,0)</f>
        <v>0</v>
      </c>
      <c r="BQ34" s="327" t="n">
        <f aca="false">IF(AH34,xEURO(BB34,Strike2,AE34,AE34,BG34,O34-DaysForThetaCalculation,IF(OptControl=3,1,0),0)-xEURO(BB34,Strike2,AE34,AE34,BG34,O34,IF(OptControl=3,1,0),0),0)</f>
        <v>0</v>
      </c>
      <c r="BR34" s="343"/>
      <c r="BS34" s="314" t="n">
        <v>26.75</v>
      </c>
      <c r="BT34" s="329" t="n">
        <f aca="false">BS34*100/42</f>
        <v>63.6904761904762</v>
      </c>
      <c r="BU34" s="329" t="n">
        <f aca="false">BS35-$U34</f>
        <v>9.29646031745899</v>
      </c>
      <c r="BV34" s="224"/>
      <c r="BW34" s="329" t="n">
        <f aca="false">BW22+VLOOKUP(1900+$L34,ProductSpreadTable,2)</f>
        <v>14.289</v>
      </c>
      <c r="BX34" s="329" t="n">
        <f aca="false">($V33+BW33)*100/42</f>
        <v>72.8882910740055</v>
      </c>
      <c r="BY34" s="332" t="n">
        <f aca="false">BX35</f>
        <v>74.0274754346214</v>
      </c>
      <c r="BZ34" s="314" t="n">
        <v>24.41</v>
      </c>
      <c r="CA34" s="329" t="n">
        <f aca="false">BZ34*100/42</f>
        <v>58.1190476190476</v>
      </c>
      <c r="CB34" s="329" t="n">
        <f aca="false">BZ34-$U34</f>
        <v>7.60746031745899</v>
      </c>
      <c r="CC34" s="329" t="n">
        <f aca="false">CC22+VLOOKUP(1900+$L34,ProductSpreadTable,3)</f>
        <v>11.874</v>
      </c>
      <c r="CD34" s="329" t="n">
        <f aca="false">($V34+CC34)*100/42</f>
        <v>68.2774754346214</v>
      </c>
      <c r="CE34" s="333" t="n">
        <f aca="false">CD34-BY34</f>
        <v>-5.74999999999999</v>
      </c>
      <c r="CF34" s="314" t="n">
        <v>22.672</v>
      </c>
      <c r="CG34" s="329" t="n">
        <f aca="false">CF34*100/42</f>
        <v>53.9809523809524</v>
      </c>
      <c r="CH34" s="329" t="n">
        <f aca="false">CF35-$U34</f>
        <v>6.18446031745899</v>
      </c>
      <c r="CI34" s="224"/>
      <c r="CJ34" s="329" t="n">
        <f aca="false">CJ22+VLOOKUP(1900+$L34,ProductSpreadTable,4)</f>
        <v>8.1859999999999</v>
      </c>
      <c r="CK34" s="329" t="n">
        <f aca="false">($V33+CJ33)*100/42</f>
        <v>57.6114512471656</v>
      </c>
      <c r="CL34" s="329" t="n">
        <f aca="false">CK35</f>
        <v>59.4965230536688</v>
      </c>
      <c r="CM34" s="314" t="n">
        <v>21.966</v>
      </c>
      <c r="CN34" s="329" t="n">
        <f aca="false">CM34*100/42</f>
        <v>52.3</v>
      </c>
      <c r="CO34" s="329" t="n">
        <f aca="false">CM34-$U34</f>
        <v>5.16346031745899</v>
      </c>
      <c r="CP34" s="329" t="n">
        <f aca="false">CP22+VLOOKUP(1900+$L34,ProductSpreadTable,5)</f>
        <v>7.2619999999999</v>
      </c>
      <c r="CQ34" s="329" t="n">
        <f aca="false">($V34+CP34)*100/42</f>
        <v>57.2965230536688</v>
      </c>
      <c r="CR34" s="333" t="n">
        <f aca="false">CQ34-CL34</f>
        <v>-2.19999999999999</v>
      </c>
      <c r="CS34" s="314" t="n">
        <v>23.113</v>
      </c>
      <c r="CT34" s="329" t="n">
        <f aca="false">CS34*100/42</f>
        <v>55.0309523809524</v>
      </c>
      <c r="CU34" s="329" t="n">
        <f aca="false">CT34-CG35</f>
        <v>0.299999999999997</v>
      </c>
      <c r="CV34" s="329" t="n">
        <f aca="false">CV22+VLOOKUP(1900+$L34,ProductSpreadTable,6)</f>
        <v>0.749999999999994</v>
      </c>
      <c r="CW34" s="333" t="n">
        <f aca="false">CL34+CV34</f>
        <v>60.2465230536688</v>
      </c>
      <c r="CX34" s="318" t="n">
        <v>0.22</v>
      </c>
      <c r="CY34" s="326" t="n">
        <f aca="false">CX34-$W34</f>
        <v>-0.000168922547068046</v>
      </c>
      <c r="CZ34" s="326" t="n">
        <f aca="false">VLOOKUP(1900+$L34,ProductSpreadTable,7)</f>
        <v>-0.03</v>
      </c>
      <c r="DA34" s="365" t="n">
        <f aca="false">$W34+CZ34</f>
        <v>0.190168922547068</v>
      </c>
      <c r="DB34" s="318" t="n">
        <v>0.22</v>
      </c>
      <c r="DC34" s="326" t="n">
        <f aca="false">DB34-$W34</f>
        <v>-0.000168922547068046</v>
      </c>
      <c r="DD34" s="326" t="n">
        <f aca="false">VLOOKUP(1900+$L34,ProductSpreadTable,8)</f>
        <v>0.03</v>
      </c>
      <c r="DE34" s="365" t="n">
        <f aca="false">$W34+DD34</f>
        <v>0.250168922547068</v>
      </c>
      <c r="DG34" s="336"/>
      <c r="DH34" s="314" t="n">
        <v>16.84</v>
      </c>
      <c r="DI34" s="325" t="n">
        <f aca="false">DH34-$U34</f>
        <v>0.03746031745899</v>
      </c>
      <c r="DJ34" s="325" t="n">
        <f aca="false">VLOOKUP(1900+$L34,ResidSpreadTable,2)</f>
        <v>-2</v>
      </c>
      <c r="DK34" s="337" t="n">
        <f aca="false">$V34+DJ34</f>
        <v>14.802539682541</v>
      </c>
      <c r="DL34" s="314" t="n">
        <v>14.84</v>
      </c>
      <c r="DM34" s="325" t="n">
        <f aca="false">DL34-$U34</f>
        <v>-1.96253968254101</v>
      </c>
      <c r="DN34" s="325" t="n">
        <f aca="false">VLOOKUP(1900+$L34,ResidSpreadTable,3)</f>
        <v>-3</v>
      </c>
      <c r="DO34" s="337" t="n">
        <f aca="false">$V34+DN34</f>
        <v>13.802539682541</v>
      </c>
      <c r="DP34" s="314" t="n">
        <v>14.09</v>
      </c>
      <c r="DQ34" s="325" t="n">
        <f aca="false">DP34-$U34</f>
        <v>-2.71253968254101</v>
      </c>
      <c r="DR34" s="325" t="n">
        <f aca="false">VLOOKUP(1900+$L34,ResidSpreadTable,4)</f>
        <v>-6</v>
      </c>
      <c r="DS34" s="337" t="n">
        <f aca="false">$V34+DR34</f>
        <v>10.802539682541</v>
      </c>
      <c r="DT34" s="314" t="n">
        <v>15.79</v>
      </c>
      <c r="DU34" s="325" t="n">
        <f aca="false">DT34-$U34</f>
        <v>-1.01253968254101</v>
      </c>
      <c r="DV34" s="325" t="n">
        <f aca="false">VLOOKUP(1900+$L34,ResidSpreadTable,5)</f>
        <v>-5</v>
      </c>
      <c r="DW34" s="337" t="n">
        <f aca="false">$V34+DV34</f>
        <v>11.802539682541</v>
      </c>
      <c r="DY34" s="274" t="s">
        <v>5</v>
      </c>
      <c r="DZ34" s="384" t="s">
        <v>189</v>
      </c>
      <c r="EA34" s="384" t="s">
        <v>190</v>
      </c>
      <c r="EB34" s="384" t="s">
        <v>190</v>
      </c>
      <c r="EC34" s="385" t="s">
        <v>189</v>
      </c>
      <c r="ED34" s="386"/>
      <c r="EE34" s="386"/>
      <c r="EF34" s="386"/>
    </row>
    <row r="35" customFormat="false" ht="12.75" hidden="false" customHeight="false" outlineLevel="0" collapsed="false">
      <c r="B35" s="371" t="n">
        <v>36617</v>
      </c>
      <c r="C35" s="372" t="n">
        <v>36606</v>
      </c>
      <c r="I35" s="338" t="n">
        <f aca="false">EOMONTH(I34,0)+1</f>
        <v>46813</v>
      </c>
      <c r="J35" s="307" t="n">
        <f aca="false">VLOOKUP(I35,$B$12:$C$332,2)</f>
        <v>45644</v>
      </c>
      <c r="K35" s="339" t="n">
        <f aca="false">NETWORKDAYS(I35,J36)/N35</f>
        <v>-36.3478260869565</v>
      </c>
      <c r="L35" s="309" t="n">
        <f aca="false">YEAR(I35)-1900</f>
        <v>128</v>
      </c>
      <c r="M35" s="310" t="n">
        <f aca="false">MONTH(I35)</f>
        <v>3</v>
      </c>
      <c r="N35" s="340" t="n">
        <f aca="false">NETWORKDAYS(I35,I36-1)</f>
        <v>23</v>
      </c>
      <c r="O35" s="341" t="n">
        <f aca="false">I35-DateToday-IF(EuroExpDateToggle=1,3+IF(WEEKDAY(I35-1)=7,1,IF(WEEKDAY(I35-1)&lt;5,2,0)),1+IF(WEEKDAY(I35-1)=7,1,IF(WEEKDAY(I35-1)&lt;3,2,0)))</f>
        <v>882</v>
      </c>
      <c r="P35" s="342" t="n">
        <f aca="false">(I35-DateToday+1)/365.25</f>
        <v>2.43121149897331</v>
      </c>
      <c r="Q35" s="342" t="n">
        <f aca="false">(I36-DateToday)/365.25</f>
        <v>2.51334702258727</v>
      </c>
      <c r="R35" s="314" t="n">
        <v>20.12</v>
      </c>
      <c r="S35" s="347" t="n">
        <v>0</v>
      </c>
      <c r="T35" s="316" t="n">
        <f aca="false">R35+S35/100</f>
        <v>20.12</v>
      </c>
      <c r="U35" s="325" t="n">
        <f aca="false">R36*K35+R37*(1-K35)</f>
        <v>16.9243478260846</v>
      </c>
      <c r="V35" s="337" t="n">
        <f aca="false">T36*K35+T37*(1-K35)</f>
        <v>16.9243478260846</v>
      </c>
      <c r="W35" s="318" t="n">
        <v>0.219548459957856</v>
      </c>
      <c r="X35" s="319" t="str">
        <f aca="false">IF($I35-DateToday+1&gt;=$A$10,"",IF($I35-DateToday+1&lt;$A$5,1,MATCH($I35-DateToday+1,$A$5:$A$10)))</f>
        <v/>
      </c>
      <c r="Y35" s="348" t="n">
        <f aca="false">IF($X35="",Y34^2/Y33,INDEX(B$5:B$10,$X35)^((INDEX($A$5:$A$10,$X35+1)-($I35-DateToday+1))/(INDEX($A$5:$A$10,$X35+1)-INDEX($A$5:$A$10,$X35)))/INDEX(B$5:B$10,$X35+1)^((INDEX($A$5:$A$10,$X35)-($I35-DateToday+1))/(INDEX($A$5:$A$10,$X35+1)-INDEX($A$5:$A$10,$X35))))</f>
        <v>0.00818436613720119</v>
      </c>
      <c r="Z35" s="348" t="n">
        <f aca="false">IF($X35="",Z34^2/Z33,INDEX(C$5:C$10,$X35)^((INDEX($A$5:$A$10,$X35+1)-($I35-DateToday+1))/(INDEX($A$5:$A$10,$X35+1)-INDEX($A$5:$A$10,$X35)))/INDEX(C$5:C$10,$X35+1)^((INDEX($A$5:$A$10,$X35)-($I35-DateToday+1))/(INDEX($A$5:$A$10,$X35+1)-INDEX($A$5:$A$10,$X35))))</f>
        <v>0.0043125549362305</v>
      </c>
      <c r="AA35" s="348" t="n">
        <f aca="false">IF($X35="",AA34^2/AA33,INDEX(D$5:D$10,$X35)^((INDEX($A$5:$A$10,$X35+1)-($I35-DateToday+1))/(INDEX($A$5:$A$10,$X35+1)-INDEX($A$5:$A$10,$X35)))/INDEX(D$5:D$10,$X35+1)^((INDEX($A$5:$A$10,$X35)-($I35-DateToday+1))/(INDEX($A$5:$A$10,$X35+1)-INDEX($A$5:$A$10,$X35))))</f>
        <v>0.00190077024412268</v>
      </c>
      <c r="AB35" s="348" t="n">
        <f aca="false">IF($X35="",AB34^2/AB33,INDEX(E$5:E$10,$X35)^((INDEX($A$5:$A$10,$X35+1)-($I35-DateToday+1))/(INDEX($A$5:$A$10,$X35+1)-INDEX($A$5:$A$10,$X35)))/INDEX(E$5:E$10,$X35+1)^((INDEX($A$5:$A$10,$X35)-($I35-DateToday+1))/(INDEX($A$5:$A$10,$X35+1)-INDEX($A$5:$A$10,$X35))))</f>
        <v>0.00428205520595958</v>
      </c>
      <c r="AC35" s="348" t="n">
        <f aca="false">IF($X35="",AC34^2/AC33,INDEX(F$5:F$10,$X35)^((INDEX($A$5:$A$10,$X35+1)-($I35-DateToday+1))/(INDEX($A$5:$A$10,$X35+1)-INDEX($A$5:$A$10,$X35)))/INDEX(F$5:F$10,$X35+1)^((INDEX($A$5:$A$10,$X35)-($I35-DateToday+1))/(INDEX($A$5:$A$10,$X35+1)-INDEX($A$5:$A$10,$X35))))</f>
        <v>0.00971532376034007</v>
      </c>
      <c r="AD35" s="348" t="n">
        <f aca="false">IF($X35="",AD34^2/AD33,INDEX(G$5:G$10,$X35)^((INDEX($A$5:$A$10,$X35+1)-($I35-DateToday+1))/(INDEX($A$5:$A$10,$X35+1)-INDEX($A$5:$A$10,$X35)))/INDEX(G$5:G$10,$X35+1)^((INDEX($A$5:$A$10,$X35)-($I35-DateToday+1))/(INDEX($A$5:$A$10,$X35+1)-INDEX($A$5:$A$10,$X35))))</f>
        <v>0.0184377400338868</v>
      </c>
      <c r="AE35" s="321" t="n">
        <v>0.07147401319457</v>
      </c>
      <c r="AF35" s="316" t="n">
        <f aca="false">(1+AE35/2)^(-2*(I36-DateToday)/365.25)</f>
        <v>0.838195761860818</v>
      </c>
      <c r="AG35" s="316" t="n">
        <f aca="false">AG34*(1+IF(AND(M35=1,L35&gt;YearStart),Escalation,0))</f>
        <v>1</v>
      </c>
      <c r="AH35" s="322" t="n">
        <f aca="false">IF(OR(DateStart&gt;=I36,DateEnd&lt;I35),0,Volume*AG35)</f>
        <v>0</v>
      </c>
      <c r="AI35" s="322" t="n">
        <f aca="false">AH35*AF35</f>
        <v>0</v>
      </c>
      <c r="AJ35" s="322" t="n">
        <f aca="false">IF(OR(DateStart2&gt;=I36,DateEnd2&lt;I35),0,VolumeSwaption*AG35)</f>
        <v>0</v>
      </c>
      <c r="AK35" s="322" t="n">
        <f aca="false">AJ35*AF35</f>
        <v>0</v>
      </c>
      <c r="AL35" s="316" t="str">
        <f aca="true">IF(AH35,OFFSET(BY35,0,HorizontalPriceOffset)+PriceSpreadAsian,"")</f>
        <v/>
      </c>
      <c r="AM35" s="316" t="str">
        <f aca="false">IF(AH35,Strike1/AL35-1,"")</f>
        <v/>
      </c>
      <c r="AN35" s="316" t="str">
        <f aca="false">IF(AH35,Strike2/AL35-1,"")</f>
        <v/>
      </c>
      <c r="AO35" s="323" t="str">
        <f aca="false">IF(AH35,IF(VolOverrideAsian,VolOverrideAsian,IF(ProductGroup=1,IF(Product&lt;3,DA36,DE36),W36)+VolSpreadAsian),"")</f>
        <v/>
      </c>
      <c r="AP35" s="323" t="str">
        <f aca="false">IF($AH35,$AO35+IF(SkewFlag=1,IF(AM35&gt;0,$AA35*MIN(AM35/10%,1)+($Z35-$AA35)*MAX(0,MIN(AM35/10%-1,1))+($Y35-$Z35)*MAX(0,AM35/10%-2),$AB35*MIN(-AM35/10%,1)+($AC35-$AB35)*MAX(0,MIN(-AM35/10%-1,1))+($AD35-$AC35)*MAX(0,-AM35/10%-2)),0),"")</f>
        <v/>
      </c>
      <c r="AQ35" s="323" t="str">
        <f aca="false">IF($AH35,$AO35+IF(SkewFlag=1,IF(AN35&gt;0,$AA35*MIN(AN35/10%,1)+($Z35-$AA35)*MAX(0,MIN(AN35/10%-1,1))+($Y35-$Z35)*MAX(0,AN35/10%-2),$AB35*MIN(-AN35/10%,1)+($AC35-$AB35)*MAX(0,MIN(-AN35/10%-1,1))+($AD35-$AC35)*MAX(0,-AN35/10%-2)),0),"")</f>
        <v/>
      </c>
      <c r="AR35" s="324" t="n">
        <f aca="false">IF(AH35,xASN(AL35,Strike1,AE35,AP35,0,N35,0,P35,Q35,IF(OptControl=4,0,1),0),0)</f>
        <v>0</v>
      </c>
      <c r="AS35" s="324" t="n">
        <f aca="false">IF(AH35,xASN(AL35,Strike1,AE35,AP35,0,N35,0,P35,Q35,IF(OptControl=4,0,1),1),0)</f>
        <v>0</v>
      </c>
      <c r="AT35" s="324" t="n">
        <f aca="false">IF(AH35,xASN(AL35,Strike1,AE35,AP35,0,N35,0,P35,Q35,IF(OptControl=4,0,1),2),0)</f>
        <v>0</v>
      </c>
      <c r="AU35" s="324" t="n">
        <f aca="false">IF(AH35,xASN(AL35,Strike1,AE35,AP35,0,N35,0,P35,Q35,IF(OptControl=4,0,1),3)/100,0)</f>
        <v>0</v>
      </c>
      <c r="AV35" s="324" t="n">
        <f aca="false">IF(AH35,xASN(AL35,Strike1,AE35,AP35,0,N35,0,P35-DaysForThetaCalculation/365.25,Q35-DaysForThetaCalculation/365.25,IF(OptControl=4,0,1),0)-xASN(AL35,Strike1,AE35,AP35,0,N35,0,P35,Q35,IF(OptControl=4,0,1),0),0)</f>
        <v>0</v>
      </c>
      <c r="AW35" s="324" t="n">
        <f aca="false">IF(AH35,xASN(AL35,Strike2,AE35,AQ35,0,N35,0,P35,Q35,IF(OptControl=3,1,0),0),0)</f>
        <v>0</v>
      </c>
      <c r="AX35" s="324" t="n">
        <f aca="false">IF(AH35,xASN(AL35,Strike2,AE35,AQ35,0,N35,0,P35,Q35,IF(OptControl=3,1,0),1),0)</f>
        <v>0</v>
      </c>
      <c r="AY35" s="324" t="n">
        <f aca="false">IF(AH35,xASN(AL35,Strike2,AE35,AQ35,0,N35,0,P35,Q35,IF(OptControl=3,1,0),2),0)</f>
        <v>0</v>
      </c>
      <c r="AZ35" s="324" t="n">
        <f aca="false">IF(AH35,xASN(AL35,Strike2,AE35,AQ35,0,N35,0,P35,Q35,IF(OptControl=3,1,0),3)/100,0)</f>
        <v>0</v>
      </c>
      <c r="BA35" s="324" t="n">
        <f aca="false">IF(AH35,xASN(AL35,Strike2,AE35,AQ35,0,N35,0,P35-DaysForThetaCalculation/365.25,Q35-DaysForThetaCalculation/365.25,IF(OptControl=3,1,0),0)-xASN(AL35,Strike2,AE35,AQ35,0,N35,0,P35,Q35,IF(OptControl=3,1,0),0),0)</f>
        <v>0</v>
      </c>
      <c r="BB35" s="325" t="str">
        <f aca="false">IF(AH35,IF(ProductGroup=1,IF(Product=1,BX35+PriceSpreadEuro,IF(Product=3,CK35+PriceSpreadEuro,"N/A")),"N/A"),"")</f>
        <v/>
      </c>
      <c r="BC35" s="316" t="str">
        <f aca="false">IF(AH35,Strike1/BB35-1,"")</f>
        <v/>
      </c>
      <c r="BD35" s="316" t="str">
        <f aca="false">IF(AH35,Strike2/BB35-1,"")</f>
        <v/>
      </c>
      <c r="BE35" s="326" t="str">
        <f aca="false">IF(AH35,IF(VolOverrideEuro,VolOverrideEuro,IF(ProductGroup=1,IF(Product&lt;3,DA35,DE35)+VolSpreadEuro,"N/A")),"")</f>
        <v/>
      </c>
      <c r="BF35" s="323" t="str">
        <f aca="false">IF($AH35,$BE35+IF(SkewFlag=1,IF(BC35&gt;0,$AA35*MIN(BC35/10%,1)+($Z35-$AA35)*MAX(0,MIN(BC35/10%-1,1))+($Y35-$Z35)*MAX(0,BC35/10%-2),$AB35*MIN(-BC35/10%,1)+($AC35-$AB35)*MAX(0,MIN(-BC35/10%-1,1))+($AD35-$AC35)*MAX(0,-BC35/10%-2)),0),"")</f>
        <v/>
      </c>
      <c r="BG35" s="323" t="str">
        <f aca="false">IF($AH35,$BE35+IF(SkewFlag=1,IF(BD35&gt;0,$AA35*MIN(BD35/10%,1)+($Z35-$AA35)*MAX(0,MIN(BD35/10%-1,1))+($Y35-$Z35)*MAX(0,BD35/10%-2),$AB35*MIN(-BD35/10%,1)+($AC35-$AB35)*MAX(0,MIN(-BD35/10%-1,1))+($AD35-$AC35)*MAX(0,-BD35/10%-2)),0),"")</f>
        <v/>
      </c>
      <c r="BH35" s="324" t="n">
        <f aca="false">IF(AH35,xEURO(BB35,Strike1,AE35,AE35,BF35,O35,IF(OptControl=4,0,1),0),0)</f>
        <v>0</v>
      </c>
      <c r="BI35" s="324" t="n">
        <f aca="false">IF(AH35,xEURO(BB35,Strike1,AE35,AE35,BF35,O35,IF(OptControl=4,0,1),1),0)</f>
        <v>0</v>
      </c>
      <c r="BJ35" s="324" t="n">
        <f aca="false">IF(AH35,xEURO(BB35,Strike1,AE35,AE35,BF35,O35,IF(OptControl=4,0,1),2),0)</f>
        <v>0</v>
      </c>
      <c r="BK35" s="324" t="n">
        <f aca="false">IF(AH35,xEURO(BB35,Strike1,AE35,AE35,BF35,O35,IF(OptControl=4,0,1),3)/100,0)</f>
        <v>0</v>
      </c>
      <c r="BL35" s="324" t="n">
        <f aca="false">IF(AH35,xEURO(BB35,Strike1,AE35,AE35,BF35,O35-DaysForThetaCalculation,IF(OptControl=4,0,1),0)-xEURO(BB35,Strike1,AE35,AE35,BF35,O35,IF(OptControl=4,0,1),0),0)</f>
        <v>0</v>
      </c>
      <c r="BM35" s="324" t="n">
        <f aca="false">IF(AH35,xEURO(BB35,Strike2,AE35,AE35,BG35,O35,IF(OptControl=3,1,0),0),0)</f>
        <v>0</v>
      </c>
      <c r="BN35" s="324" t="n">
        <f aca="false">IF(AH35,xEURO(BB35,Strike2,AE35,AE35,BG35,O35,IF(OptControl=3,1,0),1),0)</f>
        <v>0</v>
      </c>
      <c r="BO35" s="324" t="n">
        <f aca="false">IF(AH35,xEURO(BB35,Strike2,AE35,AE35,BG35,O35,IF(OptControl=3,1,0),2),0)</f>
        <v>0</v>
      </c>
      <c r="BP35" s="324" t="n">
        <f aca="false">IF(AH35,xEURO(BB35,Strike2,AE35,AE35,BG35,O35,IF(OptControl=3,1,0),3)/100,0)</f>
        <v>0</v>
      </c>
      <c r="BQ35" s="327" t="n">
        <f aca="false">IF(AH35,xEURO(BB35,Strike2,AE35,AE35,BG35,O35-DaysForThetaCalculation,IF(OptControl=3,1,0),0)-xEURO(BB35,Strike2,AE35,AE35,BG35,O35,IF(OptControl=3,1,0),0),0)</f>
        <v>0</v>
      </c>
      <c r="BR35" s="343"/>
      <c r="BS35" s="314" t="n">
        <v>26.099</v>
      </c>
      <c r="BT35" s="329" t="n">
        <f aca="false">BS35*100/42</f>
        <v>62.1404761904762</v>
      </c>
      <c r="BU35" s="329" t="n">
        <f aca="false">BS36-$U35</f>
        <v>8.05265217391539</v>
      </c>
      <c r="BV35" s="224"/>
      <c r="BW35" s="329" t="n">
        <f aca="false">BW23+VLOOKUP(1900+$L35,ProductSpreadTable,2)</f>
        <v>11.8169999999999</v>
      </c>
      <c r="BX35" s="329" t="n">
        <f aca="false">($V34+BW34)*100/42</f>
        <v>74.0274754346214</v>
      </c>
      <c r="BY35" s="332" t="n">
        <f aca="false">BX36</f>
        <v>68.4317805382965</v>
      </c>
      <c r="BZ35" s="314" t="n">
        <v>23.289</v>
      </c>
      <c r="CA35" s="329" t="n">
        <f aca="false">BZ35*100/42</f>
        <v>55.45</v>
      </c>
      <c r="CB35" s="329" t="n">
        <f aca="false">BZ35-$U35</f>
        <v>6.36465217391539</v>
      </c>
      <c r="CC35" s="329" t="n">
        <f aca="false">CC23+VLOOKUP(1900+$L35,ProductSpreadTable,3)</f>
        <v>9.40199999999992</v>
      </c>
      <c r="CD35" s="329" t="n">
        <f aca="false">($V35+CC35)*100/42</f>
        <v>62.6817805382965</v>
      </c>
      <c r="CE35" s="333" t="n">
        <f aca="false">CD35-BY35</f>
        <v>-5.75</v>
      </c>
      <c r="CF35" s="314" t="n">
        <v>22.987</v>
      </c>
      <c r="CG35" s="329" t="n">
        <f aca="false">CF35*100/42</f>
        <v>54.7309523809524</v>
      </c>
      <c r="CH35" s="329" t="n">
        <f aca="false">CF36-$U35</f>
        <v>6.41965217391539</v>
      </c>
      <c r="CI35" s="224"/>
      <c r="CJ35" s="329" t="n">
        <f aca="false">CJ23+VLOOKUP(1900+$L35,ProductSpreadTable,4)</f>
        <v>9.70899999999992</v>
      </c>
      <c r="CK35" s="329" t="n">
        <f aca="false">($V34+CJ34)*100/42</f>
        <v>59.4965230536688</v>
      </c>
      <c r="CL35" s="329" t="n">
        <f aca="false">CK36</f>
        <v>63.4127329192489</v>
      </c>
      <c r="CM35" s="314" t="n">
        <v>22.344</v>
      </c>
      <c r="CN35" s="329" t="n">
        <f aca="false">CM35*100/42</f>
        <v>53.2</v>
      </c>
      <c r="CO35" s="329" t="n">
        <f aca="false">CM35-$U35</f>
        <v>5.41965217391539</v>
      </c>
      <c r="CP35" s="329" t="n">
        <f aca="false">CP23+VLOOKUP(1900+$L35,ProductSpreadTable,5)</f>
        <v>7.20773913043481</v>
      </c>
      <c r="CQ35" s="329" t="n">
        <f aca="false">($V35+CP35)*100/42</f>
        <v>57.4573498964748</v>
      </c>
      <c r="CR35" s="333" t="n">
        <f aca="false">CQ35-CL35</f>
        <v>-5.95538302277408</v>
      </c>
      <c r="CS35" s="314" t="n">
        <v>23.47</v>
      </c>
      <c r="CT35" s="329" t="n">
        <f aca="false">CS35*100/42</f>
        <v>55.8809523809524</v>
      </c>
      <c r="CU35" s="329" t="n">
        <f aca="false">CT35-CG36</f>
        <v>0.299999999999997</v>
      </c>
      <c r="CV35" s="329" t="n">
        <f aca="false">CV23+VLOOKUP(1900+$L35,ProductSpreadTable,6)</f>
        <v>0.750000000000009</v>
      </c>
      <c r="CW35" s="333" t="n">
        <f aca="false">CL35+CV35</f>
        <v>64.1627329192489</v>
      </c>
      <c r="CX35" s="318" t="n">
        <v>0.22</v>
      </c>
      <c r="CY35" s="326" t="n">
        <f aca="false">CX35-$W35</f>
        <v>0.000451540042143955</v>
      </c>
      <c r="CZ35" s="326" t="n">
        <f aca="false">VLOOKUP(1900+$L35,ProductSpreadTable,7)</f>
        <v>-0.03</v>
      </c>
      <c r="DA35" s="365" t="n">
        <f aca="false">$W35+CZ35</f>
        <v>0.189548459957856</v>
      </c>
      <c r="DB35" s="318" t="n">
        <v>0.22</v>
      </c>
      <c r="DC35" s="326" t="n">
        <f aca="false">DB35-$W35</f>
        <v>0.000451540042143955</v>
      </c>
      <c r="DD35" s="326" t="n">
        <f aca="false">VLOOKUP(1900+$L35,ProductSpreadTable,8)</f>
        <v>0.03</v>
      </c>
      <c r="DE35" s="365" t="n">
        <f aca="false">$W35+DD35</f>
        <v>0.249548459957856</v>
      </c>
      <c r="DG35" s="336"/>
      <c r="DH35" s="314" t="n">
        <v>16.763</v>
      </c>
      <c r="DI35" s="325" t="n">
        <f aca="false">DH35-$U35</f>
        <v>-0.161347826084615</v>
      </c>
      <c r="DJ35" s="325" t="n">
        <f aca="false">VLOOKUP(1900+$L35,ResidSpreadTable,2)</f>
        <v>-2</v>
      </c>
      <c r="DK35" s="337" t="n">
        <f aca="false">$V35+DJ35</f>
        <v>14.9243478260846</v>
      </c>
      <c r="DL35" s="314" t="n">
        <v>14.763</v>
      </c>
      <c r="DM35" s="325" t="n">
        <f aca="false">DL35-$U35</f>
        <v>-2.16134782608461</v>
      </c>
      <c r="DN35" s="325" t="n">
        <f aca="false">VLOOKUP(1900+$L35,ResidSpreadTable,3)</f>
        <v>-3</v>
      </c>
      <c r="DO35" s="337" t="n">
        <f aca="false">$V35+DN35</f>
        <v>13.9243478260846</v>
      </c>
      <c r="DP35" s="314" t="n">
        <v>14.013</v>
      </c>
      <c r="DQ35" s="325" t="n">
        <f aca="false">DP35-$U35</f>
        <v>-2.91134782608461</v>
      </c>
      <c r="DR35" s="325" t="n">
        <f aca="false">VLOOKUP(1900+$L35,ResidSpreadTable,4)</f>
        <v>-6</v>
      </c>
      <c r="DS35" s="337" t="n">
        <f aca="false">$V35+DR35</f>
        <v>10.9243478260846</v>
      </c>
      <c r="DT35" s="314" t="n">
        <v>15.713</v>
      </c>
      <c r="DU35" s="325" t="n">
        <f aca="false">DT35-$U35</f>
        <v>-1.21134782608461</v>
      </c>
      <c r="DV35" s="325" t="n">
        <f aca="false">VLOOKUP(1900+$L35,ResidSpreadTable,5)</f>
        <v>-5</v>
      </c>
      <c r="DW35" s="337" t="n">
        <f aca="false">$V35+DV35</f>
        <v>11.9243478260846</v>
      </c>
      <c r="DY35" s="387"/>
      <c r="DZ35" s="384" t="s">
        <v>191</v>
      </c>
      <c r="EA35" s="384" t="s">
        <v>192</v>
      </c>
      <c r="EB35" s="384" t="s">
        <v>192</v>
      </c>
      <c r="EC35" s="385" t="s">
        <v>191</v>
      </c>
      <c r="ED35" s="386"/>
      <c r="EE35" s="386"/>
      <c r="EF35" s="386"/>
    </row>
    <row r="36" customFormat="false" ht="12.75" hidden="false" customHeight="false" outlineLevel="0" collapsed="false">
      <c r="B36" s="371" t="n">
        <v>36647</v>
      </c>
      <c r="C36" s="372" t="n">
        <v>36635</v>
      </c>
      <c r="I36" s="338" t="n">
        <f aca="false">EOMONTH(I35,0)+1</f>
        <v>46844</v>
      </c>
      <c r="J36" s="307" t="n">
        <f aca="false">VLOOKUP(I36,$B$12:$C$332,2)</f>
        <v>45644</v>
      </c>
      <c r="K36" s="339" t="n">
        <f aca="false">NETWORKDAYS(I36,J37)/N36</f>
        <v>-42.9</v>
      </c>
      <c r="L36" s="309" t="n">
        <f aca="false">YEAR(I36)-1900</f>
        <v>128</v>
      </c>
      <c r="M36" s="310" t="n">
        <f aca="false">MONTH(I36)</f>
        <v>4</v>
      </c>
      <c r="N36" s="340" t="n">
        <f aca="false">NETWORKDAYS(I36,I37-1)</f>
        <v>20</v>
      </c>
      <c r="O36" s="341" t="n">
        <f aca="false">I36-DateToday-IF(EuroExpDateToggle=1,3+IF(WEEKDAY(I36-1)=7,1,IF(WEEKDAY(I36-1)&lt;5,2,0)),1+IF(WEEKDAY(I36-1)=7,1,IF(WEEKDAY(I36-1)&lt;3,2,0)))</f>
        <v>915</v>
      </c>
      <c r="P36" s="342" t="n">
        <f aca="false">(I36-DateToday+1)/365.25</f>
        <v>2.5160848733744</v>
      </c>
      <c r="Q36" s="342" t="n">
        <f aca="false">(I37-DateToday)/365.25</f>
        <v>2.59548254620123</v>
      </c>
      <c r="R36" s="314" t="n">
        <v>20.0366666666667</v>
      </c>
      <c r="S36" s="347" t="n">
        <v>0</v>
      </c>
      <c r="T36" s="316" t="n">
        <f aca="false">R36+S36/100</f>
        <v>20.0366666666667</v>
      </c>
      <c r="U36" s="325" t="n">
        <f aca="false">R37*K36+R38*(1-K36)</f>
        <v>16.2950000000012</v>
      </c>
      <c r="V36" s="337" t="n">
        <f aca="false">T37*K36+T38*(1-K36)</f>
        <v>16.2950000000012</v>
      </c>
      <c r="W36" s="318" t="n">
        <v>0.219209178850226</v>
      </c>
      <c r="X36" s="319" t="str">
        <f aca="false">IF($I36-DateToday+1&gt;=$A$10,"",IF($I36-DateToday+1&lt;$A$5,1,MATCH($I36-DateToday+1,$A$5:$A$10)))</f>
        <v/>
      </c>
      <c r="Y36" s="348" t="n">
        <f aca="false">IF($X36="",Y35^2/Y34,INDEX(B$5:B$10,$X36)^((INDEX($A$5:$A$10,$X36+1)-($I36-DateToday+1))/(INDEX($A$5:$A$10,$X36+1)-INDEX($A$5:$A$10,$X36)))/INDEX(B$5:B$10,$X36+1)^((INDEX($A$5:$A$10,$X36)-($I36-DateToday+1))/(INDEX($A$5:$A$10,$X36+1)-INDEX($A$5:$A$10,$X36))))</f>
        <v>0.00800915130602941</v>
      </c>
      <c r="Z36" s="348" t="n">
        <f aca="false">IF($X36="",Z35^2/Z34,INDEX(C$5:C$10,$X36)^((INDEX($A$5:$A$10,$X36+1)-($I36-DateToday+1))/(INDEX($A$5:$A$10,$X36+1)-INDEX($A$5:$A$10,$X36)))/INDEX(C$5:C$10,$X36+1)^((INDEX($A$5:$A$10,$X36)-($I36-DateToday+1))/(INDEX($A$5:$A$10,$X36+1)-INDEX($A$5:$A$10,$X36))))</f>
        <v>0.00419763436513893</v>
      </c>
      <c r="AA36" s="348" t="n">
        <f aca="false">IF($X36="",AA35^2/AA34,INDEX(D$5:D$10,$X36)^((INDEX($A$5:$A$10,$X36+1)-($I36-DateToday+1))/(INDEX($A$5:$A$10,$X36+1)-INDEX($A$5:$A$10,$X36)))/INDEX(D$5:D$10,$X36+1)^((INDEX($A$5:$A$10,$X36)-($I36-DateToday+1))/(INDEX($A$5:$A$10,$X36+1)-INDEX($A$5:$A$10,$X36))))</f>
        <v>0.00184515742348787</v>
      </c>
      <c r="AB36" s="348" t="n">
        <f aca="false">IF($X36="",AB35^2/AB34,INDEX(E$5:E$10,$X36)^((INDEX($A$5:$A$10,$X36+1)-($I36-DateToday+1))/(INDEX($A$5:$A$10,$X36+1)-INDEX($A$5:$A$10,$X36)))/INDEX(E$5:E$10,$X36+1)^((INDEX($A$5:$A$10,$X36)-($I36-DateToday+1))/(INDEX($A$5:$A$10,$X36+1)-INDEX($A$5:$A$10,$X36))))</f>
        <v>0.00415677064363348</v>
      </c>
      <c r="AC36" s="348" t="n">
        <f aca="false">IF($X36="",AC35^2/AC34,INDEX(F$5:F$10,$X36)^((INDEX($A$5:$A$10,$X36+1)-($I36-DateToday+1))/(INDEX($A$5:$A$10,$X36+1)-INDEX($A$5:$A$10,$X36)))/INDEX(F$5:F$10,$X36+1)^((INDEX($A$5:$A$10,$X36)-($I36-DateToday+1))/(INDEX($A$5:$A$10,$X36+1)-INDEX($A$5:$A$10,$X36))))</f>
        <v>0.00945643069778498</v>
      </c>
      <c r="AD36" s="348" t="n">
        <f aca="false">IF($X36="",AD35^2/AD34,INDEX(G$5:G$10,$X36)^((INDEX($A$5:$A$10,$X36+1)-($I36-DateToday+1))/(INDEX($A$5:$A$10,$X36+1)-INDEX($A$5:$A$10,$X36)))/INDEX(G$5:G$10,$X36+1)^((INDEX($A$5:$A$10,$X36)-($I36-DateToday+1))/(INDEX($A$5:$A$10,$X36+1)-INDEX($A$5:$A$10,$X36))))</f>
        <v>0.018043016062223</v>
      </c>
      <c r="AE36" s="321" t="n">
        <v>0.07155895871022</v>
      </c>
      <c r="AF36" s="316" t="n">
        <f aca="false">(1+AE36/2)^(-2*(I37-DateToday)/365.25)</f>
        <v>0.833197513202833</v>
      </c>
      <c r="AG36" s="316" t="n">
        <f aca="false">AG35*(1+IF(AND(M36=1,L36&gt;YearStart),Escalation,0))</f>
        <v>1</v>
      </c>
      <c r="AH36" s="322" t="n">
        <f aca="false">IF(OR(DateStart&gt;=I37,DateEnd&lt;I36),0,Volume*AG36)</f>
        <v>0</v>
      </c>
      <c r="AI36" s="322" t="n">
        <f aca="false">AH36*AF36</f>
        <v>0</v>
      </c>
      <c r="AJ36" s="322" t="n">
        <f aca="false">IF(OR(DateStart2&gt;=I37,DateEnd2&lt;I36),0,VolumeSwaption*AG36)</f>
        <v>0</v>
      </c>
      <c r="AK36" s="322" t="n">
        <f aca="false">AJ36*AF36</f>
        <v>0</v>
      </c>
      <c r="AL36" s="316" t="str">
        <f aca="true">IF(AH36,OFFSET(BY36,0,HorizontalPriceOffset)+PriceSpreadAsian,"")</f>
        <v/>
      </c>
      <c r="AM36" s="316" t="str">
        <f aca="false">IF(AH36,Strike1/AL36-1,"")</f>
        <v/>
      </c>
      <c r="AN36" s="316" t="str">
        <f aca="false">IF(AH36,Strike2/AL36-1,"")</f>
        <v/>
      </c>
      <c r="AO36" s="323" t="str">
        <f aca="false">IF(AH36,IF(VolOverrideAsian,VolOverrideAsian,IF(ProductGroup=1,IF(Product&lt;3,DA37,DE37),W37)+VolSpreadAsian),"")</f>
        <v/>
      </c>
      <c r="AP36" s="323" t="str">
        <f aca="false">IF($AH36,$AO36+IF(SkewFlag=1,IF(AM36&gt;0,$AA36*MIN(AM36/10%,1)+($Z36-$AA36)*MAX(0,MIN(AM36/10%-1,1))+($Y36-$Z36)*MAX(0,AM36/10%-2),$AB36*MIN(-AM36/10%,1)+($AC36-$AB36)*MAX(0,MIN(-AM36/10%-1,1))+($AD36-$AC36)*MAX(0,-AM36/10%-2)),0),"")</f>
        <v/>
      </c>
      <c r="AQ36" s="323" t="str">
        <f aca="false">IF($AH36,$AO36+IF(SkewFlag=1,IF(AN36&gt;0,$AA36*MIN(AN36/10%,1)+($Z36-$AA36)*MAX(0,MIN(AN36/10%-1,1))+($Y36-$Z36)*MAX(0,AN36/10%-2),$AB36*MIN(-AN36/10%,1)+($AC36-$AB36)*MAX(0,MIN(-AN36/10%-1,1))+($AD36-$AC36)*MAX(0,-AN36/10%-2)),0),"")</f>
        <v/>
      </c>
      <c r="AR36" s="324" t="n">
        <f aca="false">IF(AH36,xASN(AL36,Strike1,AE36,AP36,0,N36,0,P36,Q36,IF(OptControl=4,0,1),0),0)</f>
        <v>0</v>
      </c>
      <c r="AS36" s="324" t="n">
        <f aca="false">IF(AH36,xASN(AL36,Strike1,AE36,AP36,0,N36,0,P36,Q36,IF(OptControl=4,0,1),1),0)</f>
        <v>0</v>
      </c>
      <c r="AT36" s="324" t="n">
        <f aca="false">IF(AH36,xASN(AL36,Strike1,AE36,AP36,0,N36,0,P36,Q36,IF(OptControl=4,0,1),2),0)</f>
        <v>0</v>
      </c>
      <c r="AU36" s="324" t="n">
        <f aca="false">IF(AH36,xASN(AL36,Strike1,AE36,AP36,0,N36,0,P36,Q36,IF(OptControl=4,0,1),3)/100,0)</f>
        <v>0</v>
      </c>
      <c r="AV36" s="324" t="n">
        <f aca="false">IF(AH36,xASN(AL36,Strike1,AE36,AP36,0,N36,0,P36-DaysForThetaCalculation/365.25,Q36-DaysForThetaCalculation/365.25,IF(OptControl=4,0,1),0)-xASN(AL36,Strike1,AE36,AP36,0,N36,0,P36,Q36,IF(OptControl=4,0,1),0),0)</f>
        <v>0</v>
      </c>
      <c r="AW36" s="324" t="n">
        <f aca="false">IF(AH36,xASN(AL36,Strike2,AE36,AQ36,0,N36,0,P36,Q36,IF(OptControl=3,1,0),0),0)</f>
        <v>0</v>
      </c>
      <c r="AX36" s="324" t="n">
        <f aca="false">IF(AH36,xASN(AL36,Strike2,AE36,AQ36,0,N36,0,P36,Q36,IF(OptControl=3,1,0),1),0)</f>
        <v>0</v>
      </c>
      <c r="AY36" s="324" t="n">
        <f aca="false">IF(AH36,xASN(AL36,Strike2,AE36,AQ36,0,N36,0,P36,Q36,IF(OptControl=3,1,0),2),0)</f>
        <v>0</v>
      </c>
      <c r="AZ36" s="324" t="n">
        <f aca="false">IF(AH36,xASN(AL36,Strike2,AE36,AQ36,0,N36,0,P36,Q36,IF(OptControl=3,1,0),3)/100,0)</f>
        <v>0</v>
      </c>
      <c r="BA36" s="324" t="n">
        <f aca="false">IF(AH36,xASN(AL36,Strike2,AE36,AQ36,0,N36,0,P36-DaysForThetaCalculation/365.25,Q36-DaysForThetaCalculation/365.25,IF(OptControl=3,1,0),0)-xASN(AL36,Strike2,AE36,AQ36,0,N36,0,P36,Q36,IF(OptControl=3,1,0),0),0)</f>
        <v>0</v>
      </c>
      <c r="BB36" s="325" t="str">
        <f aca="false">IF(AH36,IF(ProductGroup=1,IF(Product=1,BX36+PriceSpreadEuro,IF(Product=3,CK36+PriceSpreadEuro,"N/A")),"N/A"),"")</f>
        <v/>
      </c>
      <c r="BC36" s="316" t="str">
        <f aca="false">IF(AH36,Strike1/BB36-1,"")</f>
        <v/>
      </c>
      <c r="BD36" s="316" t="str">
        <f aca="false">IF(AH36,Strike2/BB36-1,"")</f>
        <v/>
      </c>
      <c r="BE36" s="326" t="str">
        <f aca="false">IF(AH36,IF(VolOverrideEuro,VolOverrideEuro,IF(ProductGroup=1,IF(Product&lt;3,DA36,DE36)+VolSpreadEuro,"N/A")),"")</f>
        <v/>
      </c>
      <c r="BF36" s="323" t="str">
        <f aca="false">IF($AH36,$BE36+IF(SkewFlag=1,IF(BC36&gt;0,$AA36*MIN(BC36/10%,1)+($Z36-$AA36)*MAX(0,MIN(BC36/10%-1,1))+($Y36-$Z36)*MAX(0,BC36/10%-2),$AB36*MIN(-BC36/10%,1)+($AC36-$AB36)*MAX(0,MIN(-BC36/10%-1,1))+($AD36-$AC36)*MAX(0,-BC36/10%-2)),0),"")</f>
        <v/>
      </c>
      <c r="BG36" s="323" t="str">
        <f aca="false">IF($AH36,$BE36+IF(SkewFlag=1,IF(BD36&gt;0,$AA36*MIN(BD36/10%,1)+($Z36-$AA36)*MAX(0,MIN(BD36/10%-1,1))+($Y36-$Z36)*MAX(0,BD36/10%-2),$AB36*MIN(-BD36/10%,1)+($AC36-$AB36)*MAX(0,MIN(-BD36/10%-1,1))+($AD36-$AC36)*MAX(0,-BD36/10%-2)),0),"")</f>
        <v/>
      </c>
      <c r="BH36" s="324" t="n">
        <f aca="false">IF(AH36,xEURO(BB36,Strike1,AE36,AE36,BF36,O36,IF(OptControl=4,0,1),0),0)</f>
        <v>0</v>
      </c>
      <c r="BI36" s="324" t="n">
        <f aca="false">IF(AH36,xEURO(BB36,Strike1,AE36,AE36,BF36,O36,IF(OptControl=4,0,1),1),0)</f>
        <v>0</v>
      </c>
      <c r="BJ36" s="324" t="n">
        <f aca="false">IF(AH36,xEURO(BB36,Strike1,AE36,AE36,BF36,O36,IF(OptControl=4,0,1),2),0)</f>
        <v>0</v>
      </c>
      <c r="BK36" s="324" t="n">
        <f aca="false">IF(AH36,xEURO(BB36,Strike1,AE36,AE36,BF36,O36,IF(OptControl=4,0,1),3)/100,0)</f>
        <v>0</v>
      </c>
      <c r="BL36" s="324" t="n">
        <f aca="false">IF(AH36,xEURO(BB36,Strike1,AE36,AE36,BF36,O36-DaysForThetaCalculation,IF(OptControl=4,0,1),0)-xEURO(BB36,Strike1,AE36,AE36,BF36,O36,IF(OptControl=4,0,1),0),0)</f>
        <v>0</v>
      </c>
      <c r="BM36" s="324" t="n">
        <f aca="false">IF(AH36,xEURO(BB36,Strike2,AE36,AE36,BG36,O36,IF(OptControl=3,1,0),0),0)</f>
        <v>0</v>
      </c>
      <c r="BN36" s="324" t="n">
        <f aca="false">IF(AH36,xEURO(BB36,Strike2,AE36,AE36,BG36,O36,IF(OptControl=3,1,0),1),0)</f>
        <v>0</v>
      </c>
      <c r="BO36" s="324" t="n">
        <f aca="false">IF(AH36,xEURO(BB36,Strike2,AE36,AE36,BG36,O36,IF(OptControl=3,1,0),2),0)</f>
        <v>0</v>
      </c>
      <c r="BP36" s="324" t="n">
        <f aca="false">IF(AH36,xEURO(BB36,Strike2,AE36,AE36,BG36,O36,IF(OptControl=3,1,0),3)/100,0)</f>
        <v>0</v>
      </c>
      <c r="BQ36" s="327" t="n">
        <f aca="false">IF(AH36,xEURO(BB36,Strike2,AE36,AE36,BG36,O36-DaysForThetaCalculation,IF(OptControl=3,1,0),0)-xEURO(BB36,Strike2,AE36,AE36,BG36,O36,IF(OptControl=3,1,0),0),0)</f>
        <v>0</v>
      </c>
      <c r="BR36" s="343"/>
      <c r="BS36" s="314" t="n">
        <v>24.977</v>
      </c>
      <c r="BT36" s="329" t="n">
        <f aca="false">BS36*100/42</f>
        <v>59.4690476190476</v>
      </c>
      <c r="BU36" s="329" t="n">
        <f aca="false">BS37-$U36</f>
        <v>8.18299999999879</v>
      </c>
      <c r="BV36" s="224"/>
      <c r="BW36" s="329" t="n">
        <f aca="false">BW24+VLOOKUP(1900+$L36,ProductSpreadTable,2)</f>
        <v>11.3888181818182</v>
      </c>
      <c r="BX36" s="329" t="n">
        <f aca="false">($V35+BW35)*100/42</f>
        <v>68.4317805382965</v>
      </c>
      <c r="BY36" s="332" t="n">
        <f aca="false">BX37</f>
        <v>65.9138528138557</v>
      </c>
      <c r="BZ36" s="314" t="n">
        <v>22.365</v>
      </c>
      <c r="CA36" s="329" t="n">
        <f aca="false">BZ36*100/42</f>
        <v>53.25</v>
      </c>
      <c r="CB36" s="329" t="n">
        <f aca="false">BZ36-$U36</f>
        <v>6.06999999999879</v>
      </c>
      <c r="CC36" s="329" t="n">
        <f aca="false">CC24+VLOOKUP(1900+$L36,ProductSpreadTable,3)</f>
        <v>9.07881818181819</v>
      </c>
      <c r="CD36" s="329" t="n">
        <f aca="false">($V36+CC36)*100/42</f>
        <v>60.4138528138557</v>
      </c>
      <c r="CE36" s="333" t="n">
        <f aca="false">CD36-BY36</f>
        <v>-5.49999999999999</v>
      </c>
      <c r="CF36" s="314" t="n">
        <v>23.344</v>
      </c>
      <c r="CG36" s="329" t="n">
        <f aca="false">CF36*100/42</f>
        <v>55.5809523809524</v>
      </c>
      <c r="CH36" s="329" t="n">
        <f aca="false">CF37-$U36</f>
        <v>7.52299999999879</v>
      </c>
      <c r="CI36" s="224"/>
      <c r="CJ36" s="329" t="n">
        <f aca="false">CJ24+VLOOKUP(1900+$L36,ProductSpreadTable,4)</f>
        <v>10.2468181818182</v>
      </c>
      <c r="CK36" s="329" t="n">
        <f aca="false">($V35+CJ35)*100/42</f>
        <v>63.4127329192489</v>
      </c>
      <c r="CL36" s="329" t="n">
        <f aca="false">CK37</f>
        <v>63.1948051948081</v>
      </c>
      <c r="CM36" s="314" t="n">
        <v>22.495</v>
      </c>
      <c r="CN36" s="329" t="n">
        <f aca="false">CM36*100/42</f>
        <v>53.5595238095238</v>
      </c>
      <c r="CO36" s="329" t="n">
        <f aca="false">CM36-$U36</f>
        <v>6.19999999999879</v>
      </c>
      <c r="CP36" s="329" t="n">
        <f aca="false">CP24+VLOOKUP(1900+$L36,ProductSpreadTable,5)</f>
        <v>9.04981818181818</v>
      </c>
      <c r="CQ36" s="329" t="n">
        <f aca="false">($V36+CP36)*100/42</f>
        <v>60.3448051948081</v>
      </c>
      <c r="CR36" s="333" t="n">
        <f aca="false">CQ36-CL36</f>
        <v>-2.84999999999999</v>
      </c>
      <c r="CS36" s="314" t="n">
        <v>23.944</v>
      </c>
      <c r="CT36" s="329" t="n">
        <f aca="false">CS36*100/42</f>
        <v>57.0095238095238</v>
      </c>
      <c r="CU36" s="329" t="n">
        <f aca="false">CT36-CG37</f>
        <v>0.299999999999997</v>
      </c>
      <c r="CV36" s="329" t="n">
        <f aca="false">CV24+VLOOKUP(1900+$L36,ProductSpreadTable,6)</f>
        <v>0.900000000000009</v>
      </c>
      <c r="CW36" s="333" t="n">
        <f aca="false">CL36+CV36</f>
        <v>64.0948051948081</v>
      </c>
      <c r="CX36" s="318" t="n">
        <v>0.219</v>
      </c>
      <c r="CY36" s="326" t="n">
        <f aca="false">CX36-$W36</f>
        <v>-0.000209178850226005</v>
      </c>
      <c r="CZ36" s="326" t="n">
        <f aca="false">VLOOKUP(1900+$L36,ProductSpreadTable,7)</f>
        <v>-0.03</v>
      </c>
      <c r="DA36" s="365" t="n">
        <f aca="false">$W36+CZ36</f>
        <v>0.189209178850226</v>
      </c>
      <c r="DB36" s="318" t="n">
        <v>0.219</v>
      </c>
      <c r="DC36" s="326" t="n">
        <f aca="false">DB36-$W36</f>
        <v>-0.000209178850226005</v>
      </c>
      <c r="DD36" s="326" t="n">
        <f aca="false">VLOOKUP(1900+$L36,ProductSpreadTable,8)</f>
        <v>0.03</v>
      </c>
      <c r="DE36" s="365" t="n">
        <f aca="false">$W36+DD36</f>
        <v>0.249209178850226</v>
      </c>
      <c r="DG36" s="336"/>
      <c r="DH36" s="314" t="n">
        <v>16.678</v>
      </c>
      <c r="DI36" s="325" t="n">
        <f aca="false">DH36-$U36</f>
        <v>0.382999999998791</v>
      </c>
      <c r="DJ36" s="325" t="n">
        <f aca="false">VLOOKUP(1900+$L36,ResidSpreadTable,2)</f>
        <v>-2</v>
      </c>
      <c r="DK36" s="337" t="n">
        <f aca="false">$V36+DJ36</f>
        <v>14.2950000000012</v>
      </c>
      <c r="DL36" s="314" t="n">
        <v>14.678</v>
      </c>
      <c r="DM36" s="325" t="n">
        <f aca="false">DL36-$U36</f>
        <v>-1.61700000000121</v>
      </c>
      <c r="DN36" s="325" t="n">
        <f aca="false">VLOOKUP(1900+$L36,ResidSpreadTable,3)</f>
        <v>-3</v>
      </c>
      <c r="DO36" s="337" t="n">
        <f aca="false">$V36+DN36</f>
        <v>13.2950000000012</v>
      </c>
      <c r="DP36" s="314" t="n">
        <v>13.928</v>
      </c>
      <c r="DQ36" s="325" t="n">
        <f aca="false">DP36-$U36</f>
        <v>-2.36700000000121</v>
      </c>
      <c r="DR36" s="325" t="n">
        <f aca="false">VLOOKUP(1900+$L36,ResidSpreadTable,4)</f>
        <v>-6</v>
      </c>
      <c r="DS36" s="337" t="n">
        <f aca="false">$V36+DR36</f>
        <v>10.2950000000012</v>
      </c>
      <c r="DT36" s="314" t="n">
        <v>15.628</v>
      </c>
      <c r="DU36" s="325" t="n">
        <f aca="false">DT36-$U36</f>
        <v>-0.66700000000121</v>
      </c>
      <c r="DV36" s="325" t="n">
        <f aca="false">VLOOKUP(1900+$L36,ResidSpreadTable,5)</f>
        <v>-5</v>
      </c>
      <c r="DW36" s="337" t="n">
        <f aca="false">$V36+DV36</f>
        <v>11.2950000000012</v>
      </c>
      <c r="DY36" s="29" t="n">
        <v>1998</v>
      </c>
      <c r="DZ36" s="388" t="n">
        <v>-2</v>
      </c>
      <c r="EA36" s="388" t="n">
        <v>-3</v>
      </c>
      <c r="EB36" s="388" t="n">
        <v>-6</v>
      </c>
      <c r="EC36" s="368" t="n">
        <v>-5</v>
      </c>
      <c r="ED36" s="386"/>
      <c r="EE36" s="386"/>
      <c r="EF36" s="386"/>
    </row>
    <row r="37" customFormat="false" ht="12.75" hidden="false" customHeight="false" outlineLevel="0" collapsed="false">
      <c r="B37" s="371" t="n">
        <v>36678</v>
      </c>
      <c r="C37" s="372" t="n">
        <v>36668</v>
      </c>
      <c r="I37" s="338" t="n">
        <f aca="false">EOMONTH(I36,0)+1</f>
        <v>46874</v>
      </c>
      <c r="J37" s="307" t="n">
        <f aca="false">VLOOKUP(I37,$B$12:$C$332,2)</f>
        <v>45644</v>
      </c>
      <c r="K37" s="339" t="n">
        <f aca="false">NETWORKDAYS(I37,J38)/N37</f>
        <v>-38.2173913043478</v>
      </c>
      <c r="L37" s="309" t="n">
        <f aca="false">YEAR(I37)-1900</f>
        <v>128</v>
      </c>
      <c r="M37" s="310" t="n">
        <f aca="false">MONTH(I37)</f>
        <v>5</v>
      </c>
      <c r="N37" s="340" t="n">
        <f aca="false">NETWORKDAYS(I37,I38-1)</f>
        <v>23</v>
      </c>
      <c r="O37" s="341" t="n">
        <f aca="false">I37-DateToday-IF(EuroExpDateToggle=1,3+IF(WEEKDAY(I37-1)=7,1,IF(WEEKDAY(I37-1)&lt;5,2,0)),1+IF(WEEKDAY(I37-1)=7,1,IF(WEEKDAY(I37-1)&lt;3,2,0)))</f>
        <v>943</v>
      </c>
      <c r="P37" s="342" t="n">
        <f aca="false">(I37-DateToday+1)/365.25</f>
        <v>2.59822039698836</v>
      </c>
      <c r="Q37" s="342" t="n">
        <f aca="false">(I38-DateToday)/365.25</f>
        <v>2.68035592060233</v>
      </c>
      <c r="R37" s="314" t="n">
        <v>19.9533333333333</v>
      </c>
      <c r="S37" s="347" t="n">
        <v>0</v>
      </c>
      <c r="T37" s="316" t="n">
        <f aca="false">R37+S37/100</f>
        <v>19.9533333333333</v>
      </c>
      <c r="U37" s="325" t="n">
        <f aca="false">R38*K37+R39*(1-K37)</f>
        <v>17.6476811594191</v>
      </c>
      <c r="V37" s="337" t="n">
        <f aca="false">T38*K37+T39*(1-K37)</f>
        <v>17.6476811594191</v>
      </c>
      <c r="W37" s="318" t="n">
        <v>0.218062230247781</v>
      </c>
      <c r="X37" s="319" t="str">
        <f aca="false">IF($I37-DateToday+1&gt;=$A$10,"",IF($I37-DateToday+1&lt;$A$5,1,MATCH($I37-DateToday+1,$A$5:$A$10)))</f>
        <v/>
      </c>
      <c r="Y37" s="348" t="n">
        <f aca="false">IF($X37="",Y36^2/Y35,INDEX(B$5:B$10,$X37)^((INDEX($A$5:$A$10,$X37+1)-($I37-DateToday+1))/(INDEX($A$5:$A$10,$X37+1)-INDEX($A$5:$A$10,$X37)))/INDEX(B$5:B$10,$X37+1)^((INDEX($A$5:$A$10,$X37)-($I37-DateToday+1))/(INDEX($A$5:$A$10,$X37+1)-INDEX($A$5:$A$10,$X37))))</f>
        <v>0.007837687557904</v>
      </c>
      <c r="Z37" s="348" t="n">
        <f aca="false">IF($X37="",Z36^2/Z35,INDEX(C$5:C$10,$X37)^((INDEX($A$5:$A$10,$X37+1)-($I37-DateToday+1))/(INDEX($A$5:$A$10,$X37+1)-INDEX($A$5:$A$10,$X37)))/INDEX(C$5:C$10,$X37+1)^((INDEX($A$5:$A$10,$X37)-($I37-DateToday+1))/(INDEX($A$5:$A$10,$X37+1)-INDEX($A$5:$A$10,$X37))))</f>
        <v>0.0040857761869572</v>
      </c>
      <c r="AA37" s="348" t="n">
        <f aca="false">IF($X37="",AA36^2/AA35,INDEX(D$5:D$10,$X37)^((INDEX($A$5:$A$10,$X37+1)-($I37-DateToday+1))/(INDEX($A$5:$A$10,$X37+1)-INDEX($A$5:$A$10,$X37)))/INDEX(D$5:D$10,$X37+1)^((INDEX($A$5:$A$10,$X37)-($I37-DateToday+1))/(INDEX($A$5:$A$10,$X37+1)-INDEX($A$5:$A$10,$X37))))</f>
        <v>0.00179117172524122</v>
      </c>
      <c r="AB37" s="348" t="n">
        <f aca="false">IF($X37="",AB36^2/AB35,INDEX(E$5:E$10,$X37)^((INDEX($A$5:$A$10,$X37+1)-($I37-DateToday+1))/(INDEX($A$5:$A$10,$X37+1)-INDEX($A$5:$A$10,$X37)))/INDEX(E$5:E$10,$X37+1)^((INDEX($A$5:$A$10,$X37)-($I37-DateToday+1))/(INDEX($A$5:$A$10,$X37+1)-INDEX($A$5:$A$10,$X37))))</f>
        <v>0.00403515166262343</v>
      </c>
      <c r="AC37" s="348" t="n">
        <f aca="false">IF($X37="",AC36^2/AC35,INDEX(F$5:F$10,$X37)^((INDEX($A$5:$A$10,$X37+1)-($I37-DateToday+1))/(INDEX($A$5:$A$10,$X37+1)-INDEX($A$5:$A$10,$X37)))/INDEX(F$5:F$10,$X37+1)^((INDEX($A$5:$A$10,$X37)-($I37-DateToday+1))/(INDEX($A$5:$A$10,$X37+1)-INDEX($A$5:$A$10,$X37))))</f>
        <v>0.00920443659397719</v>
      </c>
      <c r="AD37" s="348" t="n">
        <f aca="false">IF($X37="",AD36^2/AD35,INDEX(G$5:G$10,$X37)^((INDEX($A$5:$A$10,$X37+1)-($I37-DateToday+1))/(INDEX($A$5:$A$10,$X37+1)-INDEX($A$5:$A$10,$X37)))/INDEX(G$5:G$10,$X37+1)^((INDEX($A$5:$A$10,$X37)-($I37-DateToday+1))/(INDEX($A$5:$A$10,$X37+1)-INDEX($A$5:$A$10,$X37))))</f>
        <v>0.0176567425304461</v>
      </c>
      <c r="AE37" s="321" t="n">
        <v>0.071634900581103</v>
      </c>
      <c r="AF37" s="316" t="n">
        <f aca="false">(1+AE37/2)^(-2*(I38-DateToday)/365.25)</f>
        <v>0.828077613881667</v>
      </c>
      <c r="AG37" s="316" t="n">
        <f aca="false">AG36*(1+IF(AND(M37=1,L37&gt;YearStart),Escalation,0))</f>
        <v>1</v>
      </c>
      <c r="AH37" s="322" t="n">
        <f aca="false">IF(OR(DateStart&gt;=I38,DateEnd&lt;I37),0,Volume*AG37)</f>
        <v>0</v>
      </c>
      <c r="AI37" s="322" t="n">
        <f aca="false">AH37*AF37</f>
        <v>0</v>
      </c>
      <c r="AJ37" s="322" t="n">
        <f aca="false">IF(OR(DateStart2&gt;=I38,DateEnd2&lt;I37),0,VolumeSwaption*AG37)</f>
        <v>0</v>
      </c>
      <c r="AK37" s="322" t="n">
        <f aca="false">AJ37*AF37</f>
        <v>0</v>
      </c>
      <c r="AL37" s="316" t="str">
        <f aca="true">IF(AH37,OFFSET(BY37,0,HorizontalPriceOffset)+PriceSpreadAsian,"")</f>
        <v/>
      </c>
      <c r="AM37" s="316" t="str">
        <f aca="false">IF(AH37,Strike1/AL37-1,"")</f>
        <v/>
      </c>
      <c r="AN37" s="316" t="str">
        <f aca="false">IF(AH37,Strike2/AL37-1,"")</f>
        <v/>
      </c>
      <c r="AO37" s="323" t="str">
        <f aca="false">IF(AH37,IF(VolOverrideAsian,VolOverrideAsian,IF(ProductGroup=1,IF(Product&lt;3,DA38,DE38),W38)+VolSpreadAsian),"")</f>
        <v/>
      </c>
      <c r="AP37" s="323" t="str">
        <f aca="false">IF($AH37,$AO37+IF(SkewFlag=1,IF(AM37&gt;0,$AA37*MIN(AM37/10%,1)+($Z37-$AA37)*MAX(0,MIN(AM37/10%-1,1))+($Y37-$Z37)*MAX(0,AM37/10%-2),$AB37*MIN(-AM37/10%,1)+($AC37-$AB37)*MAX(0,MIN(-AM37/10%-1,1))+($AD37-$AC37)*MAX(0,-AM37/10%-2)),0),"")</f>
        <v/>
      </c>
      <c r="AQ37" s="323" t="str">
        <f aca="false">IF($AH37,$AO37+IF(SkewFlag=1,IF(AN37&gt;0,$AA37*MIN(AN37/10%,1)+($Z37-$AA37)*MAX(0,MIN(AN37/10%-1,1))+($Y37-$Z37)*MAX(0,AN37/10%-2),$AB37*MIN(-AN37/10%,1)+($AC37-$AB37)*MAX(0,MIN(-AN37/10%-1,1))+($AD37-$AC37)*MAX(0,-AN37/10%-2)),0),"")</f>
        <v/>
      </c>
      <c r="AR37" s="324" t="n">
        <f aca="false">IF(AH37,xASN(AL37,Strike1,AE37,AP37,0,N37,0,P37,Q37,IF(OptControl=4,0,1),0),0)</f>
        <v>0</v>
      </c>
      <c r="AS37" s="324" t="n">
        <f aca="false">IF(AH37,xASN(AL37,Strike1,AE37,AP37,0,N37,0,P37,Q37,IF(OptControl=4,0,1),1),0)</f>
        <v>0</v>
      </c>
      <c r="AT37" s="324" t="n">
        <f aca="false">IF(AH37,xASN(AL37,Strike1,AE37,AP37,0,N37,0,P37,Q37,IF(OptControl=4,0,1),2),0)</f>
        <v>0</v>
      </c>
      <c r="AU37" s="324" t="n">
        <f aca="false">IF(AH37,xASN(AL37,Strike1,AE37,AP37,0,N37,0,P37,Q37,IF(OptControl=4,0,1),3)/100,0)</f>
        <v>0</v>
      </c>
      <c r="AV37" s="324" t="n">
        <f aca="false">IF(AH37,xASN(AL37,Strike1,AE37,AP37,0,N37,0,P37-DaysForThetaCalculation/365.25,Q37-DaysForThetaCalculation/365.25,IF(OptControl=4,0,1),0)-xASN(AL37,Strike1,AE37,AP37,0,N37,0,P37,Q37,IF(OptControl=4,0,1),0),0)</f>
        <v>0</v>
      </c>
      <c r="AW37" s="324" t="n">
        <f aca="false">IF(AH37,xASN(AL37,Strike2,AE37,AQ37,0,N37,0,P37,Q37,IF(OptControl=3,1,0),0),0)</f>
        <v>0</v>
      </c>
      <c r="AX37" s="324" t="n">
        <f aca="false">IF(AH37,xASN(AL37,Strike2,AE37,AQ37,0,N37,0,P37,Q37,IF(OptControl=3,1,0),1),0)</f>
        <v>0</v>
      </c>
      <c r="AY37" s="324" t="n">
        <f aca="false">IF(AH37,xASN(AL37,Strike2,AE37,AQ37,0,N37,0,P37,Q37,IF(OptControl=3,1,0),2),0)</f>
        <v>0</v>
      </c>
      <c r="AZ37" s="324" t="n">
        <f aca="false">IF(AH37,xASN(AL37,Strike2,AE37,AQ37,0,N37,0,P37,Q37,IF(OptControl=3,1,0),3)/100,0)</f>
        <v>0</v>
      </c>
      <c r="BA37" s="324" t="n">
        <f aca="false">IF(AH37,xASN(AL37,Strike2,AE37,AQ37,0,N37,0,P37-DaysForThetaCalculation/365.25,Q37-DaysForThetaCalculation/365.25,IF(OptControl=3,1,0),0)-xASN(AL37,Strike2,AE37,AQ37,0,N37,0,P37,Q37,IF(OptControl=3,1,0),0),0)</f>
        <v>0</v>
      </c>
      <c r="BB37" s="325" t="str">
        <f aca="false">IF(AH37,IF(ProductGroup=1,IF(Product=1,BX37+PriceSpreadEuro,IF(Product=3,CK37+PriceSpreadEuro,"N/A")),"N/A"),"")</f>
        <v/>
      </c>
      <c r="BC37" s="316" t="str">
        <f aca="false">IF(AH37,Strike1/BB37-1,"")</f>
        <v/>
      </c>
      <c r="BD37" s="316" t="str">
        <f aca="false">IF(AH37,Strike2/BB37-1,"")</f>
        <v/>
      </c>
      <c r="BE37" s="326" t="str">
        <f aca="false">IF(AH37,IF(VolOverrideEuro,VolOverrideEuro,IF(ProductGroup=1,IF(Product&lt;3,DA37,DE37)+VolSpreadEuro,"N/A")),"")</f>
        <v/>
      </c>
      <c r="BF37" s="323" t="str">
        <f aca="false">IF($AH37,$BE37+IF(SkewFlag=1,IF(BC37&gt;0,$AA37*MIN(BC37/10%,1)+($Z37-$AA37)*MAX(0,MIN(BC37/10%-1,1))+($Y37-$Z37)*MAX(0,BC37/10%-2),$AB37*MIN(-BC37/10%,1)+($AC37-$AB37)*MAX(0,MIN(-BC37/10%-1,1))+($AD37-$AC37)*MAX(0,-BC37/10%-2)),0),"")</f>
        <v/>
      </c>
      <c r="BG37" s="323" t="str">
        <f aca="false">IF($AH37,$BE37+IF(SkewFlag=1,IF(BD37&gt;0,$AA37*MIN(BD37/10%,1)+($Z37-$AA37)*MAX(0,MIN(BD37/10%-1,1))+($Y37-$Z37)*MAX(0,BD37/10%-2),$AB37*MIN(-BD37/10%,1)+($AC37-$AB37)*MAX(0,MIN(-BD37/10%-1,1))+($AD37-$AC37)*MAX(0,-BD37/10%-2)),0),"")</f>
        <v/>
      </c>
      <c r="BH37" s="324" t="n">
        <f aca="false">IF(AH37,xEURO(BB37,Strike1,AE37,AE37,BF37,O37,IF(OptControl=4,0,1),0),0)</f>
        <v>0</v>
      </c>
      <c r="BI37" s="324" t="n">
        <f aca="false">IF(AH37,xEURO(BB37,Strike1,AE37,AE37,BF37,O37,IF(OptControl=4,0,1),1),0)</f>
        <v>0</v>
      </c>
      <c r="BJ37" s="324" t="n">
        <f aca="false">IF(AH37,xEURO(BB37,Strike1,AE37,AE37,BF37,O37,IF(OptControl=4,0,1),2),0)</f>
        <v>0</v>
      </c>
      <c r="BK37" s="324" t="n">
        <f aca="false">IF(AH37,xEURO(BB37,Strike1,AE37,AE37,BF37,O37,IF(OptControl=4,0,1),3)/100,0)</f>
        <v>0</v>
      </c>
      <c r="BL37" s="324" t="n">
        <f aca="false">IF(AH37,xEURO(BB37,Strike1,AE37,AE37,BF37,O37-DaysForThetaCalculation,IF(OptControl=4,0,1),0)-xEURO(BB37,Strike1,AE37,AE37,BF37,O37,IF(OptControl=4,0,1),0),0)</f>
        <v>0</v>
      </c>
      <c r="BM37" s="324" t="n">
        <f aca="false">IF(AH37,xEURO(BB37,Strike2,AE37,AE37,BG37,O37,IF(OptControl=3,1,0),0),0)</f>
        <v>0</v>
      </c>
      <c r="BN37" s="324" t="n">
        <f aca="false">IF(AH37,xEURO(BB37,Strike2,AE37,AE37,BG37,O37,IF(OptControl=3,1,0),1),0)</f>
        <v>0</v>
      </c>
      <c r="BO37" s="324" t="n">
        <f aca="false">IF(AH37,xEURO(BB37,Strike2,AE37,AE37,BG37,O37,IF(OptControl=3,1,0),2),0)</f>
        <v>0</v>
      </c>
      <c r="BP37" s="324" t="n">
        <f aca="false">IF(AH37,xEURO(BB37,Strike2,AE37,AE37,BG37,O37,IF(OptControl=3,1,0),3)/100,0)</f>
        <v>0</v>
      </c>
      <c r="BQ37" s="327" t="n">
        <f aca="false">IF(AH37,xEURO(BB37,Strike2,AE37,AE37,BG37,O37-DaysForThetaCalculation,IF(OptControl=3,1,0),0)-xEURO(BB37,Strike2,AE37,AE37,BG37,O37,IF(OptControl=3,1,0),0),0)</f>
        <v>0</v>
      </c>
      <c r="BR37" s="343"/>
      <c r="BS37" s="314" t="n">
        <v>24.478</v>
      </c>
      <c r="BT37" s="329" t="n">
        <f aca="false">BS37*100/42</f>
        <v>58.2809523809524</v>
      </c>
      <c r="BU37" s="329" t="n">
        <f aca="false">BS38-$U37</f>
        <v>6.5993188405809</v>
      </c>
      <c r="BV37" s="224"/>
      <c r="BW37" s="329" t="n">
        <f aca="false">BW25+VLOOKUP(1900+$L37,ProductSpreadTable,2)</f>
        <v>11.3970952380953</v>
      </c>
      <c r="BX37" s="329" t="n">
        <f aca="false">($V36+BW36)*100/42</f>
        <v>65.9138528138557</v>
      </c>
      <c r="BY37" s="332" t="n">
        <f aca="false">BX38</f>
        <v>69.1542295178915</v>
      </c>
      <c r="BZ37" s="314" t="n">
        <v>22.138</v>
      </c>
      <c r="CA37" s="329" t="n">
        <f aca="false">BZ37*100/42</f>
        <v>52.7095238095238</v>
      </c>
      <c r="CB37" s="329" t="n">
        <f aca="false">BZ37-$U37</f>
        <v>4.49031884058089</v>
      </c>
      <c r="CC37" s="329" t="n">
        <f aca="false">CC25+VLOOKUP(1900+$L37,ProductSpreadTable,3)</f>
        <v>9.08709523809531</v>
      </c>
      <c r="CD37" s="329" t="n">
        <f aca="false">($V37+CC37)*100/42</f>
        <v>63.6542295178915</v>
      </c>
      <c r="CE37" s="333" t="n">
        <f aca="false">CD37-BY37</f>
        <v>-5.50000000000001</v>
      </c>
      <c r="CF37" s="314" t="n">
        <v>23.818</v>
      </c>
      <c r="CG37" s="329" t="n">
        <f aca="false">CF37*100/42</f>
        <v>56.7095238095238</v>
      </c>
      <c r="CH37" s="329" t="n">
        <f aca="false">CF38-$U37</f>
        <v>6.6453188405809</v>
      </c>
      <c r="CI37" s="224"/>
      <c r="CJ37" s="329" t="n">
        <f aca="false">CJ25+VLOOKUP(1900+$L37,ProductSpreadTable,4)</f>
        <v>10.9690952380953</v>
      </c>
      <c r="CK37" s="329" t="n">
        <f aca="false">($V36+CJ36)*100/42</f>
        <v>63.1948051948081</v>
      </c>
      <c r="CL37" s="329" t="n">
        <f aca="false">CK38</f>
        <v>68.1351818988439</v>
      </c>
      <c r="CM37" s="314" t="n">
        <v>22.978</v>
      </c>
      <c r="CN37" s="329" t="n">
        <f aca="false">CM37*100/42</f>
        <v>54.7095238095238</v>
      </c>
      <c r="CO37" s="329" t="n">
        <f aca="false">CM37-$U37</f>
        <v>5.33031884058089</v>
      </c>
      <c r="CP37" s="329" t="n">
        <f aca="false">CP25+VLOOKUP(1900+$L37,ProductSpreadTable,5)</f>
        <v>9.77209523809531</v>
      </c>
      <c r="CQ37" s="329" t="n">
        <f aca="false">($V37+CP37)*100/42</f>
        <v>65.2851818988439</v>
      </c>
      <c r="CR37" s="333" t="n">
        <f aca="false">CQ37-CL37</f>
        <v>-2.84999999999999</v>
      </c>
      <c r="CS37" s="314" t="n">
        <v>24.419</v>
      </c>
      <c r="CT37" s="329" t="n">
        <f aca="false">CS37*100/42</f>
        <v>58.1404761904762</v>
      </c>
      <c r="CU37" s="329" t="n">
        <f aca="false">CT37-CG38</f>
        <v>0.299999999999997</v>
      </c>
      <c r="CV37" s="329" t="n">
        <f aca="false">CV25+VLOOKUP(1900+$L37,ProductSpreadTable,6)</f>
        <v>0.900000000000009</v>
      </c>
      <c r="CW37" s="333" t="n">
        <f aca="false">CL37+CV37</f>
        <v>69.0351818988439</v>
      </c>
      <c r="CX37" s="318" t="n">
        <v>0.218</v>
      </c>
      <c r="CY37" s="326" t="n">
        <f aca="false">CX37-$W37</f>
        <v>-6.22302477809589E-005</v>
      </c>
      <c r="CZ37" s="326" t="n">
        <f aca="false">VLOOKUP(1900+$L37,ProductSpreadTable,7)</f>
        <v>-0.03</v>
      </c>
      <c r="DA37" s="365" t="n">
        <f aca="false">$W37+CZ37</f>
        <v>0.188062230247781</v>
      </c>
      <c r="DB37" s="318" t="n">
        <v>0.218</v>
      </c>
      <c r="DC37" s="326" t="n">
        <f aca="false">DB37-$W37</f>
        <v>-6.22302477809589E-005</v>
      </c>
      <c r="DD37" s="326" t="n">
        <f aca="false">VLOOKUP(1900+$L37,ProductSpreadTable,8)</f>
        <v>0.03</v>
      </c>
      <c r="DE37" s="365" t="n">
        <f aca="false">$W37+DD37</f>
        <v>0.248062230247781</v>
      </c>
      <c r="DG37" s="336"/>
      <c r="DH37" s="314" t="n">
        <v>16.601</v>
      </c>
      <c r="DI37" s="325" t="n">
        <f aca="false">DH37-$U37</f>
        <v>-1.04668115941911</v>
      </c>
      <c r="DJ37" s="325" t="n">
        <f aca="false">VLOOKUP(1900+$L37,ResidSpreadTable,2)</f>
        <v>-2</v>
      </c>
      <c r="DK37" s="337" t="n">
        <f aca="false">$V37+DJ37</f>
        <v>15.6476811594191</v>
      </c>
      <c r="DL37" s="314" t="n">
        <v>14.601</v>
      </c>
      <c r="DM37" s="325" t="n">
        <f aca="false">DL37-$U37</f>
        <v>-3.04668115941911</v>
      </c>
      <c r="DN37" s="325" t="n">
        <f aca="false">VLOOKUP(1900+$L37,ResidSpreadTable,3)</f>
        <v>-3</v>
      </c>
      <c r="DO37" s="337" t="n">
        <f aca="false">$V37+DN37</f>
        <v>14.6476811594191</v>
      </c>
      <c r="DP37" s="314" t="n">
        <v>13.851</v>
      </c>
      <c r="DQ37" s="325" t="n">
        <f aca="false">DP37-$U37</f>
        <v>-3.79668115941911</v>
      </c>
      <c r="DR37" s="325" t="n">
        <f aca="false">VLOOKUP(1900+$L37,ResidSpreadTable,4)</f>
        <v>-6</v>
      </c>
      <c r="DS37" s="337" t="n">
        <f aca="false">$V37+DR37</f>
        <v>11.6476811594191</v>
      </c>
      <c r="DT37" s="314" t="n">
        <v>15.551</v>
      </c>
      <c r="DU37" s="325" t="n">
        <f aca="false">DT37-$U37</f>
        <v>-2.09668115941911</v>
      </c>
      <c r="DV37" s="325" t="n">
        <f aca="false">VLOOKUP(1900+$L37,ResidSpreadTable,5)</f>
        <v>-5</v>
      </c>
      <c r="DW37" s="337" t="n">
        <f aca="false">$V37+DV37</f>
        <v>12.6476811594191</v>
      </c>
      <c r="DY37" s="29" t="n">
        <v>1999</v>
      </c>
      <c r="DZ37" s="388" t="n">
        <v>-2</v>
      </c>
      <c r="EA37" s="388" t="n">
        <v>-3</v>
      </c>
      <c r="EB37" s="388" t="n">
        <v>-6</v>
      </c>
      <c r="EC37" s="368" t="n">
        <v>-5</v>
      </c>
      <c r="ED37" s="386"/>
      <c r="EE37" s="386"/>
      <c r="EF37" s="386"/>
    </row>
    <row r="38" customFormat="false" ht="12.75" hidden="false" customHeight="false" outlineLevel="0" collapsed="false">
      <c r="B38" s="371" t="n">
        <v>36708</v>
      </c>
      <c r="C38" s="372" t="n">
        <v>36697</v>
      </c>
      <c r="I38" s="338" t="n">
        <f aca="false">EOMONTH(I37,0)+1</f>
        <v>46905</v>
      </c>
      <c r="J38" s="307" t="n">
        <f aca="false">VLOOKUP(I38,$B$12:$C$332,2)</f>
        <v>45644</v>
      </c>
      <c r="K38" s="339" t="n">
        <f aca="false">NETWORKDAYS(I38,J39)/N38</f>
        <v>-41</v>
      </c>
      <c r="L38" s="309" t="n">
        <f aca="false">YEAR(I38)-1900</f>
        <v>128</v>
      </c>
      <c r="M38" s="310" t="n">
        <f aca="false">MONTH(I38)</f>
        <v>6</v>
      </c>
      <c r="N38" s="340" t="n">
        <f aca="false">NETWORKDAYS(I38,I39-1)</f>
        <v>22</v>
      </c>
      <c r="O38" s="341" t="n">
        <f aca="false">I38-DateToday-IF(EuroExpDateToggle=1,3+IF(WEEKDAY(I38-1)=7,1,IF(WEEKDAY(I38-1)&lt;5,2,0)),1+IF(WEEKDAY(I38-1)=7,1,IF(WEEKDAY(I38-1)&lt;3,2,0)))</f>
        <v>974</v>
      </c>
      <c r="P38" s="342" t="n">
        <f aca="false">(I38-DateToday+1)/365.25</f>
        <v>2.68309377138946</v>
      </c>
      <c r="Q38" s="342" t="n">
        <f aca="false">(I39-DateToday)/365.25</f>
        <v>2.76249144421629</v>
      </c>
      <c r="R38" s="314" t="n">
        <v>19.87</v>
      </c>
      <c r="S38" s="347" t="n">
        <v>0</v>
      </c>
      <c r="T38" s="316" t="n">
        <f aca="false">R38+S38/100</f>
        <v>19.87</v>
      </c>
      <c r="U38" s="325" t="n">
        <f aca="false">R39*K38+R40*(1-K38)</f>
        <v>17.4333333333359</v>
      </c>
      <c r="V38" s="337" t="n">
        <f aca="false">T39*K38+T40*(1-K38)</f>
        <v>17.4333333333359</v>
      </c>
      <c r="W38" s="318" t="n">
        <v>0.215602028967537</v>
      </c>
      <c r="X38" s="319" t="str">
        <f aca="false">IF($I38-DateToday+1&gt;=$A$10,"",IF($I38-DateToday+1&lt;$A$5,1,MATCH($I38-DateToday+1,$A$5:$A$10)))</f>
        <v/>
      </c>
      <c r="Y38" s="348" t="n">
        <f aca="false">IF($X38="",Y37^2/Y36,INDEX(B$5:B$10,$X38)^((INDEX($A$5:$A$10,$X38+1)-($I38-DateToday+1))/(INDEX($A$5:$A$10,$X38+1)-INDEX($A$5:$A$10,$X38)))/INDEX(B$5:B$10,$X38+1)^((INDEX($A$5:$A$10,$X38)-($I38-DateToday+1))/(INDEX($A$5:$A$10,$X38+1)-INDEX($A$5:$A$10,$X38))))</f>
        <v>0.00766989458784206</v>
      </c>
      <c r="Z38" s="348" t="n">
        <f aca="false">IF($X38="",Z37^2/Z36,INDEX(C$5:C$10,$X38)^((INDEX($A$5:$A$10,$X38+1)-($I38-DateToday+1))/(INDEX($A$5:$A$10,$X38+1)-INDEX($A$5:$A$10,$X38)))/INDEX(C$5:C$10,$X38+1)^((INDEX($A$5:$A$10,$X38)-($I38-DateToday+1))/(INDEX($A$5:$A$10,$X38+1)-INDEX($A$5:$A$10,$X38))))</f>
        <v>0.00397689879531802</v>
      </c>
      <c r="AA38" s="348" t="n">
        <f aca="false">IF($X38="",AA37^2/AA36,INDEX(D$5:D$10,$X38)^((INDEX($A$5:$A$10,$X38+1)-($I38-DateToday+1))/(INDEX($A$5:$A$10,$X38+1)-INDEX($A$5:$A$10,$X38)))/INDEX(D$5:D$10,$X38+1)^((INDEX($A$5:$A$10,$X38)-($I38-DateToday+1))/(INDEX($A$5:$A$10,$X38+1)-INDEX($A$5:$A$10,$X38))))</f>
        <v>0.00173876554296328</v>
      </c>
      <c r="AB38" s="348" t="n">
        <f aca="false">IF($X38="",AB37^2/AB36,INDEX(E$5:E$10,$X38)^((INDEX($A$5:$A$10,$X38+1)-($I38-DateToday+1))/(INDEX($A$5:$A$10,$X38+1)-INDEX($A$5:$A$10,$X38)))/INDEX(E$5:E$10,$X38+1)^((INDEX($A$5:$A$10,$X38)-($I38-DateToday+1))/(INDEX($A$5:$A$10,$X38+1)-INDEX($A$5:$A$10,$X38))))</f>
        <v>0.00391709101518768</v>
      </c>
      <c r="AC38" s="348" t="n">
        <f aca="false">IF($X38="",AC37^2/AC36,INDEX(F$5:F$10,$X38)^((INDEX($A$5:$A$10,$X38+1)-($I38-DateToday+1))/(INDEX($A$5:$A$10,$X38+1)-INDEX($A$5:$A$10,$X38)))/INDEX(F$5:F$10,$X38+1)^((INDEX($A$5:$A$10,$X38)-($I38-DateToday+1))/(INDEX($A$5:$A$10,$X38+1)-INDEX($A$5:$A$10,$X38))))</f>
        <v>0.00895915760609244</v>
      </c>
      <c r="AD38" s="348" t="n">
        <f aca="false">IF($X38="",AD37^2/AD36,INDEX(G$5:G$10,$X38)^((INDEX($A$5:$A$10,$X38+1)-($I38-DateToday+1))/(INDEX($A$5:$A$10,$X38+1)-INDEX($A$5:$A$10,$X38)))/INDEX(G$5:G$10,$X38+1)^((INDEX($A$5:$A$10,$X38)-($I38-DateToday+1))/(INDEX($A$5:$A$10,$X38+1)-INDEX($A$5:$A$10,$X38))))</f>
        <v>0.0172787385274905</v>
      </c>
      <c r="AE38" s="321" t="n">
        <v>0.07170839271603</v>
      </c>
      <c r="AF38" s="316" t="n">
        <f aca="false">(1+AE38/2)^(-2*(I39-DateToday)/365.25)</f>
        <v>0.823143081617356</v>
      </c>
      <c r="AG38" s="316" t="n">
        <f aca="false">AG37*(1+IF(AND(M38=1,L38&gt;YearStart),Escalation,0))</f>
        <v>1</v>
      </c>
      <c r="AH38" s="322" t="n">
        <f aca="false">IF(OR(DateStart&gt;=I39,DateEnd&lt;I38),0,Volume*AG38)</f>
        <v>0</v>
      </c>
      <c r="AI38" s="322" t="n">
        <f aca="false">AH38*AF38</f>
        <v>0</v>
      </c>
      <c r="AJ38" s="322" t="n">
        <f aca="false">IF(OR(DateStart2&gt;=I39,DateEnd2&lt;I38),0,VolumeSwaption*AG38)</f>
        <v>0</v>
      </c>
      <c r="AK38" s="322" t="n">
        <f aca="false">AJ38*AF38</f>
        <v>0</v>
      </c>
      <c r="AL38" s="316" t="str">
        <f aca="true">IF(AH38,OFFSET(BY38,0,HorizontalPriceOffset)+PriceSpreadAsian,"")</f>
        <v/>
      </c>
      <c r="AM38" s="316" t="str">
        <f aca="false">IF(AH38,Strike1/AL38-1,"")</f>
        <v/>
      </c>
      <c r="AN38" s="316" t="str">
        <f aca="false">IF(AH38,Strike2/AL38-1,"")</f>
        <v/>
      </c>
      <c r="AO38" s="323" t="str">
        <f aca="false">IF(AH38,IF(VolOverrideAsian,VolOverrideAsian,IF(ProductGroup=1,IF(Product&lt;3,DA39,DE39),W39)+VolSpreadAsian),"")</f>
        <v/>
      </c>
      <c r="AP38" s="323" t="str">
        <f aca="false">IF($AH38,$AO38+IF(SkewFlag=1,IF(AM38&gt;0,$AA38*MIN(AM38/10%,1)+($Z38-$AA38)*MAX(0,MIN(AM38/10%-1,1))+($Y38-$Z38)*MAX(0,AM38/10%-2),$AB38*MIN(-AM38/10%,1)+($AC38-$AB38)*MAX(0,MIN(-AM38/10%-1,1))+($AD38-$AC38)*MAX(0,-AM38/10%-2)),0),"")</f>
        <v/>
      </c>
      <c r="AQ38" s="323" t="str">
        <f aca="false">IF($AH38,$AO38+IF(SkewFlag=1,IF(AN38&gt;0,$AA38*MIN(AN38/10%,1)+($Z38-$AA38)*MAX(0,MIN(AN38/10%-1,1))+($Y38-$Z38)*MAX(0,AN38/10%-2),$AB38*MIN(-AN38/10%,1)+($AC38-$AB38)*MAX(0,MIN(-AN38/10%-1,1))+($AD38-$AC38)*MAX(0,-AN38/10%-2)),0),"")</f>
        <v/>
      </c>
      <c r="AR38" s="324" t="n">
        <f aca="false">IF(AH38,xASN(AL38,Strike1,AE38,AP38,0,N38,0,P38,Q38,IF(OptControl=4,0,1),0),0)</f>
        <v>0</v>
      </c>
      <c r="AS38" s="324" t="n">
        <f aca="false">IF(AH38,xASN(AL38,Strike1,AE38,AP38,0,N38,0,P38,Q38,IF(OptControl=4,0,1),1),0)</f>
        <v>0</v>
      </c>
      <c r="AT38" s="324" t="n">
        <f aca="false">IF(AH38,xASN(AL38,Strike1,AE38,AP38,0,N38,0,P38,Q38,IF(OptControl=4,0,1),2),0)</f>
        <v>0</v>
      </c>
      <c r="AU38" s="324" t="n">
        <f aca="false">IF(AH38,xASN(AL38,Strike1,AE38,AP38,0,N38,0,P38,Q38,IF(OptControl=4,0,1),3)/100,0)</f>
        <v>0</v>
      </c>
      <c r="AV38" s="324" t="n">
        <f aca="false">IF(AH38,xASN(AL38,Strike1,AE38,AP38,0,N38,0,P38-DaysForThetaCalculation/365.25,Q38-DaysForThetaCalculation/365.25,IF(OptControl=4,0,1),0)-xASN(AL38,Strike1,AE38,AP38,0,N38,0,P38,Q38,IF(OptControl=4,0,1),0),0)</f>
        <v>0</v>
      </c>
      <c r="AW38" s="324" t="n">
        <f aca="false">IF(AH38,xASN(AL38,Strike2,AE38,AQ38,0,N38,0,P38,Q38,IF(OptControl=3,1,0),0),0)</f>
        <v>0</v>
      </c>
      <c r="AX38" s="324" t="n">
        <f aca="false">IF(AH38,xASN(AL38,Strike2,AE38,AQ38,0,N38,0,P38,Q38,IF(OptControl=3,1,0),1),0)</f>
        <v>0</v>
      </c>
      <c r="AY38" s="324" t="n">
        <f aca="false">IF(AH38,xASN(AL38,Strike2,AE38,AQ38,0,N38,0,P38,Q38,IF(OptControl=3,1,0),2),0)</f>
        <v>0</v>
      </c>
      <c r="AZ38" s="324" t="n">
        <f aca="false">IF(AH38,xASN(AL38,Strike2,AE38,AQ38,0,N38,0,P38,Q38,IF(OptControl=3,1,0),3)/100,0)</f>
        <v>0</v>
      </c>
      <c r="BA38" s="324" t="n">
        <f aca="false">IF(AH38,xASN(AL38,Strike2,AE38,AQ38,0,N38,0,P38-DaysForThetaCalculation/365.25,Q38-DaysForThetaCalculation/365.25,IF(OptControl=3,1,0),0)-xASN(AL38,Strike2,AE38,AQ38,0,N38,0,P38,Q38,IF(OptControl=3,1,0),0),0)</f>
        <v>0</v>
      </c>
      <c r="BB38" s="325" t="str">
        <f aca="false">IF(AH38,IF(ProductGroup=1,IF(Product=1,BX38+PriceSpreadEuro,IF(Product=3,CK38+PriceSpreadEuro,"N/A")),"N/A"),"")</f>
        <v/>
      </c>
      <c r="BC38" s="316" t="str">
        <f aca="false">IF(AH38,Strike1/BB38-1,"")</f>
        <v/>
      </c>
      <c r="BD38" s="316" t="str">
        <f aca="false">IF(AH38,Strike2/BB38-1,"")</f>
        <v/>
      </c>
      <c r="BE38" s="326" t="str">
        <f aca="false">IF(AH38,IF(VolOverrideEuro,VolOverrideEuro,IF(ProductGroup=1,IF(Product&lt;3,DA38,DE38)+VolSpreadEuro,"N/A")),"")</f>
        <v/>
      </c>
      <c r="BF38" s="323" t="str">
        <f aca="false">IF($AH38,$BE38+IF(SkewFlag=1,IF(BC38&gt;0,$AA38*MIN(BC38/10%,1)+($Z38-$AA38)*MAX(0,MIN(BC38/10%-1,1))+($Y38-$Z38)*MAX(0,BC38/10%-2),$AB38*MIN(-BC38/10%,1)+($AC38-$AB38)*MAX(0,MIN(-BC38/10%-1,1))+($AD38-$AC38)*MAX(0,-BC38/10%-2)),0),"")</f>
        <v/>
      </c>
      <c r="BG38" s="323" t="str">
        <f aca="false">IF($AH38,$BE38+IF(SkewFlag=1,IF(BD38&gt;0,$AA38*MIN(BD38/10%,1)+($Z38-$AA38)*MAX(0,MIN(BD38/10%-1,1))+($Y38-$Z38)*MAX(0,BD38/10%-2),$AB38*MIN(-BD38/10%,1)+($AC38-$AB38)*MAX(0,MIN(-BD38/10%-1,1))+($AD38-$AC38)*MAX(0,-BD38/10%-2)),0),"")</f>
        <v/>
      </c>
      <c r="BH38" s="324" t="n">
        <f aca="false">IF(AH38,xEURO(BB38,Strike1,AE38,AE38,BF38,O38,IF(OptControl=4,0,1),0),0)</f>
        <v>0</v>
      </c>
      <c r="BI38" s="324" t="n">
        <f aca="false">IF(AH38,xEURO(BB38,Strike1,AE38,AE38,BF38,O38,IF(OptControl=4,0,1),1),0)</f>
        <v>0</v>
      </c>
      <c r="BJ38" s="324" t="n">
        <f aca="false">IF(AH38,xEURO(BB38,Strike1,AE38,AE38,BF38,O38,IF(OptControl=4,0,1),2),0)</f>
        <v>0</v>
      </c>
      <c r="BK38" s="324" t="n">
        <f aca="false">IF(AH38,xEURO(BB38,Strike1,AE38,AE38,BF38,O38,IF(OptControl=4,0,1),3)/100,0)</f>
        <v>0</v>
      </c>
      <c r="BL38" s="324" t="n">
        <f aca="false">IF(AH38,xEURO(BB38,Strike1,AE38,AE38,BF38,O38-DaysForThetaCalculation,IF(OptControl=4,0,1),0)-xEURO(BB38,Strike1,AE38,AE38,BF38,O38,IF(OptControl=4,0,1),0),0)</f>
        <v>0</v>
      </c>
      <c r="BM38" s="324" t="n">
        <f aca="false">IF(AH38,xEURO(BB38,Strike2,AE38,AE38,BG38,O38,IF(OptControl=3,1,0),0),0)</f>
        <v>0</v>
      </c>
      <c r="BN38" s="324" t="n">
        <f aca="false">IF(AH38,xEURO(BB38,Strike2,AE38,AE38,BG38,O38,IF(OptControl=3,1,0),1),0)</f>
        <v>0</v>
      </c>
      <c r="BO38" s="324" t="n">
        <f aca="false">IF(AH38,xEURO(BB38,Strike2,AE38,AE38,BG38,O38,IF(OptControl=3,1,0),2),0)</f>
        <v>0</v>
      </c>
      <c r="BP38" s="324" t="n">
        <f aca="false">IF(AH38,xEURO(BB38,Strike2,AE38,AE38,BG38,O38,IF(OptControl=3,1,0),3)/100,0)</f>
        <v>0</v>
      </c>
      <c r="BQ38" s="327" t="n">
        <f aca="false">IF(AH38,xEURO(BB38,Strike2,AE38,AE38,BG38,O38-DaysForThetaCalculation,IF(OptControl=3,1,0),0)-xEURO(BB38,Strike2,AE38,AE38,BG38,O38,IF(OptControl=3,1,0),0),0)</f>
        <v>0</v>
      </c>
      <c r="BR38" s="343"/>
      <c r="BS38" s="314" t="n">
        <v>24.247</v>
      </c>
      <c r="BT38" s="329" t="n">
        <f aca="false">BS38*100/42</f>
        <v>57.7309523809524</v>
      </c>
      <c r="BU38" s="329" t="n">
        <f aca="false">BS39-$U38</f>
        <v>6.9226666666641</v>
      </c>
      <c r="BV38" s="224"/>
      <c r="BW38" s="329" t="n">
        <f aca="false">BW26+VLOOKUP(1900+$L38,ProductSpreadTable,2)</f>
        <v>11.2918181818182</v>
      </c>
      <c r="BX38" s="329" t="n">
        <f aca="false">($V37+BW37)*100/42</f>
        <v>69.1542295178915</v>
      </c>
      <c r="BY38" s="332" t="n">
        <f aca="false">BX39</f>
        <v>68.393217893224</v>
      </c>
      <c r="BZ38" s="314" t="n">
        <v>22.243</v>
      </c>
      <c r="CA38" s="329" t="n">
        <f aca="false">BZ38*100/42</f>
        <v>52.9595238095238</v>
      </c>
      <c r="CB38" s="329" t="n">
        <f aca="false">BZ38-$U38</f>
        <v>4.80966666666411</v>
      </c>
      <c r="CC38" s="329" t="n">
        <f aca="false">CC26+VLOOKUP(1900+$L38,ProductSpreadTable,3)</f>
        <v>8.98181818181819</v>
      </c>
      <c r="CD38" s="329" t="n">
        <f aca="false">($V38+CC38)*100/42</f>
        <v>62.893217893224</v>
      </c>
      <c r="CE38" s="333" t="n">
        <f aca="false">CD38-BY38</f>
        <v>-5.49999999999999</v>
      </c>
      <c r="CF38" s="314" t="n">
        <v>24.293</v>
      </c>
      <c r="CG38" s="329" t="n">
        <f aca="false">CF38*100/42</f>
        <v>57.8404761904762</v>
      </c>
      <c r="CH38" s="329" t="n">
        <f aca="false">CF39-$U38</f>
        <v>7.1326666666641</v>
      </c>
      <c r="CI38" s="224"/>
      <c r="CJ38" s="329" t="n">
        <f aca="false">CJ26+VLOOKUP(1900+$L38,ProductSpreadTable,4)</f>
        <v>11.0528181818182</v>
      </c>
      <c r="CK38" s="329" t="n">
        <f aca="false">($V37+CJ37)*100/42</f>
        <v>68.1351818988439</v>
      </c>
      <c r="CL38" s="329" t="n">
        <f aca="false">CK39</f>
        <v>67.8241702741764</v>
      </c>
      <c r="CM38" s="314" t="n">
        <v>23.276</v>
      </c>
      <c r="CN38" s="329" t="n">
        <f aca="false">CM38*100/42</f>
        <v>55.4190476190476</v>
      </c>
      <c r="CO38" s="329" t="n">
        <f aca="false">CM38-$U38</f>
        <v>5.84266666666411</v>
      </c>
      <c r="CP38" s="329" t="n">
        <f aca="false">CP26+VLOOKUP(1900+$L38,ProductSpreadTable,5)</f>
        <v>9.85581818181819</v>
      </c>
      <c r="CQ38" s="329" t="n">
        <f aca="false">($V38+CP38)*100/42</f>
        <v>64.9741702741764</v>
      </c>
      <c r="CR38" s="333" t="n">
        <f aca="false">CQ38-CL38</f>
        <v>-2.84999999999999</v>
      </c>
      <c r="CS38" s="314" t="n">
        <v>24.692</v>
      </c>
      <c r="CT38" s="329" t="n">
        <f aca="false">CS38*100/42</f>
        <v>58.7904761904762</v>
      </c>
      <c r="CU38" s="329" t="n">
        <f aca="false">CT38-CG39</f>
        <v>0.300000000000011</v>
      </c>
      <c r="CV38" s="329" t="n">
        <f aca="false">CV26+VLOOKUP(1900+$L38,ProductSpreadTable,6)</f>
        <v>0.900000000000009</v>
      </c>
      <c r="CW38" s="333" t="n">
        <f aca="false">CL38+CV38</f>
        <v>68.7241702741764</v>
      </c>
      <c r="CX38" s="318" t="n">
        <v>0.216</v>
      </c>
      <c r="CY38" s="326" t="n">
        <f aca="false">CX38-$W38</f>
        <v>0.000397971032463001</v>
      </c>
      <c r="CZ38" s="326" t="n">
        <f aca="false">VLOOKUP(1900+$L38,ProductSpreadTable,7)</f>
        <v>-0.03</v>
      </c>
      <c r="DA38" s="365" t="n">
        <f aca="false">$W38+CZ38</f>
        <v>0.185602028967537</v>
      </c>
      <c r="DB38" s="318" t="n">
        <v>0.216</v>
      </c>
      <c r="DC38" s="326" t="n">
        <f aca="false">DB38-$W38</f>
        <v>0.000397971032463001</v>
      </c>
      <c r="DD38" s="326" t="n">
        <f aca="false">VLOOKUP(1900+$L38,ProductSpreadTable,8)</f>
        <v>0.03</v>
      </c>
      <c r="DE38" s="365" t="n">
        <f aca="false">$W38+DD38</f>
        <v>0.245602028967537</v>
      </c>
      <c r="DG38" s="336"/>
      <c r="DH38" s="314" t="n">
        <v>16.547</v>
      </c>
      <c r="DI38" s="325" t="n">
        <f aca="false">DH38-$U38</f>
        <v>-0.886333333335895</v>
      </c>
      <c r="DJ38" s="325" t="n">
        <f aca="false">VLOOKUP(1900+$L38,ResidSpreadTable,2)</f>
        <v>-2</v>
      </c>
      <c r="DK38" s="337" t="n">
        <f aca="false">$V38+DJ38</f>
        <v>15.4333333333359</v>
      </c>
      <c r="DL38" s="314" t="n">
        <v>14.547</v>
      </c>
      <c r="DM38" s="325" t="n">
        <f aca="false">DL38-$U38</f>
        <v>-2.88633333333589</v>
      </c>
      <c r="DN38" s="325" t="n">
        <f aca="false">VLOOKUP(1900+$L38,ResidSpreadTable,3)</f>
        <v>-3</v>
      </c>
      <c r="DO38" s="337" t="n">
        <f aca="false">$V38+DN38</f>
        <v>14.4333333333359</v>
      </c>
      <c r="DP38" s="314" t="n">
        <v>13.797</v>
      </c>
      <c r="DQ38" s="325" t="n">
        <f aca="false">DP38-$U38</f>
        <v>-3.63633333333589</v>
      </c>
      <c r="DR38" s="325" t="n">
        <f aca="false">VLOOKUP(1900+$L38,ResidSpreadTable,4)</f>
        <v>-6</v>
      </c>
      <c r="DS38" s="337" t="n">
        <f aca="false">$V38+DR38</f>
        <v>11.4333333333359</v>
      </c>
      <c r="DT38" s="314" t="n">
        <v>15.497</v>
      </c>
      <c r="DU38" s="325" t="n">
        <f aca="false">DT38-$U38</f>
        <v>-1.93633333333589</v>
      </c>
      <c r="DV38" s="325" t="n">
        <f aca="false">VLOOKUP(1900+$L38,ResidSpreadTable,5)</f>
        <v>-5</v>
      </c>
      <c r="DW38" s="337" t="n">
        <f aca="false">$V38+DV38</f>
        <v>12.4333333333359</v>
      </c>
      <c r="DY38" s="29" t="n">
        <v>2000</v>
      </c>
      <c r="DZ38" s="388" t="n">
        <v>-2</v>
      </c>
      <c r="EA38" s="388" t="n">
        <v>-3</v>
      </c>
      <c r="EB38" s="388" t="n">
        <v>-6</v>
      </c>
      <c r="EC38" s="368" t="n">
        <v>-5</v>
      </c>
      <c r="ED38" s="386"/>
      <c r="EE38" s="386"/>
      <c r="EF38" s="386"/>
    </row>
    <row r="39" customFormat="false" ht="12.75" hidden="false" customHeight="false" outlineLevel="0" collapsed="false">
      <c r="B39" s="371" t="n">
        <v>36739</v>
      </c>
      <c r="C39" s="372" t="n">
        <v>36727</v>
      </c>
      <c r="I39" s="338" t="n">
        <f aca="false">EOMONTH(I38,0)+1</f>
        <v>46935</v>
      </c>
      <c r="J39" s="307" t="n">
        <f aca="false">VLOOKUP(I39,$B$12:$C$332,2)</f>
        <v>45644</v>
      </c>
      <c r="K39" s="339" t="n">
        <f aca="false">NETWORKDAYS(I39,J40)/N39</f>
        <v>-43.952380952381</v>
      </c>
      <c r="L39" s="309" t="n">
        <f aca="false">YEAR(I39)-1900</f>
        <v>128</v>
      </c>
      <c r="M39" s="310" t="n">
        <f aca="false">MONTH(I39)</f>
        <v>7</v>
      </c>
      <c r="N39" s="340" t="n">
        <f aca="false">NETWORKDAYS(I39,I40-1)</f>
        <v>21</v>
      </c>
      <c r="O39" s="341" t="n">
        <f aca="false">I39-DateToday-IF(EuroExpDateToggle=1,3+IF(WEEKDAY(I39-1)=7,1,IF(WEEKDAY(I39-1)&lt;5,2,0)),1+IF(WEEKDAY(I39-1)=7,1,IF(WEEKDAY(I39-1)&lt;3,2,0)))</f>
        <v>1006</v>
      </c>
      <c r="P39" s="342" t="n">
        <f aca="false">(I39-DateToday+1)/365.25</f>
        <v>2.76522929500342</v>
      </c>
      <c r="Q39" s="342" t="n">
        <f aca="false">(I40-DateToday)/365.25</f>
        <v>2.84736481861739</v>
      </c>
      <c r="R39" s="314" t="n">
        <v>19.8133333333333</v>
      </c>
      <c r="S39" s="347" t="n">
        <v>0</v>
      </c>
      <c r="T39" s="316" t="n">
        <f aca="false">R39+S39/100</f>
        <v>19.8133333333333</v>
      </c>
      <c r="U39" s="325" t="n">
        <f aca="false">R40*K39+R41*(1-K39)</f>
        <v>17.2093650793636</v>
      </c>
      <c r="V39" s="337" t="n">
        <f aca="false">T40*K39+T41*(1-K39)</f>
        <v>17.2093650793636</v>
      </c>
      <c r="W39" s="318" t="n">
        <v>0.214588649859863</v>
      </c>
      <c r="X39" s="319" t="str">
        <f aca="false">IF($I39-DateToday+1&gt;=$A$10,"",IF($I39-DateToday+1&lt;$A$5,1,MATCH($I39-DateToday+1,$A$5:$A$10)))</f>
        <v/>
      </c>
      <c r="Y39" s="348" t="n">
        <f aca="false">IF($X39="",Y38^2/Y37,INDEX(B$5:B$10,$X39)^((INDEX($A$5:$A$10,$X39+1)-($I39-DateToday+1))/(INDEX($A$5:$A$10,$X39+1)-INDEX($A$5:$A$10,$X39)))/INDEX(B$5:B$10,$X39+1)^((INDEX($A$5:$A$10,$X39)-($I39-DateToday+1))/(INDEX($A$5:$A$10,$X39+1)-INDEX($A$5:$A$10,$X39))))</f>
        <v>0.00750569381006824</v>
      </c>
      <c r="Z39" s="348" t="n">
        <f aca="false">IF($X39="",Z38^2/Z37,INDEX(C$5:C$10,$X39)^((INDEX($A$5:$A$10,$X39+1)-($I39-DateToday+1))/(INDEX($A$5:$A$10,$X39+1)-INDEX($A$5:$A$10,$X39)))/INDEX(C$5:C$10,$X39+1)^((INDEX($A$5:$A$10,$X39)-($I39-DateToday+1))/(INDEX($A$5:$A$10,$X39+1)-INDEX($A$5:$A$10,$X39))))</f>
        <v>0.00387092275849313</v>
      </c>
      <c r="AA39" s="348" t="n">
        <f aca="false">IF($X39="",AA38^2/AA37,INDEX(D$5:D$10,$X39)^((INDEX($A$5:$A$10,$X39+1)-($I39-DateToday+1))/(INDEX($A$5:$A$10,$X39+1)-INDEX($A$5:$A$10,$X39)))/INDEX(D$5:D$10,$X39+1)^((INDEX($A$5:$A$10,$X39)-($I39-DateToday+1))/(INDEX($A$5:$A$10,$X39+1)-INDEX($A$5:$A$10,$X39))))</f>
        <v>0.00168789266310534</v>
      </c>
      <c r="AB39" s="348" t="n">
        <f aca="false">IF($X39="",AB38^2/AB37,INDEX(E$5:E$10,$X39)^((INDEX($A$5:$A$10,$X39+1)-($I39-DateToday+1))/(INDEX($A$5:$A$10,$X39+1)-INDEX($A$5:$A$10,$X39)))/INDEX(E$5:E$10,$X39+1)^((INDEX($A$5:$A$10,$X39)-($I39-DateToday+1))/(INDEX($A$5:$A$10,$X39+1)-INDEX($A$5:$A$10,$X39))))</f>
        <v>0.00380248459144371</v>
      </c>
      <c r="AC39" s="348" t="n">
        <f aca="false">IF($X39="",AC38^2/AC37,INDEX(F$5:F$10,$X39)^((INDEX($A$5:$A$10,$X39+1)-($I39-DateToday+1))/(INDEX($A$5:$A$10,$X39+1)-INDEX($A$5:$A$10,$X39)))/INDEX(F$5:F$10,$X39+1)^((INDEX($A$5:$A$10,$X39)-($I39-DateToday+1))/(INDEX($A$5:$A$10,$X39+1)-INDEX($A$5:$A$10,$X39))))</f>
        <v>0.00872041479033333</v>
      </c>
      <c r="AD39" s="348" t="n">
        <f aca="false">IF($X39="",AD38^2/AD37,INDEX(G$5:G$10,$X39)^((INDEX($A$5:$A$10,$X39+1)-($I39-DateToday+1))/(INDEX($A$5:$A$10,$X39+1)-INDEX($A$5:$A$10,$X39)))/INDEX(G$5:G$10,$X39+1)^((INDEX($A$5:$A$10,$X39)-($I39-DateToday+1))/(INDEX($A$5:$A$10,$X39+1)-INDEX($A$5:$A$10,$X39))))</f>
        <v>0.0169088270153217</v>
      </c>
      <c r="AE39" s="321" t="n">
        <v>0.07178526750737</v>
      </c>
      <c r="AF39" s="316" t="n">
        <f aca="false">(1+AE39/2)^(-2*(I40-DateToday)/365.25)</f>
        <v>0.818062846243994</v>
      </c>
      <c r="AG39" s="316" t="n">
        <f aca="false">AG38*(1+IF(AND(M39=1,L39&gt;YearStart),Escalation,0))</f>
        <v>1</v>
      </c>
      <c r="AH39" s="322" t="n">
        <f aca="false">IF(OR(DateStart&gt;=I40,DateEnd&lt;I39),0,Volume*AG39)</f>
        <v>0</v>
      </c>
      <c r="AI39" s="322" t="n">
        <f aca="false">AH39*AF39</f>
        <v>0</v>
      </c>
      <c r="AJ39" s="322" t="n">
        <f aca="false">IF(OR(DateStart2&gt;=I40,DateEnd2&lt;I39),0,VolumeSwaption*AG39)</f>
        <v>0</v>
      </c>
      <c r="AK39" s="322" t="n">
        <f aca="false">AJ39*AF39</f>
        <v>0</v>
      </c>
      <c r="AL39" s="316" t="str">
        <f aca="true">IF(AH39,OFFSET(BY39,0,HorizontalPriceOffset)+PriceSpreadAsian,"")</f>
        <v/>
      </c>
      <c r="AM39" s="316" t="str">
        <f aca="false">IF(AH39,Strike1/AL39-1,"")</f>
        <v/>
      </c>
      <c r="AN39" s="316" t="str">
        <f aca="false">IF(AH39,Strike2/AL39-1,"")</f>
        <v/>
      </c>
      <c r="AO39" s="323" t="str">
        <f aca="false">IF(AH39,IF(VolOverrideAsian,VolOverrideAsian,IF(ProductGroup=1,IF(Product&lt;3,DA40,DE40),W40)+VolSpreadAsian),"")</f>
        <v/>
      </c>
      <c r="AP39" s="323" t="str">
        <f aca="false">IF($AH39,$AO39+IF(SkewFlag=1,IF(AM39&gt;0,$AA39*MIN(AM39/10%,1)+($Z39-$AA39)*MAX(0,MIN(AM39/10%-1,1))+($Y39-$Z39)*MAX(0,AM39/10%-2),$AB39*MIN(-AM39/10%,1)+($AC39-$AB39)*MAX(0,MIN(-AM39/10%-1,1))+($AD39-$AC39)*MAX(0,-AM39/10%-2)),0),"")</f>
        <v/>
      </c>
      <c r="AQ39" s="323" t="str">
        <f aca="false">IF($AH39,$AO39+IF(SkewFlag=1,IF(AN39&gt;0,$AA39*MIN(AN39/10%,1)+($Z39-$AA39)*MAX(0,MIN(AN39/10%-1,1))+($Y39-$Z39)*MAX(0,AN39/10%-2),$AB39*MIN(-AN39/10%,1)+($AC39-$AB39)*MAX(0,MIN(-AN39/10%-1,1))+($AD39-$AC39)*MAX(0,-AN39/10%-2)),0),"")</f>
        <v/>
      </c>
      <c r="AR39" s="324" t="n">
        <f aca="false">IF(AH39,xASN(AL39,Strike1,AE39,AP39,0,N39,0,P39,Q39,IF(OptControl=4,0,1),0),0)</f>
        <v>0</v>
      </c>
      <c r="AS39" s="324" t="n">
        <f aca="false">IF(AH39,xASN(AL39,Strike1,AE39,AP39,0,N39,0,P39,Q39,IF(OptControl=4,0,1),1),0)</f>
        <v>0</v>
      </c>
      <c r="AT39" s="324" t="n">
        <f aca="false">IF(AH39,xASN(AL39,Strike1,AE39,AP39,0,N39,0,P39,Q39,IF(OptControl=4,0,1),2),0)</f>
        <v>0</v>
      </c>
      <c r="AU39" s="324" t="n">
        <f aca="false">IF(AH39,xASN(AL39,Strike1,AE39,AP39,0,N39,0,P39,Q39,IF(OptControl=4,0,1),3)/100,0)</f>
        <v>0</v>
      </c>
      <c r="AV39" s="324" t="n">
        <f aca="false">IF(AH39,xASN(AL39,Strike1,AE39,AP39,0,N39,0,P39-DaysForThetaCalculation/365.25,Q39-DaysForThetaCalculation/365.25,IF(OptControl=4,0,1),0)-xASN(AL39,Strike1,AE39,AP39,0,N39,0,P39,Q39,IF(OptControl=4,0,1),0),0)</f>
        <v>0</v>
      </c>
      <c r="AW39" s="324" t="n">
        <f aca="false">IF(AH39,xASN(AL39,Strike2,AE39,AQ39,0,N39,0,P39,Q39,IF(OptControl=3,1,0),0),0)</f>
        <v>0</v>
      </c>
      <c r="AX39" s="324" t="n">
        <f aca="false">IF(AH39,xASN(AL39,Strike2,AE39,AQ39,0,N39,0,P39,Q39,IF(OptControl=3,1,0),1),0)</f>
        <v>0</v>
      </c>
      <c r="AY39" s="324" t="n">
        <f aca="false">IF(AH39,xASN(AL39,Strike2,AE39,AQ39,0,N39,0,P39,Q39,IF(OptControl=3,1,0),2),0)</f>
        <v>0</v>
      </c>
      <c r="AZ39" s="324" t="n">
        <f aca="false">IF(AH39,xASN(AL39,Strike2,AE39,AQ39,0,N39,0,P39,Q39,IF(OptControl=3,1,0),3)/100,0)</f>
        <v>0</v>
      </c>
      <c r="BA39" s="324" t="n">
        <f aca="false">IF(AH39,xASN(AL39,Strike2,AE39,AQ39,0,N39,0,P39-DaysForThetaCalculation/365.25,Q39-DaysForThetaCalculation/365.25,IF(OptControl=3,1,0),0)-xASN(AL39,Strike2,AE39,AQ39,0,N39,0,P39,Q39,IF(OptControl=3,1,0),0),0)</f>
        <v>0</v>
      </c>
      <c r="BB39" s="325" t="str">
        <f aca="false">IF(AH39,IF(ProductGroup=1,IF(Product=1,BX39+PriceSpreadEuro,IF(Product=3,CK39+PriceSpreadEuro,"N/A")),"N/A"),"")</f>
        <v/>
      </c>
      <c r="BC39" s="316" t="str">
        <f aca="false">IF(AH39,Strike1/BB39-1,"")</f>
        <v/>
      </c>
      <c r="BD39" s="316" t="str">
        <f aca="false">IF(AH39,Strike2/BB39-1,"")</f>
        <v/>
      </c>
      <c r="BE39" s="326" t="str">
        <f aca="false">IF(AH39,IF(VolOverrideEuro,VolOverrideEuro,IF(ProductGroup=1,IF(Product&lt;3,DA39,DE39)+VolSpreadEuro,"N/A")),"")</f>
        <v/>
      </c>
      <c r="BF39" s="323" t="str">
        <f aca="false">IF($AH39,$BE39+IF(SkewFlag=1,IF(BC39&gt;0,$AA39*MIN(BC39/10%,1)+($Z39-$AA39)*MAX(0,MIN(BC39/10%-1,1))+($Y39-$Z39)*MAX(0,BC39/10%-2),$AB39*MIN(-BC39/10%,1)+($AC39-$AB39)*MAX(0,MIN(-BC39/10%-1,1))+($AD39-$AC39)*MAX(0,-BC39/10%-2)),0),"")</f>
        <v/>
      </c>
      <c r="BG39" s="323" t="str">
        <f aca="false">IF($AH39,$BE39+IF(SkewFlag=1,IF(BD39&gt;0,$AA39*MIN(BD39/10%,1)+($Z39-$AA39)*MAX(0,MIN(BD39/10%-1,1))+($Y39-$Z39)*MAX(0,BD39/10%-2),$AB39*MIN(-BD39/10%,1)+($AC39-$AB39)*MAX(0,MIN(-BD39/10%-1,1))+($AD39-$AC39)*MAX(0,-BD39/10%-2)),0),"")</f>
        <v/>
      </c>
      <c r="BH39" s="324" t="n">
        <f aca="false">IF(AH39,xEURO(BB39,Strike1,AE39,AE39,BF39,O39,IF(OptControl=4,0,1),0),0)</f>
        <v>0</v>
      </c>
      <c r="BI39" s="324" t="n">
        <f aca="false">IF(AH39,xEURO(BB39,Strike1,AE39,AE39,BF39,O39,IF(OptControl=4,0,1),1),0)</f>
        <v>0</v>
      </c>
      <c r="BJ39" s="324" t="n">
        <f aca="false">IF(AH39,xEURO(BB39,Strike1,AE39,AE39,BF39,O39,IF(OptControl=4,0,1),2),0)</f>
        <v>0</v>
      </c>
      <c r="BK39" s="324" t="n">
        <f aca="false">IF(AH39,xEURO(BB39,Strike1,AE39,AE39,BF39,O39,IF(OptControl=4,0,1),3)/100,0)</f>
        <v>0</v>
      </c>
      <c r="BL39" s="324" t="n">
        <f aca="false">IF(AH39,xEURO(BB39,Strike1,AE39,AE39,BF39,O39-DaysForThetaCalculation,IF(OptControl=4,0,1),0)-xEURO(BB39,Strike1,AE39,AE39,BF39,O39,IF(OptControl=4,0,1),0),0)</f>
        <v>0</v>
      </c>
      <c r="BM39" s="324" t="n">
        <f aca="false">IF(AH39,xEURO(BB39,Strike2,AE39,AE39,BG39,O39,IF(OptControl=3,1,0),0),0)</f>
        <v>0</v>
      </c>
      <c r="BN39" s="324" t="n">
        <f aca="false">IF(AH39,xEURO(BB39,Strike2,AE39,AE39,BG39,O39,IF(OptControl=3,1,0),1),0)</f>
        <v>0</v>
      </c>
      <c r="BO39" s="324" t="n">
        <f aca="false">IF(AH39,xEURO(BB39,Strike2,AE39,AE39,BG39,O39,IF(OptControl=3,1,0),2),0)</f>
        <v>0</v>
      </c>
      <c r="BP39" s="324" t="n">
        <f aca="false">IF(AH39,xEURO(BB39,Strike2,AE39,AE39,BG39,O39,IF(OptControl=3,1,0),3)/100,0)</f>
        <v>0</v>
      </c>
      <c r="BQ39" s="327" t="n">
        <f aca="false">IF(AH39,xEURO(BB39,Strike2,AE39,AE39,BG39,O39-DaysForThetaCalculation,IF(OptControl=3,1,0),0)-xEURO(BB39,Strike2,AE39,AE39,BG39,O39,IF(OptControl=3,1,0),0),0)</f>
        <v>0</v>
      </c>
      <c r="BR39" s="343"/>
      <c r="BS39" s="314" t="n">
        <v>24.356</v>
      </c>
      <c r="BT39" s="329" t="n">
        <f aca="false">BS39*100/42</f>
        <v>57.9904761904762</v>
      </c>
      <c r="BU39" s="329" t="n">
        <f aca="false">BS40-$U39</f>
        <v>8.22963492063642</v>
      </c>
      <c r="BV39" s="224"/>
      <c r="BW39" s="329" t="n">
        <f aca="false">BW27+VLOOKUP(1900+$L39,ProductSpreadTable,2)</f>
        <v>11.2738260869565</v>
      </c>
      <c r="BX39" s="329" t="n">
        <f aca="false">($V38+BW38)*100/42</f>
        <v>68.393217893224</v>
      </c>
      <c r="BY39" s="332" t="n">
        <f aca="false">BX40</f>
        <v>67.8171218245717</v>
      </c>
      <c r="BZ39" s="314" t="n">
        <v>23.234</v>
      </c>
      <c r="CA39" s="329" t="n">
        <f aca="false">BZ39*100/42</f>
        <v>55.3190476190476</v>
      </c>
      <c r="CB39" s="329" t="n">
        <f aca="false">BZ39-$U39</f>
        <v>6.02463492063642</v>
      </c>
      <c r="CC39" s="329" t="n">
        <f aca="false">CC27+VLOOKUP(1900+$L39,ProductSpreadTable,3)</f>
        <v>9.76182608695654</v>
      </c>
      <c r="CD39" s="329" t="n">
        <f aca="false">($V39+CC39)*100/42</f>
        <v>64.2171218245717</v>
      </c>
      <c r="CE39" s="333" t="n">
        <f aca="false">CD39-BY39</f>
        <v>-3.59999999999999</v>
      </c>
      <c r="CF39" s="314" t="n">
        <v>24.566</v>
      </c>
      <c r="CG39" s="329" t="n">
        <f aca="false">CF39*100/42</f>
        <v>58.4904761904762</v>
      </c>
      <c r="CH39" s="329" t="n">
        <f aca="false">CF40-$U39</f>
        <v>6.80663492063642</v>
      </c>
      <c r="CI39" s="224"/>
      <c r="CJ39" s="329" t="n">
        <f aca="false">CJ27+VLOOKUP(1900+$L39,ProductSpreadTable,4)</f>
        <v>10.5938260869565</v>
      </c>
      <c r="CK39" s="329" t="n">
        <f aca="false">($V38+CJ38)*100/42</f>
        <v>67.8241702741764</v>
      </c>
      <c r="CL39" s="329" t="n">
        <f aca="false">CK40</f>
        <v>66.1980742055241</v>
      </c>
      <c r="CM39" s="314" t="n">
        <v>22.882</v>
      </c>
      <c r="CN39" s="329" t="n">
        <f aca="false">CM39*100/42</f>
        <v>54.4809523809524</v>
      </c>
      <c r="CO39" s="329" t="n">
        <f aca="false">CM39-$U39</f>
        <v>5.67263492063642</v>
      </c>
      <c r="CP39" s="329" t="n">
        <f aca="false">CP27+VLOOKUP(1900+$L39,ProductSpreadTable,5)</f>
        <v>9.48082608695654</v>
      </c>
      <c r="CQ39" s="329" t="n">
        <f aca="false">($V39+CP39)*100/42</f>
        <v>63.5480742055241</v>
      </c>
      <c r="CR39" s="333" t="n">
        <f aca="false">CQ39-CL39</f>
        <v>-2.64999999999998</v>
      </c>
      <c r="CS39" s="314" t="n">
        <v>24.142</v>
      </c>
      <c r="CT39" s="329" t="n">
        <f aca="false">CS39*100/42</f>
        <v>57.4809523809524</v>
      </c>
      <c r="CU39" s="329" t="n">
        <f aca="false">CT39-CG40</f>
        <v>0.300000000000011</v>
      </c>
      <c r="CV39" s="329" t="n">
        <f aca="false">CV27+VLOOKUP(1900+$L39,ProductSpreadTable,6)</f>
        <v>0.900000000000009</v>
      </c>
      <c r="CW39" s="333" t="n">
        <f aca="false">CL39+CV39</f>
        <v>67.0980742055241</v>
      </c>
      <c r="CX39" s="318" t="n">
        <v>0.215</v>
      </c>
      <c r="CY39" s="326" t="n">
        <f aca="false">CX39-$W39</f>
        <v>0.000411350140136935</v>
      </c>
      <c r="CZ39" s="326" t="n">
        <f aca="false">VLOOKUP(1900+$L39,ProductSpreadTable,7)</f>
        <v>-0.03</v>
      </c>
      <c r="DA39" s="365" t="n">
        <f aca="false">$W39+CZ39</f>
        <v>0.184588649859863</v>
      </c>
      <c r="DB39" s="318" t="n">
        <v>0.215</v>
      </c>
      <c r="DC39" s="326" t="n">
        <f aca="false">DB39-$W39</f>
        <v>0.000411350140136935</v>
      </c>
      <c r="DD39" s="326" t="n">
        <f aca="false">VLOOKUP(1900+$L39,ProductSpreadTable,8)</f>
        <v>0.03</v>
      </c>
      <c r="DE39" s="365" t="n">
        <f aca="false">$W39+DD39</f>
        <v>0.244588649859863</v>
      </c>
      <c r="DG39" s="336"/>
      <c r="DH39" s="314" t="n">
        <v>17.033</v>
      </c>
      <c r="DI39" s="325" t="n">
        <f aca="false">DH39-$U39</f>
        <v>-0.176365079363578</v>
      </c>
      <c r="DJ39" s="325" t="n">
        <f aca="false">VLOOKUP(1900+$L39,ResidSpreadTable,2)</f>
        <v>-2</v>
      </c>
      <c r="DK39" s="337" t="n">
        <f aca="false">$V39+DJ39</f>
        <v>15.2093650793636</v>
      </c>
      <c r="DL39" s="314" t="n">
        <v>14.483</v>
      </c>
      <c r="DM39" s="325" t="n">
        <f aca="false">DL39-$U39</f>
        <v>-2.72636507936358</v>
      </c>
      <c r="DN39" s="325" t="n">
        <f aca="false">VLOOKUP(1900+$L39,ResidSpreadTable,3)</f>
        <v>-3</v>
      </c>
      <c r="DO39" s="337" t="n">
        <f aca="false">$V39+DN39</f>
        <v>14.2093650793636</v>
      </c>
      <c r="DP39" s="314" t="n">
        <v>13.733</v>
      </c>
      <c r="DQ39" s="325" t="n">
        <f aca="false">DP39-$U39</f>
        <v>-3.47636507936358</v>
      </c>
      <c r="DR39" s="325" t="n">
        <f aca="false">VLOOKUP(1900+$L39,ResidSpreadTable,4)</f>
        <v>-6</v>
      </c>
      <c r="DS39" s="337" t="n">
        <f aca="false">$V39+DR39</f>
        <v>11.2093650793636</v>
      </c>
      <c r="DT39" s="314" t="n">
        <v>15.733</v>
      </c>
      <c r="DU39" s="325" t="n">
        <f aca="false">DT39-$U39</f>
        <v>-1.47636507936358</v>
      </c>
      <c r="DV39" s="325" t="n">
        <f aca="false">VLOOKUP(1900+$L39,ResidSpreadTable,5)</f>
        <v>-5</v>
      </c>
      <c r="DW39" s="337" t="n">
        <f aca="false">$V39+DV39</f>
        <v>12.2093650793636</v>
      </c>
      <c r="DY39" s="29" t="n">
        <v>2001</v>
      </c>
      <c r="DZ39" s="388" t="n">
        <v>-2</v>
      </c>
      <c r="EA39" s="388" t="n">
        <v>-3</v>
      </c>
      <c r="EB39" s="388" t="n">
        <v>-6</v>
      </c>
      <c r="EC39" s="368" t="n">
        <v>-5</v>
      </c>
      <c r="ED39" s="386"/>
      <c r="EE39" s="386"/>
      <c r="EF39" s="386"/>
    </row>
    <row r="40" customFormat="false" ht="12.75" hidden="false" customHeight="false" outlineLevel="0" collapsed="false">
      <c r="B40" s="371" t="n">
        <v>36770</v>
      </c>
      <c r="C40" s="372" t="n">
        <v>36760</v>
      </c>
      <c r="I40" s="338" t="n">
        <f aca="false">EOMONTH(I39,0)+1</f>
        <v>46966</v>
      </c>
      <c r="J40" s="307" t="n">
        <f aca="false">VLOOKUP(I40,$B$12:$C$332,2)</f>
        <v>45644</v>
      </c>
      <c r="K40" s="339" t="n">
        <f aca="false">NETWORKDAYS(I40,J41)/N40</f>
        <v>-41.0869565217391</v>
      </c>
      <c r="L40" s="309" t="n">
        <f aca="false">YEAR(I40)-1900</f>
        <v>128</v>
      </c>
      <c r="M40" s="310" t="n">
        <f aca="false">MONTH(I40)</f>
        <v>8</v>
      </c>
      <c r="N40" s="340" t="n">
        <f aca="false">NETWORKDAYS(I40,I41-1)</f>
        <v>23</v>
      </c>
      <c r="O40" s="341" t="n">
        <f aca="false">I40-DateToday-IF(EuroExpDateToggle=1,3+IF(WEEKDAY(I40-1)=7,1,IF(WEEKDAY(I40-1)&lt;5,2,0)),1+IF(WEEKDAY(I40-1)=7,1,IF(WEEKDAY(I40-1)&lt;3,2,0)))</f>
        <v>1035</v>
      </c>
      <c r="P40" s="342" t="n">
        <f aca="false">(I40-DateToday+1)/365.25</f>
        <v>2.85010266940452</v>
      </c>
      <c r="Q40" s="342" t="n">
        <f aca="false">(I41-DateToday)/365.25</f>
        <v>2.93223819301848</v>
      </c>
      <c r="R40" s="314" t="n">
        <v>19.7566666666667</v>
      </c>
      <c r="S40" s="347" t="n">
        <v>0</v>
      </c>
      <c r="T40" s="316" t="n">
        <f aca="false">R40+S40/100</f>
        <v>19.7566666666667</v>
      </c>
      <c r="U40" s="325" t="n">
        <f aca="false">R41*K40+R42*(1-K40)</f>
        <v>17.3150724637669</v>
      </c>
      <c r="V40" s="337" t="n">
        <f aca="false">T41*K40+T42*(1-K40)</f>
        <v>17.3150724637669</v>
      </c>
      <c r="W40" s="318" t="n">
        <v>0.214089918056083</v>
      </c>
      <c r="X40" s="319" t="str">
        <f aca="false">IF($I40-DateToday+1&gt;=$A$10,"",IF($I40-DateToday+1&lt;$A$5,1,MATCH($I40-DateToday+1,$A$5:$A$10)))</f>
        <v/>
      </c>
      <c r="Y40" s="348" t="n">
        <f aca="false">IF($X40="",Y39^2/Y38,INDEX(B$5:B$10,$X40)^((INDEX($A$5:$A$10,$X40+1)-($I40-DateToday+1))/(INDEX($A$5:$A$10,$X40+1)-INDEX($A$5:$A$10,$X40)))/INDEX(B$5:B$10,$X40+1)^((INDEX($A$5:$A$10,$X40)-($I40-DateToday+1))/(INDEX($A$5:$A$10,$X40+1)-INDEX($A$5:$A$10,$X40))))</f>
        <v>0.00734500832120912</v>
      </c>
      <c r="Z40" s="348" t="n">
        <f aca="false">IF($X40="",Z39^2/Z38,INDEX(C$5:C$10,$X40)^((INDEX($A$5:$A$10,$X40+1)-($I40-DateToday+1))/(INDEX($A$5:$A$10,$X40+1)-INDEX($A$5:$A$10,$X40)))/INDEX(C$5:C$10,$X40+1)^((INDEX($A$5:$A$10,$X40)-($I40-DateToday+1))/(INDEX($A$5:$A$10,$X40+1)-INDEX($A$5:$A$10,$X40))))</f>
        <v>0.00376777076144374</v>
      </c>
      <c r="AA40" s="348" t="n">
        <f aca="false">IF($X40="",AA39^2/AA38,INDEX(D$5:D$10,$X40)^((INDEX($A$5:$A$10,$X40+1)-($I40-DateToday+1))/(INDEX($A$5:$A$10,$X40+1)-INDEX($A$5:$A$10,$X40)))/INDEX(D$5:D$10,$X40+1)^((INDEX($A$5:$A$10,$X40)-($I40-DateToday+1))/(INDEX($A$5:$A$10,$X40+1)-INDEX($A$5:$A$10,$X40))))</f>
        <v>0.00163850822423676</v>
      </c>
      <c r="AB40" s="348" t="n">
        <f aca="false">IF($X40="",AB39^2/AB38,INDEX(E$5:E$10,$X40)^((INDEX($A$5:$A$10,$X40+1)-($I40-DateToday+1))/(INDEX($A$5:$A$10,$X40+1)-INDEX($A$5:$A$10,$X40)))/INDEX(E$5:E$10,$X40+1)^((INDEX($A$5:$A$10,$X40)-($I40-DateToday+1))/(INDEX($A$5:$A$10,$X40+1)-INDEX($A$5:$A$10,$X40))))</f>
        <v>0.00369123132756058</v>
      </c>
      <c r="AC40" s="348" t="n">
        <f aca="false">IF($X40="",AC39^2/AC38,INDEX(F$5:F$10,$X40)^((INDEX($A$5:$A$10,$X40+1)-($I40-DateToday+1))/(INDEX($A$5:$A$10,$X40+1)-INDEX($A$5:$A$10,$X40)))/INDEX(F$5:F$10,$X40+1)^((INDEX($A$5:$A$10,$X40)-($I40-DateToday+1))/(INDEX($A$5:$A$10,$X40+1)-INDEX($A$5:$A$10,$X40))))</f>
        <v>0.00848803397138047</v>
      </c>
      <c r="AD40" s="348" t="n">
        <f aca="false">IF($X40="",AD39^2/AD38,INDEX(G$5:G$10,$X40)^((INDEX($A$5:$A$10,$X40+1)-($I40-DateToday+1))/(INDEX($A$5:$A$10,$X40+1)-INDEX($A$5:$A$10,$X40)))/INDEX(G$5:G$10,$X40+1)^((INDEX($A$5:$A$10,$X40)-($I40-DateToday+1))/(INDEX($A$5:$A$10,$X40+1)-INDEX($A$5:$A$10,$X40))))</f>
        <v>0.0165468347460198</v>
      </c>
      <c r="AE40" s="321" t="n">
        <v>0.07186327512812</v>
      </c>
      <c r="AF40" s="316" t="n">
        <f aca="false">(1+AE40/2)^(-2*(I41-DateToday)/365.25)</f>
        <v>0.813001122743046</v>
      </c>
      <c r="AG40" s="316" t="n">
        <f aca="false">AG39*(1+IF(AND(M40=1,L40&gt;YearStart),Escalation,0))</f>
        <v>1</v>
      </c>
      <c r="AH40" s="322" t="n">
        <f aca="false">IF(OR(DateStart&gt;=I41,DateEnd&lt;I40),0,Volume*AG40)</f>
        <v>0</v>
      </c>
      <c r="AI40" s="322" t="n">
        <f aca="false">AH40*AF40</f>
        <v>0</v>
      </c>
      <c r="AJ40" s="322" t="n">
        <f aca="false">IF(OR(DateStart2&gt;=I41,DateEnd2&lt;I40),0,VolumeSwaption*AG40)</f>
        <v>0</v>
      </c>
      <c r="AK40" s="322" t="n">
        <f aca="false">AJ40*AF40</f>
        <v>0</v>
      </c>
      <c r="AL40" s="316" t="str">
        <f aca="true">IF(AH40,OFFSET(BY40,0,HorizontalPriceOffset)+PriceSpreadAsian,"")</f>
        <v/>
      </c>
      <c r="AM40" s="316" t="str">
        <f aca="false">IF(AH40,Strike1/AL40-1,"")</f>
        <v/>
      </c>
      <c r="AN40" s="316" t="str">
        <f aca="false">IF(AH40,Strike2/AL40-1,"")</f>
        <v/>
      </c>
      <c r="AO40" s="323" t="str">
        <f aca="false">IF(AH40,IF(VolOverrideAsian,VolOverrideAsian,IF(ProductGroup=1,IF(Product&lt;3,DA41,DE41),W41)+VolSpreadAsian),"")</f>
        <v/>
      </c>
      <c r="AP40" s="323" t="str">
        <f aca="false">IF($AH40,$AO40+IF(SkewFlag=1,IF(AM40&gt;0,$AA40*MIN(AM40/10%,1)+($Z40-$AA40)*MAX(0,MIN(AM40/10%-1,1))+($Y40-$Z40)*MAX(0,AM40/10%-2),$AB40*MIN(-AM40/10%,1)+($AC40-$AB40)*MAX(0,MIN(-AM40/10%-1,1))+($AD40-$AC40)*MAX(0,-AM40/10%-2)),0),"")</f>
        <v/>
      </c>
      <c r="AQ40" s="323" t="str">
        <f aca="false">IF($AH40,$AO40+IF(SkewFlag=1,IF(AN40&gt;0,$AA40*MIN(AN40/10%,1)+($Z40-$AA40)*MAX(0,MIN(AN40/10%-1,1))+($Y40-$Z40)*MAX(0,AN40/10%-2),$AB40*MIN(-AN40/10%,1)+($AC40-$AB40)*MAX(0,MIN(-AN40/10%-1,1))+($AD40-$AC40)*MAX(0,-AN40/10%-2)),0),"")</f>
        <v/>
      </c>
      <c r="AR40" s="324" t="n">
        <f aca="false">IF(AH40,xASN(AL40,Strike1,AE40,AP40,0,N40,0,P40,Q40,IF(OptControl=4,0,1),0),0)</f>
        <v>0</v>
      </c>
      <c r="AS40" s="324" t="n">
        <f aca="false">IF(AH40,xASN(AL40,Strike1,AE40,AP40,0,N40,0,P40,Q40,IF(OptControl=4,0,1),1),0)</f>
        <v>0</v>
      </c>
      <c r="AT40" s="324" t="n">
        <f aca="false">IF(AH40,xASN(AL40,Strike1,AE40,AP40,0,N40,0,P40,Q40,IF(OptControl=4,0,1),2),0)</f>
        <v>0</v>
      </c>
      <c r="AU40" s="324" t="n">
        <f aca="false">IF(AH40,xASN(AL40,Strike1,AE40,AP40,0,N40,0,P40,Q40,IF(OptControl=4,0,1),3)/100,0)</f>
        <v>0</v>
      </c>
      <c r="AV40" s="324" t="n">
        <f aca="false">IF(AH40,xASN(AL40,Strike1,AE40,AP40,0,N40,0,P40-DaysForThetaCalculation/365.25,Q40-DaysForThetaCalculation/365.25,IF(OptControl=4,0,1),0)-xASN(AL40,Strike1,AE40,AP40,0,N40,0,P40,Q40,IF(OptControl=4,0,1),0),0)</f>
        <v>0</v>
      </c>
      <c r="AW40" s="324" t="n">
        <f aca="false">IF(AH40,xASN(AL40,Strike2,AE40,AQ40,0,N40,0,P40,Q40,IF(OptControl=3,1,0),0),0)</f>
        <v>0</v>
      </c>
      <c r="AX40" s="324" t="n">
        <f aca="false">IF(AH40,xASN(AL40,Strike2,AE40,AQ40,0,N40,0,P40,Q40,IF(OptControl=3,1,0),1),0)</f>
        <v>0</v>
      </c>
      <c r="AY40" s="324" t="n">
        <f aca="false">IF(AH40,xASN(AL40,Strike2,AE40,AQ40,0,N40,0,P40,Q40,IF(OptControl=3,1,0),2),0)</f>
        <v>0</v>
      </c>
      <c r="AZ40" s="324" t="n">
        <f aca="false">IF(AH40,xASN(AL40,Strike2,AE40,AQ40,0,N40,0,P40,Q40,IF(OptControl=3,1,0),3)/100,0)</f>
        <v>0</v>
      </c>
      <c r="BA40" s="324" t="n">
        <f aca="false">IF(AH40,xASN(AL40,Strike2,AE40,AQ40,0,N40,0,P40-DaysForThetaCalculation/365.25,Q40-DaysForThetaCalculation/365.25,IF(OptControl=3,1,0),0)-xASN(AL40,Strike2,AE40,AQ40,0,N40,0,P40,Q40,IF(OptControl=3,1,0),0),0)</f>
        <v>0</v>
      </c>
      <c r="BB40" s="325" t="str">
        <f aca="false">IF(AH40,IF(ProductGroup=1,IF(Product=1,BX40+PriceSpreadEuro,IF(Product=3,CK40+PriceSpreadEuro,"N/A")),"N/A"),"")</f>
        <v/>
      </c>
      <c r="BC40" s="316" t="str">
        <f aca="false">IF(AH40,Strike1/BB40-1,"")</f>
        <v/>
      </c>
      <c r="BD40" s="316" t="str">
        <f aca="false">IF(AH40,Strike2/BB40-1,"")</f>
        <v/>
      </c>
      <c r="BE40" s="326" t="str">
        <f aca="false">IF(AH40,IF(VolOverrideEuro,VolOverrideEuro,IF(ProductGroup=1,IF(Product&lt;3,DA40,DE40)+VolSpreadEuro,"N/A")),"")</f>
        <v/>
      </c>
      <c r="BF40" s="323" t="str">
        <f aca="false">IF($AH40,$BE40+IF(SkewFlag=1,IF(BC40&gt;0,$AA40*MIN(BC40/10%,1)+($Z40-$AA40)*MAX(0,MIN(BC40/10%-1,1))+($Y40-$Z40)*MAX(0,BC40/10%-2),$AB40*MIN(-BC40/10%,1)+($AC40-$AB40)*MAX(0,MIN(-BC40/10%-1,1))+($AD40-$AC40)*MAX(0,-BC40/10%-2)),0),"")</f>
        <v/>
      </c>
      <c r="BG40" s="323" t="str">
        <f aca="false">IF($AH40,$BE40+IF(SkewFlag=1,IF(BD40&gt;0,$AA40*MIN(BD40/10%,1)+($Z40-$AA40)*MAX(0,MIN(BD40/10%-1,1))+($Y40-$Z40)*MAX(0,BD40/10%-2),$AB40*MIN(-BD40/10%,1)+($AC40-$AB40)*MAX(0,MIN(-BD40/10%-1,1))+($AD40-$AC40)*MAX(0,-BD40/10%-2)),0),"")</f>
        <v/>
      </c>
      <c r="BH40" s="324" t="n">
        <f aca="false">IF(AH40,xEURO(BB40,Strike1,AE40,AE40,BF40,O40,IF(OptControl=4,0,1),0),0)</f>
        <v>0</v>
      </c>
      <c r="BI40" s="324" t="n">
        <f aca="false">IF(AH40,xEURO(BB40,Strike1,AE40,AE40,BF40,O40,IF(OptControl=4,0,1),1),0)</f>
        <v>0</v>
      </c>
      <c r="BJ40" s="324" t="n">
        <f aca="false">IF(AH40,xEURO(BB40,Strike1,AE40,AE40,BF40,O40,IF(OptControl=4,0,1),2),0)</f>
        <v>0</v>
      </c>
      <c r="BK40" s="324" t="n">
        <f aca="false">IF(AH40,xEURO(BB40,Strike1,AE40,AE40,BF40,O40,IF(OptControl=4,0,1),3)/100,0)</f>
        <v>0</v>
      </c>
      <c r="BL40" s="324" t="n">
        <f aca="false">IF(AH40,xEURO(BB40,Strike1,AE40,AE40,BF40,O40-DaysForThetaCalculation,IF(OptControl=4,0,1),0)-xEURO(BB40,Strike1,AE40,AE40,BF40,O40,IF(OptControl=4,0,1),0),0)</f>
        <v>0</v>
      </c>
      <c r="BM40" s="324" t="n">
        <f aca="false">IF(AH40,xEURO(BB40,Strike2,AE40,AE40,BG40,O40,IF(OptControl=3,1,0),0),0)</f>
        <v>0</v>
      </c>
      <c r="BN40" s="324" t="n">
        <f aca="false">IF(AH40,xEURO(BB40,Strike2,AE40,AE40,BG40,O40,IF(OptControl=3,1,0),1),0)</f>
        <v>0</v>
      </c>
      <c r="BO40" s="324" t="n">
        <f aca="false">IF(AH40,xEURO(BB40,Strike2,AE40,AE40,BG40,O40,IF(OptControl=3,1,0),2),0)</f>
        <v>0</v>
      </c>
      <c r="BP40" s="324" t="n">
        <f aca="false">IF(AH40,xEURO(BB40,Strike2,AE40,AE40,BG40,O40,IF(OptControl=3,1,0),3)/100,0)</f>
        <v>0</v>
      </c>
      <c r="BQ40" s="327" t="n">
        <f aca="false">IF(AH40,xEURO(BB40,Strike2,AE40,AE40,BG40,O40-DaysForThetaCalculation,IF(OptControl=3,1,0),0)-xEURO(BB40,Strike2,AE40,AE40,BG40,O40,IF(OptControl=3,1,0),0),0)</f>
        <v>0</v>
      </c>
      <c r="BR40" s="343"/>
      <c r="BS40" s="314" t="n">
        <v>25.439</v>
      </c>
      <c r="BT40" s="329" t="n">
        <f aca="false">BS40*100/42</f>
        <v>60.5690476190476</v>
      </c>
      <c r="BU40" s="329" t="n">
        <f aca="false">BS41-$U40</f>
        <v>8.40592753623309</v>
      </c>
      <c r="BV40" s="224"/>
      <c r="BW40" s="329" t="n">
        <f aca="false">BW28+VLOOKUP(1900+$L40,ProductSpreadTable,2)</f>
        <v>12.5765714285714</v>
      </c>
      <c r="BX40" s="329" t="n">
        <f aca="false">($V39+BW39)*100/42</f>
        <v>67.8171218245717</v>
      </c>
      <c r="BY40" s="332" t="n">
        <f aca="false">BX41</f>
        <v>71.1705806960437</v>
      </c>
      <c r="BZ40" s="314" t="n">
        <v>23.516</v>
      </c>
      <c r="CA40" s="329" t="n">
        <f aca="false">BZ40*100/42</f>
        <v>55.9904761904762</v>
      </c>
      <c r="CB40" s="329" t="n">
        <f aca="false">BZ40-$U40</f>
        <v>6.20092753623309</v>
      </c>
      <c r="CC40" s="329" t="n">
        <f aca="false">CC28+VLOOKUP(1900+$L40,ProductSpreadTable,3)</f>
        <v>11.0185714285714</v>
      </c>
      <c r="CD40" s="329" t="n">
        <f aca="false">($V40+CC40)*100/42</f>
        <v>67.4610568865199</v>
      </c>
      <c r="CE40" s="333" t="n">
        <f aca="false">CD40-BY40</f>
        <v>-3.7095238095238</v>
      </c>
      <c r="CF40" s="314" t="n">
        <v>24.016</v>
      </c>
      <c r="CG40" s="329" t="n">
        <f aca="false">CF40*100/42</f>
        <v>57.1809523809524</v>
      </c>
      <c r="CH40" s="329" t="n">
        <f aca="false">CF41-$U40</f>
        <v>5.93592753623309</v>
      </c>
      <c r="CI40" s="224"/>
      <c r="CJ40" s="329" t="n">
        <f aca="false">CJ28+VLOOKUP(1900+$L40,ProductSpreadTable,4)</f>
        <v>10.8045714285714</v>
      </c>
      <c r="CK40" s="329" t="n">
        <f aca="false">($V39+CJ39)*100/42</f>
        <v>66.1980742055241</v>
      </c>
      <c r="CL40" s="329" t="n">
        <f aca="false">CK41</f>
        <v>66.951533076996</v>
      </c>
      <c r="CM40" s="314" t="n">
        <v>22.117</v>
      </c>
      <c r="CN40" s="329" t="n">
        <f aca="false">CM40*100/42</f>
        <v>52.6595238095238</v>
      </c>
      <c r="CO40" s="329" t="n">
        <f aca="false">CM40-$U40</f>
        <v>4.80192753623309</v>
      </c>
      <c r="CP40" s="329" t="n">
        <f aca="false">CP28+VLOOKUP(1900+$L40,ProductSpreadTable,5)</f>
        <v>9.69157142857143</v>
      </c>
      <c r="CQ40" s="329" t="n">
        <f aca="false">($V40+CP40)*100/42</f>
        <v>64.3015330769961</v>
      </c>
      <c r="CR40" s="333" t="n">
        <f aca="false">CQ40-CL40</f>
        <v>-2.64999999999999</v>
      </c>
      <c r="CS40" s="314" t="n">
        <v>23.377</v>
      </c>
      <c r="CT40" s="329" t="n">
        <f aca="false">CS40*100/42</f>
        <v>55.6595238095238</v>
      </c>
      <c r="CU40" s="329" t="n">
        <f aca="false">CT40-CG41</f>
        <v>0.300000000000011</v>
      </c>
      <c r="CV40" s="329" t="n">
        <f aca="false">CV28+VLOOKUP(1900+$L40,ProductSpreadTable,6)</f>
        <v>0.900000000000009</v>
      </c>
      <c r="CW40" s="333" t="n">
        <f aca="false">CL40+CV40</f>
        <v>67.8515330769961</v>
      </c>
      <c r="CX40" s="318" t="n">
        <v>0.214</v>
      </c>
      <c r="CY40" s="326" t="n">
        <f aca="false">CX40-$W40</f>
        <v>-8.99180560829938E-005</v>
      </c>
      <c r="CZ40" s="326" t="n">
        <f aca="false">VLOOKUP(1900+$L40,ProductSpreadTable,7)</f>
        <v>-0.03</v>
      </c>
      <c r="DA40" s="365" t="n">
        <f aca="false">$W40+CZ40</f>
        <v>0.184089918056083</v>
      </c>
      <c r="DB40" s="318" t="n">
        <v>0.214</v>
      </c>
      <c r="DC40" s="326" t="n">
        <f aca="false">DB40-$W40</f>
        <v>-8.99180560829938E-005</v>
      </c>
      <c r="DD40" s="326" t="n">
        <f aca="false">VLOOKUP(1900+$L40,ProductSpreadTable,8)</f>
        <v>0.03</v>
      </c>
      <c r="DE40" s="365" t="n">
        <f aca="false">$W40+DD40</f>
        <v>0.244089918056083</v>
      </c>
      <c r="DG40" s="336"/>
      <c r="DH40" s="314" t="n">
        <v>16.983</v>
      </c>
      <c r="DI40" s="325" t="n">
        <f aca="false">DH40-$U40</f>
        <v>-0.332072463766909</v>
      </c>
      <c r="DJ40" s="325" t="n">
        <f aca="false">VLOOKUP(1900+$L40,ResidSpreadTable,2)</f>
        <v>-2</v>
      </c>
      <c r="DK40" s="337" t="n">
        <f aca="false">$V40+DJ40</f>
        <v>15.3150724637669</v>
      </c>
      <c r="DL40" s="314" t="n">
        <v>14.433</v>
      </c>
      <c r="DM40" s="325" t="n">
        <f aca="false">DL40-$U40</f>
        <v>-2.88207246376691</v>
      </c>
      <c r="DN40" s="325" t="n">
        <f aca="false">VLOOKUP(1900+$L40,ResidSpreadTable,3)</f>
        <v>-3</v>
      </c>
      <c r="DO40" s="337" t="n">
        <f aca="false">$V40+DN40</f>
        <v>14.3150724637669</v>
      </c>
      <c r="DP40" s="314" t="n">
        <v>13.683</v>
      </c>
      <c r="DQ40" s="325" t="n">
        <f aca="false">DP40-$U40</f>
        <v>-3.63207246376691</v>
      </c>
      <c r="DR40" s="325" t="n">
        <f aca="false">VLOOKUP(1900+$L40,ResidSpreadTable,4)</f>
        <v>-6</v>
      </c>
      <c r="DS40" s="337" t="n">
        <f aca="false">$V40+DR40</f>
        <v>11.3150724637669</v>
      </c>
      <c r="DT40" s="314" t="n">
        <v>15.683</v>
      </c>
      <c r="DU40" s="325" t="n">
        <f aca="false">DT40-$U40</f>
        <v>-1.63207246376691</v>
      </c>
      <c r="DV40" s="325" t="n">
        <f aca="false">VLOOKUP(1900+$L40,ResidSpreadTable,5)</f>
        <v>-5</v>
      </c>
      <c r="DW40" s="337" t="n">
        <f aca="false">$V40+DV40</f>
        <v>12.3150724637669</v>
      </c>
      <c r="DY40" s="29" t="n">
        <v>2002</v>
      </c>
      <c r="DZ40" s="388" t="n">
        <v>-2</v>
      </c>
      <c r="EA40" s="388" t="n">
        <v>-3</v>
      </c>
      <c r="EB40" s="388" t="n">
        <v>-6</v>
      </c>
      <c r="EC40" s="368" t="n">
        <v>-5</v>
      </c>
      <c r="ED40" s="386"/>
      <c r="EE40" s="386"/>
      <c r="EF40" s="386"/>
    </row>
    <row r="41" customFormat="false" ht="12.75" hidden="false" customHeight="false" outlineLevel="0" collapsed="false">
      <c r="B41" s="371" t="n">
        <v>36800</v>
      </c>
      <c r="C41" s="372" t="n">
        <v>36789</v>
      </c>
      <c r="I41" s="338" t="n">
        <f aca="false">EOMONTH(I40,0)+1</f>
        <v>46997</v>
      </c>
      <c r="J41" s="307" t="n">
        <f aca="false">VLOOKUP(I41,$B$12:$C$332,2)</f>
        <v>45644</v>
      </c>
      <c r="K41" s="339" t="n">
        <f aca="false">NETWORKDAYS(I41,J42)/N41</f>
        <v>-46.0952380952381</v>
      </c>
      <c r="L41" s="309" t="n">
        <f aca="false">YEAR(I41)-1900</f>
        <v>128</v>
      </c>
      <c r="M41" s="310" t="n">
        <f aca="false">MONTH(I41)</f>
        <v>9</v>
      </c>
      <c r="N41" s="340" t="n">
        <f aca="false">NETWORKDAYS(I41,I42-1)</f>
        <v>21</v>
      </c>
      <c r="O41" s="341" t="n">
        <f aca="false">I41-DateToday-IF(EuroExpDateToggle=1,3+IF(WEEKDAY(I41-1)=7,1,IF(WEEKDAY(I41-1)&lt;5,2,0)),1+IF(WEEKDAY(I41-1)=7,1,IF(WEEKDAY(I41-1)&lt;3,2,0)))</f>
        <v>1068</v>
      </c>
      <c r="P41" s="342" t="n">
        <f aca="false">(I41-DateToday+1)/365.25</f>
        <v>2.93497604380561</v>
      </c>
      <c r="Q41" s="342" t="n">
        <f aca="false">(I42-DateToday)/365.25</f>
        <v>3.01437371663244</v>
      </c>
      <c r="R41" s="314" t="n">
        <v>19.7</v>
      </c>
      <c r="S41" s="347" t="n">
        <v>0</v>
      </c>
      <c r="T41" s="316" t="n">
        <f aca="false">R41+S41/100</f>
        <v>19.7</v>
      </c>
      <c r="U41" s="325" t="n">
        <f aca="false">R42*K41+R43*(1-K41)</f>
        <v>16.974603174606</v>
      </c>
      <c r="V41" s="337" t="n">
        <f aca="false">T42*K41+T43*(1-K41)</f>
        <v>16.974603174606</v>
      </c>
      <c r="W41" s="318" t="n">
        <v>0.213675316367228</v>
      </c>
      <c r="X41" s="319" t="str">
        <f aca="false">IF($I41-DateToday+1&gt;=$A$10,"",IF($I41-DateToday+1&lt;$A$5,1,MATCH($I41-DateToday+1,$A$5:$A$10)))</f>
        <v/>
      </c>
      <c r="Y41" s="348" t="n">
        <f aca="false">IF($X41="",Y40^2/Y39,INDEX(B$5:B$10,$X41)^((INDEX($A$5:$A$10,$X41+1)-($I41-DateToday+1))/(INDEX($A$5:$A$10,$X41+1)-INDEX($A$5:$A$10,$X41)))/INDEX(B$5:B$10,$X41+1)^((INDEX($A$5:$A$10,$X41)-($I41-DateToday+1))/(INDEX($A$5:$A$10,$X41+1)-INDEX($A$5:$A$10,$X41))))</f>
        <v>0.00718776286427553</v>
      </c>
      <c r="Z41" s="348" t="n">
        <f aca="false">IF($X41="",Z40^2/Z39,INDEX(C$5:C$10,$X41)^((INDEX($A$5:$A$10,$X41+1)-($I41-DateToday+1))/(INDEX($A$5:$A$10,$X41+1)-INDEX($A$5:$A$10,$X41)))/INDEX(C$5:C$10,$X41+1)^((INDEX($A$5:$A$10,$X41)-($I41-DateToday+1))/(INDEX($A$5:$A$10,$X41+1)-INDEX($A$5:$A$10,$X41))))</f>
        <v>0.00366736754941517</v>
      </c>
      <c r="AA41" s="348" t="n">
        <f aca="false">IF($X41="",AA40^2/AA39,INDEX(D$5:D$10,$X41)^((INDEX($A$5:$A$10,$X41+1)-($I41-DateToday+1))/(INDEX($A$5:$A$10,$X41+1)-INDEX($A$5:$A$10,$X41)))/INDEX(D$5:D$10,$X41+1)^((INDEX($A$5:$A$10,$X41)-($I41-DateToday+1))/(INDEX($A$5:$A$10,$X41+1)-INDEX($A$5:$A$10,$X41))))</f>
        <v>0.00159056867748465</v>
      </c>
      <c r="AB41" s="348" t="n">
        <f aca="false">IF($X41="",AB40^2/AB39,INDEX(E$5:E$10,$X41)^((INDEX($A$5:$A$10,$X41+1)-($I41-DateToday+1))/(INDEX($A$5:$A$10,$X41+1)-INDEX($A$5:$A$10,$X41)))/INDEX(E$5:E$10,$X41+1)^((INDEX($A$5:$A$10,$X41)-($I41-DateToday+1))/(INDEX($A$5:$A$10,$X41+1)-INDEX($A$5:$A$10,$X41))))</f>
        <v>0.00358323311663743</v>
      </c>
      <c r="AC41" s="348" t="n">
        <f aca="false">IF($X41="",AC40^2/AC39,INDEX(F$5:F$10,$X41)^((INDEX($A$5:$A$10,$X41+1)-($I41-DateToday+1))/(INDEX($A$5:$A$10,$X41+1)-INDEX($A$5:$A$10,$X41)))/INDEX(F$5:F$10,$X41+1)^((INDEX($A$5:$A$10,$X41)-($I41-DateToday+1))/(INDEX($A$5:$A$10,$X41+1)-INDEX($A$5:$A$10,$X41))))</f>
        <v>0.0082618456153225</v>
      </c>
      <c r="AD41" s="348" t="n">
        <f aca="false">IF($X41="",AD40^2/AD39,INDEX(G$5:G$10,$X41)^((INDEX($A$5:$A$10,$X41+1)-($I41-DateToday+1))/(INDEX($A$5:$A$10,$X41+1)-INDEX($A$5:$A$10,$X41)))/INDEX(G$5:G$10,$X41+1)^((INDEX($A$5:$A$10,$X41)-($I41-DateToday+1))/(INDEX($A$5:$A$10,$X41+1)-INDEX($A$5:$A$10,$X41))))</f>
        <v>0.0161925921806399</v>
      </c>
      <c r="AE41" s="321" t="n">
        <v>0.07193373362601</v>
      </c>
      <c r="AF41" s="316" t="n">
        <f aca="false">(1+AE41/2)^(-2*(I42-DateToday)/365.25)</f>
        <v>0.808134507928206</v>
      </c>
      <c r="AG41" s="316" t="n">
        <f aca="false">AG40*(1+IF(AND(M41=1,L41&gt;YearStart),Escalation,0))</f>
        <v>1</v>
      </c>
      <c r="AH41" s="322" t="n">
        <f aca="false">IF(OR(DateStart&gt;=I42,DateEnd&lt;I41),0,Volume*AG41)</f>
        <v>0</v>
      </c>
      <c r="AI41" s="322" t="n">
        <f aca="false">AH41*AF41</f>
        <v>0</v>
      </c>
      <c r="AJ41" s="322" t="n">
        <f aca="false">IF(OR(DateStart2&gt;=I42,DateEnd2&lt;I41),0,VolumeSwaption*AG41)</f>
        <v>0</v>
      </c>
      <c r="AK41" s="322" t="n">
        <f aca="false">AJ41*AF41</f>
        <v>0</v>
      </c>
      <c r="AL41" s="316" t="str">
        <f aca="true">IF(AH41,OFFSET(BY41,0,HorizontalPriceOffset)+PriceSpreadAsian,"")</f>
        <v/>
      </c>
      <c r="AM41" s="316" t="str">
        <f aca="false">IF(AH41,Strike1/AL41-1,"")</f>
        <v/>
      </c>
      <c r="AN41" s="316" t="str">
        <f aca="false">IF(AH41,Strike2/AL41-1,"")</f>
        <v/>
      </c>
      <c r="AO41" s="323" t="str">
        <f aca="false">IF(AH41,IF(VolOverrideAsian,VolOverrideAsian,IF(ProductGroup=1,IF(Product&lt;3,DA42,DE42),W42)+VolSpreadAsian),"")</f>
        <v/>
      </c>
      <c r="AP41" s="323" t="str">
        <f aca="false">IF($AH41,$AO41+IF(SkewFlag=1,IF(AM41&gt;0,$AA41*MIN(AM41/10%,1)+($Z41-$AA41)*MAX(0,MIN(AM41/10%-1,1))+($Y41-$Z41)*MAX(0,AM41/10%-2),$AB41*MIN(-AM41/10%,1)+($AC41-$AB41)*MAX(0,MIN(-AM41/10%-1,1))+($AD41-$AC41)*MAX(0,-AM41/10%-2)),0),"")</f>
        <v/>
      </c>
      <c r="AQ41" s="323" t="str">
        <f aca="false">IF($AH41,$AO41+IF(SkewFlag=1,IF(AN41&gt;0,$AA41*MIN(AN41/10%,1)+($Z41-$AA41)*MAX(0,MIN(AN41/10%-1,1))+($Y41-$Z41)*MAX(0,AN41/10%-2),$AB41*MIN(-AN41/10%,1)+($AC41-$AB41)*MAX(0,MIN(-AN41/10%-1,1))+($AD41-$AC41)*MAX(0,-AN41/10%-2)),0),"")</f>
        <v/>
      </c>
      <c r="AR41" s="324" t="n">
        <f aca="false">IF(AH41,xASN(AL41,Strike1,AE41,AP41,0,N41,0,P41,Q41,IF(OptControl=4,0,1),0),0)</f>
        <v>0</v>
      </c>
      <c r="AS41" s="324" t="n">
        <f aca="false">IF(AH41,xASN(AL41,Strike1,AE41,AP41,0,N41,0,P41,Q41,IF(OptControl=4,0,1),1),0)</f>
        <v>0</v>
      </c>
      <c r="AT41" s="324" t="n">
        <f aca="false">IF(AH41,xASN(AL41,Strike1,AE41,AP41,0,N41,0,P41,Q41,IF(OptControl=4,0,1),2),0)</f>
        <v>0</v>
      </c>
      <c r="AU41" s="324" t="n">
        <f aca="false">IF(AH41,xASN(AL41,Strike1,AE41,AP41,0,N41,0,P41,Q41,IF(OptControl=4,0,1),3)/100,0)</f>
        <v>0</v>
      </c>
      <c r="AV41" s="324" t="n">
        <f aca="false">IF(AH41,xASN(AL41,Strike1,AE41,AP41,0,N41,0,P41-DaysForThetaCalculation/365.25,Q41-DaysForThetaCalculation/365.25,IF(OptControl=4,0,1),0)-xASN(AL41,Strike1,AE41,AP41,0,N41,0,P41,Q41,IF(OptControl=4,0,1),0),0)</f>
        <v>0</v>
      </c>
      <c r="AW41" s="324" t="n">
        <f aca="false">IF(AH41,xASN(AL41,Strike2,AE41,AQ41,0,N41,0,P41,Q41,IF(OptControl=3,1,0),0),0)</f>
        <v>0</v>
      </c>
      <c r="AX41" s="324" t="n">
        <f aca="false">IF(AH41,xASN(AL41,Strike2,AE41,AQ41,0,N41,0,P41,Q41,IF(OptControl=3,1,0),1),0)</f>
        <v>0</v>
      </c>
      <c r="AY41" s="324" t="n">
        <f aca="false">IF(AH41,xASN(AL41,Strike2,AE41,AQ41,0,N41,0,P41,Q41,IF(OptControl=3,1,0),2),0)</f>
        <v>0</v>
      </c>
      <c r="AZ41" s="324" t="n">
        <f aca="false">IF(AH41,xASN(AL41,Strike2,AE41,AQ41,0,N41,0,P41,Q41,IF(OptControl=3,1,0),3)/100,0)</f>
        <v>0</v>
      </c>
      <c r="BA41" s="324" t="n">
        <f aca="false">IF(AH41,xASN(AL41,Strike2,AE41,AQ41,0,N41,0,P41-DaysForThetaCalculation/365.25,Q41-DaysForThetaCalculation/365.25,IF(OptControl=3,1,0),0)-xASN(AL41,Strike2,AE41,AQ41,0,N41,0,P41,Q41,IF(OptControl=3,1,0),0),0)</f>
        <v>0</v>
      </c>
      <c r="BB41" s="325" t="str">
        <f aca="false">IF(AH41,IF(ProductGroup=1,IF(Product=1,BX41+PriceSpreadEuro,IF(Product=3,CK41+PriceSpreadEuro,"N/A")),"N/A"),"")</f>
        <v/>
      </c>
      <c r="BC41" s="316" t="str">
        <f aca="false">IF(AH41,Strike1/BB41-1,"")</f>
        <v/>
      </c>
      <c r="BD41" s="316" t="str">
        <f aca="false">IF(AH41,Strike2/BB41-1,"")</f>
        <v/>
      </c>
      <c r="BE41" s="326" t="str">
        <f aca="false">IF(AH41,IF(VolOverrideEuro,VolOverrideEuro,IF(ProductGroup=1,IF(Product&lt;3,DA41,DE41)+VolSpreadEuro,"N/A")),"")</f>
        <v/>
      </c>
      <c r="BF41" s="323" t="str">
        <f aca="false">IF($AH41,$BE41+IF(SkewFlag=1,IF(BC41&gt;0,$AA41*MIN(BC41/10%,1)+($Z41-$AA41)*MAX(0,MIN(BC41/10%-1,1))+($Y41-$Z41)*MAX(0,BC41/10%-2),$AB41*MIN(-BC41/10%,1)+($AC41-$AB41)*MAX(0,MIN(-BC41/10%-1,1))+($AD41-$AC41)*MAX(0,-BC41/10%-2)),0),"")</f>
        <v/>
      </c>
      <c r="BG41" s="323" t="str">
        <f aca="false">IF($AH41,$BE41+IF(SkewFlag=1,IF(BD41&gt;0,$AA41*MIN(BD41/10%,1)+($Z41-$AA41)*MAX(0,MIN(BD41/10%-1,1))+($Y41-$Z41)*MAX(0,BD41/10%-2),$AB41*MIN(-BD41/10%,1)+($AC41-$AB41)*MAX(0,MIN(-BD41/10%-1,1))+($AD41-$AC41)*MAX(0,-BD41/10%-2)),0),"")</f>
        <v/>
      </c>
      <c r="BH41" s="324" t="n">
        <f aca="false">IF(AH41,xEURO(BB41,Strike1,AE41,AE41,BF41,O41,IF(OptControl=4,0,1),0),0)</f>
        <v>0</v>
      </c>
      <c r="BI41" s="324" t="n">
        <f aca="false">IF(AH41,xEURO(BB41,Strike1,AE41,AE41,BF41,O41,IF(OptControl=4,0,1),1),0)</f>
        <v>0</v>
      </c>
      <c r="BJ41" s="324" t="n">
        <f aca="false">IF(AH41,xEURO(BB41,Strike1,AE41,AE41,BF41,O41,IF(OptControl=4,0,1),2),0)</f>
        <v>0</v>
      </c>
      <c r="BK41" s="324" t="n">
        <f aca="false">IF(AH41,xEURO(BB41,Strike1,AE41,AE41,BF41,O41,IF(OptControl=4,0,1),3)/100,0)</f>
        <v>0</v>
      </c>
      <c r="BL41" s="324" t="n">
        <f aca="false">IF(AH41,xEURO(BB41,Strike1,AE41,AE41,BF41,O41-DaysForThetaCalculation,IF(OptControl=4,0,1),0)-xEURO(BB41,Strike1,AE41,AE41,BF41,O41,IF(OptControl=4,0,1),0),0)</f>
        <v>0</v>
      </c>
      <c r="BM41" s="324" t="n">
        <f aca="false">IF(AH41,xEURO(BB41,Strike2,AE41,AE41,BG41,O41,IF(OptControl=3,1,0),0),0)</f>
        <v>0</v>
      </c>
      <c r="BN41" s="324" t="n">
        <f aca="false">IF(AH41,xEURO(BB41,Strike2,AE41,AE41,BG41,O41,IF(OptControl=3,1,0),1),0)</f>
        <v>0</v>
      </c>
      <c r="BO41" s="324" t="n">
        <f aca="false">IF(AH41,xEURO(BB41,Strike2,AE41,AE41,BG41,O41,IF(OptControl=3,1,0),2),0)</f>
        <v>0</v>
      </c>
      <c r="BP41" s="324" t="n">
        <f aca="false">IF(AH41,xEURO(BB41,Strike2,AE41,AE41,BG41,O41,IF(OptControl=3,1,0),3)/100,0)</f>
        <v>0</v>
      </c>
      <c r="BQ41" s="327" t="n">
        <f aca="false">IF(AH41,xEURO(BB41,Strike2,AE41,AE41,BG41,O41-DaysForThetaCalculation,IF(OptControl=3,1,0),0)-xEURO(BB41,Strike2,AE41,AE41,BG41,O41,IF(OptControl=3,1,0),0),0)</f>
        <v>0</v>
      </c>
      <c r="BR41" s="343"/>
      <c r="BS41" s="314" t="n">
        <v>25.721</v>
      </c>
      <c r="BT41" s="329" t="n">
        <f aca="false">BS41*100/42</f>
        <v>61.2404761904762</v>
      </c>
      <c r="BU41" s="329" t="n">
        <f aca="false">BS42-$U41</f>
        <v>12.438396825394</v>
      </c>
      <c r="BV41" s="224"/>
      <c r="BW41" s="329" t="n">
        <f aca="false">BW29+VLOOKUP(1900+$L41,ProductSpreadTable,2)</f>
        <v>10.642</v>
      </c>
      <c r="BX41" s="329" t="n">
        <f aca="false">($V40+BW40)*100/42</f>
        <v>71.1705806960437</v>
      </c>
      <c r="BY41" s="332" t="n">
        <f aca="false">BX42</f>
        <v>65.7538170823954</v>
      </c>
      <c r="BZ41" s="314" t="n">
        <v>25.633</v>
      </c>
      <c r="CA41" s="329" t="n">
        <f aca="false">BZ41*100/42</f>
        <v>61.0309523809524</v>
      </c>
      <c r="CB41" s="329" t="n">
        <f aca="false">BZ41-$U41</f>
        <v>8.65839682539396</v>
      </c>
      <c r="CC41" s="329" t="n">
        <f aca="false">CC29+VLOOKUP(1900+$L41,ProductSpreadTable,3)</f>
        <v>12.993</v>
      </c>
      <c r="CD41" s="329" t="n">
        <f aca="false">($V41+CC41)*100/42</f>
        <v>71.3514361300143</v>
      </c>
      <c r="CE41" s="333" t="n">
        <f aca="false">CD41-BY41</f>
        <v>5.59761904761895</v>
      </c>
      <c r="CF41" s="314" t="n">
        <v>23.251</v>
      </c>
      <c r="CG41" s="329" t="n">
        <f aca="false">CF41*100/42</f>
        <v>55.3595238095238</v>
      </c>
      <c r="CH41" s="329" t="n">
        <f aca="false">CF42-$U41</f>
        <v>5.58739682539396</v>
      </c>
      <c r="CI41" s="224"/>
      <c r="CJ41" s="329" t="n">
        <f aca="false">CJ29+VLOOKUP(1900+$L41,ProductSpreadTable,4)</f>
        <v>9.97399999999997</v>
      </c>
      <c r="CK41" s="329" t="n">
        <f aca="false">($V40+CJ40)*100/42</f>
        <v>66.951533076996</v>
      </c>
      <c r="CL41" s="329" t="n">
        <f aca="false">CK42</f>
        <v>64.1633408919191</v>
      </c>
      <c r="CM41" s="314" t="n">
        <v>21.428</v>
      </c>
      <c r="CN41" s="329" t="n">
        <f aca="false">CM41*100/42</f>
        <v>51.0190476190476</v>
      </c>
      <c r="CO41" s="329" t="n">
        <f aca="false">CM41-$U41</f>
        <v>4.45339682539396</v>
      </c>
      <c r="CP41" s="329" t="n">
        <f aca="false">CP29+VLOOKUP(1900+$L41,ProductSpreadTable,5)</f>
        <v>8.86099999999997</v>
      </c>
      <c r="CQ41" s="329" t="n">
        <f aca="false">($V41+CP41)*100/42</f>
        <v>61.5133408919191</v>
      </c>
      <c r="CR41" s="333" t="n">
        <f aca="false">CQ41-CL41</f>
        <v>-2.65</v>
      </c>
      <c r="CS41" s="314" t="n">
        <v>22.688</v>
      </c>
      <c r="CT41" s="329" t="n">
        <f aca="false">CS41*100/42</f>
        <v>54.0190476190476</v>
      </c>
      <c r="CU41" s="329" t="n">
        <f aca="false">CT41-CG42</f>
        <v>0.299999999999997</v>
      </c>
      <c r="CV41" s="329" t="n">
        <f aca="false">CV29+VLOOKUP(1900+$L41,ProductSpreadTable,6)</f>
        <v>0.899999999999994</v>
      </c>
      <c r="CW41" s="333" t="n">
        <f aca="false">CL41+CV41</f>
        <v>65.0633408919191</v>
      </c>
      <c r="CX41" s="318" t="n">
        <v>0.214</v>
      </c>
      <c r="CY41" s="326" t="n">
        <f aca="false">CX41-$W41</f>
        <v>0.000324683632771966</v>
      </c>
      <c r="CZ41" s="326" t="n">
        <f aca="false">VLOOKUP(1900+$L41,ProductSpreadTable,7)</f>
        <v>-0.03</v>
      </c>
      <c r="DA41" s="365" t="n">
        <f aca="false">$W41+CZ41</f>
        <v>0.183675316367228</v>
      </c>
      <c r="DB41" s="318" t="n">
        <v>0.214</v>
      </c>
      <c r="DC41" s="326" t="n">
        <f aca="false">DB41-$W41</f>
        <v>0.000324683632771966</v>
      </c>
      <c r="DD41" s="326" t="n">
        <f aca="false">VLOOKUP(1900+$L41,ProductSpreadTable,8)</f>
        <v>0.03</v>
      </c>
      <c r="DE41" s="365" t="n">
        <f aca="false">$W41+DD41</f>
        <v>0.243675316367228</v>
      </c>
      <c r="DG41" s="336"/>
      <c r="DH41" s="314" t="n">
        <v>16.924</v>
      </c>
      <c r="DI41" s="325" t="n">
        <f aca="false">DH41-$U41</f>
        <v>-0.0506031746060458</v>
      </c>
      <c r="DJ41" s="325" t="n">
        <f aca="false">VLOOKUP(1900+$L41,ResidSpreadTable,2)</f>
        <v>-2</v>
      </c>
      <c r="DK41" s="337" t="n">
        <f aca="false">$V41+DJ41</f>
        <v>14.974603174606</v>
      </c>
      <c r="DL41" s="314" t="n">
        <v>14.374</v>
      </c>
      <c r="DM41" s="325" t="n">
        <f aca="false">DL41-$U41</f>
        <v>-2.60060317460604</v>
      </c>
      <c r="DN41" s="325" t="n">
        <f aca="false">VLOOKUP(1900+$L41,ResidSpreadTable,3)</f>
        <v>-3</v>
      </c>
      <c r="DO41" s="337" t="n">
        <f aca="false">$V41+DN41</f>
        <v>13.974603174606</v>
      </c>
      <c r="DP41" s="314" t="n">
        <v>13.624</v>
      </c>
      <c r="DQ41" s="325" t="n">
        <f aca="false">DP41-$U41</f>
        <v>-3.35060317460604</v>
      </c>
      <c r="DR41" s="325" t="n">
        <f aca="false">VLOOKUP(1900+$L41,ResidSpreadTable,4)</f>
        <v>-6</v>
      </c>
      <c r="DS41" s="337" t="n">
        <f aca="false">$V41+DR41</f>
        <v>10.974603174606</v>
      </c>
      <c r="DT41" s="314" t="n">
        <v>15.624</v>
      </c>
      <c r="DU41" s="325" t="n">
        <f aca="false">DT41-$U41</f>
        <v>-1.35060317460604</v>
      </c>
      <c r="DV41" s="325" t="n">
        <f aca="false">VLOOKUP(1900+$L41,ResidSpreadTable,5)</f>
        <v>-5</v>
      </c>
      <c r="DW41" s="337" t="n">
        <f aca="false">$V41+DV41</f>
        <v>11.974603174606</v>
      </c>
      <c r="DY41" s="29" t="n">
        <v>2003</v>
      </c>
      <c r="DZ41" s="388" t="n">
        <v>-2</v>
      </c>
      <c r="EA41" s="388" t="n">
        <v>-3</v>
      </c>
      <c r="EB41" s="388" t="n">
        <v>-6</v>
      </c>
      <c r="EC41" s="368" t="n">
        <v>-5</v>
      </c>
      <c r="ED41" s="386"/>
      <c r="EE41" s="386"/>
      <c r="EF41" s="386"/>
    </row>
    <row r="42" customFormat="false" ht="12.75" hidden="false" customHeight="false" outlineLevel="0" collapsed="false">
      <c r="B42" s="371" t="n">
        <v>36831</v>
      </c>
      <c r="C42" s="372" t="n">
        <v>36819</v>
      </c>
      <c r="I42" s="338" t="n">
        <f aca="false">EOMONTH(I41,0)+1</f>
        <v>47027</v>
      </c>
      <c r="J42" s="307" t="n">
        <f aca="false">VLOOKUP(I42,$B$12:$C$332,2)</f>
        <v>45644</v>
      </c>
      <c r="K42" s="339" t="n">
        <f aca="false">NETWORKDAYS(I42,J43)/N42</f>
        <v>-44.9090909090909</v>
      </c>
      <c r="L42" s="309" t="n">
        <f aca="false">YEAR(I42)-1900</f>
        <v>128</v>
      </c>
      <c r="M42" s="310" t="n">
        <f aca="false">MONTH(I42)</f>
        <v>10</v>
      </c>
      <c r="N42" s="340" t="n">
        <f aca="false">NETWORKDAYS(I42,I43-1)</f>
        <v>22</v>
      </c>
      <c r="O42" s="341" t="n">
        <f aca="false">I42-DateToday-IF(EuroExpDateToggle=1,3+IF(WEEKDAY(I42-1)=7,1,IF(WEEKDAY(I42-1)&lt;5,2,0)),1+IF(WEEKDAY(I42-1)=7,1,IF(WEEKDAY(I42-1)&lt;3,2,0)))</f>
        <v>1097</v>
      </c>
      <c r="P42" s="342" t="n">
        <f aca="false">(I42-DateToday+1)/365.25</f>
        <v>3.01711156741958</v>
      </c>
      <c r="Q42" s="342" t="n">
        <f aca="false">(I43-DateToday)/365.25</f>
        <v>3.09924709103354</v>
      </c>
      <c r="R42" s="314" t="n">
        <v>19.6433333333333</v>
      </c>
      <c r="S42" s="347" t="n">
        <v>0</v>
      </c>
      <c r="T42" s="316" t="n">
        <f aca="false">R42+S42/100</f>
        <v>19.6433333333333</v>
      </c>
      <c r="U42" s="325" t="n">
        <f aca="false">R43*K42+R44*(1-K42)</f>
        <v>16.9851515151502</v>
      </c>
      <c r="V42" s="337" t="n">
        <f aca="false">T43*K42+T44*(1-K42)</f>
        <v>16.9851515151502</v>
      </c>
      <c r="W42" s="318" t="n">
        <v>0.21244180138501</v>
      </c>
      <c r="X42" s="319" t="str">
        <f aca="false">IF($I42-DateToday+1&gt;=$A$10,"",IF($I42-DateToday+1&lt;$A$5,1,MATCH($I42-DateToday+1,$A$5:$A$10)))</f>
        <v/>
      </c>
      <c r="Y42" s="348" t="n">
        <f aca="false">IF($X42="",Y41^2/Y40,INDEX(B$5:B$10,$X42)^((INDEX($A$5:$A$10,$X42+1)-($I42-DateToday+1))/(INDEX($A$5:$A$10,$X42+1)-INDEX($A$5:$A$10,$X42)))/INDEX(B$5:B$10,$X42+1)^((INDEX($A$5:$A$10,$X42)-($I42-DateToday+1))/(INDEX($A$5:$A$10,$X42+1)-INDEX($A$5:$A$10,$X42))))</f>
        <v>0.00703388379341599</v>
      </c>
      <c r="Z42" s="348" t="n">
        <f aca="false">IF($X42="",Z41^2/Z40,INDEX(C$5:C$10,$X42)^((INDEX($A$5:$A$10,$X42+1)-($I42-DateToday+1))/(INDEX($A$5:$A$10,$X42+1)-INDEX($A$5:$A$10,$X42)))/INDEX(C$5:C$10,$X42+1)^((INDEX($A$5:$A$10,$X42)-($I42-DateToday+1))/(INDEX($A$5:$A$10,$X42+1)-INDEX($A$5:$A$10,$X42))))</f>
        <v>0.00356963987303457</v>
      </c>
      <c r="AA42" s="348" t="n">
        <f aca="false">IF($X42="",AA41^2/AA40,INDEX(D$5:D$10,$X42)^((INDEX($A$5:$A$10,$X42+1)-($I42-DateToday+1))/(INDEX($A$5:$A$10,$X42+1)-INDEX($A$5:$A$10,$X42)))/INDEX(D$5:D$10,$X42+1)^((INDEX($A$5:$A$10,$X42)-($I42-DateToday+1))/(INDEX($A$5:$A$10,$X42+1)-INDEX($A$5:$A$10,$X42))))</f>
        <v>0.00154403174813098</v>
      </c>
      <c r="AB42" s="348" t="n">
        <f aca="false">IF($X42="",AB41^2/AB40,INDEX(E$5:E$10,$X42)^((INDEX($A$5:$A$10,$X42+1)-($I42-DateToday+1))/(INDEX($A$5:$A$10,$X42+1)-INDEX($A$5:$A$10,$X42)))/INDEX(E$5:E$10,$X42+1)^((INDEX($A$5:$A$10,$X42)-($I42-DateToday+1))/(INDEX($A$5:$A$10,$X42+1)-INDEX($A$5:$A$10,$X42))))</f>
        <v>0.00347839472218948</v>
      </c>
      <c r="AC42" s="348" t="n">
        <f aca="false">IF($X42="",AC41^2/AC40,INDEX(F$5:F$10,$X42)^((INDEX($A$5:$A$10,$X42+1)-($I42-DateToday+1))/(INDEX($A$5:$A$10,$X42+1)-INDEX($A$5:$A$10,$X42)))/INDEX(F$5:F$10,$X42+1)^((INDEX($A$5:$A$10,$X42)-($I42-DateToday+1))/(INDEX($A$5:$A$10,$X42+1)-INDEX($A$5:$A$10,$X42))))</f>
        <v>0.00804168470597229</v>
      </c>
      <c r="AD42" s="348" t="n">
        <f aca="false">IF($X42="",AD41^2/AD40,INDEX(G$5:G$10,$X42)^((INDEX($A$5:$A$10,$X42+1)-($I42-DateToday+1))/(INDEX($A$5:$A$10,$X42+1)-INDEX($A$5:$A$10,$X42)))/INDEX(G$5:G$10,$X42+1)^((INDEX($A$5:$A$10,$X42)-($I42-DateToday+1))/(INDEX($A$5:$A$10,$X42+1)-INDEX($A$5:$A$10,$X42))))</f>
        <v>0.0158459334098075</v>
      </c>
      <c r="AE42" s="321" t="n">
        <v>0.072000823335124</v>
      </c>
      <c r="AF42" s="316" t="n">
        <f aca="false">(1+AE42/2)^(-2*(I43-DateToday)/365.25)</f>
        <v>0.803140590845946</v>
      </c>
      <c r="AG42" s="316" t="n">
        <f aca="false">AG41*(1+IF(AND(M42=1,L42&gt;YearStart),Escalation,0))</f>
        <v>1</v>
      </c>
      <c r="AH42" s="322" t="n">
        <f aca="false">IF(OR(DateStart&gt;=I43,DateEnd&lt;I42),0,Volume*AG42)</f>
        <v>0</v>
      </c>
      <c r="AI42" s="322" t="n">
        <f aca="false">AH42*AF42</f>
        <v>0</v>
      </c>
      <c r="AJ42" s="322" t="n">
        <f aca="false">IF(OR(DateStart2&gt;=I43,DateEnd2&lt;I42),0,VolumeSwaption*AG42)</f>
        <v>0</v>
      </c>
      <c r="AK42" s="322" t="n">
        <f aca="false">AJ42*AF42</f>
        <v>0</v>
      </c>
      <c r="AL42" s="316" t="str">
        <f aca="true">IF(AH42,OFFSET(BY42,0,HorizontalPriceOffset)+PriceSpreadAsian,"")</f>
        <v/>
      </c>
      <c r="AM42" s="316" t="str">
        <f aca="false">IF(AH42,Strike1/AL42-1,"")</f>
        <v/>
      </c>
      <c r="AN42" s="316" t="str">
        <f aca="false">IF(AH42,Strike2/AL42-1,"")</f>
        <v/>
      </c>
      <c r="AO42" s="323" t="str">
        <f aca="false">IF(AH42,IF(VolOverrideAsian,VolOverrideAsian,IF(ProductGroup=1,IF(Product&lt;3,DA43,DE43),W43)+VolSpreadAsian),"")</f>
        <v/>
      </c>
      <c r="AP42" s="323" t="str">
        <f aca="false">IF($AH42,$AO42+IF(SkewFlag=1,IF(AM42&gt;0,$AA42*MIN(AM42/10%,1)+($Z42-$AA42)*MAX(0,MIN(AM42/10%-1,1))+($Y42-$Z42)*MAX(0,AM42/10%-2),$AB42*MIN(-AM42/10%,1)+($AC42-$AB42)*MAX(0,MIN(-AM42/10%-1,1))+($AD42-$AC42)*MAX(0,-AM42/10%-2)),0),"")</f>
        <v/>
      </c>
      <c r="AQ42" s="323" t="str">
        <f aca="false">IF($AH42,$AO42+IF(SkewFlag=1,IF(AN42&gt;0,$AA42*MIN(AN42/10%,1)+($Z42-$AA42)*MAX(0,MIN(AN42/10%-1,1))+($Y42-$Z42)*MAX(0,AN42/10%-2),$AB42*MIN(-AN42/10%,1)+($AC42-$AB42)*MAX(0,MIN(-AN42/10%-1,1))+($AD42-$AC42)*MAX(0,-AN42/10%-2)),0),"")</f>
        <v/>
      </c>
      <c r="AR42" s="324" t="n">
        <f aca="false">IF(AH42,xASN(AL42,Strike1,AE42,AP42,0,N42,0,P42,Q42,IF(OptControl=4,0,1),0),0)</f>
        <v>0</v>
      </c>
      <c r="AS42" s="324" t="n">
        <f aca="false">IF(AH42,xASN(AL42,Strike1,AE42,AP42,0,N42,0,P42,Q42,IF(OptControl=4,0,1),1),0)</f>
        <v>0</v>
      </c>
      <c r="AT42" s="324" t="n">
        <f aca="false">IF(AH42,xASN(AL42,Strike1,AE42,AP42,0,N42,0,P42,Q42,IF(OptControl=4,0,1),2),0)</f>
        <v>0</v>
      </c>
      <c r="AU42" s="324" t="n">
        <f aca="false">IF(AH42,xASN(AL42,Strike1,AE42,AP42,0,N42,0,P42,Q42,IF(OptControl=4,0,1),3)/100,0)</f>
        <v>0</v>
      </c>
      <c r="AV42" s="324" t="n">
        <f aca="false">IF(AH42,xASN(AL42,Strike1,AE42,AP42,0,N42,0,P42-DaysForThetaCalculation/365.25,Q42-DaysForThetaCalculation/365.25,IF(OptControl=4,0,1),0)-xASN(AL42,Strike1,AE42,AP42,0,N42,0,P42,Q42,IF(OptControl=4,0,1),0),0)</f>
        <v>0</v>
      </c>
      <c r="AW42" s="324" t="n">
        <f aca="false">IF(AH42,xASN(AL42,Strike2,AE42,AQ42,0,N42,0,P42,Q42,IF(OptControl=3,1,0),0),0)</f>
        <v>0</v>
      </c>
      <c r="AX42" s="324" t="n">
        <f aca="false">IF(AH42,xASN(AL42,Strike2,AE42,AQ42,0,N42,0,P42,Q42,IF(OptControl=3,1,0),1),0)</f>
        <v>0</v>
      </c>
      <c r="AY42" s="324" t="n">
        <f aca="false">IF(AH42,xASN(AL42,Strike2,AE42,AQ42,0,N42,0,P42,Q42,IF(OptControl=3,1,0),2),0)</f>
        <v>0</v>
      </c>
      <c r="AZ42" s="324" t="n">
        <f aca="false">IF(AH42,xASN(AL42,Strike2,AE42,AQ42,0,N42,0,P42,Q42,IF(OptControl=3,1,0),3)/100,0)</f>
        <v>0</v>
      </c>
      <c r="BA42" s="324" t="n">
        <f aca="false">IF(AH42,xASN(AL42,Strike2,AE42,AQ42,0,N42,0,P42-DaysForThetaCalculation/365.25,Q42-DaysForThetaCalculation/365.25,IF(OptControl=3,1,0),0)-xASN(AL42,Strike2,AE42,AQ42,0,N42,0,P42,Q42,IF(OptControl=3,1,0),0),0)</f>
        <v>0</v>
      </c>
      <c r="BB42" s="325" t="str">
        <f aca="false">IF(AH42,IF(ProductGroup=1,IF(Product=1,BX42+PriceSpreadEuro,IF(Product=3,CK42+PriceSpreadEuro,"N/A")),"N/A"),"")</f>
        <v/>
      </c>
      <c r="BC42" s="316" t="str">
        <f aca="false">IF(AH42,Strike1/BB42-1,"")</f>
        <v/>
      </c>
      <c r="BD42" s="316" t="str">
        <f aca="false">IF(AH42,Strike2/BB42-1,"")</f>
        <v/>
      </c>
      <c r="BE42" s="326" t="str">
        <f aca="false">IF(AH42,IF(VolOverrideEuro,VolOverrideEuro,IF(ProductGroup=1,IF(Product&lt;3,DA42,DE42)+VolSpreadEuro,"N/A")),"")</f>
        <v/>
      </c>
      <c r="BF42" s="323" t="str">
        <f aca="false">IF($AH42,$BE42+IF(SkewFlag=1,IF(BC42&gt;0,$AA42*MIN(BC42/10%,1)+($Z42-$AA42)*MAX(0,MIN(BC42/10%-1,1))+($Y42-$Z42)*MAX(0,BC42/10%-2),$AB42*MIN(-BC42/10%,1)+($AC42-$AB42)*MAX(0,MIN(-BC42/10%-1,1))+($AD42-$AC42)*MAX(0,-BC42/10%-2)),0),"")</f>
        <v/>
      </c>
      <c r="BG42" s="323" t="str">
        <f aca="false">IF($AH42,$BE42+IF(SkewFlag=1,IF(BD42&gt;0,$AA42*MIN(BD42/10%,1)+($Z42-$AA42)*MAX(0,MIN(BD42/10%-1,1))+($Y42-$Z42)*MAX(0,BD42/10%-2),$AB42*MIN(-BD42/10%,1)+($AC42-$AB42)*MAX(0,MIN(-BD42/10%-1,1))+($AD42-$AC42)*MAX(0,-BD42/10%-2)),0),"")</f>
        <v/>
      </c>
      <c r="BH42" s="324" t="n">
        <f aca="false">IF(AH42,xEURO(BB42,Strike1,AE42,AE42,BF42,O42,IF(OptControl=4,0,1),0),0)</f>
        <v>0</v>
      </c>
      <c r="BI42" s="324" t="n">
        <f aca="false">IF(AH42,xEURO(BB42,Strike1,AE42,AE42,BF42,O42,IF(OptControl=4,0,1),1),0)</f>
        <v>0</v>
      </c>
      <c r="BJ42" s="324" t="n">
        <f aca="false">IF(AH42,xEURO(BB42,Strike1,AE42,AE42,BF42,O42,IF(OptControl=4,0,1),2),0)</f>
        <v>0</v>
      </c>
      <c r="BK42" s="324" t="n">
        <f aca="false">IF(AH42,xEURO(BB42,Strike1,AE42,AE42,BF42,O42,IF(OptControl=4,0,1),3)/100,0)</f>
        <v>0</v>
      </c>
      <c r="BL42" s="324" t="n">
        <f aca="false">IF(AH42,xEURO(BB42,Strike1,AE42,AE42,BF42,O42-DaysForThetaCalculation,IF(OptControl=4,0,1),0)-xEURO(BB42,Strike1,AE42,AE42,BF42,O42,IF(OptControl=4,0,1),0),0)</f>
        <v>0</v>
      </c>
      <c r="BM42" s="324" t="n">
        <f aca="false">IF(AH42,xEURO(BB42,Strike2,AE42,AE42,BG42,O42,IF(OptControl=3,1,0),0),0)</f>
        <v>0</v>
      </c>
      <c r="BN42" s="324" t="n">
        <f aca="false">IF(AH42,xEURO(BB42,Strike2,AE42,AE42,BG42,O42,IF(OptControl=3,1,0),1),0)</f>
        <v>0</v>
      </c>
      <c r="BO42" s="324" t="n">
        <f aca="false">IF(AH42,xEURO(BB42,Strike2,AE42,AE42,BG42,O42,IF(OptControl=3,1,0),2),0)</f>
        <v>0</v>
      </c>
      <c r="BP42" s="324" t="n">
        <f aca="false">IF(AH42,xEURO(BB42,Strike2,AE42,AE42,BG42,O42,IF(OptControl=3,1,0),3)/100,0)</f>
        <v>0</v>
      </c>
      <c r="BQ42" s="327" t="n">
        <f aca="false">IF(AH42,xEURO(BB42,Strike2,AE42,AE42,BG42,O42-DaysForThetaCalculation,IF(OptControl=3,1,0),0)-xEURO(BB42,Strike2,AE42,AE42,BG42,O42,IF(OptControl=3,1,0),0),0)</f>
        <v>0</v>
      </c>
      <c r="BR42" s="343"/>
      <c r="BS42" s="314" t="n">
        <v>29.413</v>
      </c>
      <c r="BT42" s="329" t="n">
        <f aca="false">BS42*100/42</f>
        <v>70.0309523809524</v>
      </c>
      <c r="BU42" s="329" t="n">
        <f aca="false">BS43-$U42</f>
        <v>10.8648484848498</v>
      </c>
      <c r="BV42" s="224"/>
      <c r="BW42" s="329" t="n">
        <f aca="false">BW30+VLOOKUP(1900+$L42,ProductSpreadTable,2)</f>
        <v>20.874347826087</v>
      </c>
      <c r="BX42" s="329" t="n">
        <f aca="false">($V41+BW41)*100/42</f>
        <v>65.7538170823954</v>
      </c>
      <c r="BY42" s="332" t="n">
        <f aca="false">BX43</f>
        <v>90.1416650981836</v>
      </c>
      <c r="BZ42" s="314" t="n">
        <v>25.96</v>
      </c>
      <c r="CA42" s="329" t="n">
        <f aca="false">BZ42*100/42</f>
        <v>61.8095238095238</v>
      </c>
      <c r="CB42" s="329" t="n">
        <f aca="false">BZ42-$U42</f>
        <v>8.97484848484984</v>
      </c>
      <c r="CC42" s="329" t="n">
        <f aca="false">CC30+VLOOKUP(1900+$L42,ProductSpreadTable,3)</f>
        <v>18.249347826087</v>
      </c>
      <c r="CD42" s="329" t="n">
        <f aca="false">($V42+CC42)*100/42</f>
        <v>83.8916650981836</v>
      </c>
      <c r="CE42" s="333" t="n">
        <f aca="false">CD42-BY42</f>
        <v>-6.25</v>
      </c>
      <c r="CF42" s="314" t="n">
        <v>22.562</v>
      </c>
      <c r="CG42" s="329" t="n">
        <f aca="false">CF42*100/42</f>
        <v>53.7190476190476</v>
      </c>
      <c r="CH42" s="329" t="n">
        <f aca="false">CF43-$U42</f>
        <v>4.94684848484984</v>
      </c>
      <c r="CI42" s="224"/>
      <c r="CJ42" s="329" t="n">
        <f aca="false">CJ30+VLOOKUP(1900+$L42,ProductSpreadTable,4)</f>
        <v>8.66163636363634</v>
      </c>
      <c r="CK42" s="329" t="n">
        <f aca="false">($V41+CJ41)*100/42</f>
        <v>64.1633408919191</v>
      </c>
      <c r="CL42" s="329" t="n">
        <f aca="false">CK43</f>
        <v>61.0637806637774</v>
      </c>
      <c r="CM42" s="314" t="n">
        <v>21.113</v>
      </c>
      <c r="CN42" s="329" t="n">
        <f aca="false">CM42*100/42</f>
        <v>50.2690476190476</v>
      </c>
      <c r="CO42" s="329" t="n">
        <f aca="false">CM42-$U42</f>
        <v>4.12784848484984</v>
      </c>
      <c r="CP42" s="329" t="n">
        <f aca="false">CP30+VLOOKUP(1900+$L42,ProductSpreadTable,5)</f>
        <v>7.73763636363634</v>
      </c>
      <c r="CQ42" s="329" t="n">
        <f aca="false">($V42+CP42)*100/42</f>
        <v>58.8637806637774</v>
      </c>
      <c r="CR42" s="333" t="n">
        <f aca="false">CQ42-CL42</f>
        <v>-2.20000000000001</v>
      </c>
      <c r="CS42" s="314" t="n">
        <v>22.058</v>
      </c>
      <c r="CT42" s="329" t="n">
        <f aca="false">CS42*100/42</f>
        <v>52.5190476190476</v>
      </c>
      <c r="CU42" s="329" t="n">
        <f aca="false">CT42-CG43</f>
        <v>0.299999999999997</v>
      </c>
      <c r="CV42" s="329" t="n">
        <f aca="false">CV30+VLOOKUP(1900+$L42,ProductSpreadTable,6)</f>
        <v>0.899999999999994</v>
      </c>
      <c r="CW42" s="333" t="n">
        <f aca="false">CL42+CV42</f>
        <v>61.9637806637774</v>
      </c>
      <c r="CX42" s="318" t="n">
        <v>0.212</v>
      </c>
      <c r="CY42" s="326" t="n">
        <f aca="false">CX42-$W42</f>
        <v>-0.000441801385010016</v>
      </c>
      <c r="CZ42" s="326" t="n">
        <f aca="false">VLOOKUP(1900+$L42,ProductSpreadTable,7)</f>
        <v>-0.03</v>
      </c>
      <c r="DA42" s="365" t="n">
        <f aca="false">$W42+CZ42</f>
        <v>0.18244180138501</v>
      </c>
      <c r="DB42" s="318" t="n">
        <v>0.212</v>
      </c>
      <c r="DC42" s="326" t="n">
        <f aca="false">DB42-$W42</f>
        <v>-0.000441801385010016</v>
      </c>
      <c r="DD42" s="326" t="n">
        <f aca="false">VLOOKUP(1900+$L42,ProductSpreadTable,8)</f>
        <v>0.03</v>
      </c>
      <c r="DE42" s="365" t="n">
        <f aca="false">$W42+DD42</f>
        <v>0.24244180138501</v>
      </c>
      <c r="DG42" s="336"/>
      <c r="DH42" s="314" t="n">
        <v>16.866</v>
      </c>
      <c r="DI42" s="325" t="n">
        <f aca="false">DH42-$U42</f>
        <v>-0.119151515150161</v>
      </c>
      <c r="DJ42" s="325" t="n">
        <f aca="false">VLOOKUP(1900+$L42,ResidSpreadTable,2)</f>
        <v>-2</v>
      </c>
      <c r="DK42" s="337" t="n">
        <f aca="false">$V42+DJ42</f>
        <v>14.9851515151502</v>
      </c>
      <c r="DL42" s="314" t="n">
        <v>14.316</v>
      </c>
      <c r="DM42" s="325" t="n">
        <f aca="false">DL42-$U42</f>
        <v>-2.66915151515016</v>
      </c>
      <c r="DN42" s="325" t="n">
        <f aca="false">VLOOKUP(1900+$L42,ResidSpreadTable,3)</f>
        <v>-3</v>
      </c>
      <c r="DO42" s="337" t="n">
        <f aca="false">$V42+DN42</f>
        <v>13.9851515151502</v>
      </c>
      <c r="DP42" s="314" t="n">
        <v>13.566</v>
      </c>
      <c r="DQ42" s="325" t="n">
        <f aca="false">DP42-$U42</f>
        <v>-3.41915151515016</v>
      </c>
      <c r="DR42" s="325" t="n">
        <f aca="false">VLOOKUP(1900+$L42,ResidSpreadTable,4)</f>
        <v>-6</v>
      </c>
      <c r="DS42" s="337" t="n">
        <f aca="false">$V42+DR42</f>
        <v>10.9851515151502</v>
      </c>
      <c r="DT42" s="314" t="n">
        <v>15.666</v>
      </c>
      <c r="DU42" s="325" t="n">
        <f aca="false">DT42-$U42</f>
        <v>-1.31915151515016</v>
      </c>
      <c r="DV42" s="325" t="n">
        <f aca="false">VLOOKUP(1900+$L42,ResidSpreadTable,5)</f>
        <v>-5</v>
      </c>
      <c r="DW42" s="337" t="n">
        <f aca="false">$V42+DV42</f>
        <v>11.9851515151502</v>
      </c>
      <c r="DY42" s="29" t="n">
        <v>2004</v>
      </c>
      <c r="DZ42" s="388" t="n">
        <v>-2</v>
      </c>
      <c r="EA42" s="388" t="n">
        <v>-3</v>
      </c>
      <c r="EB42" s="388" t="n">
        <v>-6</v>
      </c>
      <c r="EC42" s="368" t="n">
        <v>-5</v>
      </c>
      <c r="ED42" s="386"/>
      <c r="EE42" s="386"/>
      <c r="EF42" s="386"/>
    </row>
    <row r="43" customFormat="false" ht="12.75" hidden="false" customHeight="false" outlineLevel="0" collapsed="false">
      <c r="B43" s="371" t="n">
        <v>36861</v>
      </c>
      <c r="C43" s="372" t="n">
        <v>36850</v>
      </c>
      <c r="I43" s="338" t="n">
        <f aca="false">EOMONTH(I42,0)+1</f>
        <v>47058</v>
      </c>
      <c r="J43" s="307" t="n">
        <f aca="false">VLOOKUP(I43,$B$12:$C$332,2)</f>
        <v>45644</v>
      </c>
      <c r="K43" s="339" t="n">
        <f aca="false">NETWORKDAYS(I43,J44)/N43</f>
        <v>-45.9545454545455</v>
      </c>
      <c r="L43" s="309" t="n">
        <f aca="false">YEAR(I43)-1900</f>
        <v>128</v>
      </c>
      <c r="M43" s="310" t="n">
        <f aca="false">MONTH(I43)</f>
        <v>11</v>
      </c>
      <c r="N43" s="340" t="n">
        <f aca="false">NETWORKDAYS(I43,I44-1)</f>
        <v>22</v>
      </c>
      <c r="O43" s="341" t="n">
        <f aca="false">I43-DateToday-IF(EuroExpDateToggle=1,3+IF(WEEKDAY(I43-1)=7,1,IF(WEEKDAY(I43-1)&lt;5,2,0)),1+IF(WEEKDAY(I43-1)=7,1,IF(WEEKDAY(I43-1)&lt;3,2,0)))</f>
        <v>1127</v>
      </c>
      <c r="P43" s="342" t="n">
        <f aca="false">(I43-DateToday+1)/365.25</f>
        <v>3.10198494182067</v>
      </c>
      <c r="Q43" s="342" t="n">
        <f aca="false">(I44-DateToday)/365.25</f>
        <v>3.1813826146475</v>
      </c>
      <c r="R43" s="314" t="n">
        <v>19.5866666666667</v>
      </c>
      <c r="S43" s="347" t="n">
        <v>0</v>
      </c>
      <c r="T43" s="316" t="n">
        <f aca="false">R43+S43/100</f>
        <v>19.5866666666667</v>
      </c>
      <c r="U43" s="325" t="n">
        <f aca="false">R44*K43+R45*(1-K43)</f>
        <v>16.8692424242411</v>
      </c>
      <c r="V43" s="337" t="n">
        <f aca="false">T44*K43+T45*(1-K43)</f>
        <v>16.8692424242411</v>
      </c>
      <c r="W43" s="318" t="n">
        <v>0.211431168843249</v>
      </c>
      <c r="X43" s="319" t="str">
        <f aca="false">IF($I43-DateToday+1&gt;=$A$10,"",IF($I43-DateToday+1&lt;$A$5,1,MATCH($I43-DateToday+1,$A$5:$A$10)))</f>
        <v/>
      </c>
      <c r="Y43" s="348" t="n">
        <f aca="false">IF($X43="",Y42^2/Y41,INDEX(B$5:B$10,$X43)^((INDEX($A$5:$A$10,$X43+1)-($I43-DateToday+1))/(INDEX($A$5:$A$10,$X43+1)-INDEX($A$5:$A$10,$X43)))/INDEX(B$5:B$10,$X43+1)^((INDEX($A$5:$A$10,$X43)-($I43-DateToday+1))/(INDEX($A$5:$A$10,$X43+1)-INDEX($A$5:$A$10,$X43))))</f>
        <v>0.00688329903942467</v>
      </c>
      <c r="Z43" s="348" t="n">
        <f aca="false">IF($X43="",Z42^2/Z41,INDEX(C$5:C$10,$X43)^((INDEX($A$5:$A$10,$X43+1)-($I43-DateToday+1))/(INDEX($A$5:$A$10,$X43+1)-INDEX($A$5:$A$10,$X43)))/INDEX(C$5:C$10,$X43+1)^((INDEX($A$5:$A$10,$X43)-($I43-DateToday+1))/(INDEX($A$5:$A$10,$X43+1)-INDEX($A$5:$A$10,$X43))))</f>
        <v>0.00347451643487173</v>
      </c>
      <c r="AA43" s="348" t="n">
        <f aca="false">IF($X43="",AA42^2/AA41,INDEX(D$5:D$10,$X43)^((INDEX($A$5:$A$10,$X43+1)-($I43-DateToday+1))/(INDEX($A$5:$A$10,$X43+1)-INDEX($A$5:$A$10,$X43)))/INDEX(D$5:D$10,$X43+1)^((INDEX($A$5:$A$10,$X43)-($I43-DateToday+1))/(INDEX($A$5:$A$10,$X43+1)-INDEX($A$5:$A$10,$X43))))</f>
        <v>0.0014988563983333</v>
      </c>
      <c r="AB43" s="348" t="n">
        <f aca="false">IF($X43="",AB42^2/AB41,INDEX(E$5:E$10,$X43)^((INDEX($A$5:$A$10,$X43+1)-($I43-DateToday+1))/(INDEX($A$5:$A$10,$X43+1)-INDEX($A$5:$A$10,$X43)))/INDEX(E$5:E$10,$X43+1)^((INDEX($A$5:$A$10,$X43)-($I43-DateToday+1))/(INDEX($A$5:$A$10,$X43+1)-INDEX($A$5:$A$10,$X43))))</f>
        <v>0.00337662369416527</v>
      </c>
      <c r="AC43" s="348" t="n">
        <f aca="false">IF($X43="",AC42^2/AC41,INDEX(F$5:F$10,$X43)^((INDEX($A$5:$A$10,$X43+1)-($I43-DateToday+1))/(INDEX($A$5:$A$10,$X43+1)-INDEX($A$5:$A$10,$X43)))/INDEX(F$5:F$10,$X43+1)^((INDEX($A$5:$A$10,$X43)-($I43-DateToday+1))/(INDEX($A$5:$A$10,$X43+1)-INDEX($A$5:$A$10,$X43))))</f>
        <v>0.00782739062447905</v>
      </c>
      <c r="AD43" s="348" t="n">
        <f aca="false">IF($X43="",AD42^2/AD41,INDEX(G$5:G$10,$X43)^((INDEX($A$5:$A$10,$X43+1)-($I43-DateToday+1))/(INDEX($A$5:$A$10,$X43+1)-INDEX($A$5:$A$10,$X43)))/INDEX(G$5:G$10,$X43+1)^((INDEX($A$5:$A$10,$X43)-($I43-DateToday+1))/(INDEX($A$5:$A$10,$X43+1)-INDEX($A$5:$A$10,$X43))))</f>
        <v>0.0155066960760158</v>
      </c>
      <c r="AE43" s="321" t="n">
        <v>0.072051293323044</v>
      </c>
      <c r="AF43" s="316" t="n">
        <f aca="false">(1+AE43/2)^(-2*(I44-DateToday)/365.25)</f>
        <v>0.798364240190616</v>
      </c>
      <c r="AG43" s="316" t="n">
        <f aca="false">AG42*(1+IF(AND(M43=1,L43&gt;YearStart),Escalation,0))</f>
        <v>1</v>
      </c>
      <c r="AH43" s="322" t="n">
        <f aca="false">IF(OR(DateStart&gt;=I44,DateEnd&lt;I43),0,Volume*AG43)</f>
        <v>0</v>
      </c>
      <c r="AI43" s="322" t="n">
        <f aca="false">AH43*AF43</f>
        <v>0</v>
      </c>
      <c r="AJ43" s="322" t="n">
        <f aca="false">IF(OR(DateStart2&gt;=I44,DateEnd2&lt;I43),0,VolumeSwaption*AG43)</f>
        <v>0</v>
      </c>
      <c r="AK43" s="322" t="n">
        <f aca="false">AJ43*AF43</f>
        <v>0</v>
      </c>
      <c r="AL43" s="316" t="str">
        <f aca="true">IF(AH43,OFFSET(BY43,0,HorizontalPriceOffset)+PriceSpreadAsian,"")</f>
        <v/>
      </c>
      <c r="AM43" s="316" t="str">
        <f aca="false">IF(AH43,Strike1/AL43-1,"")</f>
        <v/>
      </c>
      <c r="AN43" s="316" t="str">
        <f aca="false">IF(AH43,Strike2/AL43-1,"")</f>
        <v/>
      </c>
      <c r="AO43" s="323" t="str">
        <f aca="false">IF(AH43,IF(VolOverrideAsian,VolOverrideAsian,IF(ProductGroup=1,IF(Product&lt;3,DA44,DE44),W44)+VolSpreadAsian),"")</f>
        <v/>
      </c>
      <c r="AP43" s="323" t="str">
        <f aca="false">IF($AH43,$AO43+IF(SkewFlag=1,IF(AM43&gt;0,$AA43*MIN(AM43/10%,1)+($Z43-$AA43)*MAX(0,MIN(AM43/10%-1,1))+($Y43-$Z43)*MAX(0,AM43/10%-2),$AB43*MIN(-AM43/10%,1)+($AC43-$AB43)*MAX(0,MIN(-AM43/10%-1,1))+($AD43-$AC43)*MAX(0,-AM43/10%-2)),0),"")</f>
        <v/>
      </c>
      <c r="AQ43" s="323" t="str">
        <f aca="false">IF($AH43,$AO43+IF(SkewFlag=1,IF(AN43&gt;0,$AA43*MIN(AN43/10%,1)+($Z43-$AA43)*MAX(0,MIN(AN43/10%-1,1))+($Y43-$Z43)*MAX(0,AN43/10%-2),$AB43*MIN(-AN43/10%,1)+($AC43-$AB43)*MAX(0,MIN(-AN43/10%-1,1))+($AD43-$AC43)*MAX(0,-AN43/10%-2)),0),"")</f>
        <v/>
      </c>
      <c r="AR43" s="324" t="n">
        <f aca="false">IF(AH43,xASN(AL43,Strike1,AE43,AP43,0,N43,0,P43,Q43,IF(OptControl=4,0,1),0),0)</f>
        <v>0</v>
      </c>
      <c r="AS43" s="324" t="n">
        <f aca="false">IF(AH43,xASN(AL43,Strike1,AE43,AP43,0,N43,0,P43,Q43,IF(OptControl=4,0,1),1),0)</f>
        <v>0</v>
      </c>
      <c r="AT43" s="324" t="n">
        <f aca="false">IF(AH43,xASN(AL43,Strike1,AE43,AP43,0,N43,0,P43,Q43,IF(OptControl=4,0,1),2),0)</f>
        <v>0</v>
      </c>
      <c r="AU43" s="324" t="n">
        <f aca="false">IF(AH43,xASN(AL43,Strike1,AE43,AP43,0,N43,0,P43,Q43,IF(OptControl=4,0,1),3)/100,0)</f>
        <v>0</v>
      </c>
      <c r="AV43" s="324" t="n">
        <f aca="false">IF(AH43,xASN(AL43,Strike1,AE43,AP43,0,N43,0,P43-DaysForThetaCalculation/365.25,Q43-DaysForThetaCalculation/365.25,IF(OptControl=4,0,1),0)-xASN(AL43,Strike1,AE43,AP43,0,N43,0,P43,Q43,IF(OptControl=4,0,1),0),0)</f>
        <v>0</v>
      </c>
      <c r="AW43" s="324" t="n">
        <f aca="false">IF(AH43,xASN(AL43,Strike2,AE43,AQ43,0,N43,0,P43,Q43,IF(OptControl=3,1,0),0),0)</f>
        <v>0</v>
      </c>
      <c r="AX43" s="324" t="n">
        <f aca="false">IF(AH43,xASN(AL43,Strike2,AE43,AQ43,0,N43,0,P43,Q43,IF(OptControl=3,1,0),1),0)</f>
        <v>0</v>
      </c>
      <c r="AY43" s="324" t="n">
        <f aca="false">IF(AH43,xASN(AL43,Strike2,AE43,AQ43,0,N43,0,P43,Q43,IF(OptControl=3,1,0),2),0)</f>
        <v>0</v>
      </c>
      <c r="AZ43" s="324" t="n">
        <f aca="false">IF(AH43,xASN(AL43,Strike2,AE43,AQ43,0,N43,0,P43,Q43,IF(OptControl=3,1,0),3)/100,0)</f>
        <v>0</v>
      </c>
      <c r="BA43" s="324" t="n">
        <f aca="false">IF(AH43,xASN(AL43,Strike2,AE43,AQ43,0,N43,0,P43-DaysForThetaCalculation/365.25,Q43-DaysForThetaCalculation/365.25,IF(OptControl=3,1,0),0)-xASN(AL43,Strike2,AE43,AQ43,0,N43,0,P43,Q43,IF(OptControl=3,1,0),0),0)</f>
        <v>0</v>
      </c>
      <c r="BB43" s="325" t="str">
        <f aca="false">IF(AH43,IF(ProductGroup=1,IF(Product=1,BX43+PriceSpreadEuro,IF(Product=3,CK43+PriceSpreadEuro,"N/A")),"N/A"),"")</f>
        <v/>
      </c>
      <c r="BC43" s="316" t="str">
        <f aca="false">IF(AH43,Strike1/BB43-1,"")</f>
        <v/>
      </c>
      <c r="BD43" s="316" t="str">
        <f aca="false">IF(AH43,Strike2/BB43-1,"")</f>
        <v/>
      </c>
      <c r="BE43" s="326" t="str">
        <f aca="false">IF(AH43,IF(VolOverrideEuro,VolOverrideEuro,IF(ProductGroup=1,IF(Product&lt;3,DA43,DE43)+VolSpreadEuro,"N/A")),"")</f>
        <v/>
      </c>
      <c r="BF43" s="323" t="str">
        <f aca="false">IF($AH43,$BE43+IF(SkewFlag=1,IF(BC43&gt;0,$AA43*MIN(BC43/10%,1)+($Z43-$AA43)*MAX(0,MIN(BC43/10%-1,1))+($Y43-$Z43)*MAX(0,BC43/10%-2),$AB43*MIN(-BC43/10%,1)+($AC43-$AB43)*MAX(0,MIN(-BC43/10%-1,1))+($AD43-$AC43)*MAX(0,-BC43/10%-2)),0),"")</f>
        <v/>
      </c>
      <c r="BG43" s="323" t="str">
        <f aca="false">IF($AH43,$BE43+IF(SkewFlag=1,IF(BD43&gt;0,$AA43*MIN(BD43/10%,1)+($Z43-$AA43)*MAX(0,MIN(BD43/10%-1,1))+($Y43-$Z43)*MAX(0,BD43/10%-2),$AB43*MIN(-BD43/10%,1)+($AC43-$AB43)*MAX(0,MIN(-BD43/10%-1,1))+($AD43-$AC43)*MAX(0,-BD43/10%-2)),0),"")</f>
        <v/>
      </c>
      <c r="BH43" s="324" t="n">
        <f aca="false">IF(AH43,xEURO(BB43,Strike1,AE43,AE43,BF43,O43,IF(OptControl=4,0,1),0),0)</f>
        <v>0</v>
      </c>
      <c r="BI43" s="324" t="n">
        <f aca="false">IF(AH43,xEURO(BB43,Strike1,AE43,AE43,BF43,O43,IF(OptControl=4,0,1),1),0)</f>
        <v>0</v>
      </c>
      <c r="BJ43" s="324" t="n">
        <f aca="false">IF(AH43,xEURO(BB43,Strike1,AE43,AE43,BF43,O43,IF(OptControl=4,0,1),2),0)</f>
        <v>0</v>
      </c>
      <c r="BK43" s="324" t="n">
        <f aca="false">IF(AH43,xEURO(BB43,Strike1,AE43,AE43,BF43,O43,IF(OptControl=4,0,1),3)/100,0)</f>
        <v>0</v>
      </c>
      <c r="BL43" s="324" t="n">
        <f aca="false">IF(AH43,xEURO(BB43,Strike1,AE43,AE43,BF43,O43-DaysForThetaCalculation,IF(OptControl=4,0,1),0)-xEURO(BB43,Strike1,AE43,AE43,BF43,O43,IF(OptControl=4,0,1),0),0)</f>
        <v>0</v>
      </c>
      <c r="BM43" s="324" t="n">
        <f aca="false">IF(AH43,xEURO(BB43,Strike2,AE43,AE43,BG43,O43,IF(OptControl=3,1,0),0),0)</f>
        <v>0</v>
      </c>
      <c r="BN43" s="324" t="n">
        <f aca="false">IF(AH43,xEURO(BB43,Strike2,AE43,AE43,BG43,O43,IF(OptControl=3,1,0),1),0)</f>
        <v>0</v>
      </c>
      <c r="BO43" s="324" t="n">
        <f aca="false">IF(AH43,xEURO(BB43,Strike2,AE43,AE43,BG43,O43,IF(OptControl=3,1,0),2),0)</f>
        <v>0</v>
      </c>
      <c r="BP43" s="324" t="n">
        <f aca="false">IF(AH43,xEURO(BB43,Strike2,AE43,AE43,BG43,O43,IF(OptControl=3,1,0),3)/100,0)</f>
        <v>0</v>
      </c>
      <c r="BQ43" s="327" t="n">
        <f aca="false">IF(AH43,xEURO(BB43,Strike2,AE43,AE43,BG43,O43-DaysForThetaCalculation,IF(OptControl=3,1,0),0)-xEURO(BB43,Strike2,AE43,AE43,BG43,O43,IF(OptControl=3,1,0),0),0)</f>
        <v>0</v>
      </c>
      <c r="BR43" s="343"/>
      <c r="BS43" s="314" t="n">
        <v>27.85</v>
      </c>
      <c r="BT43" s="329" t="n">
        <f aca="false">BS43*100/42</f>
        <v>66.3095238095238</v>
      </c>
      <c r="BU43" s="329" t="n">
        <f aca="false">BS44-$U43</f>
        <v>10.3677575757589</v>
      </c>
      <c r="BV43" s="224"/>
      <c r="BW43" s="329" t="n">
        <f aca="false">BW31+VLOOKUP(1900+$L43,ProductSpreadTable,2)</f>
        <v>18.89</v>
      </c>
      <c r="BX43" s="329" t="n">
        <f aca="false">($V42+BW42)*100/42</f>
        <v>90.1416650981836</v>
      </c>
      <c r="BY43" s="332" t="n">
        <f aca="false">BX44</f>
        <v>85.1410533910501</v>
      </c>
      <c r="BZ43" s="314" t="n">
        <v>25.347</v>
      </c>
      <c r="CA43" s="329" t="n">
        <f aca="false">BZ43*100/42</f>
        <v>60.35</v>
      </c>
      <c r="CB43" s="329" t="n">
        <f aca="false">BZ43-$U43</f>
        <v>8.47775757575894</v>
      </c>
      <c r="CC43" s="329" t="n">
        <f aca="false">CC31+VLOOKUP(1900+$L43,ProductSpreadTable,3)</f>
        <v>16.265</v>
      </c>
      <c r="CD43" s="329" t="n">
        <f aca="false">($V43+CC43)*100/42</f>
        <v>78.8910533910501</v>
      </c>
      <c r="CE43" s="333" t="n">
        <f aca="false">CD43-BY43</f>
        <v>-6.24999999999997</v>
      </c>
      <c r="CF43" s="314" t="n">
        <v>21.932</v>
      </c>
      <c r="CG43" s="329" t="n">
        <f aca="false">CF43*100/42</f>
        <v>52.2190476190476</v>
      </c>
      <c r="CH43" s="329" t="n">
        <f aca="false">CF44-$U43</f>
        <v>4.61375757575894</v>
      </c>
      <c r="CI43" s="224"/>
      <c r="CJ43" s="329" t="n">
        <f aca="false">CJ31+VLOOKUP(1900+$L43,ProductSpreadTable,4)</f>
        <v>8.10552380952372</v>
      </c>
      <c r="CK43" s="329" t="n">
        <f aca="false">($V42+CJ42)*100/42</f>
        <v>61.0637806637774</v>
      </c>
      <c r="CL43" s="329" t="n">
        <f aca="false">CK44</f>
        <v>59.4637291280114</v>
      </c>
      <c r="CM43" s="314" t="n">
        <v>20.664</v>
      </c>
      <c r="CN43" s="329" t="n">
        <f aca="false">CM43*100/42</f>
        <v>49.2</v>
      </c>
      <c r="CO43" s="329" t="n">
        <f aca="false">CM43-$U43</f>
        <v>3.79475757575894</v>
      </c>
      <c r="CP43" s="329" t="n">
        <f aca="false">CP31+VLOOKUP(1900+$L43,ProductSpreadTable,5)</f>
        <v>7.18152380952373</v>
      </c>
      <c r="CQ43" s="329" t="n">
        <f aca="false">($V43+CP43)*100/42</f>
        <v>57.2637291280114</v>
      </c>
      <c r="CR43" s="333" t="n">
        <f aca="false">CQ43-CL43</f>
        <v>-2.19999999999999</v>
      </c>
      <c r="CS43" s="314" t="n">
        <v>21.609</v>
      </c>
      <c r="CT43" s="329" t="n">
        <f aca="false">CS43*100/42</f>
        <v>51.45</v>
      </c>
      <c r="CU43" s="329" t="n">
        <f aca="false">CT43-CG44</f>
        <v>0.299999999999997</v>
      </c>
      <c r="CV43" s="329" t="n">
        <f aca="false">CV31+VLOOKUP(1900+$L43,ProductSpreadTable,6)</f>
        <v>0.900000000000009</v>
      </c>
      <c r="CW43" s="333" t="n">
        <f aca="false">CL43+CV43</f>
        <v>60.3637291280114</v>
      </c>
      <c r="CX43" s="318" t="n">
        <v>0.211</v>
      </c>
      <c r="CY43" s="326" t="n">
        <f aca="false">CX43-$W43</f>
        <v>-0.000431168843249063</v>
      </c>
      <c r="CZ43" s="326" t="n">
        <f aca="false">VLOOKUP(1900+$L43,ProductSpreadTable,7)</f>
        <v>-0.03</v>
      </c>
      <c r="DA43" s="365" t="n">
        <f aca="false">$W43+CZ43</f>
        <v>0.181431168843249</v>
      </c>
      <c r="DB43" s="318" t="n">
        <v>0.211</v>
      </c>
      <c r="DC43" s="326" t="n">
        <f aca="false">DB43-$W43</f>
        <v>-0.000431168843249063</v>
      </c>
      <c r="DD43" s="326" t="n">
        <f aca="false">VLOOKUP(1900+$L43,ProductSpreadTable,8)</f>
        <v>0.03</v>
      </c>
      <c r="DE43" s="365" t="n">
        <f aca="false">$W43+DD43</f>
        <v>0.241431168843249</v>
      </c>
      <c r="DG43" s="336"/>
      <c r="DH43" s="314" t="n">
        <v>16.809</v>
      </c>
      <c r="DI43" s="325" t="n">
        <f aca="false">DH43-$U43</f>
        <v>-0.0602424242410642</v>
      </c>
      <c r="DJ43" s="325" t="n">
        <f aca="false">VLOOKUP(1900+$L43,ResidSpreadTable,2)</f>
        <v>-2</v>
      </c>
      <c r="DK43" s="337" t="n">
        <f aca="false">$V43+DJ43</f>
        <v>14.8692424242411</v>
      </c>
      <c r="DL43" s="314" t="n">
        <v>14.259</v>
      </c>
      <c r="DM43" s="325" t="n">
        <f aca="false">DL43-$U43</f>
        <v>-2.61024242424107</v>
      </c>
      <c r="DN43" s="325" t="n">
        <f aca="false">VLOOKUP(1900+$L43,ResidSpreadTable,3)</f>
        <v>-3</v>
      </c>
      <c r="DO43" s="337" t="n">
        <f aca="false">$V43+DN43</f>
        <v>13.8692424242411</v>
      </c>
      <c r="DP43" s="314" t="n">
        <v>13.509</v>
      </c>
      <c r="DQ43" s="325" t="n">
        <f aca="false">DP43-$U43</f>
        <v>-3.36024242424107</v>
      </c>
      <c r="DR43" s="325" t="n">
        <f aca="false">VLOOKUP(1900+$L43,ResidSpreadTable,4)</f>
        <v>-6</v>
      </c>
      <c r="DS43" s="337" t="n">
        <f aca="false">$V43+DR43</f>
        <v>10.8692424242411</v>
      </c>
      <c r="DT43" s="314" t="n">
        <v>15.609</v>
      </c>
      <c r="DU43" s="325" t="n">
        <f aca="false">DT43-$U43</f>
        <v>-1.26024242424106</v>
      </c>
      <c r="DV43" s="325" t="n">
        <f aca="false">VLOOKUP(1900+$L43,ResidSpreadTable,5)</f>
        <v>-5</v>
      </c>
      <c r="DW43" s="337" t="n">
        <f aca="false">$V43+DV43</f>
        <v>11.8692424242411</v>
      </c>
      <c r="DY43" s="29" t="n">
        <v>2005</v>
      </c>
      <c r="DZ43" s="388" t="n">
        <v>-2</v>
      </c>
      <c r="EA43" s="388" t="n">
        <v>-3</v>
      </c>
      <c r="EB43" s="388" t="n">
        <v>-6</v>
      </c>
      <c r="EC43" s="368" t="n">
        <v>-5</v>
      </c>
      <c r="ED43" s="386"/>
      <c r="EE43" s="386"/>
      <c r="EF43" s="386"/>
    </row>
    <row r="44" customFormat="false" ht="12.75" hidden="false" customHeight="false" outlineLevel="0" collapsed="false">
      <c r="B44" s="371" t="n">
        <v>36892</v>
      </c>
      <c r="C44" s="372" t="n">
        <v>36879</v>
      </c>
      <c r="I44" s="338" t="n">
        <f aca="false">EOMONTH(I43,0)+1</f>
        <v>47088</v>
      </c>
      <c r="J44" s="307" t="n">
        <f aca="false">VLOOKUP(I44,$B$12:$C$332,2)</f>
        <v>45644</v>
      </c>
      <c r="K44" s="339" t="n">
        <f aca="false">NETWORKDAYS(I44,J45)/N44</f>
        <v>-49.1904761904762</v>
      </c>
      <c r="L44" s="309" t="n">
        <f aca="false">YEAR(I44)-1900</f>
        <v>128</v>
      </c>
      <c r="M44" s="310" t="n">
        <f aca="false">MONTH(I44)</f>
        <v>12</v>
      </c>
      <c r="N44" s="340" t="n">
        <f aca="false">NETWORKDAYS(I44,I45-1)</f>
        <v>21</v>
      </c>
      <c r="O44" s="341" t="n">
        <f aca="false">I44-DateToday-IF(EuroExpDateToggle=1,3+IF(WEEKDAY(I44-1)=7,1,IF(WEEKDAY(I44-1)&lt;5,2,0)),1+IF(WEEKDAY(I44-1)=7,1,IF(WEEKDAY(I44-1)&lt;3,2,0)))</f>
        <v>1159</v>
      </c>
      <c r="P44" s="342" t="n">
        <f aca="false">(I44-DateToday+1)/365.25</f>
        <v>3.18412046543463</v>
      </c>
      <c r="Q44" s="342" t="n">
        <f aca="false">(I45-DateToday)/365.25</f>
        <v>3.2662559890486</v>
      </c>
      <c r="R44" s="314" t="n">
        <v>19.53</v>
      </c>
      <c r="S44" s="347" t="n">
        <v>0</v>
      </c>
      <c r="T44" s="316" t="n">
        <f aca="false">R44+S44/100</f>
        <v>19.53</v>
      </c>
      <c r="U44" s="325" t="n">
        <f aca="false">R45*K44+R46*(1-K44)</f>
        <v>16.6292063492093</v>
      </c>
      <c r="V44" s="337" t="n">
        <f aca="false">T45*K44+T46*(1-K44)</f>
        <v>16.6292063492093</v>
      </c>
      <c r="W44" s="318" t="n">
        <v>0.21020585831477</v>
      </c>
      <c r="X44" s="319" t="str">
        <f aca="false">IF($I44-DateToday+1&gt;=$A$10,"",IF($I44-DateToday+1&lt;$A$5,1,MATCH($I44-DateToday+1,$A$5:$A$10)))</f>
        <v/>
      </c>
      <c r="Y44" s="348" t="n">
        <f aca="false">IF($X44="",Y43^2/Y42,INDEX(B$5:B$10,$X44)^((INDEX($A$5:$A$10,$X44+1)-($I44-DateToday+1))/(INDEX($A$5:$A$10,$X44+1)-INDEX($A$5:$A$10,$X44)))/INDEX(B$5:B$10,$X44+1)^((INDEX($A$5:$A$10,$X44)-($I44-DateToday+1))/(INDEX($A$5:$A$10,$X44+1)-INDEX($A$5:$A$10,$X44))))</f>
        <v>0.00673593807598785</v>
      </c>
      <c r="Z44" s="348" t="n">
        <f aca="false">IF($X44="",Z43^2/Z42,INDEX(C$5:C$10,$X44)^((INDEX($A$5:$A$10,$X44+1)-($I44-DateToday+1))/(INDEX($A$5:$A$10,$X44+1)-INDEX($A$5:$A$10,$X44)))/INDEX(C$5:C$10,$X44+1)^((INDEX($A$5:$A$10,$X44)-($I44-DateToday+1))/(INDEX($A$5:$A$10,$X44+1)-INDEX($A$5:$A$10,$X44))))</f>
        <v>0.00338192783742386</v>
      </c>
      <c r="AA44" s="348" t="n">
        <f aca="false">IF($X44="",AA43^2/AA42,INDEX(D$5:D$10,$X44)^((INDEX($A$5:$A$10,$X44+1)-($I44-DateToday+1))/(INDEX($A$5:$A$10,$X44+1)-INDEX($A$5:$A$10,$X44)))/INDEX(D$5:D$10,$X44+1)^((INDEX($A$5:$A$10,$X44)-($I44-DateToday+1))/(INDEX($A$5:$A$10,$X44+1)-INDEX($A$5:$A$10,$X44))))</f>
        <v>0.0014550027909362</v>
      </c>
      <c r="AB44" s="348" t="n">
        <f aca="false">IF($X44="",AB43^2/AB42,INDEX(E$5:E$10,$X44)^((INDEX($A$5:$A$10,$X44+1)-($I44-DateToday+1))/(INDEX($A$5:$A$10,$X44+1)-INDEX($A$5:$A$10,$X44)))/INDEX(E$5:E$10,$X44+1)^((INDEX($A$5:$A$10,$X44)-($I44-DateToday+1))/(INDEX($A$5:$A$10,$X44+1)-INDEX($A$5:$A$10,$X44))))</f>
        <v>0.00327783028742108</v>
      </c>
      <c r="AC44" s="348" t="n">
        <f aca="false">IF($X44="",AC43^2/AC42,INDEX(F$5:F$10,$X44)^((INDEX($A$5:$A$10,$X44+1)-($I44-DateToday+1))/(INDEX($A$5:$A$10,$X44+1)-INDEX($A$5:$A$10,$X44)))/INDEX(F$5:F$10,$X44+1)^((INDEX($A$5:$A$10,$X44)-($I44-DateToday+1))/(INDEX($A$5:$A$10,$X44+1)-INDEX($A$5:$A$10,$X44))))</f>
        <v>0.00761880703214848</v>
      </c>
      <c r="AD44" s="348" t="n">
        <f aca="false">IF($X44="",AD43^2/AD42,INDEX(G$5:G$10,$X44)^((INDEX($A$5:$A$10,$X44+1)-($I44-DateToday+1))/(INDEX($A$5:$A$10,$X44+1)-INDEX($A$5:$A$10,$X44)))/INDEX(G$5:G$10,$X44+1)^((INDEX($A$5:$A$10,$X44)-($I44-DateToday+1))/(INDEX($A$5:$A$10,$X44+1)-INDEX($A$5:$A$10,$X44))))</f>
        <v>0.0151747212975853</v>
      </c>
      <c r="AE44" s="321" t="n">
        <v>0.072103445644777</v>
      </c>
      <c r="AF44" s="316" t="n">
        <f aca="false">(1+AE44/2)^(-2*(I45-DateToday)/365.25)</f>
        <v>0.793451849860782</v>
      </c>
      <c r="AG44" s="316" t="n">
        <f aca="false">AG43*(1+IF(AND(M44=1,L44&gt;YearStart),Escalation,0))</f>
        <v>1</v>
      </c>
      <c r="AH44" s="322" t="n">
        <f aca="false">IF(OR(DateStart&gt;=I45,DateEnd&lt;I44),0,Volume*AG44)</f>
        <v>0</v>
      </c>
      <c r="AI44" s="322" t="n">
        <f aca="false">AH44*AF44</f>
        <v>0</v>
      </c>
      <c r="AJ44" s="322" t="n">
        <f aca="false">IF(OR(DateStart2&gt;=I45,DateEnd2&lt;I44),0,VolumeSwaption*AG44)</f>
        <v>0</v>
      </c>
      <c r="AK44" s="322" t="n">
        <f aca="false">AJ44*AF44</f>
        <v>0</v>
      </c>
      <c r="AL44" s="316" t="str">
        <f aca="true">IF(AH44,OFFSET(BY44,0,HorizontalPriceOffset)+PriceSpreadAsian,"")</f>
        <v/>
      </c>
      <c r="AM44" s="316" t="str">
        <f aca="false">IF(AH44,Strike1/AL44-1,"")</f>
        <v/>
      </c>
      <c r="AN44" s="316" t="str">
        <f aca="false">IF(AH44,Strike2/AL44-1,"")</f>
        <v/>
      </c>
      <c r="AO44" s="323" t="str">
        <f aca="false">IF(AH44,IF(VolOverrideAsian,VolOverrideAsian,IF(ProductGroup=1,IF(Product&lt;3,DA45,DE45),W45)+VolSpreadAsian),"")</f>
        <v/>
      </c>
      <c r="AP44" s="323" t="str">
        <f aca="false">IF($AH44,$AO44+IF(SkewFlag=1,IF(AM44&gt;0,$AA44*MIN(AM44/10%,1)+($Z44-$AA44)*MAX(0,MIN(AM44/10%-1,1))+($Y44-$Z44)*MAX(0,AM44/10%-2),$AB44*MIN(-AM44/10%,1)+($AC44-$AB44)*MAX(0,MIN(-AM44/10%-1,1))+($AD44-$AC44)*MAX(0,-AM44/10%-2)),0),"")</f>
        <v/>
      </c>
      <c r="AQ44" s="323" t="str">
        <f aca="false">IF($AH44,$AO44+IF(SkewFlag=1,IF(AN44&gt;0,$AA44*MIN(AN44/10%,1)+($Z44-$AA44)*MAX(0,MIN(AN44/10%-1,1))+($Y44-$Z44)*MAX(0,AN44/10%-2),$AB44*MIN(-AN44/10%,1)+($AC44-$AB44)*MAX(0,MIN(-AN44/10%-1,1))+($AD44-$AC44)*MAX(0,-AN44/10%-2)),0),"")</f>
        <v/>
      </c>
      <c r="AR44" s="324" t="n">
        <f aca="false">IF(AH44,xASN(AL44,Strike1,AE44,AP44,0,N44,0,P44,Q44,IF(OptControl=4,0,1),0),0)</f>
        <v>0</v>
      </c>
      <c r="AS44" s="324" t="n">
        <f aca="false">IF(AH44,xASN(AL44,Strike1,AE44,AP44,0,N44,0,P44,Q44,IF(OptControl=4,0,1),1),0)</f>
        <v>0</v>
      </c>
      <c r="AT44" s="324" t="n">
        <f aca="false">IF(AH44,xASN(AL44,Strike1,AE44,AP44,0,N44,0,P44,Q44,IF(OptControl=4,0,1),2),0)</f>
        <v>0</v>
      </c>
      <c r="AU44" s="324" t="n">
        <f aca="false">IF(AH44,xASN(AL44,Strike1,AE44,AP44,0,N44,0,P44,Q44,IF(OptControl=4,0,1),3)/100,0)</f>
        <v>0</v>
      </c>
      <c r="AV44" s="324" t="n">
        <f aca="false">IF(AH44,xASN(AL44,Strike1,AE44,AP44,0,N44,0,P44-DaysForThetaCalculation/365.25,Q44-DaysForThetaCalculation/365.25,IF(OptControl=4,0,1),0)-xASN(AL44,Strike1,AE44,AP44,0,N44,0,P44,Q44,IF(OptControl=4,0,1),0),0)</f>
        <v>0</v>
      </c>
      <c r="AW44" s="324" t="n">
        <f aca="false">IF(AH44,xASN(AL44,Strike2,AE44,AQ44,0,N44,0,P44,Q44,IF(OptControl=3,1,0),0),0)</f>
        <v>0</v>
      </c>
      <c r="AX44" s="324" t="n">
        <f aca="false">IF(AH44,xASN(AL44,Strike2,AE44,AQ44,0,N44,0,P44,Q44,IF(OptControl=3,1,0),1),0)</f>
        <v>0</v>
      </c>
      <c r="AY44" s="324" t="n">
        <f aca="false">IF(AH44,xASN(AL44,Strike2,AE44,AQ44,0,N44,0,P44,Q44,IF(OptControl=3,1,0),2),0)</f>
        <v>0</v>
      </c>
      <c r="AZ44" s="324" t="n">
        <f aca="false">IF(AH44,xASN(AL44,Strike2,AE44,AQ44,0,N44,0,P44,Q44,IF(OptControl=3,1,0),3)/100,0)</f>
        <v>0</v>
      </c>
      <c r="BA44" s="324" t="n">
        <f aca="false">IF(AH44,xASN(AL44,Strike2,AE44,AQ44,0,N44,0,P44-DaysForThetaCalculation/365.25,Q44-DaysForThetaCalculation/365.25,IF(OptControl=3,1,0),0)-xASN(AL44,Strike2,AE44,AQ44,0,N44,0,P44,Q44,IF(OptControl=3,1,0),0),0)</f>
        <v>0</v>
      </c>
      <c r="BB44" s="325" t="str">
        <f aca="false">IF(AH44,IF(ProductGroup=1,IF(Product=1,BX44+PriceSpreadEuro,IF(Product=3,CK44+PriceSpreadEuro,"N/A")),"N/A"),"")</f>
        <v/>
      </c>
      <c r="BC44" s="316" t="str">
        <f aca="false">IF(AH44,Strike1/BB44-1,"")</f>
        <v/>
      </c>
      <c r="BD44" s="316" t="str">
        <f aca="false">IF(AH44,Strike2/BB44-1,"")</f>
        <v/>
      </c>
      <c r="BE44" s="326" t="str">
        <f aca="false">IF(AH44,IF(VolOverrideEuro,VolOverrideEuro,IF(ProductGroup=1,IF(Product&lt;3,DA44,DE44)+VolSpreadEuro,"N/A")),"")</f>
        <v/>
      </c>
      <c r="BF44" s="323" t="str">
        <f aca="false">IF($AH44,$BE44+IF(SkewFlag=1,IF(BC44&gt;0,$AA44*MIN(BC44/10%,1)+($Z44-$AA44)*MAX(0,MIN(BC44/10%-1,1))+($Y44-$Z44)*MAX(0,BC44/10%-2),$AB44*MIN(-BC44/10%,1)+($AC44-$AB44)*MAX(0,MIN(-BC44/10%-1,1))+($AD44-$AC44)*MAX(0,-BC44/10%-2)),0),"")</f>
        <v/>
      </c>
      <c r="BG44" s="323" t="str">
        <f aca="false">IF($AH44,$BE44+IF(SkewFlag=1,IF(BD44&gt;0,$AA44*MIN(BD44/10%,1)+($Z44-$AA44)*MAX(0,MIN(BD44/10%-1,1))+($Y44-$Z44)*MAX(0,BD44/10%-2),$AB44*MIN(-BD44/10%,1)+($AC44-$AB44)*MAX(0,MIN(-BD44/10%-1,1))+($AD44-$AC44)*MAX(0,-BD44/10%-2)),0),"")</f>
        <v/>
      </c>
      <c r="BH44" s="324" t="n">
        <f aca="false">IF(AH44,xEURO(BB44,Strike1,AE44,AE44,BF44,O44,IF(OptControl=4,0,1),0),0)</f>
        <v>0</v>
      </c>
      <c r="BI44" s="324" t="n">
        <f aca="false">IF(AH44,xEURO(BB44,Strike1,AE44,AE44,BF44,O44,IF(OptControl=4,0,1),1),0)</f>
        <v>0</v>
      </c>
      <c r="BJ44" s="324" t="n">
        <f aca="false">IF(AH44,xEURO(BB44,Strike1,AE44,AE44,BF44,O44,IF(OptControl=4,0,1),2),0)</f>
        <v>0</v>
      </c>
      <c r="BK44" s="324" t="n">
        <f aca="false">IF(AH44,xEURO(BB44,Strike1,AE44,AE44,BF44,O44,IF(OptControl=4,0,1),3)/100,0)</f>
        <v>0</v>
      </c>
      <c r="BL44" s="324" t="n">
        <f aca="false">IF(AH44,xEURO(BB44,Strike1,AE44,AE44,BF44,O44-DaysForThetaCalculation,IF(OptControl=4,0,1),0)-xEURO(BB44,Strike1,AE44,AE44,BF44,O44,IF(OptControl=4,0,1),0),0)</f>
        <v>0</v>
      </c>
      <c r="BM44" s="324" t="n">
        <f aca="false">IF(AH44,xEURO(BB44,Strike2,AE44,AE44,BG44,O44,IF(OptControl=3,1,0),0),0)</f>
        <v>0</v>
      </c>
      <c r="BN44" s="324" t="n">
        <f aca="false">IF(AH44,xEURO(BB44,Strike2,AE44,AE44,BG44,O44,IF(OptControl=3,1,0),1),0)</f>
        <v>0</v>
      </c>
      <c r="BO44" s="324" t="n">
        <f aca="false">IF(AH44,xEURO(BB44,Strike2,AE44,AE44,BG44,O44,IF(OptControl=3,1,0),2),0)</f>
        <v>0</v>
      </c>
      <c r="BP44" s="324" t="n">
        <f aca="false">IF(AH44,xEURO(BB44,Strike2,AE44,AE44,BG44,O44,IF(OptControl=3,1,0),3)/100,0)</f>
        <v>0</v>
      </c>
      <c r="BQ44" s="327" t="n">
        <f aca="false">IF(AH44,xEURO(BB44,Strike2,AE44,AE44,BG44,O44-DaysForThetaCalculation,IF(OptControl=3,1,0),0)-xEURO(BB44,Strike2,AE44,AE44,BG44,O44,IF(OptControl=3,1,0),0),0)</f>
        <v>0</v>
      </c>
      <c r="BR44" s="343"/>
      <c r="BS44" s="314" t="n">
        <v>27.237</v>
      </c>
      <c r="BT44" s="329" t="n">
        <f aca="false">BS44*100/42</f>
        <v>64.85</v>
      </c>
      <c r="BU44" s="329" t="n">
        <f aca="false">BS45-$U44</f>
        <v>10.1207936507907</v>
      </c>
      <c r="BV44" s="224"/>
      <c r="BW44" s="329" t="n">
        <f aca="false">BW32+VLOOKUP(1900+$L44,ProductSpreadTable,2)</f>
        <v>14.9939565217392</v>
      </c>
      <c r="BX44" s="329" t="n">
        <f aca="false">($V43+BW43)*100/42</f>
        <v>85.1410533910501</v>
      </c>
      <c r="BY44" s="332" t="n">
        <f aca="false">BX45</f>
        <v>75.2932449308298</v>
      </c>
      <c r="BZ44" s="314" t="n">
        <v>24.86</v>
      </c>
      <c r="CA44" s="329" t="n">
        <f aca="false">BZ44*100/42</f>
        <v>59.1904761904762</v>
      </c>
      <c r="CB44" s="329" t="n">
        <f aca="false">BZ44-$U44</f>
        <v>8.23079365079069</v>
      </c>
      <c r="CC44" s="329" t="n">
        <f aca="false">CC32+VLOOKUP(1900+$L44,ProductSpreadTable,3)</f>
        <v>12.3689565217392</v>
      </c>
      <c r="CD44" s="329" t="n">
        <f aca="false">($V44+CC44)*100/42</f>
        <v>69.0432449308298</v>
      </c>
      <c r="CE44" s="333" t="n">
        <f aca="false">CD44-BY44</f>
        <v>-6.25</v>
      </c>
      <c r="CF44" s="314" t="n">
        <v>21.483</v>
      </c>
      <c r="CG44" s="329" t="n">
        <f aca="false">CF44*100/42</f>
        <v>51.15</v>
      </c>
      <c r="CH44" s="329" t="n">
        <f aca="false">CF45-$U44</f>
        <v>4.88279365079069</v>
      </c>
      <c r="CI44" s="224"/>
      <c r="CJ44" s="329" t="n">
        <f aca="false">CJ32+VLOOKUP(1900+$L44,ProductSpreadTable,4)</f>
        <v>7.45800000000003</v>
      </c>
      <c r="CK44" s="329" t="n">
        <f aca="false">($V43+CJ43)*100/42</f>
        <v>59.4637291280114</v>
      </c>
      <c r="CL44" s="329" t="n">
        <f aca="false">CK45</f>
        <v>57.3504913076413</v>
      </c>
      <c r="CM44" s="314" t="n">
        <v>20.693</v>
      </c>
      <c r="CN44" s="329" t="n">
        <f aca="false">CM44*100/42</f>
        <v>49.2690476190476</v>
      </c>
      <c r="CO44" s="329" t="n">
        <f aca="false">CM44-$U44</f>
        <v>4.06379365079069</v>
      </c>
      <c r="CP44" s="329" t="n">
        <f aca="false">CP32+VLOOKUP(1900+$L44,ProductSpreadTable,5)</f>
        <v>6.53400000000002</v>
      </c>
      <c r="CQ44" s="329" t="n">
        <f aca="false">($V44+CP44)*100/42</f>
        <v>55.1504913076413</v>
      </c>
      <c r="CR44" s="333" t="n">
        <f aca="false">CQ44-CL44</f>
        <v>-2.2</v>
      </c>
      <c r="CS44" s="314" t="n">
        <v>21.638</v>
      </c>
      <c r="CT44" s="329" t="n">
        <f aca="false">CS44*100/42</f>
        <v>51.5190476190476</v>
      </c>
      <c r="CU44" s="329" t="n">
        <f aca="false">CT44-CG45</f>
        <v>0.300000000000011</v>
      </c>
      <c r="CV44" s="329" t="n">
        <f aca="false">CV32+VLOOKUP(1900+$L44,ProductSpreadTable,6)</f>
        <v>0.899999999999994</v>
      </c>
      <c r="CW44" s="333" t="n">
        <f aca="false">CL44+CV44</f>
        <v>58.2504913076413</v>
      </c>
      <c r="CX44" s="318" t="n">
        <v>0.21</v>
      </c>
      <c r="CY44" s="326" t="n">
        <f aca="false">CX44-$W44</f>
        <v>-0.000205858314770074</v>
      </c>
      <c r="CZ44" s="326" t="n">
        <f aca="false">VLOOKUP(1900+$L44,ProductSpreadTable,7)</f>
        <v>-0.03</v>
      </c>
      <c r="DA44" s="365" t="n">
        <f aca="false">$W44+CZ44</f>
        <v>0.18020585831477</v>
      </c>
      <c r="DB44" s="318" t="n">
        <v>0.21</v>
      </c>
      <c r="DC44" s="326" t="n">
        <f aca="false">DB44-$W44</f>
        <v>-0.000205858314770074</v>
      </c>
      <c r="DD44" s="326" t="n">
        <f aca="false">VLOOKUP(1900+$L44,ProductSpreadTable,8)</f>
        <v>0.03</v>
      </c>
      <c r="DE44" s="365" t="n">
        <f aca="false">$W44+DD44</f>
        <v>0.24020585831477</v>
      </c>
      <c r="DG44" s="336"/>
      <c r="DH44" s="314" t="n">
        <v>16.757</v>
      </c>
      <c r="DI44" s="325" t="n">
        <f aca="false">DH44-$U44</f>
        <v>0.127793650790689</v>
      </c>
      <c r="DJ44" s="325" t="n">
        <f aca="false">VLOOKUP(1900+$L44,ResidSpreadTable,2)</f>
        <v>-2</v>
      </c>
      <c r="DK44" s="337" t="n">
        <f aca="false">$V44+DJ44</f>
        <v>14.6292063492093</v>
      </c>
      <c r="DL44" s="314" t="n">
        <v>14.207</v>
      </c>
      <c r="DM44" s="325" t="n">
        <f aca="false">DL44-$U44</f>
        <v>-2.42220634920931</v>
      </c>
      <c r="DN44" s="325" t="n">
        <f aca="false">VLOOKUP(1900+$L44,ResidSpreadTable,3)</f>
        <v>-3</v>
      </c>
      <c r="DO44" s="337" t="n">
        <f aca="false">$V44+DN44</f>
        <v>13.6292063492093</v>
      </c>
      <c r="DP44" s="314" t="n">
        <v>13.457</v>
      </c>
      <c r="DQ44" s="325" t="n">
        <f aca="false">DP44-$U44</f>
        <v>-3.17220634920931</v>
      </c>
      <c r="DR44" s="325" t="n">
        <f aca="false">VLOOKUP(1900+$L44,ResidSpreadTable,4)</f>
        <v>-6</v>
      </c>
      <c r="DS44" s="337" t="n">
        <f aca="false">$V44+DR44</f>
        <v>10.6292063492093</v>
      </c>
      <c r="DT44" s="314" t="n">
        <v>15.557</v>
      </c>
      <c r="DU44" s="325" t="n">
        <f aca="false">DT44-$U44</f>
        <v>-1.07220634920931</v>
      </c>
      <c r="DV44" s="325" t="n">
        <f aca="false">VLOOKUP(1900+$L44,ResidSpreadTable,5)</f>
        <v>-5</v>
      </c>
      <c r="DW44" s="337" t="n">
        <f aca="false">$V44+DV44</f>
        <v>11.6292063492093</v>
      </c>
      <c r="DY44" s="29" t="n">
        <v>2006</v>
      </c>
      <c r="DZ44" s="388" t="n">
        <v>-2</v>
      </c>
      <c r="EA44" s="388" t="n">
        <v>-3</v>
      </c>
      <c r="EB44" s="388" t="n">
        <v>-6</v>
      </c>
      <c r="EC44" s="368" t="n">
        <v>-5</v>
      </c>
      <c r="ED44" s="386"/>
      <c r="EE44" s="386"/>
      <c r="EF44" s="386"/>
    </row>
    <row r="45" customFormat="false" ht="12.75" hidden="false" customHeight="false" outlineLevel="0" collapsed="false">
      <c r="B45" s="371" t="n">
        <v>36923</v>
      </c>
      <c r="C45" s="372" t="n">
        <v>36913</v>
      </c>
      <c r="I45" s="338" t="n">
        <f aca="false">EOMONTH(I44,0)+1</f>
        <v>47119</v>
      </c>
      <c r="J45" s="307" t="n">
        <f aca="false">VLOOKUP(I45,$B$12:$C$332,2)</f>
        <v>45644</v>
      </c>
      <c r="K45" s="339" t="n">
        <f aca="false">NETWORKDAYS(I45,J46)/N45</f>
        <v>-45.8260869565217</v>
      </c>
      <c r="L45" s="309" t="n">
        <f aca="false">YEAR(I45)-1900</f>
        <v>129</v>
      </c>
      <c r="M45" s="310" t="n">
        <f aca="false">MONTH(I45)</f>
        <v>1</v>
      </c>
      <c r="N45" s="340" t="n">
        <f aca="false">NETWORKDAYS(I45,I46-1)</f>
        <v>23</v>
      </c>
      <c r="O45" s="341" t="n">
        <f aca="false">I45-DateToday-IF(EuroExpDateToggle=1,3+IF(WEEKDAY(I45-1)=7,1,IF(WEEKDAY(I45-1)&lt;5,2,0)),1+IF(WEEKDAY(I45-1)=7,1,IF(WEEKDAY(I45-1)&lt;3,2,0)))</f>
        <v>1188</v>
      </c>
      <c r="P45" s="342" t="n">
        <f aca="false">(I45-DateToday+1)/365.25</f>
        <v>3.26899383983573</v>
      </c>
      <c r="Q45" s="342" t="n">
        <f aca="false">(I46-DateToday)/365.25</f>
        <v>3.35112936344969</v>
      </c>
      <c r="R45" s="314" t="n">
        <v>19.4733333333333</v>
      </c>
      <c r="S45" s="347" t="n">
        <v>0</v>
      </c>
      <c r="T45" s="316" t="n">
        <f aca="false">R45+S45/100</f>
        <v>19.4733333333333</v>
      </c>
      <c r="U45" s="325" t="n">
        <f aca="false">R46*K45+R47*(1-K45)</f>
        <v>16.7631884057956</v>
      </c>
      <c r="V45" s="337" t="n">
        <f aca="false">T46*K45+T47*(1-K45)</f>
        <v>16.7631884057956</v>
      </c>
      <c r="W45" s="318" t="n">
        <v>0.209378734226895</v>
      </c>
      <c r="X45" s="319" t="str">
        <f aca="false">IF($I45-DateToday+1&gt;=$A$10,"",IF($I45-DateToday+1&lt;$A$5,1,MATCH($I45-DateToday+1,$A$5:$A$10)))</f>
        <v/>
      </c>
      <c r="Y45" s="348" t="n">
        <f aca="false">IF($X45="",Y44^2/Y43,INDEX(B$5:B$10,$X45)^((INDEX($A$5:$A$10,$X45+1)-($I45-DateToday+1))/(INDEX($A$5:$A$10,$X45+1)-INDEX($A$5:$A$10,$X45)))/INDEX(B$5:B$10,$X45+1)^((INDEX($A$5:$A$10,$X45)-($I45-DateToday+1))/(INDEX($A$5:$A$10,$X45+1)-INDEX($A$5:$A$10,$X45))))</f>
        <v>0.0065917318866529</v>
      </c>
      <c r="Z45" s="348" t="n">
        <f aca="false">IF($X45="",Z44^2/Z43,INDEX(C$5:C$10,$X45)^((INDEX($A$5:$A$10,$X45+1)-($I45-DateToday+1))/(INDEX($A$5:$A$10,$X45+1)-INDEX($A$5:$A$10,$X45)))/INDEX(C$5:C$10,$X45+1)^((INDEX($A$5:$A$10,$X45)-($I45-DateToday+1))/(INDEX($A$5:$A$10,$X45+1)-INDEX($A$5:$A$10,$X45))))</f>
        <v>0.00329180653248648</v>
      </c>
      <c r="AA45" s="348" t="n">
        <f aca="false">IF($X45="",AA44^2/AA43,INDEX(D$5:D$10,$X45)^((INDEX($A$5:$A$10,$X45+1)-($I45-DateToday+1))/(INDEX($A$5:$A$10,$X45+1)-INDEX($A$5:$A$10,$X45)))/INDEX(D$5:D$10,$X45+1)^((INDEX($A$5:$A$10,$X45)-($I45-DateToday+1))/(INDEX($A$5:$A$10,$X45+1)-INDEX($A$5:$A$10,$X45))))</f>
        <v>0.00141243225434153</v>
      </c>
      <c r="AB45" s="348" t="n">
        <f aca="false">IF($X45="",AB44^2/AB43,INDEX(E$5:E$10,$X45)^((INDEX($A$5:$A$10,$X45+1)-($I45-DateToday+1))/(INDEX($A$5:$A$10,$X45+1)-INDEX($A$5:$A$10,$X45)))/INDEX(E$5:E$10,$X45+1)^((INDEX($A$5:$A$10,$X45)-($I45-DateToday+1))/(INDEX($A$5:$A$10,$X45+1)-INDEX($A$5:$A$10,$X45))))</f>
        <v>0.00318192738258061</v>
      </c>
      <c r="AC45" s="348" t="n">
        <f aca="false">IF($X45="",AC44^2/AC43,INDEX(F$5:F$10,$X45)^((INDEX($A$5:$A$10,$X45+1)-($I45-DateToday+1))/(INDEX($A$5:$A$10,$X45+1)-INDEX($A$5:$A$10,$X45)))/INDEX(F$5:F$10,$X45+1)^((INDEX($A$5:$A$10,$X45)-($I45-DateToday+1))/(INDEX($A$5:$A$10,$X45+1)-INDEX($A$5:$A$10,$X45))))</f>
        <v>0.00741578175638555</v>
      </c>
      <c r="AD45" s="348" t="n">
        <f aca="false">IF($X45="",AD44^2/AD43,INDEX(G$5:G$10,$X45)^((INDEX($A$5:$A$10,$X45+1)-($I45-DateToday+1))/(INDEX($A$5:$A$10,$X45+1)-INDEX($A$5:$A$10,$X45)))/INDEX(G$5:G$10,$X45+1)^((INDEX($A$5:$A$10,$X45)-($I45-DateToday+1))/(INDEX($A$5:$A$10,$X45+1)-INDEX($A$5:$A$10,$X45))))</f>
        <v>0.0148498535942515</v>
      </c>
      <c r="AE45" s="321" t="n">
        <v>0.072151612330059</v>
      </c>
      <c r="AF45" s="316" t="n">
        <f aca="false">(1+AE45/2)^(-2*(I46-DateToday)/365.25)</f>
        <v>0.788573116729419</v>
      </c>
      <c r="AG45" s="316" t="n">
        <f aca="false">AG44*(1+IF(AND(M45=1,L45&gt;YearStart),Escalation,0))</f>
        <v>1</v>
      </c>
      <c r="AH45" s="322" t="n">
        <f aca="false">IF(OR(DateStart&gt;=I46,DateEnd&lt;I45),0,Volume*AG45)</f>
        <v>0</v>
      </c>
      <c r="AI45" s="322" t="n">
        <f aca="false">AH45*AF45</f>
        <v>0</v>
      </c>
      <c r="AJ45" s="322" t="n">
        <f aca="false">IF(OR(DateStart2&gt;=I46,DateEnd2&lt;I45),0,VolumeSwaption*AG45)</f>
        <v>0</v>
      </c>
      <c r="AK45" s="322" t="n">
        <f aca="false">AJ45*AF45</f>
        <v>0</v>
      </c>
      <c r="AL45" s="316" t="str">
        <f aca="true">IF(AH45,OFFSET(BY45,0,HorizontalPriceOffset)+PriceSpreadAsian,"")</f>
        <v/>
      </c>
      <c r="AM45" s="316" t="str">
        <f aca="false">IF(AH45,Strike1/AL45-1,"")</f>
        <v/>
      </c>
      <c r="AN45" s="316" t="str">
        <f aca="false">IF(AH45,Strike2/AL45-1,"")</f>
        <v/>
      </c>
      <c r="AO45" s="323" t="str">
        <f aca="false">IF(AH45,IF(VolOverrideAsian,VolOverrideAsian,IF(ProductGroup=1,IF(Product&lt;3,DA46,DE46),W46)+VolSpreadAsian),"")</f>
        <v/>
      </c>
      <c r="AP45" s="323" t="str">
        <f aca="false">IF($AH45,$AO45+IF(SkewFlag=1,IF(AM45&gt;0,$AA45*MIN(AM45/10%,1)+($Z45-$AA45)*MAX(0,MIN(AM45/10%-1,1))+($Y45-$Z45)*MAX(0,AM45/10%-2),$AB45*MIN(-AM45/10%,1)+($AC45-$AB45)*MAX(0,MIN(-AM45/10%-1,1))+($AD45-$AC45)*MAX(0,-AM45/10%-2)),0),"")</f>
        <v/>
      </c>
      <c r="AQ45" s="323" t="str">
        <f aca="false">IF($AH45,$AO45+IF(SkewFlag=1,IF(AN45&gt;0,$AA45*MIN(AN45/10%,1)+($Z45-$AA45)*MAX(0,MIN(AN45/10%-1,1))+($Y45-$Z45)*MAX(0,AN45/10%-2),$AB45*MIN(-AN45/10%,1)+($AC45-$AB45)*MAX(0,MIN(-AN45/10%-1,1))+($AD45-$AC45)*MAX(0,-AN45/10%-2)),0),"")</f>
        <v/>
      </c>
      <c r="AR45" s="324" t="n">
        <f aca="false">IF(AH45,xASN(AL45,Strike1,AE45,AP45,0,N45,0,P45,Q45,IF(OptControl=4,0,1),0),0)</f>
        <v>0</v>
      </c>
      <c r="AS45" s="324" t="n">
        <f aca="false">IF(AH45,xASN(AL45,Strike1,AE45,AP45,0,N45,0,P45,Q45,IF(OptControl=4,0,1),1),0)</f>
        <v>0</v>
      </c>
      <c r="AT45" s="324" t="n">
        <f aca="false">IF(AH45,xASN(AL45,Strike1,AE45,AP45,0,N45,0,P45,Q45,IF(OptControl=4,0,1),2),0)</f>
        <v>0</v>
      </c>
      <c r="AU45" s="324" t="n">
        <f aca="false">IF(AH45,xASN(AL45,Strike1,AE45,AP45,0,N45,0,P45,Q45,IF(OptControl=4,0,1),3)/100,0)</f>
        <v>0</v>
      </c>
      <c r="AV45" s="324" t="n">
        <f aca="false">IF(AH45,xASN(AL45,Strike1,AE45,AP45,0,N45,0,P45-DaysForThetaCalculation/365.25,Q45-DaysForThetaCalculation/365.25,IF(OptControl=4,0,1),0)-xASN(AL45,Strike1,AE45,AP45,0,N45,0,P45,Q45,IF(OptControl=4,0,1),0),0)</f>
        <v>0</v>
      </c>
      <c r="AW45" s="324" t="n">
        <f aca="false">IF(AH45,xASN(AL45,Strike2,AE45,AQ45,0,N45,0,P45,Q45,IF(OptControl=3,1,0),0),0)</f>
        <v>0</v>
      </c>
      <c r="AX45" s="324" t="n">
        <f aca="false">IF(AH45,xASN(AL45,Strike2,AE45,AQ45,0,N45,0,P45,Q45,IF(OptControl=3,1,0),1),0)</f>
        <v>0</v>
      </c>
      <c r="AY45" s="324" t="n">
        <f aca="false">IF(AH45,xASN(AL45,Strike2,AE45,AQ45,0,N45,0,P45,Q45,IF(OptControl=3,1,0),2),0)</f>
        <v>0</v>
      </c>
      <c r="AZ45" s="324" t="n">
        <f aca="false">IF(AH45,xASN(AL45,Strike2,AE45,AQ45,0,N45,0,P45,Q45,IF(OptControl=3,1,0),3)/100,0)</f>
        <v>0</v>
      </c>
      <c r="BA45" s="324" t="n">
        <f aca="false">IF(AH45,xASN(AL45,Strike2,AE45,AQ45,0,N45,0,P45-DaysForThetaCalculation/365.25,Q45-DaysForThetaCalculation/365.25,IF(OptControl=3,1,0),0)-xASN(AL45,Strike2,AE45,AQ45,0,N45,0,P45,Q45,IF(OptControl=3,1,0),0),0)</f>
        <v>0</v>
      </c>
      <c r="BB45" s="325" t="str">
        <f aca="false">IF(AH45,IF(ProductGroup=1,IF(Product=1,BX45+PriceSpreadEuro,IF(Product=3,CK45+PriceSpreadEuro,"N/A")),"N/A"),"")</f>
        <v/>
      </c>
      <c r="BC45" s="316" t="str">
        <f aca="false">IF(AH45,Strike1/BB45-1,"")</f>
        <v/>
      </c>
      <c r="BD45" s="316" t="str">
        <f aca="false">IF(AH45,Strike2/BB45-1,"")</f>
        <v/>
      </c>
      <c r="BE45" s="326" t="str">
        <f aca="false">IF(AH45,IF(VolOverrideEuro,VolOverrideEuro,IF(ProductGroup=1,IF(Product&lt;3,DA45,DE45)+VolSpreadEuro,"N/A")),"")</f>
        <v/>
      </c>
      <c r="BF45" s="323" t="str">
        <f aca="false">IF($AH45,$BE45+IF(SkewFlag=1,IF(BC45&gt;0,$AA45*MIN(BC45/10%,1)+($Z45-$AA45)*MAX(0,MIN(BC45/10%-1,1))+($Y45-$Z45)*MAX(0,BC45/10%-2),$AB45*MIN(-BC45/10%,1)+($AC45-$AB45)*MAX(0,MIN(-BC45/10%-1,1))+($AD45-$AC45)*MAX(0,-BC45/10%-2)),0),"")</f>
        <v/>
      </c>
      <c r="BG45" s="323" t="str">
        <f aca="false">IF($AH45,$BE45+IF(SkewFlag=1,IF(BD45&gt;0,$AA45*MIN(BD45/10%,1)+($Z45-$AA45)*MAX(0,MIN(BD45/10%-1,1))+($Y45-$Z45)*MAX(0,BD45/10%-2),$AB45*MIN(-BD45/10%,1)+($AC45-$AB45)*MAX(0,MIN(-BD45/10%-1,1))+($AD45-$AC45)*MAX(0,-BD45/10%-2)),0),"")</f>
        <v/>
      </c>
      <c r="BH45" s="324" t="n">
        <f aca="false">IF(AH45,xEURO(BB45,Strike1,AE45,AE45,BF45,O45,IF(OptControl=4,0,1),0),0)</f>
        <v>0</v>
      </c>
      <c r="BI45" s="324" t="n">
        <f aca="false">IF(AH45,xEURO(BB45,Strike1,AE45,AE45,BF45,O45,IF(OptControl=4,0,1),1),0)</f>
        <v>0</v>
      </c>
      <c r="BJ45" s="324" t="n">
        <f aca="false">IF(AH45,xEURO(BB45,Strike1,AE45,AE45,BF45,O45,IF(OptControl=4,0,1),2),0)</f>
        <v>0</v>
      </c>
      <c r="BK45" s="324" t="n">
        <f aca="false">IF(AH45,xEURO(BB45,Strike1,AE45,AE45,BF45,O45,IF(OptControl=4,0,1),3)/100,0)</f>
        <v>0</v>
      </c>
      <c r="BL45" s="324" t="n">
        <f aca="false">IF(AH45,xEURO(BB45,Strike1,AE45,AE45,BF45,O45-DaysForThetaCalculation,IF(OptControl=4,0,1),0)-xEURO(BB45,Strike1,AE45,AE45,BF45,O45,IF(OptControl=4,0,1),0),0)</f>
        <v>0</v>
      </c>
      <c r="BM45" s="324" t="n">
        <f aca="false">IF(AH45,xEURO(BB45,Strike2,AE45,AE45,BG45,O45,IF(OptControl=3,1,0),0),0)</f>
        <v>0</v>
      </c>
      <c r="BN45" s="324" t="n">
        <f aca="false">IF(AH45,xEURO(BB45,Strike2,AE45,AE45,BG45,O45,IF(OptControl=3,1,0),1),0)</f>
        <v>0</v>
      </c>
      <c r="BO45" s="324" t="n">
        <f aca="false">IF(AH45,xEURO(BB45,Strike2,AE45,AE45,BG45,O45,IF(OptControl=3,1,0),2),0)</f>
        <v>0</v>
      </c>
      <c r="BP45" s="324" t="n">
        <f aca="false">IF(AH45,xEURO(BB45,Strike2,AE45,AE45,BG45,O45,IF(OptControl=3,1,0),3)/100,0)</f>
        <v>0</v>
      </c>
      <c r="BQ45" s="327" t="n">
        <f aca="false">IF(AH45,xEURO(BB45,Strike2,AE45,AE45,BG45,O45-DaysForThetaCalculation,IF(OptControl=3,1,0),0)-xEURO(BB45,Strike2,AE45,AE45,BG45,O45,IF(OptControl=3,1,0),0),0)</f>
        <v>0</v>
      </c>
      <c r="BR45" s="343"/>
      <c r="BS45" s="314" t="n">
        <v>26.75</v>
      </c>
      <c r="BT45" s="329" t="n">
        <f aca="false">BS45*100/42</f>
        <v>63.6904761904762</v>
      </c>
      <c r="BU45" s="329" t="n">
        <f aca="false">BS46-$U45</f>
        <v>9.39481159420437</v>
      </c>
      <c r="BV45" s="224"/>
      <c r="BW45" s="329" t="n">
        <f aca="false">BW33+VLOOKUP(1900+$L45,ProductSpreadTable,2)</f>
        <v>14.4192727272728</v>
      </c>
      <c r="BX45" s="329" t="n">
        <f aca="false">($V44+BW44)*100/42</f>
        <v>75.2932449308298</v>
      </c>
      <c r="BY45" s="332" t="n">
        <f aca="false">BX46</f>
        <v>74.2439550787343</v>
      </c>
      <c r="BZ45" s="314" t="n">
        <v>24.268</v>
      </c>
      <c r="CA45" s="329" t="n">
        <f aca="false">BZ45*100/42</f>
        <v>57.7809523809524</v>
      </c>
      <c r="CB45" s="329" t="n">
        <f aca="false">BZ45-$U45</f>
        <v>7.50481159420437</v>
      </c>
      <c r="CC45" s="329" t="n">
        <f aca="false">CC33+VLOOKUP(1900+$L45,ProductSpreadTable,3)</f>
        <v>12.0042727272728</v>
      </c>
      <c r="CD45" s="329" t="n">
        <f aca="false">($V45+CC45)*100/42</f>
        <v>68.4939550787343</v>
      </c>
      <c r="CE45" s="333" t="n">
        <f aca="false">CD45-BY45</f>
        <v>-5.75000000000001</v>
      </c>
      <c r="CF45" s="314" t="n">
        <v>21.512</v>
      </c>
      <c r="CG45" s="329" t="n">
        <f aca="false">CF45*100/42</f>
        <v>51.2190476190476</v>
      </c>
      <c r="CH45" s="329" t="n">
        <f aca="false">CF46-$U45</f>
        <v>5.01381159420437</v>
      </c>
      <c r="CI45" s="224"/>
      <c r="CJ45" s="329" t="n">
        <f aca="false">CJ33+VLOOKUP(1900+$L45,ProductSpreadTable,4)</f>
        <v>8.00299999999997</v>
      </c>
      <c r="CK45" s="329" t="n">
        <f aca="false">($V44+CJ44)*100/42</f>
        <v>57.3504913076413</v>
      </c>
      <c r="CL45" s="329" t="n">
        <f aca="false">CK46</f>
        <v>58.9671152518943</v>
      </c>
      <c r="CM45" s="314" t="n">
        <v>20.853</v>
      </c>
      <c r="CN45" s="329" t="n">
        <f aca="false">CM45*100/42</f>
        <v>49.65</v>
      </c>
      <c r="CO45" s="329" t="n">
        <f aca="false">CM45-$U45</f>
        <v>4.08981159420437</v>
      </c>
      <c r="CP45" s="329" t="n">
        <f aca="false">CP33+VLOOKUP(1900+$L45,ProductSpreadTable,5)</f>
        <v>7.07899999999997</v>
      </c>
      <c r="CQ45" s="329" t="n">
        <f aca="false">($V45+CP45)*100/42</f>
        <v>56.7671152518943</v>
      </c>
      <c r="CR45" s="333" t="n">
        <f aca="false">CQ45-CL45</f>
        <v>-2.20000000000002</v>
      </c>
      <c r="CS45" s="314" t="n">
        <v>21.903</v>
      </c>
      <c r="CT45" s="329" t="n">
        <f aca="false">CS45*100/42</f>
        <v>52.15</v>
      </c>
      <c r="CU45" s="329" t="n">
        <f aca="false">CT45-CG46</f>
        <v>0.300000000000011</v>
      </c>
      <c r="CV45" s="329" t="n">
        <f aca="false">CV33+VLOOKUP(1900+$L45,ProductSpreadTable,6)</f>
        <v>0.899999999999994</v>
      </c>
      <c r="CW45" s="333" t="n">
        <f aca="false">CL45+CV45</f>
        <v>59.8671152518943</v>
      </c>
      <c r="CX45" s="318" t="n">
        <v>0.209</v>
      </c>
      <c r="CY45" s="326" t="n">
        <f aca="false">CX45-$W45</f>
        <v>-0.000378734226895022</v>
      </c>
      <c r="CZ45" s="326" t="n">
        <f aca="false">VLOOKUP(1900+$L45,ProductSpreadTable,7)</f>
        <v>-0.03</v>
      </c>
      <c r="DA45" s="365" t="n">
        <f aca="false">$W45+CZ45</f>
        <v>0.179378734226895</v>
      </c>
      <c r="DB45" s="318" t="n">
        <v>0.209</v>
      </c>
      <c r="DC45" s="326" t="n">
        <f aca="false">DB45-$W45</f>
        <v>-0.000378734226895022</v>
      </c>
      <c r="DD45" s="326" t="n">
        <f aca="false">VLOOKUP(1900+$L45,ProductSpreadTable,8)</f>
        <v>0.03</v>
      </c>
      <c r="DE45" s="365" t="n">
        <f aca="false">$W45+DD45</f>
        <v>0.239378734226895</v>
      </c>
      <c r="DG45" s="336"/>
      <c r="DH45" s="314" t="n">
        <v>16.693</v>
      </c>
      <c r="DI45" s="325" t="n">
        <f aca="false">DH45-$U45</f>
        <v>-0.0701884057956299</v>
      </c>
      <c r="DJ45" s="325" t="n">
        <f aca="false">VLOOKUP(1900+$L45,ResidSpreadTable,2)</f>
        <v>-2</v>
      </c>
      <c r="DK45" s="337" t="n">
        <f aca="false">$V45+DJ45</f>
        <v>14.7631884057956</v>
      </c>
      <c r="DL45" s="314" t="n">
        <v>14.143</v>
      </c>
      <c r="DM45" s="325" t="n">
        <f aca="false">DL45-$U45</f>
        <v>-2.62018840579563</v>
      </c>
      <c r="DN45" s="325" t="n">
        <f aca="false">VLOOKUP(1900+$L45,ResidSpreadTable,3)</f>
        <v>-3</v>
      </c>
      <c r="DO45" s="337" t="n">
        <f aca="false">$V45+DN45</f>
        <v>13.7631884057956</v>
      </c>
      <c r="DP45" s="314" t="n">
        <v>13.393</v>
      </c>
      <c r="DQ45" s="325" t="n">
        <f aca="false">DP45-$U45</f>
        <v>-3.37018840579563</v>
      </c>
      <c r="DR45" s="325" t="n">
        <f aca="false">VLOOKUP(1900+$L45,ResidSpreadTable,4)</f>
        <v>-6</v>
      </c>
      <c r="DS45" s="337" t="n">
        <f aca="false">$V45+DR45</f>
        <v>10.7631884057956</v>
      </c>
      <c r="DT45" s="314" t="n">
        <v>15.643</v>
      </c>
      <c r="DU45" s="325" t="n">
        <f aca="false">DT45-$U45</f>
        <v>-1.12018840579563</v>
      </c>
      <c r="DV45" s="325" t="n">
        <f aca="false">VLOOKUP(1900+$L45,ResidSpreadTable,5)</f>
        <v>-5</v>
      </c>
      <c r="DW45" s="337" t="n">
        <f aca="false">$V45+DV45</f>
        <v>11.7631884057956</v>
      </c>
      <c r="DY45" s="29" t="n">
        <v>2007</v>
      </c>
      <c r="DZ45" s="388" t="n">
        <v>-2</v>
      </c>
      <c r="EA45" s="388" t="n">
        <v>-3</v>
      </c>
      <c r="EB45" s="388" t="n">
        <v>-6</v>
      </c>
      <c r="EC45" s="368" t="n">
        <v>-5</v>
      </c>
      <c r="ED45" s="386"/>
      <c r="EE45" s="386"/>
      <c r="EF45" s="386"/>
    </row>
    <row r="46" customFormat="false" ht="12.75" hidden="false" customHeight="false" outlineLevel="0" collapsed="false">
      <c r="B46" s="371" t="n">
        <v>36951</v>
      </c>
      <c r="C46" s="372" t="n">
        <v>36942</v>
      </c>
      <c r="I46" s="338" t="n">
        <f aca="false">EOMONTH(I45,0)+1</f>
        <v>47150</v>
      </c>
      <c r="J46" s="307" t="n">
        <f aca="false">VLOOKUP(I46,$B$12:$C$332,2)</f>
        <v>45644</v>
      </c>
      <c r="K46" s="339" t="n">
        <f aca="false">NETWORKDAYS(I46,J47)/N46</f>
        <v>-53.85</v>
      </c>
      <c r="L46" s="309" t="n">
        <f aca="false">YEAR(I46)-1900</f>
        <v>129</v>
      </c>
      <c r="M46" s="310" t="n">
        <f aca="false">MONTH(I46)</f>
        <v>2</v>
      </c>
      <c r="N46" s="340" t="n">
        <f aca="false">NETWORKDAYS(I46,I47-1)</f>
        <v>20</v>
      </c>
      <c r="O46" s="341" t="n">
        <f aca="false">I46-DateToday-IF(EuroExpDateToggle=1,3+IF(WEEKDAY(I46-1)=7,1,IF(WEEKDAY(I46-1)&lt;5,2,0)),1+IF(WEEKDAY(I46-1)=7,1,IF(WEEKDAY(I46-1)&lt;3,2,0)))</f>
        <v>1219</v>
      </c>
      <c r="P46" s="342" t="n">
        <f aca="false">(I46-DateToday+1)/365.25</f>
        <v>3.35386721423682</v>
      </c>
      <c r="Q46" s="342" t="n">
        <f aca="false">(I47-DateToday)/365.25</f>
        <v>3.42778918548939</v>
      </c>
      <c r="R46" s="314" t="n">
        <v>19.4166666666667</v>
      </c>
      <c r="S46" s="347" t="n">
        <v>0</v>
      </c>
      <c r="T46" s="316" t="n">
        <f aca="false">R46+S46/100</f>
        <v>19.4166666666667</v>
      </c>
      <c r="U46" s="325" t="n">
        <f aca="false">R47*K46+R48*(1-K46)</f>
        <v>16.2518333333317</v>
      </c>
      <c r="V46" s="337" t="n">
        <f aca="false">T47*K46+T48*(1-K46)</f>
        <v>16.2518333333317</v>
      </c>
      <c r="W46" s="318" t="n">
        <v>0.208793691276448</v>
      </c>
      <c r="X46" s="319" t="str">
        <f aca="false">IF($I46-DateToday+1&gt;=$A$10,"",IF($I46-DateToday+1&lt;$A$5,1,MATCH($I46-DateToday+1,$A$5:$A$10)))</f>
        <v/>
      </c>
      <c r="Y46" s="348" t="n">
        <f aca="false">IF($X46="",Y45^2/Y44,INDEX(B$5:B$10,$X46)^((INDEX($A$5:$A$10,$X46+1)-($I46-DateToday+1))/(INDEX($A$5:$A$10,$X46+1)-INDEX($A$5:$A$10,$X46)))/INDEX(B$5:B$10,$X46+1)^((INDEX($A$5:$A$10,$X46)-($I46-DateToday+1))/(INDEX($A$5:$A$10,$X46+1)-INDEX($A$5:$A$10,$X46))))</f>
        <v>0.00645061293250448</v>
      </c>
      <c r="Z46" s="348" t="n">
        <f aca="false">IF($X46="",Z45^2/Z44,INDEX(C$5:C$10,$X46)^((INDEX($A$5:$A$10,$X46+1)-($I46-DateToday+1))/(INDEX($A$5:$A$10,$X46+1)-INDEX($A$5:$A$10,$X46)))/INDEX(C$5:C$10,$X46+1)^((INDEX($A$5:$A$10,$X46)-($I46-DateToday+1))/(INDEX($A$5:$A$10,$X46+1)-INDEX($A$5:$A$10,$X46))))</f>
        <v>0.00320408677187354</v>
      </c>
      <c r="AA46" s="348" t="n">
        <f aca="false">IF($X46="",AA45^2/AA44,INDEX(D$5:D$10,$X46)^((INDEX($A$5:$A$10,$X46+1)-($I46-DateToday+1))/(INDEX($A$5:$A$10,$X46+1)-INDEX($A$5:$A$10,$X46)))/INDEX(D$5:D$10,$X46+1)^((INDEX($A$5:$A$10,$X46)-($I46-DateToday+1))/(INDEX($A$5:$A$10,$X46+1)-INDEX($A$5:$A$10,$X46))))</f>
        <v>0.00137110724840649</v>
      </c>
      <c r="AB46" s="348" t="n">
        <f aca="false">IF($X46="",AB45^2/AB44,INDEX(E$5:E$10,$X46)^((INDEX($A$5:$A$10,$X46+1)-($I46-DateToday+1))/(INDEX($A$5:$A$10,$X46+1)-INDEX($A$5:$A$10,$X46)))/INDEX(E$5:E$10,$X46+1)^((INDEX($A$5:$A$10,$X46)-($I46-DateToday+1))/(INDEX($A$5:$A$10,$X46+1)-INDEX($A$5:$A$10,$X46))))</f>
        <v>0.00308883040921016</v>
      </c>
      <c r="AC46" s="348" t="n">
        <f aca="false">IF($X46="",AC45^2/AC44,INDEX(F$5:F$10,$X46)^((INDEX($A$5:$A$10,$X46+1)-($I46-DateToday+1))/(INDEX($A$5:$A$10,$X46+1)-INDEX($A$5:$A$10,$X46)))/INDEX(F$5:F$10,$X46+1)^((INDEX($A$5:$A$10,$X46)-($I46-DateToday+1))/(INDEX($A$5:$A$10,$X46+1)-INDEX($A$5:$A$10,$X46))))</f>
        <v>0.00721816667967672</v>
      </c>
      <c r="AD46" s="348" t="n">
        <f aca="false">IF($X46="",AD45^2/AD44,INDEX(G$5:G$10,$X46)^((INDEX($A$5:$A$10,$X46+1)-($I46-DateToday+1))/(INDEX($A$5:$A$10,$X46+1)-INDEX($A$5:$A$10,$X46)))/INDEX(G$5:G$10,$X46+1)^((INDEX($A$5:$A$10,$X46)-($I46-DateToday+1))/(INDEX($A$5:$A$10,$X46+1)-INDEX($A$5:$A$10,$X46))))</f>
        <v>0.014531940814346</v>
      </c>
      <c r="AE46" s="321" t="n">
        <v>0.072198071014656</v>
      </c>
      <c r="AF46" s="316" t="n">
        <f aca="false">(1+AE46/2)^(-2*(I47-DateToday)/365.25)</f>
        <v>0.784179329651844</v>
      </c>
      <c r="AG46" s="316" t="n">
        <f aca="false">AG45*(1+IF(AND(M46=1,L46&gt;YearStart),Escalation,0))</f>
        <v>1</v>
      </c>
      <c r="AH46" s="322" t="n">
        <f aca="false">IF(OR(DateStart&gt;=I47,DateEnd&lt;I46),0,Volume*AG46)</f>
        <v>0</v>
      </c>
      <c r="AI46" s="322" t="n">
        <f aca="false">AH46*AF46</f>
        <v>0</v>
      </c>
      <c r="AJ46" s="322" t="n">
        <f aca="false">IF(OR(DateStart2&gt;=I47,DateEnd2&lt;I46),0,VolumeSwaption*AG46)</f>
        <v>0</v>
      </c>
      <c r="AK46" s="322" t="n">
        <f aca="false">AJ46*AF46</f>
        <v>0</v>
      </c>
      <c r="AL46" s="316" t="str">
        <f aca="true">IF(AH46,OFFSET(BY46,0,HorizontalPriceOffset)+PriceSpreadAsian,"")</f>
        <v/>
      </c>
      <c r="AM46" s="316" t="str">
        <f aca="false">IF(AH46,Strike1/AL46-1,"")</f>
        <v/>
      </c>
      <c r="AN46" s="316" t="str">
        <f aca="false">IF(AH46,Strike2/AL46-1,"")</f>
        <v/>
      </c>
      <c r="AO46" s="323" t="str">
        <f aca="false">IF(AH46,IF(VolOverrideAsian,VolOverrideAsian,IF(ProductGroup=1,IF(Product&lt;3,DA47,DE47),W47)+VolSpreadAsian),"")</f>
        <v/>
      </c>
      <c r="AP46" s="323" t="str">
        <f aca="false">IF($AH46,$AO46+IF(SkewFlag=1,IF(AM46&gt;0,$AA46*MIN(AM46/10%,1)+($Z46-$AA46)*MAX(0,MIN(AM46/10%-1,1))+($Y46-$Z46)*MAX(0,AM46/10%-2),$AB46*MIN(-AM46/10%,1)+($AC46-$AB46)*MAX(0,MIN(-AM46/10%-1,1))+($AD46-$AC46)*MAX(0,-AM46/10%-2)),0),"")</f>
        <v/>
      </c>
      <c r="AQ46" s="323" t="str">
        <f aca="false">IF($AH46,$AO46+IF(SkewFlag=1,IF(AN46&gt;0,$AA46*MIN(AN46/10%,1)+($Z46-$AA46)*MAX(0,MIN(AN46/10%-1,1))+($Y46-$Z46)*MAX(0,AN46/10%-2),$AB46*MIN(-AN46/10%,1)+($AC46-$AB46)*MAX(0,MIN(-AN46/10%-1,1))+($AD46-$AC46)*MAX(0,-AN46/10%-2)),0),"")</f>
        <v/>
      </c>
      <c r="AR46" s="324" t="n">
        <f aca="false">IF(AH46,xASN(AL46,Strike1,AE46,AP46,0,N46,0,P46,Q46,IF(OptControl=4,0,1),0),0)</f>
        <v>0</v>
      </c>
      <c r="AS46" s="324" t="n">
        <f aca="false">IF(AH46,xASN(AL46,Strike1,AE46,AP46,0,N46,0,P46,Q46,IF(OptControl=4,0,1),1),0)</f>
        <v>0</v>
      </c>
      <c r="AT46" s="324" t="n">
        <f aca="false">IF(AH46,xASN(AL46,Strike1,AE46,AP46,0,N46,0,P46,Q46,IF(OptControl=4,0,1),2),0)</f>
        <v>0</v>
      </c>
      <c r="AU46" s="324" t="n">
        <f aca="false">IF(AH46,xASN(AL46,Strike1,AE46,AP46,0,N46,0,P46,Q46,IF(OptControl=4,0,1),3)/100,0)</f>
        <v>0</v>
      </c>
      <c r="AV46" s="324" t="n">
        <f aca="false">IF(AH46,xASN(AL46,Strike1,AE46,AP46,0,N46,0,P46-DaysForThetaCalculation/365.25,Q46-DaysForThetaCalculation/365.25,IF(OptControl=4,0,1),0)-xASN(AL46,Strike1,AE46,AP46,0,N46,0,P46,Q46,IF(OptControl=4,0,1),0),0)</f>
        <v>0</v>
      </c>
      <c r="AW46" s="324" t="n">
        <f aca="false">IF(AH46,xASN(AL46,Strike2,AE46,AQ46,0,N46,0,P46,Q46,IF(OptControl=3,1,0),0),0)</f>
        <v>0</v>
      </c>
      <c r="AX46" s="324" t="n">
        <f aca="false">IF(AH46,xASN(AL46,Strike2,AE46,AQ46,0,N46,0,P46,Q46,IF(OptControl=3,1,0),1),0)</f>
        <v>0</v>
      </c>
      <c r="AY46" s="324" t="n">
        <f aca="false">IF(AH46,xASN(AL46,Strike2,AE46,AQ46,0,N46,0,P46,Q46,IF(OptControl=3,1,0),2),0)</f>
        <v>0</v>
      </c>
      <c r="AZ46" s="324" t="n">
        <f aca="false">IF(AH46,xASN(AL46,Strike2,AE46,AQ46,0,N46,0,P46,Q46,IF(OptControl=3,1,0),3)/100,0)</f>
        <v>0</v>
      </c>
      <c r="BA46" s="324" t="n">
        <f aca="false">IF(AH46,xASN(AL46,Strike2,AE46,AQ46,0,N46,0,P46-DaysForThetaCalculation/365.25,Q46-DaysForThetaCalculation/365.25,IF(OptControl=3,1,0),0)-xASN(AL46,Strike2,AE46,AQ46,0,N46,0,P46,Q46,IF(OptControl=3,1,0),0),0)</f>
        <v>0</v>
      </c>
      <c r="BB46" s="325" t="str">
        <f aca="false">IF(AH46,IF(ProductGroup=1,IF(Product=1,BX46+PriceSpreadEuro,IF(Product=3,CK46+PriceSpreadEuro,"N/A")),"N/A"),"")</f>
        <v/>
      </c>
      <c r="BC46" s="316" t="str">
        <f aca="false">IF(AH46,Strike1/BB46-1,"")</f>
        <v/>
      </c>
      <c r="BD46" s="316" t="str">
        <f aca="false">IF(AH46,Strike2/BB46-1,"")</f>
        <v/>
      </c>
      <c r="BE46" s="326" t="str">
        <f aca="false">IF(AH46,IF(VolOverrideEuro,VolOverrideEuro,IF(ProductGroup=1,IF(Product&lt;3,DA46,DE46)+VolSpreadEuro,"N/A")),"")</f>
        <v/>
      </c>
      <c r="BF46" s="323" t="str">
        <f aca="false">IF($AH46,$BE46+IF(SkewFlag=1,IF(BC46&gt;0,$AA46*MIN(BC46/10%,1)+($Z46-$AA46)*MAX(0,MIN(BC46/10%-1,1))+($Y46-$Z46)*MAX(0,BC46/10%-2),$AB46*MIN(-BC46/10%,1)+($AC46-$AB46)*MAX(0,MIN(-BC46/10%-1,1))+($AD46-$AC46)*MAX(0,-BC46/10%-2)),0),"")</f>
        <v/>
      </c>
      <c r="BG46" s="323" t="str">
        <f aca="false">IF($AH46,$BE46+IF(SkewFlag=1,IF(BD46&gt;0,$AA46*MIN(BD46/10%,1)+($Z46-$AA46)*MAX(0,MIN(BD46/10%-1,1))+($Y46-$Z46)*MAX(0,BD46/10%-2),$AB46*MIN(-BD46/10%,1)+($AC46-$AB46)*MAX(0,MIN(-BD46/10%-1,1))+($AD46-$AC46)*MAX(0,-BD46/10%-2)),0),"")</f>
        <v/>
      </c>
      <c r="BH46" s="324" t="n">
        <f aca="false">IF(AH46,xEURO(BB46,Strike1,AE46,AE46,BF46,O46,IF(OptControl=4,0,1),0),0)</f>
        <v>0</v>
      </c>
      <c r="BI46" s="324" t="n">
        <f aca="false">IF(AH46,xEURO(BB46,Strike1,AE46,AE46,BF46,O46,IF(OptControl=4,0,1),1),0)</f>
        <v>0</v>
      </c>
      <c r="BJ46" s="324" t="n">
        <f aca="false">IF(AH46,xEURO(BB46,Strike1,AE46,AE46,BF46,O46,IF(OptControl=4,0,1),2),0)</f>
        <v>0</v>
      </c>
      <c r="BK46" s="324" t="n">
        <f aca="false">IF(AH46,xEURO(BB46,Strike1,AE46,AE46,BF46,O46,IF(OptControl=4,0,1),3)/100,0)</f>
        <v>0</v>
      </c>
      <c r="BL46" s="324" t="n">
        <f aca="false">IF(AH46,xEURO(BB46,Strike1,AE46,AE46,BF46,O46-DaysForThetaCalculation,IF(OptControl=4,0,1),0)-xEURO(BB46,Strike1,AE46,AE46,BF46,O46,IF(OptControl=4,0,1),0),0)</f>
        <v>0</v>
      </c>
      <c r="BM46" s="324" t="n">
        <f aca="false">IF(AH46,xEURO(BB46,Strike2,AE46,AE46,BG46,O46,IF(OptControl=3,1,0),0),0)</f>
        <v>0</v>
      </c>
      <c r="BN46" s="324" t="n">
        <f aca="false">IF(AH46,xEURO(BB46,Strike2,AE46,AE46,BG46,O46,IF(OptControl=3,1,0),1),0)</f>
        <v>0</v>
      </c>
      <c r="BO46" s="324" t="n">
        <f aca="false">IF(AH46,xEURO(BB46,Strike2,AE46,AE46,BG46,O46,IF(OptControl=3,1,0),2),0)</f>
        <v>0</v>
      </c>
      <c r="BP46" s="324" t="n">
        <f aca="false">IF(AH46,xEURO(BB46,Strike2,AE46,AE46,BG46,O46,IF(OptControl=3,1,0),3)/100,0)</f>
        <v>0</v>
      </c>
      <c r="BQ46" s="327" t="n">
        <f aca="false">IF(AH46,xEURO(BB46,Strike2,AE46,AE46,BG46,O46-DaysForThetaCalculation,IF(OptControl=3,1,0),0)-xEURO(BB46,Strike2,AE46,AE46,BG46,O46,IF(OptControl=3,1,0),0),0)</f>
        <v>0</v>
      </c>
      <c r="BR46" s="343"/>
      <c r="BS46" s="314" t="n">
        <v>26.158</v>
      </c>
      <c r="BT46" s="329" t="n">
        <f aca="false">BS46*100/42</f>
        <v>62.2809523809524</v>
      </c>
      <c r="BU46" s="329" t="n">
        <f aca="false">BS47-$U46</f>
        <v>9.30116666666834</v>
      </c>
      <c r="BV46" s="224"/>
      <c r="BW46" s="329" t="n">
        <f aca="false">BW34+VLOOKUP(1900+$L46,ProductSpreadTable,2)</f>
        <v>14.439</v>
      </c>
      <c r="BX46" s="329" t="n">
        <f aca="false">($V45+BW45)*100/42</f>
        <v>74.2439550787343</v>
      </c>
      <c r="BY46" s="332" t="n">
        <f aca="false">BX47</f>
        <v>73.0734126984087</v>
      </c>
      <c r="BZ46" s="314" t="n">
        <v>23.663</v>
      </c>
      <c r="CA46" s="329" t="n">
        <f aca="false">BZ46*100/42</f>
        <v>56.3404761904762</v>
      </c>
      <c r="CB46" s="329" t="n">
        <f aca="false">BZ46-$U46</f>
        <v>7.41116666666834</v>
      </c>
      <c r="CC46" s="329" t="n">
        <f aca="false">CC34+VLOOKUP(1900+$L46,ProductSpreadTable,3)</f>
        <v>12.024</v>
      </c>
      <c r="CD46" s="329" t="n">
        <f aca="false">($V46+CC46)*100/42</f>
        <v>67.3234126984087</v>
      </c>
      <c r="CE46" s="333" t="n">
        <f aca="false">CD46-BY46</f>
        <v>-5.75</v>
      </c>
      <c r="CF46" s="314" t="n">
        <v>21.777</v>
      </c>
      <c r="CG46" s="329" t="n">
        <f aca="false">CF46*100/42</f>
        <v>51.85</v>
      </c>
      <c r="CH46" s="329" t="n">
        <f aca="false">CF47-$U46</f>
        <v>5.88616666666834</v>
      </c>
      <c r="CI46" s="224"/>
      <c r="CJ46" s="329" t="n">
        <f aca="false">CJ34+VLOOKUP(1900+$L46,ProductSpreadTable,4)</f>
        <v>8.3359999999999</v>
      </c>
      <c r="CK46" s="329" t="n">
        <f aca="false">($V45+CJ45)*100/42</f>
        <v>58.9671152518943</v>
      </c>
      <c r="CL46" s="329" t="n">
        <f aca="false">CK47</f>
        <v>58.5424603174561</v>
      </c>
      <c r="CM46" s="314" t="n">
        <v>21.214</v>
      </c>
      <c r="CN46" s="329" t="n">
        <f aca="false">CM46*100/42</f>
        <v>50.5095238095238</v>
      </c>
      <c r="CO46" s="329" t="n">
        <f aca="false">CM46-$U46</f>
        <v>4.96216666666834</v>
      </c>
      <c r="CP46" s="329" t="n">
        <f aca="false">CP34+VLOOKUP(1900+$L46,ProductSpreadTable,5)</f>
        <v>7.4119999999999</v>
      </c>
      <c r="CQ46" s="329" t="n">
        <f aca="false">($V46+CP46)*100/42</f>
        <v>56.3424603174561</v>
      </c>
      <c r="CR46" s="333" t="n">
        <f aca="false">CQ46-CL46</f>
        <v>-2.2</v>
      </c>
      <c r="CS46" s="314" t="n">
        <v>22.264</v>
      </c>
      <c r="CT46" s="329" t="n">
        <f aca="false">CS46*100/42</f>
        <v>53.0095238095238</v>
      </c>
      <c r="CU46" s="329" t="n">
        <f aca="false">CT46-CG47</f>
        <v>0.299999999999997</v>
      </c>
      <c r="CV46" s="329" t="n">
        <f aca="false">CV34+VLOOKUP(1900+$L46,ProductSpreadTable,6)</f>
        <v>0.899999999999994</v>
      </c>
      <c r="CW46" s="333" t="n">
        <f aca="false">CL46+CV46</f>
        <v>59.4424603174561</v>
      </c>
      <c r="CX46" s="318" t="n">
        <v>0.209</v>
      </c>
      <c r="CY46" s="326" t="n">
        <f aca="false">CX46-$W46</f>
        <v>0.000206308723551984</v>
      </c>
      <c r="CZ46" s="326" t="n">
        <f aca="false">VLOOKUP(1900+$L46,ProductSpreadTable,7)</f>
        <v>-0.03</v>
      </c>
      <c r="DA46" s="365" t="n">
        <f aca="false">$W46+CZ46</f>
        <v>0.178793691276448</v>
      </c>
      <c r="DB46" s="318" t="n">
        <v>0.209</v>
      </c>
      <c r="DC46" s="326" t="n">
        <f aca="false">DB46-$W46</f>
        <v>0.000206308723551984</v>
      </c>
      <c r="DD46" s="326" t="n">
        <f aca="false">VLOOKUP(1900+$L46,ProductSpreadTable,8)</f>
        <v>0.03</v>
      </c>
      <c r="DE46" s="365" t="n">
        <f aca="false">$W46+DD46</f>
        <v>0.238793691276448</v>
      </c>
      <c r="DG46" s="336"/>
      <c r="DH46" s="314" t="n">
        <v>16.641</v>
      </c>
      <c r="DI46" s="325" t="n">
        <f aca="false">DH46-$U46</f>
        <v>0.389166666668341</v>
      </c>
      <c r="DJ46" s="325" t="n">
        <f aca="false">VLOOKUP(1900+$L46,ResidSpreadTable,2)</f>
        <v>-2</v>
      </c>
      <c r="DK46" s="337" t="n">
        <f aca="false">$V46+DJ46</f>
        <v>14.2518333333317</v>
      </c>
      <c r="DL46" s="314" t="n">
        <v>14.091</v>
      </c>
      <c r="DM46" s="325" t="n">
        <f aca="false">DL46-$U46</f>
        <v>-2.16083333333166</v>
      </c>
      <c r="DN46" s="325" t="n">
        <f aca="false">VLOOKUP(1900+$L46,ResidSpreadTable,3)</f>
        <v>-3</v>
      </c>
      <c r="DO46" s="337" t="n">
        <f aca="false">$V46+DN46</f>
        <v>13.2518333333317</v>
      </c>
      <c r="DP46" s="314" t="n">
        <v>13.341</v>
      </c>
      <c r="DQ46" s="325" t="n">
        <f aca="false">DP46-$U46</f>
        <v>-2.91083333333166</v>
      </c>
      <c r="DR46" s="325" t="n">
        <f aca="false">VLOOKUP(1900+$L46,ResidSpreadTable,4)</f>
        <v>-6</v>
      </c>
      <c r="DS46" s="337" t="n">
        <f aca="false">$V46+DR46</f>
        <v>10.2518333333317</v>
      </c>
      <c r="DT46" s="314" t="n">
        <v>15.591</v>
      </c>
      <c r="DU46" s="325" t="n">
        <f aca="false">DT46-$U46</f>
        <v>-0.660833333331659</v>
      </c>
      <c r="DV46" s="325" t="n">
        <f aca="false">VLOOKUP(1900+$L46,ResidSpreadTable,5)</f>
        <v>-5</v>
      </c>
      <c r="DW46" s="337" t="n">
        <f aca="false">$V46+DV46</f>
        <v>11.2518333333317</v>
      </c>
      <c r="DY46" s="29" t="n">
        <v>2008</v>
      </c>
      <c r="DZ46" s="388" t="n">
        <v>-2</v>
      </c>
      <c r="EA46" s="388" t="n">
        <v>-3</v>
      </c>
      <c r="EB46" s="388" t="n">
        <v>-6</v>
      </c>
      <c r="EC46" s="368" t="n">
        <v>-5</v>
      </c>
      <c r="ED46" s="386"/>
      <c r="EE46" s="386"/>
      <c r="EF46" s="386"/>
    </row>
    <row r="47" customFormat="false" ht="12.75" hidden="false" customHeight="false" outlineLevel="0" collapsed="false">
      <c r="B47" s="371" t="n">
        <v>36982</v>
      </c>
      <c r="C47" s="372" t="n">
        <v>36970</v>
      </c>
      <c r="I47" s="338" t="n">
        <f aca="false">EOMONTH(I46,0)+1</f>
        <v>47178</v>
      </c>
      <c r="J47" s="389" t="n">
        <f aca="false">VLOOKUP(I47,$B$12:$C$332,2)</f>
        <v>45644</v>
      </c>
      <c r="K47" s="339" t="n">
        <f aca="false">NETWORKDAYS(I47,J48)/N47</f>
        <v>-49.8636363636364</v>
      </c>
      <c r="L47" s="309" t="n">
        <f aca="false">YEAR(I47)-1900</f>
        <v>129</v>
      </c>
      <c r="M47" s="310" t="n">
        <f aca="false">MONTH(I47)</f>
        <v>3</v>
      </c>
      <c r="N47" s="340" t="n">
        <f aca="false">NETWORKDAYS(I47,I48-1)</f>
        <v>22</v>
      </c>
      <c r="O47" s="341" t="n">
        <f aca="false">I47-DateToday-IF(EuroExpDateToggle=1,3+IF(WEEKDAY(I47-1)=7,1,IF(WEEKDAY(I47-1)&lt;5,2,0)),1+IF(WEEKDAY(I47-1)=7,1,IF(WEEKDAY(I47-1)&lt;3,2,0)))</f>
        <v>1247</v>
      </c>
      <c r="P47" s="342" t="n">
        <f aca="false">(I47-DateToday+1)/365.25</f>
        <v>3.43052703627652</v>
      </c>
      <c r="Q47" s="342" t="n">
        <f aca="false">(I48-DateToday)/365.25</f>
        <v>3.51266255989049</v>
      </c>
      <c r="R47" s="314" t="n">
        <v>19.36</v>
      </c>
      <c r="S47" s="347" t="n">
        <v>0</v>
      </c>
      <c r="T47" s="316" t="n">
        <f aca="false">R47+S47/100</f>
        <v>19.36</v>
      </c>
      <c r="U47" s="325" t="n">
        <f aca="false">R48*K47+R49*(1-K47)</f>
        <v>16.4210606060637</v>
      </c>
      <c r="V47" s="337" t="n">
        <f aca="false">T48*K47+T49*(1-K47)</f>
        <v>16.4210606060637</v>
      </c>
      <c r="W47" s="318" t="n">
        <v>0.208008722600371</v>
      </c>
      <c r="X47" s="319" t="str">
        <f aca="false">IF($I47-DateToday+1&gt;=$A$10,"",IF($I47-DateToday+1&lt;$A$5,1,MATCH($I47-DateToday+1,$A$5:$A$10)))</f>
        <v/>
      </c>
      <c r="Y47" s="348" t="n">
        <f aca="false">IF($X47="",Y46^2/Y45,INDEX(B$5:B$10,$X47)^((INDEX($A$5:$A$10,$X47+1)-($I47-DateToday+1))/(INDEX($A$5:$A$10,$X47+1)-INDEX($A$5:$A$10,$X47)))/INDEX(B$5:B$10,$X47+1)^((INDEX($A$5:$A$10,$X47)-($I47-DateToday+1))/(INDEX($A$5:$A$10,$X47+1)-INDEX($A$5:$A$10,$X47))))</f>
        <v>0.00631251512053272</v>
      </c>
      <c r="Z47" s="348" t="n">
        <f aca="false">IF($X47="",Z46^2/Z45,INDEX(C$5:C$10,$X47)^((INDEX($A$5:$A$10,$X47+1)-($I47-DateToday+1))/(INDEX($A$5:$A$10,$X47+1)-INDEX($A$5:$A$10,$X47)))/INDEX(C$5:C$10,$X47+1)^((INDEX($A$5:$A$10,$X47)-($I47-DateToday+1))/(INDEX($A$5:$A$10,$X47+1)-INDEX($A$5:$A$10,$X47))))</f>
        <v>0.00311870455945064</v>
      </c>
      <c r="AA47" s="348" t="n">
        <f aca="false">IF($X47="",AA46^2/AA45,INDEX(D$5:D$10,$X47)^((INDEX($A$5:$A$10,$X47+1)-($I47-DateToday+1))/(INDEX($A$5:$A$10,$X47+1)-INDEX($A$5:$A$10,$X47)))/INDEX(D$5:D$10,$X47+1)^((INDEX($A$5:$A$10,$X47)-($I47-DateToday+1))/(INDEX($A$5:$A$10,$X47+1)-INDEX($A$5:$A$10,$X47))))</f>
        <v>0.00133099133133946</v>
      </c>
      <c r="AB47" s="348" t="n">
        <f aca="false">IF($X47="",AB46^2/AB45,INDEX(E$5:E$10,$X47)^((INDEX($A$5:$A$10,$X47+1)-($I47-DateToday+1))/(INDEX($A$5:$A$10,$X47+1)-INDEX($A$5:$A$10,$X47)))/INDEX(E$5:E$10,$X47+1)^((INDEX($A$5:$A$10,$X47)-($I47-DateToday+1))/(INDEX($A$5:$A$10,$X47+1)-INDEX($A$5:$A$10,$X47))))</f>
        <v>0.00299845727124154</v>
      </c>
      <c r="AC47" s="348" t="n">
        <f aca="false">IF($X47="",AC46^2/AC45,INDEX(F$5:F$10,$X47)^((INDEX($A$5:$A$10,$X47+1)-($I47-DateToday+1))/(INDEX($A$5:$A$10,$X47+1)-INDEX($A$5:$A$10,$X47)))/INDEX(F$5:F$10,$X47+1)^((INDEX($A$5:$A$10,$X47)-($I47-DateToday+1))/(INDEX($A$5:$A$10,$X47+1)-INDEX($A$5:$A$10,$X47))))</f>
        <v>0.00702581763153041</v>
      </c>
      <c r="AD47" s="348" t="n">
        <f aca="false">IF($X47="",AD46^2/AD45,INDEX(G$5:G$10,$X47)^((INDEX($A$5:$A$10,$X47+1)-($I47-DateToday+1))/(INDEX($A$5:$A$10,$X47+1)-INDEX($A$5:$A$10,$X47)))/INDEX(G$5:G$10,$X47+1)^((INDEX($A$5:$A$10,$X47)-($I47-DateToday+1))/(INDEX($A$5:$A$10,$X47+1)-INDEX($A$5:$A$10,$X47))))</f>
        <v>0.014220834063536</v>
      </c>
      <c r="AE47" s="321" t="n">
        <v>0.072244529699966</v>
      </c>
      <c r="AF47" s="316" t="n">
        <f aca="false">(1+AE47/2)^(-2*(I48-DateToday)/365.25)</f>
        <v>0.779350235616811</v>
      </c>
      <c r="AG47" s="316" t="n">
        <f aca="false">AG46*(1+IF(AND(M47=1,L47&gt;YearStart),Escalation,0))</f>
        <v>1</v>
      </c>
      <c r="AH47" s="322" t="n">
        <f aca="false">IF(OR(DateStart&gt;=I48,DateEnd&lt;I47),0,Volume*AG47)</f>
        <v>0</v>
      </c>
      <c r="AI47" s="322" t="n">
        <f aca="false">AH47*AF47</f>
        <v>0</v>
      </c>
      <c r="AJ47" s="322" t="n">
        <f aca="false">IF(OR(DateStart2&gt;=I48,DateEnd2&lt;I47),0,VolumeSwaption*AG47)</f>
        <v>0</v>
      </c>
      <c r="AK47" s="322" t="n">
        <f aca="false">AJ47*AF47</f>
        <v>0</v>
      </c>
      <c r="AL47" s="316" t="str">
        <f aca="true">IF(AH47,OFFSET(BY47,0,HorizontalPriceOffset)+PriceSpreadAsian,"")</f>
        <v/>
      </c>
      <c r="AM47" s="316" t="str">
        <f aca="false">IF(AH47,Strike1/AL47-1,"")</f>
        <v/>
      </c>
      <c r="AN47" s="316" t="str">
        <f aca="false">IF(AH47,Strike2/AL47-1,"")</f>
        <v/>
      </c>
      <c r="AO47" s="323" t="str">
        <f aca="false">IF(AH47,IF(VolOverrideAsian,VolOverrideAsian,IF(ProductGroup=1,IF(Product&lt;3,DA48,DE48),W48)+VolSpreadAsian),"")</f>
        <v/>
      </c>
      <c r="AP47" s="323" t="str">
        <f aca="false">IF($AH47,$AO47+IF(SkewFlag=1,IF(AM47&gt;0,$AA47*MIN(AM47/10%,1)+($Z47-$AA47)*MAX(0,MIN(AM47/10%-1,1))+($Y47-$Z47)*MAX(0,AM47/10%-2),$AB47*MIN(-AM47/10%,1)+($AC47-$AB47)*MAX(0,MIN(-AM47/10%-1,1))+($AD47-$AC47)*MAX(0,-AM47/10%-2)),0),"")</f>
        <v/>
      </c>
      <c r="AQ47" s="323" t="str">
        <f aca="false">IF($AH47,$AO47+IF(SkewFlag=1,IF(AN47&gt;0,$AA47*MIN(AN47/10%,1)+($Z47-$AA47)*MAX(0,MIN(AN47/10%-1,1))+($Y47-$Z47)*MAX(0,AN47/10%-2),$AB47*MIN(-AN47/10%,1)+($AC47-$AB47)*MAX(0,MIN(-AN47/10%-1,1))+($AD47-$AC47)*MAX(0,-AN47/10%-2)),0),"")</f>
        <v/>
      </c>
      <c r="AR47" s="324" t="n">
        <f aca="false">IF(AH47,xASN(AL47,Strike1,AE47,AP47,0,N47,0,P47,Q47,IF(OptControl=4,0,1),0),0)</f>
        <v>0</v>
      </c>
      <c r="AS47" s="324" t="n">
        <f aca="false">IF(AH47,xASN(AL47,Strike1,AE47,AP47,0,N47,0,P47,Q47,IF(OptControl=4,0,1),1),0)</f>
        <v>0</v>
      </c>
      <c r="AT47" s="324" t="n">
        <f aca="false">IF(AH47,xASN(AL47,Strike1,AE47,AP47,0,N47,0,P47,Q47,IF(OptControl=4,0,1),2),0)</f>
        <v>0</v>
      </c>
      <c r="AU47" s="324" t="n">
        <f aca="false">IF(AH47,xASN(AL47,Strike1,AE47,AP47,0,N47,0,P47,Q47,IF(OptControl=4,0,1),3)/100,0)</f>
        <v>0</v>
      </c>
      <c r="AV47" s="324" t="n">
        <f aca="false">IF(AH47,xASN(AL47,Strike1,AE47,AP47,0,N47,0,P47-DaysForThetaCalculation/365.25,Q47-DaysForThetaCalculation/365.25,IF(OptControl=4,0,1),0)-xASN(AL47,Strike1,AE47,AP47,0,N47,0,P47,Q47,IF(OptControl=4,0,1),0),0)</f>
        <v>0</v>
      </c>
      <c r="AW47" s="324" t="n">
        <f aca="false">IF(AH47,xASN(AL47,Strike2,AE47,AQ47,0,N47,0,P47,Q47,IF(OptControl=3,1,0),0),0)</f>
        <v>0</v>
      </c>
      <c r="AX47" s="324" t="n">
        <f aca="false">IF(AH47,xASN(AL47,Strike2,AE47,AQ47,0,N47,0,P47,Q47,IF(OptControl=3,1,0),1),0)</f>
        <v>0</v>
      </c>
      <c r="AY47" s="324" t="n">
        <f aca="false">IF(AH47,xASN(AL47,Strike2,AE47,AQ47,0,N47,0,P47,Q47,IF(OptControl=3,1,0),2),0)</f>
        <v>0</v>
      </c>
      <c r="AZ47" s="324" t="n">
        <f aca="false">IF(AH47,xASN(AL47,Strike2,AE47,AQ47,0,N47,0,P47,Q47,IF(OptControl=3,1,0),3)/100,0)</f>
        <v>0</v>
      </c>
      <c r="BA47" s="324" t="n">
        <f aca="false">IF(AH47,xASN(AL47,Strike2,AE47,AQ47,0,N47,0,P47-DaysForThetaCalculation/365.25,Q47-DaysForThetaCalculation/365.25,IF(OptControl=3,1,0),0)-xASN(AL47,Strike2,AE47,AQ47,0,N47,0,P47,Q47,IF(OptControl=3,1,0),0),0)</f>
        <v>0</v>
      </c>
      <c r="BB47" s="325" t="str">
        <f aca="false">IF(AH47,IF(ProductGroup=1,IF(Product=1,BX47+PriceSpreadEuro,IF(Product=3,CK47+PriceSpreadEuro,"N/A")),"N/A"),"")</f>
        <v/>
      </c>
      <c r="BC47" s="316" t="str">
        <f aca="false">IF(AH47,Strike1/BB47-1,"")</f>
        <v/>
      </c>
      <c r="BD47" s="316" t="str">
        <f aca="false">IF(AH47,Strike2/BB47-1,"")</f>
        <v/>
      </c>
      <c r="BE47" s="326" t="str">
        <f aca="false">IF(AH47,IF(VolOverrideEuro,VolOverrideEuro,IF(ProductGroup=1,IF(Product&lt;3,DA47,DE47)+VolSpreadEuro,"N/A")),"")</f>
        <v/>
      </c>
      <c r="BF47" s="323" t="str">
        <f aca="false">IF($AH47,$BE47+IF(SkewFlag=1,IF(BC47&gt;0,$AA47*MIN(BC47/10%,1)+($Z47-$AA47)*MAX(0,MIN(BC47/10%-1,1))+($Y47-$Z47)*MAX(0,BC47/10%-2),$AB47*MIN(-BC47/10%,1)+($AC47-$AB47)*MAX(0,MIN(-BC47/10%-1,1))+($AD47-$AC47)*MAX(0,-BC47/10%-2)),0),"")</f>
        <v/>
      </c>
      <c r="BG47" s="323" t="str">
        <f aca="false">IF($AH47,$BE47+IF(SkewFlag=1,IF(BD47&gt;0,$AA47*MIN(BD47/10%,1)+($Z47-$AA47)*MAX(0,MIN(BD47/10%-1,1))+($Y47-$Z47)*MAX(0,BD47/10%-2),$AB47*MIN(-BD47/10%,1)+($AC47-$AB47)*MAX(0,MIN(-BD47/10%-1,1))+($AD47-$AC47)*MAX(0,-BD47/10%-2)),0),"")</f>
        <v/>
      </c>
      <c r="BH47" s="324" t="n">
        <f aca="false">IF(AH47,xEURO(BB47,Strike1,AE47,AE47,BF47,O47,IF(OptControl=4,0,1),0),0)</f>
        <v>0</v>
      </c>
      <c r="BI47" s="324" t="n">
        <f aca="false">IF(AH47,xEURO(BB47,Strike1,AE47,AE47,BF47,O47,IF(OptControl=4,0,1),1),0)</f>
        <v>0</v>
      </c>
      <c r="BJ47" s="324" t="n">
        <f aca="false">IF(AH47,xEURO(BB47,Strike1,AE47,AE47,BF47,O47,IF(OptControl=4,0,1),2),0)</f>
        <v>0</v>
      </c>
      <c r="BK47" s="324" t="n">
        <f aca="false">IF(AH47,xEURO(BB47,Strike1,AE47,AE47,BF47,O47,IF(OptControl=4,0,1),3)/100,0)</f>
        <v>0</v>
      </c>
      <c r="BL47" s="324" t="n">
        <f aca="false">IF(AH47,xEURO(BB47,Strike1,AE47,AE47,BF47,O47-DaysForThetaCalculation,IF(OptControl=4,0,1),0)-xEURO(BB47,Strike1,AE47,AE47,BF47,O47,IF(OptControl=4,0,1),0),0)</f>
        <v>0</v>
      </c>
      <c r="BM47" s="324" t="n">
        <f aca="false">IF(AH47,xEURO(BB47,Strike2,AE47,AE47,BG47,O47,IF(OptControl=3,1,0),0),0)</f>
        <v>0</v>
      </c>
      <c r="BN47" s="324" t="n">
        <f aca="false">IF(AH47,xEURO(BB47,Strike2,AE47,AE47,BG47,O47,IF(OptControl=3,1,0),1),0)</f>
        <v>0</v>
      </c>
      <c r="BO47" s="324" t="n">
        <f aca="false">IF(AH47,xEURO(BB47,Strike2,AE47,AE47,BG47,O47,IF(OptControl=3,1,0),2),0)</f>
        <v>0</v>
      </c>
      <c r="BP47" s="324" t="n">
        <f aca="false">IF(AH47,xEURO(BB47,Strike2,AE47,AE47,BG47,O47,IF(OptControl=3,1,0),3)/100,0)</f>
        <v>0</v>
      </c>
      <c r="BQ47" s="327" t="n">
        <f aca="false">IF(AH47,xEURO(BB47,Strike2,AE47,AE47,BG47,O47-DaysForThetaCalculation,IF(OptControl=3,1,0),0)-xEURO(BB47,Strike2,AE47,AE47,BG47,O47,IF(OptControl=3,1,0),0),0)</f>
        <v>0</v>
      </c>
      <c r="BR47" s="343"/>
      <c r="BS47" s="314" t="n">
        <v>25.553</v>
      </c>
      <c r="BT47" s="329" t="n">
        <f aca="false">BS47*100/42</f>
        <v>60.8404761904762</v>
      </c>
      <c r="BU47" s="329" t="n">
        <f aca="false">BS48-$U47</f>
        <v>8.02693939393626</v>
      </c>
      <c r="BV47" s="224"/>
      <c r="BW47" s="329" t="n">
        <f aca="false">BW35+VLOOKUP(1900+$L47,ProductSpreadTable,2)</f>
        <v>11.9669999999999</v>
      </c>
      <c r="BX47" s="329" t="n">
        <f aca="false">($V46+BW46)*100/42</f>
        <v>73.0734126984087</v>
      </c>
      <c r="BY47" s="332" t="n">
        <f aca="false">BX48</f>
        <v>67.5906204906278</v>
      </c>
      <c r="BZ47" s="314" t="n">
        <v>22.558</v>
      </c>
      <c r="CA47" s="329" t="n">
        <f aca="false">BZ47*100/42</f>
        <v>53.7095238095238</v>
      </c>
      <c r="CB47" s="329" t="n">
        <f aca="false">BZ47-$U47</f>
        <v>6.13693939393626</v>
      </c>
      <c r="CC47" s="329" t="n">
        <f aca="false">CC35+VLOOKUP(1900+$L47,ProductSpreadTable,3)</f>
        <v>9.55199999999992</v>
      </c>
      <c r="CD47" s="329" t="n">
        <f aca="false">($V47+CC47)*100/42</f>
        <v>61.8406204906278</v>
      </c>
      <c r="CE47" s="333" t="n">
        <f aca="false">CD47-BY47</f>
        <v>-5.75</v>
      </c>
      <c r="CF47" s="314" t="n">
        <v>22.138</v>
      </c>
      <c r="CG47" s="329" t="n">
        <f aca="false">CF47*100/42</f>
        <v>52.7095238095238</v>
      </c>
      <c r="CH47" s="329" t="n">
        <f aca="false">CF48-$U47</f>
        <v>6.11993939393625</v>
      </c>
      <c r="CI47" s="224"/>
      <c r="CJ47" s="329" t="n">
        <f aca="false">CJ35+VLOOKUP(1900+$L47,ProductSpreadTable,4)</f>
        <v>9.85899999999992</v>
      </c>
      <c r="CK47" s="329" t="n">
        <f aca="false">($V46+CJ46)*100/42</f>
        <v>58.5424603174561</v>
      </c>
      <c r="CL47" s="329" t="n">
        <f aca="false">CK48</f>
        <v>62.5715728715802</v>
      </c>
      <c r="CM47" s="314" t="n">
        <v>21.617</v>
      </c>
      <c r="CN47" s="329" t="n">
        <f aca="false">CM47*100/42</f>
        <v>51.4690476190476</v>
      </c>
      <c r="CO47" s="329" t="n">
        <f aca="false">CM47-$U47</f>
        <v>5.19593939393625</v>
      </c>
      <c r="CP47" s="329" t="n">
        <f aca="false">CP35+VLOOKUP(1900+$L47,ProductSpreadTable,5)</f>
        <v>7.35773913043481</v>
      </c>
      <c r="CQ47" s="329" t="n">
        <f aca="false">($V47+CP47)*100/42</f>
        <v>56.6161898488061</v>
      </c>
      <c r="CR47" s="333" t="n">
        <f aca="false">CQ47-CL47</f>
        <v>-5.95538302277407</v>
      </c>
      <c r="CS47" s="314" t="n">
        <v>22.667</v>
      </c>
      <c r="CT47" s="329" t="n">
        <f aca="false">CS47*100/42</f>
        <v>53.9690476190476</v>
      </c>
      <c r="CU47" s="329" t="n">
        <f aca="false">CT47-CG48</f>
        <v>0.300000000000011</v>
      </c>
      <c r="CV47" s="329" t="n">
        <f aca="false">CV35+VLOOKUP(1900+$L47,ProductSpreadTable,6)</f>
        <v>0.900000000000009</v>
      </c>
      <c r="CW47" s="333" t="n">
        <f aca="false">CL47+CV47</f>
        <v>63.4715728715802</v>
      </c>
      <c r="CX47" s="318" t="n">
        <v>0.208</v>
      </c>
      <c r="CY47" s="326" t="n">
        <f aca="false">CX47-$W47</f>
        <v>-8.72260037101946E-006</v>
      </c>
      <c r="CZ47" s="326" t="n">
        <f aca="false">VLOOKUP(1900+$L47,ProductSpreadTable,7)</f>
        <v>-0.03</v>
      </c>
      <c r="DA47" s="365" t="n">
        <f aca="false">$W47+CZ47</f>
        <v>0.178008722600371</v>
      </c>
      <c r="DB47" s="318" t="n">
        <v>0.208</v>
      </c>
      <c r="DC47" s="326" t="n">
        <f aca="false">DB47-$W47</f>
        <v>-8.72260037101946E-006</v>
      </c>
      <c r="DD47" s="326" t="n">
        <f aca="false">VLOOKUP(1900+$L47,ProductSpreadTable,8)</f>
        <v>0.03</v>
      </c>
      <c r="DE47" s="365" t="n">
        <f aca="false">$W47+DD47</f>
        <v>0.238008722600371</v>
      </c>
      <c r="DG47" s="336"/>
      <c r="DH47" s="314" t="n">
        <v>16.585</v>
      </c>
      <c r="DI47" s="325" t="n">
        <f aca="false">DH47-$U47</f>
        <v>0.163939393936253</v>
      </c>
      <c r="DJ47" s="325" t="n">
        <f aca="false">VLOOKUP(1900+$L47,ResidSpreadTable,2)</f>
        <v>-2</v>
      </c>
      <c r="DK47" s="337" t="n">
        <f aca="false">$V47+DJ47</f>
        <v>14.4210606060637</v>
      </c>
      <c r="DL47" s="314" t="n">
        <v>14.035</v>
      </c>
      <c r="DM47" s="325" t="n">
        <f aca="false">DL47-$U47</f>
        <v>-2.38606060606375</v>
      </c>
      <c r="DN47" s="325" t="n">
        <f aca="false">VLOOKUP(1900+$L47,ResidSpreadTable,3)</f>
        <v>-3</v>
      </c>
      <c r="DO47" s="337" t="n">
        <f aca="false">$V47+DN47</f>
        <v>13.4210606060637</v>
      </c>
      <c r="DP47" s="314" t="n">
        <v>13.285</v>
      </c>
      <c r="DQ47" s="325" t="n">
        <f aca="false">DP47-$U47</f>
        <v>-3.13606060606375</v>
      </c>
      <c r="DR47" s="325" t="n">
        <f aca="false">VLOOKUP(1900+$L47,ResidSpreadTable,4)</f>
        <v>-6</v>
      </c>
      <c r="DS47" s="337" t="n">
        <f aca="false">$V47+DR47</f>
        <v>10.4210606060637</v>
      </c>
      <c r="DT47" s="314" t="n">
        <v>15.535</v>
      </c>
      <c r="DU47" s="325" t="n">
        <f aca="false">DT47-$U47</f>
        <v>-0.886060606063747</v>
      </c>
      <c r="DV47" s="325" t="n">
        <f aca="false">VLOOKUP(1900+$L47,ResidSpreadTable,5)</f>
        <v>-5</v>
      </c>
      <c r="DW47" s="337" t="n">
        <f aca="false">$V47+DV47</f>
        <v>11.4210606060637</v>
      </c>
      <c r="DY47" s="29" t="n">
        <v>2009</v>
      </c>
      <c r="DZ47" s="388" t="n">
        <v>-2</v>
      </c>
      <c r="EA47" s="388" t="n">
        <v>-3</v>
      </c>
      <c r="EB47" s="388" t="n">
        <v>-6</v>
      </c>
      <c r="EC47" s="368" t="n">
        <v>-5</v>
      </c>
      <c r="ED47" s="386"/>
      <c r="EE47" s="386"/>
      <c r="EF47" s="386"/>
    </row>
    <row r="48" customFormat="false" ht="12.75" hidden="false" customHeight="false" outlineLevel="0" collapsed="false">
      <c r="B48" s="371" t="n">
        <v>37012</v>
      </c>
      <c r="C48" s="372" t="n">
        <v>37001</v>
      </c>
      <c r="I48" s="338" t="n">
        <f aca="false">EOMONTH(I47,0)+1</f>
        <v>47209</v>
      </c>
      <c r="J48" s="389" t="n">
        <f aca="false">VLOOKUP(I48,$B$12:$C$332,2)</f>
        <v>45644</v>
      </c>
      <c r="K48" s="339" t="n">
        <f aca="false">NETWORKDAYS(I48,J49)/N48</f>
        <v>-53.2380952380952</v>
      </c>
      <c r="L48" s="309" t="n">
        <f aca="false">YEAR(I48)-1900</f>
        <v>129</v>
      </c>
      <c r="M48" s="310" t="n">
        <f aca="false">MONTH(I48)</f>
        <v>4</v>
      </c>
      <c r="N48" s="340" t="n">
        <f aca="false">NETWORKDAYS(I48,I49-1)</f>
        <v>21</v>
      </c>
      <c r="O48" s="341" t="n">
        <f aca="false">I48-DateToday-IF(EuroExpDateToggle=1,3+IF(WEEKDAY(I48-1)=7,1,IF(WEEKDAY(I48-1)&lt;5,2,0)),1+IF(WEEKDAY(I48-1)=7,1,IF(WEEKDAY(I48-1)&lt;3,2,0)))</f>
        <v>1279</v>
      </c>
      <c r="P48" s="342" t="n">
        <f aca="false">(I48-DateToday+1)/365.25</f>
        <v>3.51540041067762</v>
      </c>
      <c r="Q48" s="342" t="n">
        <f aca="false">(I49-DateToday)/365.25</f>
        <v>3.59479808350445</v>
      </c>
      <c r="R48" s="314" t="n">
        <v>19.3033333333333</v>
      </c>
      <c r="S48" s="347" t="n">
        <v>0</v>
      </c>
      <c r="T48" s="316" t="n">
        <f aca="false">R48+S48/100</f>
        <v>19.3033333333333</v>
      </c>
      <c r="U48" s="325" t="n">
        <f aca="false">R49*K48+R50*(1-K48)</f>
        <v>16.173174603173</v>
      </c>
      <c r="V48" s="337" t="n">
        <f aca="false">T49*K48+T50*(1-K48)</f>
        <v>16.173174603173</v>
      </c>
      <c r="W48" s="318" t="n">
        <v>0.206863165483062</v>
      </c>
      <c r="X48" s="319" t="str">
        <f aca="false">IF($I48-DateToday+1&gt;=$A$10,"",IF($I48-DateToday+1&lt;$A$5,1,MATCH($I48-DateToday+1,$A$5:$A$10)))</f>
        <v/>
      </c>
      <c r="Y48" s="348" t="n">
        <f aca="false">IF($X48="",Y47^2/Y46,INDEX(B$5:B$10,$X48)^((INDEX($A$5:$A$10,$X48+1)-($I48-DateToday+1))/(INDEX($A$5:$A$10,$X48+1)-INDEX($A$5:$A$10,$X48)))/INDEX(B$5:B$10,$X48+1)^((INDEX($A$5:$A$10,$X48)-($I48-DateToday+1))/(INDEX($A$5:$A$10,$X48+1)-INDEX($A$5:$A$10,$X48))))</f>
        <v>0.00617737377267854</v>
      </c>
      <c r="Z48" s="348" t="n">
        <f aca="false">IF($X48="",Z47^2/Z46,INDEX(C$5:C$10,$X48)^((INDEX($A$5:$A$10,$X48+1)-($I48-DateToday+1))/(INDEX($A$5:$A$10,$X48+1)-INDEX($A$5:$A$10,$X48)))/INDEX(C$5:C$10,$X48+1)^((INDEX($A$5:$A$10,$X48)-($I48-DateToday+1))/(INDEX($A$5:$A$10,$X48+1)-INDEX($A$5:$A$10,$X48))))</f>
        <v>0.00303559760444656</v>
      </c>
      <c r="AA48" s="348" t="n">
        <f aca="false">IF($X48="",AA47^2/AA46,INDEX(D$5:D$10,$X48)^((INDEX($A$5:$A$10,$X48+1)-($I48-DateToday+1))/(INDEX($A$5:$A$10,$X48+1)-INDEX($A$5:$A$10,$X48)))/INDEX(D$5:D$10,$X48+1)^((INDEX($A$5:$A$10,$X48)-($I48-DateToday+1))/(INDEX($A$5:$A$10,$X48+1)-INDEX($A$5:$A$10,$X48))))</f>
        <v>0.00129204912756436</v>
      </c>
      <c r="AB48" s="348" t="n">
        <f aca="false">IF($X48="",AB47^2/AB46,INDEX(E$5:E$10,$X48)^((INDEX($A$5:$A$10,$X48+1)-($I48-DateToday+1))/(INDEX($A$5:$A$10,$X48+1)-INDEX($A$5:$A$10,$X48)))/INDEX(E$5:E$10,$X48+1)^((INDEX($A$5:$A$10,$X48)-($I48-DateToday+1))/(INDEX($A$5:$A$10,$X48+1)-INDEX($A$5:$A$10,$X48))))</f>
        <v>0.002910728274577</v>
      </c>
      <c r="AC48" s="348" t="n">
        <f aca="false">IF($X48="",AC47^2/AC46,INDEX(F$5:F$10,$X48)^((INDEX($A$5:$A$10,$X48+1)-($I48-DateToday+1))/(INDEX($A$5:$A$10,$X48+1)-INDEX($A$5:$A$10,$X48)))/INDEX(F$5:F$10,$X48+1)^((INDEX($A$5:$A$10,$X48)-($I48-DateToday+1))/(INDEX($A$5:$A$10,$X48+1)-INDEX($A$5:$A$10,$X48))))</f>
        <v>0.00683859428329722</v>
      </c>
      <c r="AD48" s="348" t="n">
        <f aca="false">IF($X48="",AD47^2/AD46,INDEX(G$5:G$10,$X48)^((INDEX($A$5:$A$10,$X48+1)-($I48-DateToday+1))/(INDEX($A$5:$A$10,$X48+1)-INDEX($A$5:$A$10,$X48)))/INDEX(G$5:G$10,$X48+1)^((INDEX($A$5:$A$10,$X48)-($I48-DateToday+1))/(INDEX($A$5:$A$10,$X48+1)-INDEX($A$5:$A$10,$X48))))</f>
        <v>0.0139163876350901</v>
      </c>
      <c r="AE48" s="321" t="n">
        <v>0.072287693609617</v>
      </c>
      <c r="AF48" s="316" t="n">
        <f aca="false">(1+AE48/2)^(-2*(I49-DateToday)/365.25)</f>
        <v>0.774704451362435</v>
      </c>
      <c r="AG48" s="316" t="n">
        <f aca="false">AG47*(1+IF(AND(M48=1,L48&gt;YearStart),Escalation,0))</f>
        <v>1</v>
      </c>
      <c r="AH48" s="322" t="n">
        <f aca="false">IF(OR(DateStart&gt;=I49,DateEnd&lt;I48),0,Volume*AG48)</f>
        <v>0</v>
      </c>
      <c r="AI48" s="322" t="n">
        <f aca="false">AH48*AF48</f>
        <v>0</v>
      </c>
      <c r="AJ48" s="322" t="n">
        <f aca="false">IF(OR(DateStart2&gt;=I49,DateEnd2&lt;I48),0,VolumeSwaption*AG48)</f>
        <v>0</v>
      </c>
      <c r="AK48" s="322" t="n">
        <f aca="false">AJ48*AF48</f>
        <v>0</v>
      </c>
      <c r="AL48" s="316" t="str">
        <f aca="true">IF(AH48,OFFSET(BY48,0,HorizontalPriceOffset)+PriceSpreadAsian,"")</f>
        <v/>
      </c>
      <c r="AM48" s="316" t="str">
        <f aca="false">IF(AH48,Strike1/AL48-1,"")</f>
        <v/>
      </c>
      <c r="AN48" s="316" t="str">
        <f aca="false">IF(AH48,Strike2/AL48-1,"")</f>
        <v/>
      </c>
      <c r="AO48" s="323" t="str">
        <f aca="false">IF(AH48,IF(VolOverrideAsian,VolOverrideAsian,IF(ProductGroup=1,IF(Product&lt;3,DA49,DE49),W49)+VolSpreadAsian),"")</f>
        <v/>
      </c>
      <c r="AP48" s="323" t="str">
        <f aca="false">IF($AH48,$AO48+IF(SkewFlag=1,IF(AM48&gt;0,$AA48*MIN(AM48/10%,1)+($Z48-$AA48)*MAX(0,MIN(AM48/10%-1,1))+($Y48-$Z48)*MAX(0,AM48/10%-2),$AB48*MIN(-AM48/10%,1)+($AC48-$AB48)*MAX(0,MIN(-AM48/10%-1,1))+($AD48-$AC48)*MAX(0,-AM48/10%-2)),0),"")</f>
        <v/>
      </c>
      <c r="AQ48" s="323" t="str">
        <f aca="false">IF($AH48,$AO48+IF(SkewFlag=1,IF(AN48&gt;0,$AA48*MIN(AN48/10%,1)+($Z48-$AA48)*MAX(0,MIN(AN48/10%-1,1))+($Y48-$Z48)*MAX(0,AN48/10%-2),$AB48*MIN(-AN48/10%,1)+($AC48-$AB48)*MAX(0,MIN(-AN48/10%-1,1))+($AD48-$AC48)*MAX(0,-AN48/10%-2)),0),"")</f>
        <v/>
      </c>
      <c r="AR48" s="324" t="n">
        <f aca="false">IF(AH48,xASN(AL48,Strike1,AE48,AP48,0,N48,0,P48,Q48,IF(OptControl=4,0,1),0),0)</f>
        <v>0</v>
      </c>
      <c r="AS48" s="324" t="n">
        <f aca="false">IF(AH48,xASN(AL48,Strike1,AE48,AP48,0,N48,0,P48,Q48,IF(OptControl=4,0,1),1),0)</f>
        <v>0</v>
      </c>
      <c r="AT48" s="324" t="n">
        <f aca="false">IF(AH48,xASN(AL48,Strike1,AE48,AP48,0,N48,0,P48,Q48,IF(OptControl=4,0,1),2),0)</f>
        <v>0</v>
      </c>
      <c r="AU48" s="324" t="n">
        <f aca="false">IF(AH48,xASN(AL48,Strike1,AE48,AP48,0,N48,0,P48,Q48,IF(OptControl=4,0,1),3)/100,0)</f>
        <v>0</v>
      </c>
      <c r="AV48" s="324" t="n">
        <f aca="false">IF(AH48,xASN(AL48,Strike1,AE48,AP48,0,N48,0,P48-DaysForThetaCalculation/365.25,Q48-DaysForThetaCalculation/365.25,IF(OptControl=4,0,1),0)-xASN(AL48,Strike1,AE48,AP48,0,N48,0,P48,Q48,IF(OptControl=4,0,1),0),0)</f>
        <v>0</v>
      </c>
      <c r="AW48" s="324" t="n">
        <f aca="false">IF(AH48,xASN(AL48,Strike2,AE48,AQ48,0,N48,0,P48,Q48,IF(OptControl=3,1,0),0),0)</f>
        <v>0</v>
      </c>
      <c r="AX48" s="324" t="n">
        <f aca="false">IF(AH48,xASN(AL48,Strike2,AE48,AQ48,0,N48,0,P48,Q48,IF(OptControl=3,1,0),1),0)</f>
        <v>0</v>
      </c>
      <c r="AY48" s="324" t="n">
        <f aca="false">IF(AH48,xASN(AL48,Strike2,AE48,AQ48,0,N48,0,P48,Q48,IF(OptControl=3,1,0),2),0)</f>
        <v>0</v>
      </c>
      <c r="AZ48" s="324" t="n">
        <f aca="false">IF(AH48,xASN(AL48,Strike2,AE48,AQ48,0,N48,0,P48,Q48,IF(OptControl=3,1,0),3)/100,0)</f>
        <v>0</v>
      </c>
      <c r="BA48" s="324" t="n">
        <f aca="false">IF(AH48,xASN(AL48,Strike2,AE48,AQ48,0,N48,0,P48-DaysForThetaCalculation/365.25,Q48-DaysForThetaCalculation/365.25,IF(OptControl=3,1,0),0)-xASN(AL48,Strike2,AE48,AQ48,0,N48,0,P48,Q48,IF(OptControl=3,1,0),0),0)</f>
        <v>0</v>
      </c>
      <c r="BB48" s="325" t="str">
        <f aca="false">IF(AH48,IF(ProductGroup=1,IF(Product=1,BX48+PriceSpreadEuro,IF(Product=3,CK48+PriceSpreadEuro,"N/A")),"N/A"),"")</f>
        <v/>
      </c>
      <c r="BC48" s="316" t="str">
        <f aca="false">IF(AH48,Strike1/BB48-1,"")</f>
        <v/>
      </c>
      <c r="BD48" s="316" t="str">
        <f aca="false">IF(AH48,Strike2/BB48-1,"")</f>
        <v/>
      </c>
      <c r="BE48" s="326" t="str">
        <f aca="false">IF(AH48,IF(VolOverrideEuro,VolOverrideEuro,IF(ProductGroup=1,IF(Product&lt;3,DA48,DE48)+VolSpreadEuro,"N/A")),"")</f>
        <v/>
      </c>
      <c r="BF48" s="323" t="str">
        <f aca="false">IF($AH48,$BE48+IF(SkewFlag=1,IF(BC48&gt;0,$AA48*MIN(BC48/10%,1)+($Z48-$AA48)*MAX(0,MIN(BC48/10%-1,1))+($Y48-$Z48)*MAX(0,BC48/10%-2),$AB48*MIN(-BC48/10%,1)+($AC48-$AB48)*MAX(0,MIN(-BC48/10%-1,1))+($AD48-$AC48)*MAX(0,-BC48/10%-2)),0),"")</f>
        <v/>
      </c>
      <c r="BG48" s="323" t="str">
        <f aca="false">IF($AH48,$BE48+IF(SkewFlag=1,IF(BD48&gt;0,$AA48*MIN(BD48/10%,1)+($Z48-$AA48)*MAX(0,MIN(BD48/10%-1,1))+($Y48-$Z48)*MAX(0,BD48/10%-2),$AB48*MIN(-BD48/10%,1)+($AC48-$AB48)*MAX(0,MIN(-BD48/10%-1,1))+($AD48-$AC48)*MAX(0,-BD48/10%-2)),0),"")</f>
        <v/>
      </c>
      <c r="BH48" s="324" t="n">
        <f aca="false">IF(AH48,xEURO(BB48,Strike1,AE48,AE48,BF48,O48,IF(OptControl=4,0,1),0),0)</f>
        <v>0</v>
      </c>
      <c r="BI48" s="324" t="n">
        <f aca="false">IF(AH48,xEURO(BB48,Strike1,AE48,AE48,BF48,O48,IF(OptControl=4,0,1),1),0)</f>
        <v>0</v>
      </c>
      <c r="BJ48" s="324" t="n">
        <f aca="false">IF(AH48,xEURO(BB48,Strike1,AE48,AE48,BF48,O48,IF(OptControl=4,0,1),2),0)</f>
        <v>0</v>
      </c>
      <c r="BK48" s="324" t="n">
        <f aca="false">IF(AH48,xEURO(BB48,Strike1,AE48,AE48,BF48,O48,IF(OptControl=4,0,1),3)/100,0)</f>
        <v>0</v>
      </c>
      <c r="BL48" s="324" t="n">
        <f aca="false">IF(AH48,xEURO(BB48,Strike1,AE48,AE48,BF48,O48-DaysForThetaCalculation,IF(OptControl=4,0,1),0)-xEURO(BB48,Strike1,AE48,AE48,BF48,O48,IF(OptControl=4,0,1),0),0)</f>
        <v>0</v>
      </c>
      <c r="BM48" s="324" t="n">
        <f aca="false">IF(AH48,xEURO(BB48,Strike2,AE48,AE48,BG48,O48,IF(OptControl=3,1,0),0),0)</f>
        <v>0</v>
      </c>
      <c r="BN48" s="324" t="n">
        <f aca="false">IF(AH48,xEURO(BB48,Strike2,AE48,AE48,BG48,O48,IF(OptControl=3,1,0),1),0)</f>
        <v>0</v>
      </c>
      <c r="BO48" s="324" t="n">
        <f aca="false">IF(AH48,xEURO(BB48,Strike2,AE48,AE48,BG48,O48,IF(OptControl=3,1,0),2),0)</f>
        <v>0</v>
      </c>
      <c r="BP48" s="324" t="n">
        <f aca="false">IF(AH48,xEURO(BB48,Strike2,AE48,AE48,BG48,O48,IF(OptControl=3,1,0),3)/100,0)</f>
        <v>0</v>
      </c>
      <c r="BQ48" s="327" t="n">
        <f aca="false">IF(AH48,xEURO(BB48,Strike2,AE48,AE48,BG48,O48-DaysForThetaCalculation,IF(OptControl=3,1,0),0)-xEURO(BB48,Strike2,AE48,AE48,BG48,O48,IF(OptControl=3,1,0),0),0)</f>
        <v>0</v>
      </c>
      <c r="BR48" s="343"/>
      <c r="BS48" s="314" t="n">
        <v>24.448</v>
      </c>
      <c r="BT48" s="329" t="n">
        <f aca="false">BS48*100/42</f>
        <v>58.2095238095238</v>
      </c>
      <c r="BU48" s="329" t="n">
        <f aca="false">BS49-$U48</f>
        <v>7.80082539682696</v>
      </c>
      <c r="BV48" s="224"/>
      <c r="BW48" s="329" t="n">
        <f aca="false">BW36+VLOOKUP(1900+$L48,ProductSpreadTable,2)</f>
        <v>11.5388181818182</v>
      </c>
      <c r="BX48" s="329" t="n">
        <f aca="false">($V47+BW47)*100/42</f>
        <v>67.5906204906278</v>
      </c>
      <c r="BY48" s="332" t="n">
        <f aca="false">BX49</f>
        <v>65.9809352023601</v>
      </c>
      <c r="BZ48" s="314" t="n">
        <v>21.664</v>
      </c>
      <c r="CA48" s="329" t="n">
        <f aca="false">BZ48*100/42</f>
        <v>51.5809523809524</v>
      </c>
      <c r="CB48" s="329" t="n">
        <f aca="false">BZ48-$U48</f>
        <v>5.49082539682696</v>
      </c>
      <c r="CC48" s="329" t="n">
        <f aca="false">CC36+VLOOKUP(1900+$L48,ProductSpreadTable,3)</f>
        <v>9.22881818181819</v>
      </c>
      <c r="CD48" s="329" t="n">
        <f aca="false">($V48+CC48)*100/42</f>
        <v>60.4809352023601</v>
      </c>
      <c r="CE48" s="333" t="n">
        <f aca="false">CD48-BY48</f>
        <v>-5.50000000000001</v>
      </c>
      <c r="CF48" s="314" t="n">
        <v>22.541</v>
      </c>
      <c r="CG48" s="329" t="n">
        <f aca="false">CF48*100/42</f>
        <v>53.6690476190476</v>
      </c>
      <c r="CH48" s="329" t="n">
        <f aca="false">CF49-$U48</f>
        <v>6.85582539682696</v>
      </c>
      <c r="CI48" s="224"/>
      <c r="CJ48" s="329" t="n">
        <f aca="false">CJ36+VLOOKUP(1900+$L48,ProductSpreadTable,4)</f>
        <v>10.3968181818182</v>
      </c>
      <c r="CK48" s="329" t="n">
        <f aca="false">($V47+CJ47)*100/42</f>
        <v>62.5715728715802</v>
      </c>
      <c r="CL48" s="329" t="n">
        <f aca="false">CK49</f>
        <v>63.2618875833124</v>
      </c>
      <c r="CM48" s="314" t="n">
        <v>21.79</v>
      </c>
      <c r="CN48" s="329" t="n">
        <f aca="false">CM48*100/42</f>
        <v>51.8809523809524</v>
      </c>
      <c r="CO48" s="329" t="n">
        <f aca="false">CM48-$U48</f>
        <v>5.61682539682696</v>
      </c>
      <c r="CP48" s="329" t="n">
        <f aca="false">CP36+VLOOKUP(1900+$L48,ProductSpreadTable,5)</f>
        <v>9.19981818181818</v>
      </c>
      <c r="CQ48" s="329" t="n">
        <f aca="false">($V48+CP48)*100/42</f>
        <v>60.4118875833124</v>
      </c>
      <c r="CR48" s="333" t="n">
        <f aca="false">CQ48-CL48</f>
        <v>-2.85000000000001</v>
      </c>
      <c r="CS48" s="314" t="n">
        <v>23.155</v>
      </c>
      <c r="CT48" s="329" t="n">
        <f aca="false">CS48*100/42</f>
        <v>55.1309523809524</v>
      </c>
      <c r="CU48" s="329" t="n">
        <f aca="false">CT48-CG49</f>
        <v>0.299999999999997</v>
      </c>
      <c r="CV48" s="329" t="n">
        <f aca="false">CV36+VLOOKUP(1900+$L48,ProductSpreadTable,6)</f>
        <v>1.05000000000001</v>
      </c>
      <c r="CW48" s="333" t="n">
        <f aca="false">CL48+CV48</f>
        <v>64.3118875833124</v>
      </c>
      <c r="CX48" s="318" t="n">
        <v>0.207</v>
      </c>
      <c r="CY48" s="326" t="n">
        <f aca="false">CX48-$W48</f>
        <v>0.000136834516937995</v>
      </c>
      <c r="CZ48" s="326" t="n">
        <f aca="false">VLOOKUP(1900+$L48,ProductSpreadTable,7)</f>
        <v>-0.03</v>
      </c>
      <c r="DA48" s="365" t="n">
        <f aca="false">$W48+CZ48</f>
        <v>0.176863165483062</v>
      </c>
      <c r="DB48" s="318" t="n">
        <v>0.207</v>
      </c>
      <c r="DC48" s="326" t="n">
        <f aca="false">DB48-$W48</f>
        <v>0.000136834516937995</v>
      </c>
      <c r="DD48" s="326" t="n">
        <f aca="false">VLOOKUP(1900+$L48,ProductSpreadTable,8)</f>
        <v>0.03</v>
      </c>
      <c r="DE48" s="365" t="n">
        <f aca="false">$W48+DD48</f>
        <v>0.236863165483062</v>
      </c>
      <c r="DG48" s="336"/>
      <c r="DH48" s="314" t="n">
        <v>16.524</v>
      </c>
      <c r="DI48" s="325" t="n">
        <f aca="false">DH48-$U48</f>
        <v>0.350825396826963</v>
      </c>
      <c r="DJ48" s="325" t="n">
        <f aca="false">VLOOKUP(1900+$L48,ResidSpreadTable,2)</f>
        <v>-2</v>
      </c>
      <c r="DK48" s="337" t="n">
        <f aca="false">$V48+DJ48</f>
        <v>14.173174603173</v>
      </c>
      <c r="DL48" s="314" t="n">
        <v>13.974</v>
      </c>
      <c r="DM48" s="325" t="n">
        <f aca="false">DL48-$U48</f>
        <v>-2.19917460317304</v>
      </c>
      <c r="DN48" s="325" t="n">
        <f aca="false">VLOOKUP(1900+$L48,ResidSpreadTable,3)</f>
        <v>-3</v>
      </c>
      <c r="DO48" s="337" t="n">
        <f aca="false">$V48+DN48</f>
        <v>13.173174603173</v>
      </c>
      <c r="DP48" s="314" t="n">
        <v>13.224</v>
      </c>
      <c r="DQ48" s="325" t="n">
        <f aca="false">DP48-$U48</f>
        <v>-2.94917460317304</v>
      </c>
      <c r="DR48" s="325" t="n">
        <f aca="false">VLOOKUP(1900+$L48,ResidSpreadTable,4)</f>
        <v>-6</v>
      </c>
      <c r="DS48" s="337" t="n">
        <f aca="false">$V48+DR48</f>
        <v>10.173174603173</v>
      </c>
      <c r="DT48" s="314" t="n">
        <v>15.474</v>
      </c>
      <c r="DU48" s="325" t="n">
        <f aca="false">DT48-$U48</f>
        <v>-0.699174603173036</v>
      </c>
      <c r="DV48" s="325" t="n">
        <f aca="false">VLOOKUP(1900+$L48,ResidSpreadTable,5)</f>
        <v>-5</v>
      </c>
      <c r="DW48" s="337" t="n">
        <f aca="false">$V48+DV48</f>
        <v>11.173174603173</v>
      </c>
      <c r="DY48" s="29" t="n">
        <v>2010</v>
      </c>
      <c r="DZ48" s="388" t="n">
        <v>-2</v>
      </c>
      <c r="EA48" s="388" t="n">
        <v>-3</v>
      </c>
      <c r="EB48" s="388" t="n">
        <v>-6</v>
      </c>
      <c r="EC48" s="368" t="n">
        <v>-5</v>
      </c>
      <c r="ED48" s="386"/>
      <c r="EE48" s="386"/>
      <c r="EF48" s="386"/>
    </row>
    <row r="49" customFormat="false" ht="12.75" hidden="false" customHeight="false" outlineLevel="0" collapsed="false">
      <c r="B49" s="371" t="n">
        <v>37043</v>
      </c>
      <c r="C49" s="372" t="n">
        <v>37033</v>
      </c>
      <c r="I49" s="338" t="n">
        <f aca="false">EOMONTH(I48,0)+1</f>
        <v>47239</v>
      </c>
      <c r="J49" s="389" t="n">
        <f aca="false">VLOOKUP(I49,$B$12:$C$332,2)</f>
        <v>45644</v>
      </c>
      <c r="K49" s="339" t="n">
        <f aca="false">NETWORKDAYS(I49,J50)/N49</f>
        <v>-49.5652173913044</v>
      </c>
      <c r="L49" s="309" t="n">
        <f aca="false">YEAR(I49)-1900</f>
        <v>129</v>
      </c>
      <c r="M49" s="310" t="n">
        <f aca="false">MONTH(I49)</f>
        <v>5</v>
      </c>
      <c r="N49" s="340" t="n">
        <f aca="false">NETWORKDAYS(I49,I50-1)</f>
        <v>23</v>
      </c>
      <c r="O49" s="341" t="n">
        <f aca="false">I49-DateToday-IF(EuroExpDateToggle=1,3+IF(WEEKDAY(I49-1)=7,1,IF(WEEKDAY(I49-1)&lt;5,2,0)),1+IF(WEEKDAY(I49-1)=7,1,IF(WEEKDAY(I49-1)&lt;3,2,0)))</f>
        <v>1308</v>
      </c>
      <c r="P49" s="342" t="n">
        <f aca="false">(I49-DateToday+1)/365.25</f>
        <v>3.59753593429158</v>
      </c>
      <c r="Q49" s="342" t="n">
        <f aca="false">(I50-DateToday)/365.25</f>
        <v>3.67967145790554</v>
      </c>
      <c r="R49" s="314" t="n">
        <v>19.2466666666667</v>
      </c>
      <c r="S49" s="347" t="n">
        <v>0</v>
      </c>
      <c r="T49" s="316" t="n">
        <f aca="false">R49+S49/100</f>
        <v>19.2466666666667</v>
      </c>
      <c r="U49" s="325" t="n">
        <f aca="false">R50*K49+R51*(1-K49)</f>
        <v>18.4315217391304</v>
      </c>
      <c r="V49" s="337" t="n">
        <f aca="false">T50*K49+T51*(1-K49)</f>
        <v>18.4315217391304</v>
      </c>
      <c r="W49" s="318" t="n">
        <v>0.206539418895698</v>
      </c>
      <c r="X49" s="319" t="str">
        <f aca="false">IF($I49-DateToday+1&gt;=$A$10,"",IF($I49-DateToday+1&lt;$A$5,1,MATCH($I49-DateToday+1,$A$5:$A$10)))</f>
        <v/>
      </c>
      <c r="Y49" s="348" t="n">
        <f aca="false">IF($X49="",Y48^2/Y47,INDEX(B$5:B$10,$X49)^((INDEX($A$5:$A$10,$X49+1)-($I49-DateToday+1))/(INDEX($A$5:$A$10,$X49+1)-INDEX($A$5:$A$10,$X49)))/INDEX(B$5:B$10,$X49+1)^((INDEX($A$5:$A$10,$X49)-($I49-DateToday+1))/(INDEX($A$5:$A$10,$X49+1)-INDEX($A$5:$A$10,$X49))))</f>
        <v>0.00604512559554176</v>
      </c>
      <c r="Z49" s="348" t="n">
        <f aca="false">IF($X49="",Z48^2/Z47,INDEX(C$5:C$10,$X49)^((INDEX($A$5:$A$10,$X49+1)-($I49-DateToday+1))/(INDEX($A$5:$A$10,$X49+1)-INDEX($A$5:$A$10,$X49)))/INDEX(C$5:C$10,$X49+1)^((INDEX($A$5:$A$10,$X49)-($I49-DateToday+1))/(INDEX($A$5:$A$10,$X49+1)-INDEX($A$5:$A$10,$X49))))</f>
        <v>0.00295470527600885</v>
      </c>
      <c r="AA49" s="348" t="n">
        <f aca="false">IF($X49="",AA48^2/AA47,INDEX(D$5:D$10,$X49)^((INDEX($A$5:$A$10,$X49+1)-($I49-DateToday+1))/(INDEX($A$5:$A$10,$X49+1)-INDEX($A$5:$A$10,$X49)))/INDEX(D$5:D$10,$X49+1)^((INDEX($A$5:$A$10,$X49)-($I49-DateToday+1))/(INDEX($A$5:$A$10,$X49+1)-INDEX($A$5:$A$10,$X49))))</f>
        <v>0.00125424629652532</v>
      </c>
      <c r="AB49" s="348" t="n">
        <f aca="false">IF($X49="",AB48^2/AB47,INDEX(E$5:E$10,$X49)^((INDEX($A$5:$A$10,$X49+1)-($I49-DateToday+1))/(INDEX($A$5:$A$10,$X49+1)-INDEX($A$5:$A$10,$X49)))/INDEX(E$5:E$10,$X49+1)^((INDEX($A$5:$A$10,$X49)-($I49-DateToday+1))/(INDEX($A$5:$A$10,$X49+1)-INDEX($A$5:$A$10,$X49))))</f>
        <v>0.00282556605681225</v>
      </c>
      <c r="AC49" s="348" t="n">
        <f aca="false">IF($X49="",AC48^2/AC47,INDEX(F$5:F$10,$X49)^((INDEX($A$5:$A$10,$X49+1)-($I49-DateToday+1))/(INDEX($A$5:$A$10,$X49+1)-INDEX($A$5:$A$10,$X49)))/INDEX(F$5:F$10,$X49+1)^((INDEX($A$5:$A$10,$X49)-($I49-DateToday+1))/(INDEX($A$5:$A$10,$X49+1)-INDEX($A$5:$A$10,$X49))))</f>
        <v>0.00665636004579276</v>
      </c>
      <c r="AD49" s="348" t="n">
        <f aca="false">IF($X49="",AD48^2/AD47,INDEX(G$5:G$10,$X49)^((INDEX($A$5:$A$10,$X49+1)-($I49-DateToday+1))/(INDEX($A$5:$A$10,$X49+1)-INDEX($A$5:$A$10,$X49)))/INDEX(G$5:G$10,$X49+1)^((INDEX($A$5:$A$10,$X49)-($I49-DateToday+1))/(INDEX($A$5:$A$10,$X49+1)-INDEX($A$5:$A$10,$X49))))</f>
        <v>0.0136184589416364</v>
      </c>
      <c r="AE49" s="321" t="n">
        <v>0.072330038663328</v>
      </c>
      <c r="AF49" s="316" t="n">
        <f aca="false">(1+AE49/2)^(-2*(I50-DateToday)/365.25)</f>
        <v>0.769933540000506</v>
      </c>
      <c r="AG49" s="316" t="n">
        <f aca="false">AG48*(1+IF(AND(M49=1,L49&gt;YearStart),Escalation,0))</f>
        <v>1</v>
      </c>
      <c r="AH49" s="322" t="n">
        <f aca="false">IF(OR(DateStart&gt;=I50,DateEnd&lt;I49),0,Volume*AG49)</f>
        <v>0</v>
      </c>
      <c r="AI49" s="322" t="n">
        <f aca="false">AH49*AF49</f>
        <v>0</v>
      </c>
      <c r="AJ49" s="322" t="n">
        <f aca="false">IF(OR(DateStart2&gt;=I50,DateEnd2&lt;I49),0,VolumeSwaption*AG49)</f>
        <v>0</v>
      </c>
      <c r="AK49" s="322" t="n">
        <f aca="false">AJ49*AF49</f>
        <v>0</v>
      </c>
      <c r="AL49" s="316" t="str">
        <f aca="true">IF(AH49,OFFSET(BY49,0,HorizontalPriceOffset)+PriceSpreadAsian,"")</f>
        <v/>
      </c>
      <c r="AM49" s="316" t="str">
        <f aca="false">IF(AH49,Strike1/AL49-1,"")</f>
        <v/>
      </c>
      <c r="AN49" s="316" t="str">
        <f aca="false">IF(AH49,Strike2/AL49-1,"")</f>
        <v/>
      </c>
      <c r="AO49" s="323" t="str">
        <f aca="false">IF(AH49,IF(VolOverrideAsian,VolOverrideAsian,IF(ProductGroup=1,IF(Product&lt;3,DA50,DE50),W50)+VolSpreadAsian),"")</f>
        <v/>
      </c>
      <c r="AP49" s="323" t="str">
        <f aca="false">IF($AH49,$AO49+IF(SkewFlag=1,IF(AM49&gt;0,$AA49*MIN(AM49/10%,1)+($Z49-$AA49)*MAX(0,MIN(AM49/10%-1,1))+($Y49-$Z49)*MAX(0,AM49/10%-2),$AB49*MIN(-AM49/10%,1)+($AC49-$AB49)*MAX(0,MIN(-AM49/10%-1,1))+($AD49-$AC49)*MAX(0,-AM49/10%-2)),0),"")</f>
        <v/>
      </c>
      <c r="AQ49" s="323" t="str">
        <f aca="false">IF($AH49,$AO49+IF(SkewFlag=1,IF(AN49&gt;0,$AA49*MIN(AN49/10%,1)+($Z49-$AA49)*MAX(0,MIN(AN49/10%-1,1))+($Y49-$Z49)*MAX(0,AN49/10%-2),$AB49*MIN(-AN49/10%,1)+($AC49-$AB49)*MAX(0,MIN(-AN49/10%-1,1))+($AD49-$AC49)*MAX(0,-AN49/10%-2)),0),"")</f>
        <v/>
      </c>
      <c r="AR49" s="324" t="n">
        <f aca="false">IF(AH49,xASN(AL49,Strike1,AE49,AP49,0,N49,0,P49,Q49,IF(OptControl=4,0,1),0),0)</f>
        <v>0</v>
      </c>
      <c r="AS49" s="324" t="n">
        <f aca="false">IF(AH49,xASN(AL49,Strike1,AE49,AP49,0,N49,0,P49,Q49,IF(OptControl=4,0,1),1),0)</f>
        <v>0</v>
      </c>
      <c r="AT49" s="324" t="n">
        <f aca="false">IF(AH49,xASN(AL49,Strike1,AE49,AP49,0,N49,0,P49,Q49,IF(OptControl=4,0,1),2),0)</f>
        <v>0</v>
      </c>
      <c r="AU49" s="324" t="n">
        <f aca="false">IF(AH49,xASN(AL49,Strike1,AE49,AP49,0,N49,0,P49,Q49,IF(OptControl=4,0,1),3)/100,0)</f>
        <v>0</v>
      </c>
      <c r="AV49" s="324" t="n">
        <f aca="false">IF(AH49,xASN(AL49,Strike1,AE49,AP49,0,N49,0,P49-DaysForThetaCalculation/365.25,Q49-DaysForThetaCalculation/365.25,IF(OptControl=4,0,1),0)-xASN(AL49,Strike1,AE49,AP49,0,N49,0,P49,Q49,IF(OptControl=4,0,1),0),0)</f>
        <v>0</v>
      </c>
      <c r="AW49" s="324" t="n">
        <f aca="false">IF(AH49,xASN(AL49,Strike2,AE49,AQ49,0,N49,0,P49,Q49,IF(OptControl=3,1,0),0),0)</f>
        <v>0</v>
      </c>
      <c r="AX49" s="324" t="n">
        <f aca="false">IF(AH49,xASN(AL49,Strike2,AE49,AQ49,0,N49,0,P49,Q49,IF(OptControl=3,1,0),1),0)</f>
        <v>0</v>
      </c>
      <c r="AY49" s="324" t="n">
        <f aca="false">IF(AH49,xASN(AL49,Strike2,AE49,AQ49,0,N49,0,P49,Q49,IF(OptControl=3,1,0),2),0)</f>
        <v>0</v>
      </c>
      <c r="AZ49" s="324" t="n">
        <f aca="false">IF(AH49,xASN(AL49,Strike2,AE49,AQ49,0,N49,0,P49,Q49,IF(OptControl=3,1,0),3)/100,0)</f>
        <v>0</v>
      </c>
      <c r="BA49" s="324" t="n">
        <f aca="false">IF(AH49,xASN(AL49,Strike2,AE49,AQ49,0,N49,0,P49-DaysForThetaCalculation/365.25,Q49-DaysForThetaCalculation/365.25,IF(OptControl=3,1,0),0)-xASN(AL49,Strike2,AE49,AQ49,0,N49,0,P49,Q49,IF(OptControl=3,1,0),0),0)</f>
        <v>0</v>
      </c>
      <c r="BB49" s="325" t="str">
        <f aca="false">IF(AH49,IF(ProductGroup=1,IF(Product=1,BX49+PriceSpreadEuro,IF(Product=3,CK49+PriceSpreadEuro,"N/A")),"N/A"),"")</f>
        <v/>
      </c>
      <c r="BC49" s="316" t="str">
        <f aca="false">IF(AH49,Strike1/BB49-1,"")</f>
        <v/>
      </c>
      <c r="BD49" s="316" t="str">
        <f aca="false">IF(AH49,Strike2/BB49-1,"")</f>
        <v/>
      </c>
      <c r="BE49" s="326" t="str">
        <f aca="false">IF(AH49,IF(VolOverrideEuro,VolOverrideEuro,IF(ProductGroup=1,IF(Product&lt;3,DA49,DE49)+VolSpreadEuro,"N/A")),"")</f>
        <v/>
      </c>
      <c r="BF49" s="323" t="str">
        <f aca="false">IF($AH49,$BE49+IF(SkewFlag=1,IF(BC49&gt;0,$AA49*MIN(BC49/10%,1)+($Z49-$AA49)*MAX(0,MIN(BC49/10%-1,1))+($Y49-$Z49)*MAX(0,BC49/10%-2),$AB49*MIN(-BC49/10%,1)+($AC49-$AB49)*MAX(0,MIN(-BC49/10%-1,1))+($AD49-$AC49)*MAX(0,-BC49/10%-2)),0),"")</f>
        <v/>
      </c>
      <c r="BG49" s="323" t="str">
        <f aca="false">IF($AH49,$BE49+IF(SkewFlag=1,IF(BD49&gt;0,$AA49*MIN(BD49/10%,1)+($Z49-$AA49)*MAX(0,MIN(BD49/10%-1,1))+($Y49-$Z49)*MAX(0,BD49/10%-2),$AB49*MIN(-BD49/10%,1)+($AC49-$AB49)*MAX(0,MIN(-BD49/10%-1,1))+($AD49-$AC49)*MAX(0,-BD49/10%-2)),0),"")</f>
        <v/>
      </c>
      <c r="BH49" s="324" t="n">
        <f aca="false">IF(AH49,xEURO(BB49,Strike1,AE49,AE49,BF49,O49,IF(OptControl=4,0,1),0),0)</f>
        <v>0</v>
      </c>
      <c r="BI49" s="324" t="n">
        <f aca="false">IF(AH49,xEURO(BB49,Strike1,AE49,AE49,BF49,O49,IF(OptControl=4,0,1),1),0)</f>
        <v>0</v>
      </c>
      <c r="BJ49" s="324" t="n">
        <f aca="false">IF(AH49,xEURO(BB49,Strike1,AE49,AE49,BF49,O49,IF(OptControl=4,0,1),2),0)</f>
        <v>0</v>
      </c>
      <c r="BK49" s="324" t="n">
        <f aca="false">IF(AH49,xEURO(BB49,Strike1,AE49,AE49,BF49,O49,IF(OptControl=4,0,1),3)/100,0)</f>
        <v>0</v>
      </c>
      <c r="BL49" s="324" t="n">
        <f aca="false">IF(AH49,xEURO(BB49,Strike1,AE49,AE49,BF49,O49-DaysForThetaCalculation,IF(OptControl=4,0,1),0)-xEURO(BB49,Strike1,AE49,AE49,BF49,O49,IF(OptControl=4,0,1),0),0)</f>
        <v>0</v>
      </c>
      <c r="BM49" s="324" t="n">
        <f aca="false">IF(AH49,xEURO(BB49,Strike2,AE49,AE49,BG49,O49,IF(OptControl=3,1,0),0),0)</f>
        <v>0</v>
      </c>
      <c r="BN49" s="324" t="n">
        <f aca="false">IF(AH49,xEURO(BB49,Strike2,AE49,AE49,BG49,O49,IF(OptControl=3,1,0),1),0)</f>
        <v>0</v>
      </c>
      <c r="BO49" s="324" t="n">
        <f aca="false">IF(AH49,xEURO(BB49,Strike2,AE49,AE49,BG49,O49,IF(OptControl=3,1,0),2),0)</f>
        <v>0</v>
      </c>
      <c r="BP49" s="324" t="n">
        <f aca="false">IF(AH49,xEURO(BB49,Strike2,AE49,AE49,BG49,O49,IF(OptControl=3,1,0),3)/100,0)</f>
        <v>0</v>
      </c>
      <c r="BQ49" s="327" t="n">
        <f aca="false">IF(AH49,xEURO(BB49,Strike2,AE49,AE49,BG49,O49-DaysForThetaCalculation,IF(OptControl=3,1,0),0)-xEURO(BB49,Strike2,AE49,AE49,BG49,O49,IF(OptControl=3,1,0),0),0)</f>
        <v>0</v>
      </c>
      <c r="BR49" s="343"/>
      <c r="BS49" s="314" t="n">
        <v>23.974</v>
      </c>
      <c r="BT49" s="329" t="n">
        <f aca="false">BS49*100/42</f>
        <v>57.0809523809524</v>
      </c>
      <c r="BU49" s="329" t="n">
        <f aca="false">BS50-$U49</f>
        <v>5.3484782608696</v>
      </c>
      <c r="BV49" s="224"/>
      <c r="BW49" s="329" t="n">
        <f aca="false">BW37+VLOOKUP(1900+$L49,ProductSpreadTable,2)</f>
        <v>11.5470952380953</v>
      </c>
      <c r="BX49" s="329" t="n">
        <f aca="false">($V48+BW48)*100/42</f>
        <v>65.9809352023601</v>
      </c>
      <c r="BY49" s="332" t="n">
        <f aca="false">BX50</f>
        <v>71.377659469585</v>
      </c>
      <c r="BZ49" s="314" t="n">
        <v>21.47</v>
      </c>
      <c r="CA49" s="329" t="n">
        <f aca="false">BZ49*100/42</f>
        <v>51.1190476190476</v>
      </c>
      <c r="CB49" s="329" t="n">
        <f aca="false">BZ49-$U49</f>
        <v>3.0384782608696</v>
      </c>
      <c r="CC49" s="329" t="n">
        <f aca="false">CC37+VLOOKUP(1900+$L49,ProductSpreadTable,3)</f>
        <v>9.23709523809531</v>
      </c>
      <c r="CD49" s="329" t="n">
        <f aca="false">($V49+CC49)*100/42</f>
        <v>65.877659469585</v>
      </c>
      <c r="CE49" s="333" t="n">
        <f aca="false">CD49-BY49</f>
        <v>-5.5</v>
      </c>
      <c r="CF49" s="314" t="n">
        <v>23.029</v>
      </c>
      <c r="CG49" s="329" t="n">
        <f aca="false">CF49*100/42</f>
        <v>54.8309523809524</v>
      </c>
      <c r="CH49" s="329" t="n">
        <f aca="false">CF50-$U49</f>
        <v>5.1224782608696</v>
      </c>
      <c r="CI49" s="224"/>
      <c r="CJ49" s="329" t="n">
        <f aca="false">CJ37+VLOOKUP(1900+$L49,ProductSpreadTable,4)</f>
        <v>11.1190952380953</v>
      </c>
      <c r="CK49" s="329" t="n">
        <f aca="false">($V48+CJ48)*100/42</f>
        <v>63.2618875833124</v>
      </c>
      <c r="CL49" s="329" t="n">
        <f aca="false">CK50</f>
        <v>70.3586118505374</v>
      </c>
      <c r="CM49" s="314" t="n">
        <v>22.315</v>
      </c>
      <c r="CN49" s="329" t="n">
        <f aca="false">CM49*100/42</f>
        <v>53.1309523809524</v>
      </c>
      <c r="CO49" s="329" t="n">
        <f aca="false">CM49-$U49</f>
        <v>3.8834782608696</v>
      </c>
      <c r="CP49" s="329" t="n">
        <f aca="false">CP37+VLOOKUP(1900+$L49,ProductSpreadTable,5)</f>
        <v>9.92209523809532</v>
      </c>
      <c r="CQ49" s="329" t="n">
        <f aca="false">($V49+CP49)*100/42</f>
        <v>67.5086118505374</v>
      </c>
      <c r="CR49" s="333" t="n">
        <f aca="false">CQ49-CL49</f>
        <v>-2.84999999999998</v>
      </c>
      <c r="CS49" s="314" t="n">
        <v>23.68</v>
      </c>
      <c r="CT49" s="329" t="n">
        <f aca="false">CS49*100/42</f>
        <v>56.3809523809524</v>
      </c>
      <c r="CU49" s="329" t="n">
        <f aca="false">CT49-CG50</f>
        <v>0.299999999999997</v>
      </c>
      <c r="CV49" s="329" t="n">
        <f aca="false">CV37+VLOOKUP(1900+$L49,ProductSpreadTable,6)</f>
        <v>1.05000000000001</v>
      </c>
      <c r="CW49" s="333" t="n">
        <f aca="false">CL49+CV49</f>
        <v>71.4086118505374</v>
      </c>
      <c r="CX49" s="318" t="n">
        <v>0.207</v>
      </c>
      <c r="CY49" s="326" t="n">
        <f aca="false">CX49-$W49</f>
        <v>0.000460581104301971</v>
      </c>
      <c r="CZ49" s="326" t="n">
        <f aca="false">VLOOKUP(1900+$L49,ProductSpreadTable,7)</f>
        <v>-0.03</v>
      </c>
      <c r="DA49" s="365" t="n">
        <f aca="false">$W49+CZ49</f>
        <v>0.176539418895698</v>
      </c>
      <c r="DB49" s="318" t="n">
        <v>0.207</v>
      </c>
      <c r="DC49" s="326" t="n">
        <f aca="false">DB49-$W49</f>
        <v>0.000460581104301971</v>
      </c>
      <c r="DD49" s="326" t="n">
        <f aca="false">VLOOKUP(1900+$L49,ProductSpreadTable,8)</f>
        <v>0.03</v>
      </c>
      <c r="DE49" s="365" t="n">
        <f aca="false">$W49+DD49</f>
        <v>0.236539418895698</v>
      </c>
      <c r="DG49" s="336"/>
      <c r="DH49" s="314" t="n">
        <v>16.486</v>
      </c>
      <c r="DI49" s="325" t="n">
        <f aca="false">DH49-$U49</f>
        <v>-1.9455217391304</v>
      </c>
      <c r="DJ49" s="325" t="n">
        <f aca="false">VLOOKUP(1900+$L49,ResidSpreadTable,2)</f>
        <v>-2</v>
      </c>
      <c r="DK49" s="337" t="n">
        <f aca="false">$V49+DJ49</f>
        <v>16.4315217391304</v>
      </c>
      <c r="DL49" s="314" t="n">
        <v>13.936</v>
      </c>
      <c r="DM49" s="325" t="n">
        <f aca="false">DL49-$U49</f>
        <v>-4.4955217391304</v>
      </c>
      <c r="DN49" s="325" t="n">
        <f aca="false">VLOOKUP(1900+$L49,ResidSpreadTable,3)</f>
        <v>-3</v>
      </c>
      <c r="DO49" s="337" t="n">
        <f aca="false">$V49+DN49</f>
        <v>15.4315217391304</v>
      </c>
      <c r="DP49" s="314" t="n">
        <v>13.186</v>
      </c>
      <c r="DQ49" s="325" t="n">
        <f aca="false">DP49-$U49</f>
        <v>-5.2455217391304</v>
      </c>
      <c r="DR49" s="325" t="n">
        <f aca="false">VLOOKUP(1900+$L49,ResidSpreadTable,4)</f>
        <v>-6</v>
      </c>
      <c r="DS49" s="337" t="n">
        <f aca="false">$V49+DR49</f>
        <v>12.4315217391304</v>
      </c>
      <c r="DT49" s="314" t="n">
        <v>15.436</v>
      </c>
      <c r="DU49" s="325" t="n">
        <f aca="false">DT49-$U49</f>
        <v>-2.9955217391304</v>
      </c>
      <c r="DV49" s="325" t="n">
        <f aca="false">VLOOKUP(1900+$L49,ResidSpreadTable,5)</f>
        <v>-5</v>
      </c>
      <c r="DW49" s="337" t="n">
        <f aca="false">$V49+DV49</f>
        <v>13.4315217391304</v>
      </c>
      <c r="DY49" s="29" t="n">
        <v>2011</v>
      </c>
      <c r="DZ49" s="388" t="n">
        <v>-2</v>
      </c>
      <c r="EA49" s="388" t="n">
        <v>-3</v>
      </c>
      <c r="EB49" s="388" t="n">
        <v>-6</v>
      </c>
      <c r="EC49" s="368" t="n">
        <v>-5</v>
      </c>
      <c r="ED49" s="386"/>
      <c r="EE49" s="386"/>
      <c r="EF49" s="386"/>
    </row>
    <row r="50" customFormat="false" ht="12.75" hidden="false" customHeight="false" outlineLevel="0" collapsed="false">
      <c r="B50" s="371" t="n">
        <v>37073</v>
      </c>
      <c r="C50" s="372" t="n">
        <v>37062</v>
      </c>
      <c r="I50" s="338" t="n">
        <f aca="false">EOMONTH(I49,0)+1</f>
        <v>47270</v>
      </c>
      <c r="J50" s="389" t="n">
        <f aca="false">VLOOKUP(I50,$B$12:$C$332,2)</f>
        <v>45644</v>
      </c>
      <c r="K50" s="339" t="n">
        <f aca="false">NETWORKDAYS(I50,J51)/N50</f>
        <v>-55.3809523809524</v>
      </c>
      <c r="L50" s="309" t="n">
        <f aca="false">YEAR(I50)-1900</f>
        <v>129</v>
      </c>
      <c r="M50" s="310" t="n">
        <f aca="false">MONTH(I50)</f>
        <v>6</v>
      </c>
      <c r="N50" s="340" t="n">
        <f aca="false">NETWORKDAYS(I50,I51-1)</f>
        <v>21</v>
      </c>
      <c r="O50" s="341" t="n">
        <f aca="false">I50-DateToday-IF(EuroExpDateToggle=1,3+IF(WEEKDAY(I50-1)=7,1,IF(WEEKDAY(I50-1)&lt;5,2,0)),1+IF(WEEKDAY(I50-1)=7,1,IF(WEEKDAY(I50-1)&lt;3,2,0)))</f>
        <v>1341</v>
      </c>
      <c r="P50" s="342" t="n">
        <f aca="false">(I50-DateToday+1)/365.25</f>
        <v>3.68240930869268</v>
      </c>
      <c r="Q50" s="342" t="n">
        <f aca="false">(I51-DateToday)/365.25</f>
        <v>3.76180698151951</v>
      </c>
      <c r="R50" s="314" t="n">
        <v>19.19</v>
      </c>
      <c r="S50" s="347" t="n">
        <v>0</v>
      </c>
      <c r="T50" s="316" t="n">
        <f aca="false">R50+S50/100</f>
        <v>19.19</v>
      </c>
      <c r="U50" s="325" t="n">
        <f aca="false">R51*K50+R52*(1-K50)</f>
        <v>18.3292857142856</v>
      </c>
      <c r="V50" s="337" t="n">
        <f aca="false">T51*K50+T52*(1-K50)</f>
        <v>18.3292857142856</v>
      </c>
      <c r="W50" s="318" t="n">
        <v>0.205144999153535</v>
      </c>
      <c r="X50" s="319" t="str">
        <f aca="false">IF($I50-DateToday+1&gt;=$A$10,"",IF($I50-DateToday+1&lt;$A$5,1,MATCH($I50-DateToday+1,$A$5:$A$10)))</f>
        <v/>
      </c>
      <c r="Y50" s="348" t="n">
        <f aca="false">IF($X50="",Y49^2/Y48,INDEX(B$5:B$10,$X50)^((INDEX($A$5:$A$10,$X50+1)-($I50-DateToday+1))/(INDEX($A$5:$A$10,$X50+1)-INDEX($A$5:$A$10,$X50)))/INDEX(B$5:B$10,$X50+1)^((INDEX($A$5:$A$10,$X50)-($I50-DateToday+1))/(INDEX($A$5:$A$10,$X50+1)-INDEX($A$5:$A$10,$X50))))</f>
        <v>0.00591570865073762</v>
      </c>
      <c r="Z50" s="348" t="n">
        <f aca="false">IF($X50="",Z49^2/Z48,INDEX(C$5:C$10,$X50)^((INDEX($A$5:$A$10,$X50+1)-($I50-DateToday+1))/(INDEX($A$5:$A$10,$X50+1)-INDEX($A$5:$A$10,$X50)))/INDEX(C$5:C$10,$X50+1)^((INDEX($A$5:$A$10,$X50)-($I50-DateToday+1))/(INDEX($A$5:$A$10,$X50+1)-INDEX($A$5:$A$10,$X50))))</f>
        <v>0.00287596855897053</v>
      </c>
      <c r="AA50" s="348" t="n">
        <f aca="false">IF($X50="",AA49^2/AA48,INDEX(D$5:D$10,$X50)^((INDEX($A$5:$A$10,$X50+1)-($I50-DateToday+1))/(INDEX($A$5:$A$10,$X50+1)-INDEX($A$5:$A$10,$X50)))/INDEX(D$5:D$10,$X50+1)^((INDEX($A$5:$A$10,$X50)-($I50-DateToday+1))/(INDEX($A$5:$A$10,$X50+1)-INDEX($A$5:$A$10,$X50))))</f>
        <v>0.00121754950240398</v>
      </c>
      <c r="AB50" s="348" t="n">
        <f aca="false">IF($X50="",AB49^2/AB48,INDEX(E$5:E$10,$X50)^((INDEX($A$5:$A$10,$X50+1)-($I50-DateToday+1))/(INDEX($A$5:$A$10,$X50+1)-INDEX($A$5:$A$10,$X50)))/INDEX(E$5:E$10,$X50+1)^((INDEX($A$5:$A$10,$X50)-($I50-DateToday+1))/(INDEX($A$5:$A$10,$X50+1)-INDEX($A$5:$A$10,$X50))))</f>
        <v>0.0027428955190157</v>
      </c>
      <c r="AC50" s="348" t="n">
        <f aca="false">IF($X50="",AC49^2/AC48,INDEX(F$5:F$10,$X50)^((INDEX($A$5:$A$10,$X50+1)-($I50-DateToday+1))/(INDEX($A$5:$A$10,$X50+1)-INDEX($A$5:$A$10,$X50)))/INDEX(F$5:F$10,$X50+1)^((INDEX($A$5:$A$10,$X50)-($I50-DateToday+1))/(INDEX($A$5:$A$10,$X50+1)-INDEX($A$5:$A$10,$X50))))</f>
        <v>0.00647898196964882</v>
      </c>
      <c r="AD50" s="348" t="n">
        <f aca="false">IF($X50="",AD49^2/AD48,INDEX(G$5:G$10,$X50)^((INDEX($A$5:$A$10,$X50+1)-($I50-DateToday+1))/(INDEX($A$5:$A$10,$X50+1)-INDEX($A$5:$A$10,$X50)))/INDEX(G$5:G$10,$X50+1)^((INDEX($A$5:$A$10,$X50)-($I50-DateToday+1))/(INDEX($A$5:$A$10,$X50+1)-INDEX($A$5:$A$10,$X50))))</f>
        <v>0.0133269084483816</v>
      </c>
      <c r="AE50" s="321" t="n">
        <v>0.072371017748127</v>
      </c>
      <c r="AF50" s="316" t="n">
        <f aca="false">(1+AE50/2)^(-2*(I51-DateToday)/365.25)</f>
        <v>0.76533945264132</v>
      </c>
      <c r="AG50" s="316" t="n">
        <f aca="false">AG49*(1+IF(AND(M50=1,L50&gt;YearStart),Escalation,0))</f>
        <v>1</v>
      </c>
      <c r="AH50" s="322" t="n">
        <f aca="false">IF(OR(DateStart&gt;=I51,DateEnd&lt;I50),0,Volume*AG50)</f>
        <v>0</v>
      </c>
      <c r="AI50" s="322" t="n">
        <f aca="false">AH50*AF50</f>
        <v>0</v>
      </c>
      <c r="AJ50" s="322" t="n">
        <f aca="false">IF(OR(DateStart2&gt;=I51,DateEnd2&lt;I50),0,VolumeSwaption*AG50)</f>
        <v>0</v>
      </c>
      <c r="AK50" s="322" t="n">
        <f aca="false">AJ50*AF50</f>
        <v>0</v>
      </c>
      <c r="AL50" s="316" t="str">
        <f aca="true">IF(AH50,OFFSET(BY50,0,HorizontalPriceOffset)+PriceSpreadAsian,"")</f>
        <v/>
      </c>
      <c r="AM50" s="316" t="str">
        <f aca="false">IF(AH50,Strike1/AL50-1,"")</f>
        <v/>
      </c>
      <c r="AN50" s="316" t="str">
        <f aca="false">IF(AH50,Strike2/AL50-1,"")</f>
        <v/>
      </c>
      <c r="AO50" s="323" t="str">
        <f aca="false">IF(AH50,IF(VolOverrideAsian,VolOverrideAsian,IF(ProductGroup=1,IF(Product&lt;3,DA51,DE51),W51)+VolSpreadAsian),"")</f>
        <v/>
      </c>
      <c r="AP50" s="323" t="str">
        <f aca="false">IF($AH50,$AO50+IF(SkewFlag=1,IF(AM50&gt;0,$AA50*MIN(AM50/10%,1)+($Z50-$AA50)*MAX(0,MIN(AM50/10%-1,1))+($Y50-$Z50)*MAX(0,AM50/10%-2),$AB50*MIN(-AM50/10%,1)+($AC50-$AB50)*MAX(0,MIN(-AM50/10%-1,1))+($AD50-$AC50)*MAX(0,-AM50/10%-2)),0),"")</f>
        <v/>
      </c>
      <c r="AQ50" s="323" t="str">
        <f aca="false">IF($AH50,$AO50+IF(SkewFlag=1,IF(AN50&gt;0,$AA50*MIN(AN50/10%,1)+($Z50-$AA50)*MAX(0,MIN(AN50/10%-1,1))+($Y50-$Z50)*MAX(0,AN50/10%-2),$AB50*MIN(-AN50/10%,1)+($AC50-$AB50)*MAX(0,MIN(-AN50/10%-1,1))+($AD50-$AC50)*MAX(0,-AN50/10%-2)),0),"")</f>
        <v/>
      </c>
      <c r="AR50" s="324" t="n">
        <f aca="false">IF(AH50,xASN(AL50,Strike1,AE50,AP50,0,N50,0,P50,Q50,IF(OptControl=4,0,1),0),0)</f>
        <v>0</v>
      </c>
      <c r="AS50" s="324" t="n">
        <f aca="false">IF(AH50,xASN(AL50,Strike1,AE50,AP50,0,N50,0,P50,Q50,IF(OptControl=4,0,1),1),0)</f>
        <v>0</v>
      </c>
      <c r="AT50" s="324" t="n">
        <f aca="false">IF(AH50,xASN(AL50,Strike1,AE50,AP50,0,N50,0,P50,Q50,IF(OptControl=4,0,1),2),0)</f>
        <v>0</v>
      </c>
      <c r="AU50" s="324" t="n">
        <f aca="false">IF(AH50,xASN(AL50,Strike1,AE50,AP50,0,N50,0,P50,Q50,IF(OptControl=4,0,1),3)/100,0)</f>
        <v>0</v>
      </c>
      <c r="AV50" s="324" t="n">
        <f aca="false">IF(AH50,xASN(AL50,Strike1,AE50,AP50,0,N50,0,P50-DaysForThetaCalculation/365.25,Q50-DaysForThetaCalculation/365.25,IF(OptControl=4,0,1),0)-xASN(AL50,Strike1,AE50,AP50,0,N50,0,P50,Q50,IF(OptControl=4,0,1),0),0)</f>
        <v>0</v>
      </c>
      <c r="AW50" s="324" t="n">
        <f aca="false">IF(AH50,xASN(AL50,Strike2,AE50,AQ50,0,N50,0,P50,Q50,IF(OptControl=3,1,0),0),0)</f>
        <v>0</v>
      </c>
      <c r="AX50" s="324" t="n">
        <f aca="false">IF(AH50,xASN(AL50,Strike2,AE50,AQ50,0,N50,0,P50,Q50,IF(OptControl=3,1,0),1),0)</f>
        <v>0</v>
      </c>
      <c r="AY50" s="324" t="n">
        <f aca="false">IF(AH50,xASN(AL50,Strike2,AE50,AQ50,0,N50,0,P50,Q50,IF(OptControl=3,1,0),2),0)</f>
        <v>0</v>
      </c>
      <c r="AZ50" s="324" t="n">
        <f aca="false">IF(AH50,xASN(AL50,Strike2,AE50,AQ50,0,N50,0,P50,Q50,IF(OptControl=3,1,0),3)/100,0)</f>
        <v>0</v>
      </c>
      <c r="BA50" s="324" t="n">
        <f aca="false">IF(AH50,xASN(AL50,Strike2,AE50,AQ50,0,N50,0,P50-DaysForThetaCalculation/365.25,Q50-DaysForThetaCalculation/365.25,IF(OptControl=3,1,0),0)-xASN(AL50,Strike2,AE50,AQ50,0,N50,0,P50,Q50,IF(OptControl=3,1,0),0),0)</f>
        <v>0</v>
      </c>
      <c r="BB50" s="325" t="str">
        <f aca="false">IF(AH50,IF(ProductGroup=1,IF(Product=1,BX50+PriceSpreadEuro,IF(Product=3,CK50+PriceSpreadEuro,"N/A")),"N/A"),"")</f>
        <v/>
      </c>
      <c r="BC50" s="316" t="str">
        <f aca="false">IF(AH50,Strike1/BB50-1,"")</f>
        <v/>
      </c>
      <c r="BD50" s="316" t="str">
        <f aca="false">IF(AH50,Strike2/BB50-1,"")</f>
        <v/>
      </c>
      <c r="BE50" s="326" t="str">
        <f aca="false">IF(AH50,IF(VolOverrideEuro,VolOverrideEuro,IF(ProductGroup=1,IF(Product&lt;3,DA50,DE50)+VolSpreadEuro,"N/A")),"")</f>
        <v/>
      </c>
      <c r="BF50" s="323" t="str">
        <f aca="false">IF($AH50,$BE50+IF(SkewFlag=1,IF(BC50&gt;0,$AA50*MIN(BC50/10%,1)+($Z50-$AA50)*MAX(0,MIN(BC50/10%-1,1))+($Y50-$Z50)*MAX(0,BC50/10%-2),$AB50*MIN(-BC50/10%,1)+($AC50-$AB50)*MAX(0,MIN(-BC50/10%-1,1))+($AD50-$AC50)*MAX(0,-BC50/10%-2)),0),"")</f>
        <v/>
      </c>
      <c r="BG50" s="323" t="str">
        <f aca="false">IF($AH50,$BE50+IF(SkewFlag=1,IF(BD50&gt;0,$AA50*MIN(BD50/10%,1)+($Z50-$AA50)*MAX(0,MIN(BD50/10%-1,1))+($Y50-$Z50)*MAX(0,BD50/10%-2),$AB50*MIN(-BD50/10%,1)+($AC50-$AB50)*MAX(0,MIN(-BD50/10%-1,1))+($AD50-$AC50)*MAX(0,-BD50/10%-2)),0),"")</f>
        <v/>
      </c>
      <c r="BH50" s="324" t="n">
        <f aca="false">IF(AH50,xEURO(BB50,Strike1,AE50,AE50,BF50,O50,IF(OptControl=4,0,1),0),0)</f>
        <v>0</v>
      </c>
      <c r="BI50" s="324" t="n">
        <f aca="false">IF(AH50,xEURO(BB50,Strike1,AE50,AE50,BF50,O50,IF(OptControl=4,0,1),1),0)</f>
        <v>0</v>
      </c>
      <c r="BJ50" s="324" t="n">
        <f aca="false">IF(AH50,xEURO(BB50,Strike1,AE50,AE50,BF50,O50,IF(OptControl=4,0,1),2),0)</f>
        <v>0</v>
      </c>
      <c r="BK50" s="324" t="n">
        <f aca="false">IF(AH50,xEURO(BB50,Strike1,AE50,AE50,BF50,O50,IF(OptControl=4,0,1),3)/100,0)</f>
        <v>0</v>
      </c>
      <c r="BL50" s="324" t="n">
        <f aca="false">IF(AH50,xEURO(BB50,Strike1,AE50,AE50,BF50,O50-DaysForThetaCalculation,IF(OptControl=4,0,1),0)-xEURO(BB50,Strike1,AE50,AE50,BF50,O50,IF(OptControl=4,0,1),0),0)</f>
        <v>0</v>
      </c>
      <c r="BM50" s="324" t="n">
        <f aca="false">IF(AH50,xEURO(BB50,Strike2,AE50,AE50,BG50,O50,IF(OptControl=3,1,0),0),0)</f>
        <v>0</v>
      </c>
      <c r="BN50" s="324" t="n">
        <f aca="false">IF(AH50,xEURO(BB50,Strike2,AE50,AE50,BG50,O50,IF(OptControl=3,1,0),1),0)</f>
        <v>0</v>
      </c>
      <c r="BO50" s="324" t="n">
        <f aca="false">IF(AH50,xEURO(BB50,Strike2,AE50,AE50,BG50,O50,IF(OptControl=3,1,0),2),0)</f>
        <v>0</v>
      </c>
      <c r="BP50" s="324" t="n">
        <f aca="false">IF(AH50,xEURO(BB50,Strike2,AE50,AE50,BG50,O50,IF(OptControl=3,1,0),3)/100,0)</f>
        <v>0</v>
      </c>
      <c r="BQ50" s="327" t="n">
        <f aca="false">IF(AH50,xEURO(BB50,Strike2,AE50,AE50,BG50,O50-DaysForThetaCalculation,IF(OptControl=3,1,0),0)-xEURO(BB50,Strike2,AE50,AE50,BG50,O50,IF(OptControl=3,1,0),0),0)</f>
        <v>0</v>
      </c>
      <c r="BR50" s="343"/>
      <c r="BS50" s="314" t="n">
        <v>23.78</v>
      </c>
      <c r="BT50" s="329" t="n">
        <f aca="false">BS50*100/42</f>
        <v>56.6190476190476</v>
      </c>
      <c r="BU50" s="329" t="n">
        <f aca="false">BS51-$U50</f>
        <v>5.59771428571444</v>
      </c>
      <c r="BV50" s="224"/>
      <c r="BW50" s="329" t="n">
        <f aca="false">BW38+VLOOKUP(1900+$L50,ProductSpreadTable,2)</f>
        <v>11.4418181818182</v>
      </c>
      <c r="BX50" s="329" t="n">
        <f aca="false">($V49+BW49)*100/42</f>
        <v>71.377659469585</v>
      </c>
      <c r="BY50" s="332" t="n">
        <f aca="false">BX51</f>
        <v>70.8835807050089</v>
      </c>
      <c r="BZ50" s="314" t="n">
        <v>21.617</v>
      </c>
      <c r="CA50" s="329" t="n">
        <f aca="false">BZ50*100/42</f>
        <v>51.4690476190476</v>
      </c>
      <c r="CB50" s="329" t="n">
        <f aca="false">BZ50-$U50</f>
        <v>3.28771428571444</v>
      </c>
      <c r="CC50" s="329" t="n">
        <f aca="false">CC38+VLOOKUP(1900+$L50,ProductSpreadTable,3)</f>
        <v>9.13181818181819</v>
      </c>
      <c r="CD50" s="329" t="n">
        <f aca="false">($V50+CC50)*100/42</f>
        <v>65.3835807050089</v>
      </c>
      <c r="CE50" s="333" t="n">
        <f aca="false">CD50-BY50</f>
        <v>-5.5</v>
      </c>
      <c r="CF50" s="314" t="n">
        <v>23.554</v>
      </c>
      <c r="CG50" s="329" t="n">
        <f aca="false">CF50*100/42</f>
        <v>56.0809523809524</v>
      </c>
      <c r="CH50" s="329" t="n">
        <f aca="false">CF51-$U50</f>
        <v>5.55571428571444</v>
      </c>
      <c r="CI50" s="224"/>
      <c r="CJ50" s="329" t="n">
        <f aca="false">CJ38+VLOOKUP(1900+$L50,ProductSpreadTable,4)</f>
        <v>11.2028181818182</v>
      </c>
      <c r="CK50" s="329" t="n">
        <f aca="false">($V49+CJ49)*100/42</f>
        <v>70.3586118505374</v>
      </c>
      <c r="CL50" s="329" t="n">
        <f aca="false">CK51</f>
        <v>70.3145330859613</v>
      </c>
      <c r="CM50" s="314" t="n">
        <v>22.646</v>
      </c>
      <c r="CN50" s="329" t="n">
        <f aca="false">CM50*100/42</f>
        <v>53.9190476190476</v>
      </c>
      <c r="CO50" s="329" t="n">
        <f aca="false">CM50-$U50</f>
        <v>4.31671428571444</v>
      </c>
      <c r="CP50" s="329" t="n">
        <f aca="false">CP38+VLOOKUP(1900+$L50,ProductSpreadTable,5)</f>
        <v>10.0058181818182</v>
      </c>
      <c r="CQ50" s="329" t="n">
        <f aca="false">($V50+CP50)*100/42</f>
        <v>67.4645330859613</v>
      </c>
      <c r="CR50" s="333" t="n">
        <f aca="false">CQ50-CL50</f>
        <v>-2.84999999999999</v>
      </c>
      <c r="CS50" s="314" t="n">
        <v>24.011</v>
      </c>
      <c r="CT50" s="329" t="n">
        <f aca="false">CS50*100/42</f>
        <v>57.1690476190476</v>
      </c>
      <c r="CU50" s="329" t="n">
        <f aca="false">CT50-CG51</f>
        <v>0.299999999999997</v>
      </c>
      <c r="CV50" s="329" t="n">
        <f aca="false">CV38+VLOOKUP(1900+$L50,ProductSpreadTable,6)</f>
        <v>1.05000000000001</v>
      </c>
      <c r="CW50" s="333" t="n">
        <f aca="false">CL50+CV50</f>
        <v>71.3645330859613</v>
      </c>
      <c r="CX50" s="318" t="n">
        <v>0.205</v>
      </c>
      <c r="CY50" s="326" t="n">
        <f aca="false">CX50-$W50</f>
        <v>-0.000144999153535053</v>
      </c>
      <c r="CZ50" s="326" t="n">
        <f aca="false">VLOOKUP(1900+$L50,ProductSpreadTable,7)</f>
        <v>-0.03</v>
      </c>
      <c r="DA50" s="365" t="n">
        <f aca="false">$W50+CZ50</f>
        <v>0.175144999153535</v>
      </c>
      <c r="DB50" s="318" t="n">
        <v>0.205</v>
      </c>
      <c r="DC50" s="326" t="n">
        <f aca="false">DB50-$W50</f>
        <v>-0.000144999153535053</v>
      </c>
      <c r="DD50" s="326" t="n">
        <f aca="false">VLOOKUP(1900+$L50,ProductSpreadTable,8)</f>
        <v>0.03</v>
      </c>
      <c r="DE50" s="365" t="n">
        <f aca="false">$W50+DD50</f>
        <v>0.235144999153535</v>
      </c>
      <c r="DG50" s="336"/>
      <c r="DH50" s="314" t="n">
        <v>16.47</v>
      </c>
      <c r="DI50" s="325" t="n">
        <f aca="false">DH50-$U50</f>
        <v>-1.85928571428556</v>
      </c>
      <c r="DJ50" s="325" t="n">
        <f aca="false">VLOOKUP(1900+$L50,ResidSpreadTable,2)</f>
        <v>-2</v>
      </c>
      <c r="DK50" s="337" t="n">
        <f aca="false">$V50+DJ50</f>
        <v>16.3292857142856</v>
      </c>
      <c r="DL50" s="314" t="n">
        <v>13.92</v>
      </c>
      <c r="DM50" s="325" t="n">
        <f aca="false">DL50-$U50</f>
        <v>-4.40928571428556</v>
      </c>
      <c r="DN50" s="325" t="n">
        <f aca="false">VLOOKUP(1900+$L50,ResidSpreadTable,3)</f>
        <v>-3</v>
      </c>
      <c r="DO50" s="337" t="n">
        <f aca="false">$V50+DN50</f>
        <v>15.3292857142856</v>
      </c>
      <c r="DP50" s="314" t="n">
        <v>13.17</v>
      </c>
      <c r="DQ50" s="325" t="n">
        <f aca="false">DP50-$U50</f>
        <v>-5.15928571428556</v>
      </c>
      <c r="DR50" s="325" t="n">
        <f aca="false">VLOOKUP(1900+$L50,ResidSpreadTable,4)</f>
        <v>-6</v>
      </c>
      <c r="DS50" s="337" t="n">
        <f aca="false">$V50+DR50</f>
        <v>12.3292857142856</v>
      </c>
      <c r="DT50" s="314" t="n">
        <v>15.42</v>
      </c>
      <c r="DU50" s="325" t="n">
        <f aca="false">DT50-$U50</f>
        <v>-2.90928571428556</v>
      </c>
      <c r="DV50" s="325" t="n">
        <f aca="false">VLOOKUP(1900+$L50,ResidSpreadTable,5)</f>
        <v>-5</v>
      </c>
      <c r="DW50" s="337" t="n">
        <f aca="false">$V50+DV50</f>
        <v>13.3292857142856</v>
      </c>
      <c r="DY50" s="29" t="n">
        <v>2012</v>
      </c>
      <c r="DZ50" s="388" t="n">
        <v>-2</v>
      </c>
      <c r="EA50" s="388" t="n">
        <v>-3</v>
      </c>
      <c r="EB50" s="388" t="n">
        <v>-6</v>
      </c>
      <c r="EC50" s="368" t="n">
        <v>-5</v>
      </c>
      <c r="ED50" s="386"/>
      <c r="EE50" s="275"/>
      <c r="EF50" s="275"/>
    </row>
    <row r="51" customFormat="false" ht="12.75" hidden="false" customHeight="false" outlineLevel="0" collapsed="false">
      <c r="B51" s="371" t="n">
        <v>37104</v>
      </c>
      <c r="C51" s="372" t="n">
        <v>37092</v>
      </c>
      <c r="I51" s="338" t="n">
        <f aca="false">EOMONTH(I50,0)+1</f>
        <v>47300</v>
      </c>
      <c r="J51" s="389" t="n">
        <f aca="false">VLOOKUP(I51,$B$12:$C$332,2)</f>
        <v>45644</v>
      </c>
      <c r="K51" s="339" t="n">
        <f aca="false">NETWORKDAYS(I51,J52)/N51</f>
        <v>-53.7727272727273</v>
      </c>
      <c r="L51" s="309" t="n">
        <f aca="false">YEAR(I51)-1900</f>
        <v>129</v>
      </c>
      <c r="M51" s="310" t="n">
        <f aca="false">MONTH(I51)</f>
        <v>7</v>
      </c>
      <c r="N51" s="340" t="n">
        <f aca="false">NETWORKDAYS(I51,I52-1)</f>
        <v>22</v>
      </c>
      <c r="O51" s="341" t="n">
        <f aca="false">I51-DateToday-IF(EuroExpDateToggle=1,3+IF(WEEKDAY(I51-1)=7,1,IF(WEEKDAY(I51-1)&lt;5,2,0)),1+IF(WEEKDAY(I51-1)=7,1,IF(WEEKDAY(I51-1)&lt;3,2,0)))</f>
        <v>1370</v>
      </c>
      <c r="P51" s="342" t="n">
        <f aca="false">(I51-DateToday+1)/365.25</f>
        <v>3.76454483230664</v>
      </c>
      <c r="Q51" s="342" t="n">
        <f aca="false">(I52-DateToday)/365.25</f>
        <v>3.8466803559206</v>
      </c>
      <c r="R51" s="314" t="n">
        <v>19.175</v>
      </c>
      <c r="S51" s="347" t="n">
        <v>0</v>
      </c>
      <c r="T51" s="316" t="n">
        <f aca="false">R51+S51/100</f>
        <v>19.175</v>
      </c>
      <c r="U51" s="325" t="n">
        <f aca="false">R52*K51+R53*(1-K51)</f>
        <v>18.3384090909092</v>
      </c>
      <c r="V51" s="337" t="n">
        <f aca="false">T52*K51+T53*(1-K51)</f>
        <v>18.3384090909092</v>
      </c>
      <c r="W51" s="318" t="n">
        <v>0.204386305335605</v>
      </c>
      <c r="X51" s="319" t="str">
        <f aca="false">IF($I51-DateToday+1&gt;=$A$10,"",IF($I51-DateToday+1&lt;$A$5,1,MATCH($I51-DateToday+1,$A$5:$A$10)))</f>
        <v/>
      </c>
      <c r="Y51" s="348" t="n">
        <f aca="false">IF($X51="",Y50^2/Y49,INDEX(B$5:B$10,$X51)^((INDEX($A$5:$A$10,$X51+1)-($I51-DateToday+1))/(INDEX($A$5:$A$10,$X51+1)-INDEX($A$5:$A$10,$X51)))/INDEX(B$5:B$10,$X51+1)^((INDEX($A$5:$A$10,$X51)-($I51-DateToday+1))/(INDEX($A$5:$A$10,$X51+1)-INDEX($A$5:$A$10,$X51))))</f>
        <v>0.00578906232588797</v>
      </c>
      <c r="Z51" s="348" t="n">
        <f aca="false">IF($X51="",Z50^2/Z49,INDEX(C$5:C$10,$X51)^((INDEX($A$5:$A$10,$X51+1)-($I51-DateToday+1))/(INDEX($A$5:$A$10,$X51+1)-INDEX($A$5:$A$10,$X51)))/INDEX(C$5:C$10,$X51+1)^((INDEX($A$5:$A$10,$X51)-($I51-DateToday+1))/(INDEX($A$5:$A$10,$X51+1)-INDEX($A$5:$A$10,$X51))))</f>
        <v>0.00279933001079538</v>
      </c>
      <c r="AA51" s="348" t="n">
        <f aca="false">IF($X51="",AA50^2/AA49,INDEX(D$5:D$10,$X51)^((INDEX($A$5:$A$10,$X51+1)-($I51-DateToday+1))/(INDEX($A$5:$A$10,$X51+1)-INDEX($A$5:$A$10,$X51)))/INDEX(D$5:D$10,$X51+1)^((INDEX($A$5:$A$10,$X51)-($I51-DateToday+1))/(INDEX($A$5:$A$10,$X51+1)-INDEX($A$5:$A$10,$X51))))</f>
        <v>0.00118192638472284</v>
      </c>
      <c r="AB51" s="348" t="n">
        <f aca="false">IF($X51="",AB50^2/AB49,INDEX(E$5:E$10,$X51)^((INDEX($A$5:$A$10,$X51+1)-($I51-DateToday+1))/(INDEX($A$5:$A$10,$X51+1)-INDEX($A$5:$A$10,$X51)))/INDEX(E$5:E$10,$X51+1)^((INDEX($A$5:$A$10,$X51)-($I51-DateToday+1))/(INDEX($A$5:$A$10,$X51+1)-INDEX($A$5:$A$10,$X51))))</f>
        <v>0.00266264375950363</v>
      </c>
      <c r="AC51" s="348" t="n">
        <f aca="false">IF($X51="",AC50^2/AC49,INDEX(F$5:F$10,$X51)^((INDEX($A$5:$A$10,$X51+1)-($I51-DateToday+1))/(INDEX($A$5:$A$10,$X51+1)-INDEX($A$5:$A$10,$X51)))/INDEX(F$5:F$10,$X51+1)^((INDEX($A$5:$A$10,$X51)-($I51-DateToday+1))/(INDEX($A$5:$A$10,$X51+1)-INDEX($A$5:$A$10,$X51))))</f>
        <v>0.00630633064831985</v>
      </c>
      <c r="AD51" s="348" t="n">
        <f aca="false">IF($X51="",AD50^2/AD49,INDEX(G$5:G$10,$X51)^((INDEX($A$5:$A$10,$X51+1)-($I51-DateToday+1))/(INDEX($A$5:$A$10,$X51+1)-INDEX($A$5:$A$10,$X51)))/INDEX(G$5:G$10,$X51+1)^((INDEX($A$5:$A$10,$X51)-($I51-DateToday+1))/(INDEX($A$5:$A$10,$X51+1)-INDEX($A$5:$A$10,$X51))))</f>
        <v>0.0130415996077603</v>
      </c>
      <c r="AE51" s="321" t="n">
        <v>0.072417389250555</v>
      </c>
      <c r="AF51" s="316" t="n">
        <f aca="false">(1+AE51/2)^(-2*(I52-DateToday)/365.25)</f>
        <v>0.760604467327912</v>
      </c>
      <c r="AG51" s="316" t="n">
        <f aca="false">AG50*(1+IF(AND(M51=1,L51&gt;YearStart),Escalation,0))</f>
        <v>1</v>
      </c>
      <c r="AH51" s="322" t="n">
        <f aca="false">IF(OR(DateStart&gt;=I52,DateEnd&lt;I51),0,Volume*AG51)</f>
        <v>0</v>
      </c>
      <c r="AI51" s="322" t="n">
        <f aca="false">AH51*AF51</f>
        <v>0</v>
      </c>
      <c r="AJ51" s="322" t="n">
        <f aca="false">IF(OR(DateStart2&gt;=I52,DateEnd2&lt;I51),0,VolumeSwaption*AG51)</f>
        <v>0</v>
      </c>
      <c r="AK51" s="322" t="n">
        <f aca="false">AJ51*AF51</f>
        <v>0</v>
      </c>
      <c r="AL51" s="316" t="str">
        <f aca="true">IF(AH51,OFFSET(BY51,0,HorizontalPriceOffset)+PriceSpreadAsian,"")</f>
        <v/>
      </c>
      <c r="AM51" s="316" t="str">
        <f aca="false">IF(AH51,Strike1/AL51-1,"")</f>
        <v/>
      </c>
      <c r="AN51" s="316" t="str">
        <f aca="false">IF(AH51,Strike2/AL51-1,"")</f>
        <v/>
      </c>
      <c r="AO51" s="323" t="str">
        <f aca="false">IF(AH51,IF(VolOverrideAsian,VolOverrideAsian,IF(ProductGroup=1,IF(Product&lt;3,DA52,DE52),W52)+VolSpreadAsian),"")</f>
        <v/>
      </c>
      <c r="AP51" s="323" t="str">
        <f aca="false">IF($AH51,$AO51+IF(SkewFlag=1,IF(AM51&gt;0,$AA51*MIN(AM51/10%,1)+($Z51-$AA51)*MAX(0,MIN(AM51/10%-1,1))+($Y51-$Z51)*MAX(0,AM51/10%-2),$AB51*MIN(-AM51/10%,1)+($AC51-$AB51)*MAX(0,MIN(-AM51/10%-1,1))+($AD51-$AC51)*MAX(0,-AM51/10%-2)),0),"")</f>
        <v/>
      </c>
      <c r="AQ51" s="323" t="str">
        <f aca="false">IF($AH51,$AO51+IF(SkewFlag=1,IF(AN51&gt;0,$AA51*MIN(AN51/10%,1)+($Z51-$AA51)*MAX(0,MIN(AN51/10%-1,1))+($Y51-$Z51)*MAX(0,AN51/10%-2),$AB51*MIN(-AN51/10%,1)+($AC51-$AB51)*MAX(0,MIN(-AN51/10%-1,1))+($AD51-$AC51)*MAX(0,-AN51/10%-2)),0),"")</f>
        <v/>
      </c>
      <c r="AR51" s="324" t="n">
        <f aca="false">IF(AH51,xASN(AL51,Strike1,AE51,AP51,0,N51,0,P51,Q51,IF(OptControl=4,0,1),0),0)</f>
        <v>0</v>
      </c>
      <c r="AS51" s="324" t="n">
        <f aca="false">IF(AH51,xASN(AL51,Strike1,AE51,AP51,0,N51,0,P51,Q51,IF(OptControl=4,0,1),1),0)</f>
        <v>0</v>
      </c>
      <c r="AT51" s="324" t="n">
        <f aca="false">IF(AH51,xASN(AL51,Strike1,AE51,AP51,0,N51,0,P51,Q51,IF(OptControl=4,0,1),2),0)</f>
        <v>0</v>
      </c>
      <c r="AU51" s="324" t="n">
        <f aca="false">IF(AH51,xASN(AL51,Strike1,AE51,AP51,0,N51,0,P51,Q51,IF(OptControl=4,0,1),3)/100,0)</f>
        <v>0</v>
      </c>
      <c r="AV51" s="324" t="n">
        <f aca="false">IF(AH51,xASN(AL51,Strike1,AE51,AP51,0,N51,0,P51-DaysForThetaCalculation/365.25,Q51-DaysForThetaCalculation/365.25,IF(OptControl=4,0,1),0)-xASN(AL51,Strike1,AE51,AP51,0,N51,0,P51,Q51,IF(OptControl=4,0,1),0),0)</f>
        <v>0</v>
      </c>
      <c r="AW51" s="324" t="n">
        <f aca="false">IF(AH51,xASN(AL51,Strike2,AE51,AQ51,0,N51,0,P51,Q51,IF(OptControl=3,1,0),0),0)</f>
        <v>0</v>
      </c>
      <c r="AX51" s="324" t="n">
        <f aca="false">IF(AH51,xASN(AL51,Strike2,AE51,AQ51,0,N51,0,P51,Q51,IF(OptControl=3,1,0),1),0)</f>
        <v>0</v>
      </c>
      <c r="AY51" s="324" t="n">
        <f aca="false">IF(AH51,xASN(AL51,Strike2,AE51,AQ51,0,N51,0,P51,Q51,IF(OptControl=3,1,0),2),0)</f>
        <v>0</v>
      </c>
      <c r="AZ51" s="324" t="n">
        <f aca="false">IF(AH51,xASN(AL51,Strike2,AE51,AQ51,0,N51,0,P51,Q51,IF(OptControl=3,1,0),3)/100,0)</f>
        <v>0</v>
      </c>
      <c r="BA51" s="324" t="n">
        <f aca="false">IF(AH51,xASN(AL51,Strike2,AE51,AQ51,0,N51,0,P51-DaysForThetaCalculation/365.25,Q51-DaysForThetaCalculation/365.25,IF(OptControl=3,1,0),0)-xASN(AL51,Strike2,AE51,AQ51,0,N51,0,P51,Q51,IF(OptControl=3,1,0),0),0)</f>
        <v>0</v>
      </c>
      <c r="BB51" s="325" t="str">
        <f aca="false">IF(AH51,IF(ProductGroup=1,IF(Product=1,BX51+PriceSpreadEuro,IF(Product=3,CK51+PriceSpreadEuro,"N/A")),"N/A"),"")</f>
        <v/>
      </c>
      <c r="BC51" s="316" t="str">
        <f aca="false">IF(AH51,Strike1/BB51-1,"")</f>
        <v/>
      </c>
      <c r="BD51" s="316" t="str">
        <f aca="false">IF(AH51,Strike2/BB51-1,"")</f>
        <v/>
      </c>
      <c r="BE51" s="326" t="str">
        <f aca="false">IF(AH51,IF(VolOverrideEuro,VolOverrideEuro,IF(ProductGroup=1,IF(Product&lt;3,DA51,DE51)+VolSpreadEuro,"N/A")),"")</f>
        <v/>
      </c>
      <c r="BF51" s="323" t="str">
        <f aca="false">IF($AH51,$BE51+IF(SkewFlag=1,IF(BC51&gt;0,$AA51*MIN(BC51/10%,1)+($Z51-$AA51)*MAX(0,MIN(BC51/10%-1,1))+($Y51-$Z51)*MAX(0,BC51/10%-2),$AB51*MIN(-BC51/10%,1)+($AC51-$AB51)*MAX(0,MIN(-BC51/10%-1,1))+($AD51-$AC51)*MAX(0,-BC51/10%-2)),0),"")</f>
        <v/>
      </c>
      <c r="BG51" s="323" t="str">
        <f aca="false">IF($AH51,$BE51+IF(SkewFlag=1,IF(BD51&gt;0,$AA51*MIN(BD51/10%,1)+($Z51-$AA51)*MAX(0,MIN(BD51/10%-1,1))+($Y51-$Z51)*MAX(0,BD51/10%-2),$AB51*MIN(-BD51/10%,1)+($AC51-$AB51)*MAX(0,MIN(-BD51/10%-1,1))+($AD51-$AC51)*MAX(0,-BD51/10%-2)),0),"")</f>
        <v/>
      </c>
      <c r="BH51" s="324" t="n">
        <f aca="false">IF(AH51,xEURO(BB51,Strike1,AE51,AE51,BF51,O51,IF(OptControl=4,0,1),0),0)</f>
        <v>0</v>
      </c>
      <c r="BI51" s="324" t="n">
        <f aca="false">IF(AH51,xEURO(BB51,Strike1,AE51,AE51,BF51,O51,IF(OptControl=4,0,1),1),0)</f>
        <v>0</v>
      </c>
      <c r="BJ51" s="324" t="n">
        <f aca="false">IF(AH51,xEURO(BB51,Strike1,AE51,AE51,BF51,O51,IF(OptControl=4,0,1),2),0)</f>
        <v>0</v>
      </c>
      <c r="BK51" s="324" t="n">
        <f aca="false">IF(AH51,xEURO(BB51,Strike1,AE51,AE51,BF51,O51,IF(OptControl=4,0,1),3)/100,0)</f>
        <v>0</v>
      </c>
      <c r="BL51" s="324" t="n">
        <f aca="false">IF(AH51,xEURO(BB51,Strike1,AE51,AE51,BF51,O51-DaysForThetaCalculation,IF(OptControl=4,0,1),0)-xEURO(BB51,Strike1,AE51,AE51,BF51,O51,IF(OptControl=4,0,1),0),0)</f>
        <v>0</v>
      </c>
      <c r="BM51" s="324" t="n">
        <f aca="false">IF(AH51,xEURO(BB51,Strike2,AE51,AE51,BG51,O51,IF(OptControl=3,1,0),0),0)</f>
        <v>0</v>
      </c>
      <c r="BN51" s="324" t="n">
        <f aca="false">IF(AH51,xEURO(BB51,Strike2,AE51,AE51,BG51,O51,IF(OptControl=3,1,0),1),0)</f>
        <v>0</v>
      </c>
      <c r="BO51" s="324" t="n">
        <f aca="false">IF(AH51,xEURO(BB51,Strike2,AE51,AE51,BG51,O51,IF(OptControl=3,1,0),2),0)</f>
        <v>0</v>
      </c>
      <c r="BP51" s="324" t="n">
        <f aca="false">IF(AH51,xEURO(BB51,Strike2,AE51,AE51,BG51,O51,IF(OptControl=3,1,0),3)/100,0)</f>
        <v>0</v>
      </c>
      <c r="BQ51" s="327" t="n">
        <f aca="false">IF(AH51,xEURO(BB51,Strike2,AE51,AE51,BG51,O51-DaysForThetaCalculation,IF(OptControl=3,1,0),0)-xEURO(BB51,Strike2,AE51,AE51,BG51,O51,IF(OptControl=3,1,0),0),0)</f>
        <v>0</v>
      </c>
      <c r="BR51" s="343"/>
      <c r="BS51" s="314" t="n">
        <v>23.927</v>
      </c>
      <c r="BT51" s="329" t="n">
        <f aca="false">BS51*100/42</f>
        <v>56.9690476190476</v>
      </c>
      <c r="BU51" s="329" t="n">
        <f aca="false">BS52-$U51</f>
        <v>6.52159090909082</v>
      </c>
      <c r="BV51" s="224"/>
      <c r="BW51" s="329" t="n">
        <f aca="false">BW39+VLOOKUP(1900+$L51,ProductSpreadTable,2)</f>
        <v>11.4238260869565</v>
      </c>
      <c r="BX51" s="329" t="n">
        <f aca="false">($V50+BW50)*100/42</f>
        <v>70.8835807050089</v>
      </c>
      <c r="BY51" s="332" t="n">
        <f aca="false">BX52</f>
        <v>70.8624647092041</v>
      </c>
      <c r="BZ51" s="314" t="n">
        <v>22.655</v>
      </c>
      <c r="CA51" s="329" t="n">
        <f aca="false">BZ51*100/42</f>
        <v>53.9404761904762</v>
      </c>
      <c r="CB51" s="329" t="n">
        <f aca="false">BZ51-$U51</f>
        <v>4.31659090909082</v>
      </c>
      <c r="CC51" s="329" t="n">
        <f aca="false">CC39+VLOOKUP(1900+$L51,ProductSpreadTable,3)</f>
        <v>9.91182608695654</v>
      </c>
      <c r="CD51" s="329" t="n">
        <f aca="false">($V51+CC51)*100/42</f>
        <v>67.2624647092041</v>
      </c>
      <c r="CE51" s="333" t="n">
        <f aca="false">CD51-BY51</f>
        <v>-3.59999999999999</v>
      </c>
      <c r="CF51" s="314" t="n">
        <v>23.885</v>
      </c>
      <c r="CG51" s="329" t="n">
        <f aca="false">CF51*100/42</f>
        <v>56.8690476190476</v>
      </c>
      <c r="CH51" s="329" t="n">
        <f aca="false">CF52-$U51</f>
        <v>5.09759090909082</v>
      </c>
      <c r="CI51" s="224"/>
      <c r="CJ51" s="329" t="n">
        <f aca="false">CJ39+VLOOKUP(1900+$L51,ProductSpreadTable,4)</f>
        <v>10.7438260869565</v>
      </c>
      <c r="CK51" s="329" t="n">
        <f aca="false">($V50+CJ50)*100/42</f>
        <v>70.3145330859613</v>
      </c>
      <c r="CL51" s="329" t="n">
        <f aca="false">CK52</f>
        <v>69.2434170901565</v>
      </c>
      <c r="CM51" s="314" t="n">
        <v>22.302</v>
      </c>
      <c r="CN51" s="329" t="n">
        <f aca="false">CM51*100/42</f>
        <v>53.1</v>
      </c>
      <c r="CO51" s="329" t="n">
        <f aca="false">CM51-$U51</f>
        <v>3.96359090909082</v>
      </c>
      <c r="CP51" s="329" t="n">
        <f aca="false">CP39+VLOOKUP(1900+$L51,ProductSpreadTable,5)</f>
        <v>9.63082608695654</v>
      </c>
      <c r="CQ51" s="329" t="n">
        <f aca="false">($V51+CP51)*100/42</f>
        <v>66.5934170901565</v>
      </c>
      <c r="CR51" s="333" t="n">
        <f aca="false">CQ51-CL51</f>
        <v>-2.64999999999999</v>
      </c>
      <c r="CS51" s="314" t="n">
        <v>23.562</v>
      </c>
      <c r="CT51" s="329" t="n">
        <f aca="false">CS51*100/42</f>
        <v>56.1</v>
      </c>
      <c r="CU51" s="329" t="n">
        <f aca="false">CT51-CG52</f>
        <v>0.300000000000011</v>
      </c>
      <c r="CV51" s="329" t="n">
        <f aca="false">CV39+VLOOKUP(1900+$L51,ProductSpreadTable,6)</f>
        <v>1.05000000000001</v>
      </c>
      <c r="CW51" s="333" t="n">
        <f aca="false">CL51+CV51</f>
        <v>70.2934170901565</v>
      </c>
      <c r="CX51" s="318" t="n">
        <v>0.204</v>
      </c>
      <c r="CY51" s="326" t="n">
        <f aca="false">CX51-$W51</f>
        <v>-0.000386305335605047</v>
      </c>
      <c r="CZ51" s="326" t="n">
        <f aca="false">VLOOKUP(1900+$L51,ProductSpreadTable,7)</f>
        <v>-0.03</v>
      </c>
      <c r="DA51" s="365" t="n">
        <f aca="false">$W51+CZ51</f>
        <v>0.174386305335605</v>
      </c>
      <c r="DB51" s="318" t="n">
        <v>0.204</v>
      </c>
      <c r="DC51" s="326" t="n">
        <f aca="false">DB51-$W51</f>
        <v>-0.000386305335605047</v>
      </c>
      <c r="DD51" s="326" t="n">
        <f aca="false">VLOOKUP(1900+$L51,ProductSpreadTable,8)</f>
        <v>0.03</v>
      </c>
      <c r="DE51" s="365" t="n">
        <f aca="false">$W51+DD51</f>
        <v>0.234386305335605</v>
      </c>
      <c r="DG51" s="336"/>
      <c r="DH51" s="314" t="n">
        <v>16.454</v>
      </c>
      <c r="DI51" s="325" t="n">
        <f aca="false">DH51-$U51</f>
        <v>-1.88440909090918</v>
      </c>
      <c r="DJ51" s="325" t="n">
        <f aca="false">VLOOKUP(1900+$L51,ResidSpreadTable,2)</f>
        <v>-2</v>
      </c>
      <c r="DK51" s="337" t="n">
        <f aca="false">$V51+DJ51</f>
        <v>16.3384090909092</v>
      </c>
      <c r="DL51" s="314" t="n">
        <v>13.904</v>
      </c>
      <c r="DM51" s="325" t="n">
        <f aca="false">DL51-$U51</f>
        <v>-4.43440909090918</v>
      </c>
      <c r="DN51" s="325" t="n">
        <f aca="false">VLOOKUP(1900+$L51,ResidSpreadTable,3)</f>
        <v>-3</v>
      </c>
      <c r="DO51" s="337" t="n">
        <f aca="false">$V51+DN51</f>
        <v>15.3384090909092</v>
      </c>
      <c r="DP51" s="314" t="n">
        <v>13.154</v>
      </c>
      <c r="DQ51" s="325" t="n">
        <f aca="false">DP51-$U51</f>
        <v>-5.18440909090918</v>
      </c>
      <c r="DR51" s="325" t="n">
        <f aca="false">VLOOKUP(1900+$L51,ResidSpreadTable,4)</f>
        <v>-6</v>
      </c>
      <c r="DS51" s="337" t="n">
        <f aca="false">$V51+DR51</f>
        <v>12.3384090909092</v>
      </c>
      <c r="DT51" s="314" t="n">
        <v>15.154</v>
      </c>
      <c r="DU51" s="325" t="n">
        <f aca="false">DT51-$U51</f>
        <v>-3.18440909090918</v>
      </c>
      <c r="DV51" s="325" t="n">
        <f aca="false">VLOOKUP(1900+$L51,ResidSpreadTable,5)</f>
        <v>-5</v>
      </c>
      <c r="DW51" s="337" t="n">
        <f aca="false">$V51+DV51</f>
        <v>13.3384090909092</v>
      </c>
      <c r="DY51" s="29" t="n">
        <v>2013</v>
      </c>
      <c r="DZ51" s="388" t="n">
        <v>-2</v>
      </c>
      <c r="EA51" s="388" t="n">
        <v>-3</v>
      </c>
      <c r="EB51" s="388" t="n">
        <v>-6</v>
      </c>
      <c r="EC51" s="368" t="n">
        <v>-5</v>
      </c>
    </row>
    <row r="52" customFormat="false" ht="12.75" hidden="false" customHeight="false" outlineLevel="0" collapsed="false">
      <c r="B52" s="371" t="n">
        <v>37135</v>
      </c>
      <c r="C52" s="372" t="n">
        <v>37124</v>
      </c>
      <c r="I52" s="338" t="n">
        <f aca="false">EOMONTH(I51,0)+1</f>
        <v>47331</v>
      </c>
      <c r="J52" s="389" t="n">
        <f aca="false">VLOOKUP(I52,$B$12:$C$332,2)</f>
        <v>45644</v>
      </c>
      <c r="K52" s="339" t="n">
        <f aca="false">NETWORKDAYS(I52,J53)/N52</f>
        <v>-52.4347826086957</v>
      </c>
      <c r="L52" s="309" t="n">
        <f aca="false">YEAR(I52)-1900</f>
        <v>129</v>
      </c>
      <c r="M52" s="310" t="n">
        <f aca="false">MONTH(I52)</f>
        <v>8</v>
      </c>
      <c r="N52" s="340" t="n">
        <f aca="false">NETWORKDAYS(I52,I53-1)</f>
        <v>23</v>
      </c>
      <c r="O52" s="341" t="n">
        <f aca="false">I52-DateToday-IF(EuroExpDateToggle=1,3+IF(WEEKDAY(I52-1)=7,1,IF(WEEKDAY(I52-1)&lt;5,2,0)),1+IF(WEEKDAY(I52-1)=7,1,IF(WEEKDAY(I52-1)&lt;3,2,0)))</f>
        <v>1400</v>
      </c>
      <c r="P52" s="342" t="n">
        <f aca="false">(I52-DateToday+1)/365.25</f>
        <v>3.84941820670773</v>
      </c>
      <c r="Q52" s="342" t="n">
        <f aca="false">(I53-DateToday)/365.25</f>
        <v>3.9315537303217</v>
      </c>
      <c r="R52" s="314" t="n">
        <v>19.16</v>
      </c>
      <c r="S52" s="347" t="n">
        <v>0</v>
      </c>
      <c r="T52" s="316" t="n">
        <f aca="false">R52+S52/100</f>
        <v>19.16</v>
      </c>
      <c r="U52" s="325" t="n">
        <f aca="false">R53*K52+R54*(1-K52)</f>
        <v>18.3434782608695</v>
      </c>
      <c r="V52" s="337" t="n">
        <f aca="false">T53*K52+T54*(1-K52)</f>
        <v>18.3434782608695</v>
      </c>
      <c r="W52" s="318" t="n">
        <v>0.203928823378317</v>
      </c>
      <c r="X52" s="319" t="str">
        <f aca="false">IF($I52-DateToday+1&gt;=$A$10,"",IF($I52-DateToday+1&lt;$A$5,1,MATCH($I52-DateToday+1,$A$5:$A$10)))</f>
        <v/>
      </c>
      <c r="Y52" s="348" t="n">
        <f aca="false">IF($X52="",Y51^2/Y50,INDEX(B$5:B$10,$X52)^((INDEX($A$5:$A$10,$X52+1)-($I52-DateToday+1))/(INDEX($A$5:$A$10,$X52+1)-INDEX($A$5:$A$10,$X52)))/INDEX(B$5:B$10,$X52+1)^((INDEX($A$5:$A$10,$X52)-($I52-DateToday+1))/(INDEX($A$5:$A$10,$X52+1)-INDEX($A$5:$A$10,$X52))))</f>
        <v>0.0056651273062335</v>
      </c>
      <c r="Z52" s="348" t="n">
        <f aca="false">IF($X52="",Z51^2/Z50,INDEX(C$5:C$10,$X52)^((INDEX($A$5:$A$10,$X52+1)-($I52-DateToday+1))/(INDEX($A$5:$A$10,$X52+1)-INDEX($A$5:$A$10,$X52)))/INDEX(C$5:C$10,$X52+1)^((INDEX($A$5:$A$10,$X52)-($I52-DateToday+1))/(INDEX($A$5:$A$10,$X52+1)-INDEX($A$5:$A$10,$X52))))</f>
        <v>0.00272473371967067</v>
      </c>
      <c r="AA52" s="348" t="n">
        <f aca="false">IF($X52="",AA51^2/AA50,INDEX(D$5:D$10,$X52)^((INDEX($A$5:$A$10,$X52+1)-($I52-DateToday+1))/(INDEX($A$5:$A$10,$X52+1)-INDEX($A$5:$A$10,$X52)))/INDEX(D$5:D$10,$X52+1)^((INDEX($A$5:$A$10,$X52)-($I52-DateToday+1))/(INDEX($A$5:$A$10,$X52+1)-INDEX($A$5:$A$10,$X52))))</f>
        <v>0.00114734552980869</v>
      </c>
      <c r="AB52" s="348" t="n">
        <f aca="false">IF($X52="",AB51^2/AB50,INDEX(E$5:E$10,$X52)^((INDEX($A$5:$A$10,$X52+1)-($I52-DateToday+1))/(INDEX($A$5:$A$10,$X52+1)-INDEX($A$5:$A$10,$X52)))/INDEX(E$5:E$10,$X52+1)^((INDEX($A$5:$A$10,$X52)-($I52-DateToday+1))/(INDEX($A$5:$A$10,$X52+1)-INDEX($A$5:$A$10,$X52))))</f>
        <v>0.00258474000955303</v>
      </c>
      <c r="AC52" s="348" t="n">
        <f aca="false">IF($X52="",AC51^2/AC50,INDEX(F$5:F$10,$X52)^((INDEX($A$5:$A$10,$X52+1)-($I52-DateToday+1))/(INDEX($A$5:$A$10,$X52+1)-INDEX($A$5:$A$10,$X52)))/INDEX(F$5:F$10,$X52+1)^((INDEX($A$5:$A$10,$X52)-($I52-DateToday+1))/(INDEX($A$5:$A$10,$X52+1)-INDEX($A$5:$A$10,$X52))))</f>
        <v>0.00613828012367409</v>
      </c>
      <c r="AD52" s="348" t="n">
        <f aca="false">IF($X52="",AD51^2/AD50,INDEX(G$5:G$10,$X52)^((INDEX($A$5:$A$10,$X52+1)-($I52-DateToday+1))/(INDEX($A$5:$A$10,$X52+1)-INDEX($A$5:$A$10,$X52)))/INDEX(G$5:G$10,$X52+1)^((INDEX($A$5:$A$10,$X52)-($I52-DateToday+1))/(INDEX($A$5:$A$10,$X52+1)-INDEX($A$5:$A$10,$X52))))</f>
        <v>0.0127623987954827</v>
      </c>
      <c r="AE52" s="321" t="n">
        <v>0.072468055631155</v>
      </c>
      <c r="AF52" s="316" t="n">
        <f aca="false">(1+AE52/2)^(-2*(I53-DateToday)/365.25)</f>
        <v>0.755880719903304</v>
      </c>
      <c r="AG52" s="316" t="n">
        <f aca="false">AG51*(1+IF(AND(M52=1,L52&gt;YearStart),Escalation,0))</f>
        <v>1</v>
      </c>
      <c r="AH52" s="322" t="n">
        <f aca="false">IF(OR(DateStart&gt;=I53,DateEnd&lt;I52),0,Volume*AG52)</f>
        <v>0</v>
      </c>
      <c r="AI52" s="322" t="n">
        <f aca="false">AH52*AF52</f>
        <v>0</v>
      </c>
      <c r="AJ52" s="322" t="n">
        <f aca="false">IF(OR(DateStart2&gt;=I53,DateEnd2&lt;I52),0,VolumeSwaption*AG52)</f>
        <v>0</v>
      </c>
      <c r="AK52" s="322" t="n">
        <f aca="false">AJ52*AF52</f>
        <v>0</v>
      </c>
      <c r="AL52" s="316" t="str">
        <f aca="true">IF(AH52,OFFSET(BY52,0,HorizontalPriceOffset)+PriceSpreadAsian,"")</f>
        <v/>
      </c>
      <c r="AM52" s="316" t="str">
        <f aca="false">IF(AH52,Strike1/AL52-1,"")</f>
        <v/>
      </c>
      <c r="AN52" s="316" t="str">
        <f aca="false">IF(AH52,Strike2/AL52-1,"")</f>
        <v/>
      </c>
      <c r="AO52" s="323" t="str">
        <f aca="false">IF(AH52,IF(VolOverrideAsian,VolOverrideAsian,IF(ProductGroup=1,IF(Product&lt;3,DA53,DE53),W53)+VolSpreadAsian),"")</f>
        <v/>
      </c>
      <c r="AP52" s="323" t="str">
        <f aca="false">IF($AH52,$AO52+IF(SkewFlag=1,IF(AM52&gt;0,$AA52*MIN(AM52/10%,1)+($Z52-$AA52)*MAX(0,MIN(AM52/10%-1,1))+($Y52-$Z52)*MAX(0,AM52/10%-2),$AB52*MIN(-AM52/10%,1)+($AC52-$AB52)*MAX(0,MIN(-AM52/10%-1,1))+($AD52-$AC52)*MAX(0,-AM52/10%-2)),0),"")</f>
        <v/>
      </c>
      <c r="AQ52" s="323" t="str">
        <f aca="false">IF($AH52,$AO52+IF(SkewFlag=1,IF(AN52&gt;0,$AA52*MIN(AN52/10%,1)+($Z52-$AA52)*MAX(0,MIN(AN52/10%-1,1))+($Y52-$Z52)*MAX(0,AN52/10%-2),$AB52*MIN(-AN52/10%,1)+($AC52-$AB52)*MAX(0,MIN(-AN52/10%-1,1))+($AD52-$AC52)*MAX(0,-AN52/10%-2)),0),"")</f>
        <v/>
      </c>
      <c r="AR52" s="324" t="n">
        <f aca="false">IF(AH52,xASN(AL52,Strike1,AE52,AP52,0,N52,0,P52,Q52,IF(OptControl=4,0,1),0),0)</f>
        <v>0</v>
      </c>
      <c r="AS52" s="324" t="n">
        <f aca="false">IF(AH52,xASN(AL52,Strike1,AE52,AP52,0,N52,0,P52,Q52,IF(OptControl=4,0,1),1),0)</f>
        <v>0</v>
      </c>
      <c r="AT52" s="324" t="n">
        <f aca="false">IF(AH52,xASN(AL52,Strike1,AE52,AP52,0,N52,0,P52,Q52,IF(OptControl=4,0,1),2),0)</f>
        <v>0</v>
      </c>
      <c r="AU52" s="324" t="n">
        <f aca="false">IF(AH52,xASN(AL52,Strike1,AE52,AP52,0,N52,0,P52,Q52,IF(OptControl=4,0,1),3)/100,0)</f>
        <v>0</v>
      </c>
      <c r="AV52" s="324" t="n">
        <f aca="false">IF(AH52,xASN(AL52,Strike1,AE52,AP52,0,N52,0,P52-DaysForThetaCalculation/365.25,Q52-DaysForThetaCalculation/365.25,IF(OptControl=4,0,1),0)-xASN(AL52,Strike1,AE52,AP52,0,N52,0,P52,Q52,IF(OptControl=4,0,1),0),0)</f>
        <v>0</v>
      </c>
      <c r="AW52" s="324" t="n">
        <f aca="false">IF(AH52,xASN(AL52,Strike2,AE52,AQ52,0,N52,0,P52,Q52,IF(OptControl=3,1,0),0),0)</f>
        <v>0</v>
      </c>
      <c r="AX52" s="324" t="n">
        <f aca="false">IF(AH52,xASN(AL52,Strike2,AE52,AQ52,0,N52,0,P52,Q52,IF(OptControl=3,1,0),1),0)</f>
        <v>0</v>
      </c>
      <c r="AY52" s="324" t="n">
        <f aca="false">IF(AH52,xASN(AL52,Strike2,AE52,AQ52,0,N52,0,P52,Q52,IF(OptControl=3,1,0),2),0)</f>
        <v>0</v>
      </c>
      <c r="AZ52" s="324" t="n">
        <f aca="false">IF(AH52,xASN(AL52,Strike2,AE52,AQ52,0,N52,0,P52,Q52,IF(OptControl=3,1,0),3)/100,0)</f>
        <v>0</v>
      </c>
      <c r="BA52" s="324" t="n">
        <f aca="false">IF(AH52,xASN(AL52,Strike2,AE52,AQ52,0,N52,0,P52-DaysForThetaCalculation/365.25,Q52-DaysForThetaCalculation/365.25,IF(OptControl=3,1,0),0)-xASN(AL52,Strike2,AE52,AQ52,0,N52,0,P52,Q52,IF(OptControl=3,1,0),0),0)</f>
        <v>0</v>
      </c>
      <c r="BB52" s="325" t="str">
        <f aca="false">IF(AH52,IF(ProductGroup=1,IF(Product=1,BX52+PriceSpreadEuro,IF(Product=3,CK52+PriceSpreadEuro,"N/A")),"N/A"),"")</f>
        <v/>
      </c>
      <c r="BC52" s="316" t="str">
        <f aca="false">IF(AH52,Strike1/BB52-1,"")</f>
        <v/>
      </c>
      <c r="BD52" s="316" t="str">
        <f aca="false">IF(AH52,Strike2/BB52-1,"")</f>
        <v/>
      </c>
      <c r="BE52" s="326" t="str">
        <f aca="false">IF(AH52,IF(VolOverrideEuro,VolOverrideEuro,IF(ProductGroup=1,IF(Product&lt;3,DA52,DE52)+VolSpreadEuro,"N/A")),"")</f>
        <v/>
      </c>
      <c r="BF52" s="323" t="str">
        <f aca="false">IF($AH52,$BE52+IF(SkewFlag=1,IF(BC52&gt;0,$AA52*MIN(BC52/10%,1)+($Z52-$AA52)*MAX(0,MIN(BC52/10%-1,1))+($Y52-$Z52)*MAX(0,BC52/10%-2),$AB52*MIN(-BC52/10%,1)+($AC52-$AB52)*MAX(0,MIN(-BC52/10%-1,1))+($AD52-$AC52)*MAX(0,-BC52/10%-2)),0),"")</f>
        <v/>
      </c>
      <c r="BG52" s="323" t="str">
        <f aca="false">IF($AH52,$BE52+IF(SkewFlag=1,IF(BD52&gt;0,$AA52*MIN(BD52/10%,1)+($Z52-$AA52)*MAX(0,MIN(BD52/10%-1,1))+($Y52-$Z52)*MAX(0,BD52/10%-2),$AB52*MIN(-BD52/10%,1)+($AC52-$AB52)*MAX(0,MIN(-BD52/10%-1,1))+($AD52-$AC52)*MAX(0,-BD52/10%-2)),0),"")</f>
        <v/>
      </c>
      <c r="BH52" s="324" t="n">
        <f aca="false">IF(AH52,xEURO(BB52,Strike1,AE52,AE52,BF52,O52,IF(OptControl=4,0,1),0),0)</f>
        <v>0</v>
      </c>
      <c r="BI52" s="324" t="n">
        <f aca="false">IF(AH52,xEURO(BB52,Strike1,AE52,AE52,BF52,O52,IF(OptControl=4,0,1),1),0)</f>
        <v>0</v>
      </c>
      <c r="BJ52" s="324" t="n">
        <f aca="false">IF(AH52,xEURO(BB52,Strike1,AE52,AE52,BF52,O52,IF(OptControl=4,0,1),2),0)</f>
        <v>0</v>
      </c>
      <c r="BK52" s="324" t="n">
        <f aca="false">IF(AH52,xEURO(BB52,Strike1,AE52,AE52,BF52,O52,IF(OptControl=4,0,1),3)/100,0)</f>
        <v>0</v>
      </c>
      <c r="BL52" s="324" t="n">
        <f aca="false">IF(AH52,xEURO(BB52,Strike1,AE52,AE52,BF52,O52-DaysForThetaCalculation,IF(OptControl=4,0,1),0)-xEURO(BB52,Strike1,AE52,AE52,BF52,O52,IF(OptControl=4,0,1),0),0)</f>
        <v>0</v>
      </c>
      <c r="BM52" s="324" t="n">
        <f aca="false">IF(AH52,xEURO(BB52,Strike2,AE52,AE52,BG52,O52,IF(OptControl=3,1,0),0),0)</f>
        <v>0</v>
      </c>
      <c r="BN52" s="324" t="n">
        <f aca="false">IF(AH52,xEURO(BB52,Strike2,AE52,AE52,BG52,O52,IF(OptControl=3,1,0),1),0)</f>
        <v>0</v>
      </c>
      <c r="BO52" s="324" t="n">
        <f aca="false">IF(AH52,xEURO(BB52,Strike2,AE52,AE52,BG52,O52,IF(OptControl=3,1,0),2),0)</f>
        <v>0</v>
      </c>
      <c r="BP52" s="324" t="n">
        <f aca="false">IF(AH52,xEURO(BB52,Strike2,AE52,AE52,BG52,O52,IF(OptControl=3,1,0),3)/100,0)</f>
        <v>0</v>
      </c>
      <c r="BQ52" s="327" t="n">
        <f aca="false">IF(AH52,xEURO(BB52,Strike2,AE52,AE52,BG52,O52-DaysForThetaCalculation,IF(OptControl=3,1,0),0)-xEURO(BB52,Strike2,AE52,AE52,BG52,O52,IF(OptControl=3,1,0),0),0)</f>
        <v>0</v>
      </c>
      <c r="BR52" s="343"/>
      <c r="BS52" s="314" t="n">
        <v>24.86</v>
      </c>
      <c r="BT52" s="329" t="n">
        <f aca="false">BS52*100/42</f>
        <v>59.1904761904762</v>
      </c>
      <c r="BU52" s="329" t="n">
        <f aca="false">BS53-$U52</f>
        <v>6.83552173913054</v>
      </c>
      <c r="BV52" s="224"/>
      <c r="BW52" s="329" t="n">
        <f aca="false">BW40+VLOOKUP(1900+$L52,ProductSpreadTable,2)</f>
        <v>12.7265714285714</v>
      </c>
      <c r="BX52" s="329" t="n">
        <f aca="false">($V51+BW51)*100/42</f>
        <v>70.8624647092041</v>
      </c>
      <c r="BY52" s="332" t="n">
        <f aca="false">BX53</f>
        <v>73.9763087843831</v>
      </c>
      <c r="BZ52" s="314" t="n">
        <v>22.974</v>
      </c>
      <c r="CA52" s="329" t="n">
        <f aca="false">BZ52*100/42</f>
        <v>54.7</v>
      </c>
      <c r="CB52" s="329" t="n">
        <f aca="false">BZ52-$U52</f>
        <v>4.63052173913054</v>
      </c>
      <c r="CC52" s="329" t="n">
        <f aca="false">CC40+VLOOKUP(1900+$L52,ProductSpreadTable,3)</f>
        <v>11.1685714285714</v>
      </c>
      <c r="CD52" s="329" t="n">
        <f aca="false">($V52+CC52)*100/42</f>
        <v>70.2667849748593</v>
      </c>
      <c r="CE52" s="333" t="n">
        <f aca="false">CD52-BY52</f>
        <v>-3.70952380952382</v>
      </c>
      <c r="CF52" s="314" t="n">
        <v>23.436</v>
      </c>
      <c r="CG52" s="329" t="n">
        <f aca="false">CF52*100/42</f>
        <v>55.8</v>
      </c>
      <c r="CH52" s="329" t="n">
        <f aca="false">CF53-$U52</f>
        <v>4.36552173913054</v>
      </c>
      <c r="CI52" s="224"/>
      <c r="CJ52" s="329" t="n">
        <f aca="false">CJ40+VLOOKUP(1900+$L52,ProductSpreadTable,4)</f>
        <v>10.9545714285714</v>
      </c>
      <c r="CK52" s="329" t="n">
        <f aca="false">($V51+CJ51)*100/42</f>
        <v>69.2434170901565</v>
      </c>
      <c r="CL52" s="329" t="n">
        <f aca="false">CK53</f>
        <v>69.7572611653355</v>
      </c>
      <c r="CM52" s="314" t="n">
        <v>21.575</v>
      </c>
      <c r="CN52" s="329" t="n">
        <f aca="false">CM52*100/42</f>
        <v>51.3690476190476</v>
      </c>
      <c r="CO52" s="329" t="n">
        <f aca="false">CM52-$U52</f>
        <v>3.23152173913054</v>
      </c>
      <c r="CP52" s="329" t="n">
        <f aca="false">CP40+VLOOKUP(1900+$L52,ProductSpreadTable,5)</f>
        <v>9.84157142857143</v>
      </c>
      <c r="CQ52" s="329" t="n">
        <f aca="false">($V52+CP52)*100/42</f>
        <v>67.1072611653355</v>
      </c>
      <c r="CR52" s="333" t="n">
        <f aca="false">CQ52-CL52</f>
        <v>-2.64999999999999</v>
      </c>
      <c r="CS52" s="314" t="n">
        <v>22.835</v>
      </c>
      <c r="CT52" s="329" t="n">
        <f aca="false">CS52*100/42</f>
        <v>54.3690476190476</v>
      </c>
      <c r="CU52" s="329" t="n">
        <f aca="false">CT52-CG53</f>
        <v>0.299999999999997</v>
      </c>
      <c r="CV52" s="329" t="n">
        <f aca="false">CV40+VLOOKUP(1900+$L52,ProductSpreadTable,6)</f>
        <v>1.05000000000001</v>
      </c>
      <c r="CW52" s="333" t="n">
        <f aca="false">CL52+CV52</f>
        <v>70.8072611653355</v>
      </c>
      <c r="CX52" s="318" t="n">
        <v>0.204</v>
      </c>
      <c r="CY52" s="326" t="n">
        <f aca="false">CX52-$W52</f>
        <v>7.11766216829612E-005</v>
      </c>
      <c r="CZ52" s="326" t="n">
        <f aca="false">VLOOKUP(1900+$L52,ProductSpreadTable,7)</f>
        <v>-0.03</v>
      </c>
      <c r="DA52" s="365" t="n">
        <f aca="false">$W52+CZ52</f>
        <v>0.173928823378317</v>
      </c>
      <c r="DB52" s="318" t="n">
        <v>0.204</v>
      </c>
      <c r="DC52" s="326" t="n">
        <f aca="false">DB52-$W52</f>
        <v>7.11766216829612E-005</v>
      </c>
      <c r="DD52" s="326" t="n">
        <f aca="false">VLOOKUP(1900+$L52,ProductSpreadTable,8)</f>
        <v>0.03</v>
      </c>
      <c r="DE52" s="365" t="n">
        <f aca="false">$W52+DD52</f>
        <v>0.233928823378317</v>
      </c>
      <c r="DG52" s="336"/>
      <c r="DH52" s="314" t="n">
        <v>16.441</v>
      </c>
      <c r="DI52" s="325" t="n">
        <f aca="false">DH52-$U52</f>
        <v>-1.90247826086946</v>
      </c>
      <c r="DJ52" s="325" t="n">
        <f aca="false">VLOOKUP(1900+$L52,ResidSpreadTable,2)</f>
        <v>-2</v>
      </c>
      <c r="DK52" s="337" t="n">
        <f aca="false">$V52+DJ52</f>
        <v>16.3434782608695</v>
      </c>
      <c r="DL52" s="314" t="n">
        <v>13.891</v>
      </c>
      <c r="DM52" s="325" t="n">
        <f aca="false">DL52-$U52</f>
        <v>-4.45247826086946</v>
      </c>
      <c r="DN52" s="325" t="n">
        <f aca="false">VLOOKUP(1900+$L52,ResidSpreadTable,3)</f>
        <v>-3</v>
      </c>
      <c r="DO52" s="337" t="n">
        <f aca="false">$V52+DN52</f>
        <v>15.3434782608695</v>
      </c>
      <c r="DP52" s="314" t="n">
        <v>13.141</v>
      </c>
      <c r="DQ52" s="325" t="n">
        <f aca="false">DP52-$U52</f>
        <v>-5.20247826086946</v>
      </c>
      <c r="DR52" s="325" t="n">
        <f aca="false">VLOOKUP(1900+$L52,ResidSpreadTable,4)</f>
        <v>-6</v>
      </c>
      <c r="DS52" s="337" t="n">
        <f aca="false">$V52+DR52</f>
        <v>12.3434782608695</v>
      </c>
      <c r="DT52" s="314" t="n">
        <v>15.141</v>
      </c>
      <c r="DU52" s="325" t="n">
        <f aca="false">DT52-$U52</f>
        <v>-3.20247826086946</v>
      </c>
      <c r="DV52" s="325" t="n">
        <f aca="false">VLOOKUP(1900+$L52,ResidSpreadTable,5)</f>
        <v>-5</v>
      </c>
      <c r="DW52" s="337" t="n">
        <f aca="false">$V52+DV52</f>
        <v>13.3434782608695</v>
      </c>
      <c r="DY52" s="29" t="n">
        <v>2014</v>
      </c>
      <c r="DZ52" s="388" t="n">
        <v>-2</v>
      </c>
      <c r="EA52" s="388" t="n">
        <v>-3</v>
      </c>
      <c r="EB52" s="388" t="n">
        <v>-6</v>
      </c>
      <c r="EC52" s="368" t="n">
        <v>-5</v>
      </c>
    </row>
    <row r="53" customFormat="false" ht="13.5" hidden="false" customHeight="false" outlineLevel="0" collapsed="false">
      <c r="B53" s="371" t="n">
        <v>37165</v>
      </c>
      <c r="C53" s="372" t="n">
        <v>37154</v>
      </c>
      <c r="I53" s="338" t="n">
        <f aca="false">EOMONTH(I52,0)+1</f>
        <v>47362</v>
      </c>
      <c r="J53" s="389" t="n">
        <f aca="false">VLOOKUP(I53,$B$12:$C$332,2)</f>
        <v>45644</v>
      </c>
      <c r="K53" s="339" t="n">
        <f aca="false">NETWORKDAYS(I53,J54)/N53</f>
        <v>-61.4</v>
      </c>
      <c r="L53" s="309" t="n">
        <f aca="false">YEAR(I53)-1900</f>
        <v>129</v>
      </c>
      <c r="M53" s="310" t="n">
        <f aca="false">MONTH(I53)</f>
        <v>9</v>
      </c>
      <c r="N53" s="340" t="n">
        <f aca="false">NETWORKDAYS(I53,I54-1)</f>
        <v>20</v>
      </c>
      <c r="O53" s="341" t="n">
        <f aca="false">I53-DateToday-IF(EuroExpDateToggle=1,3+IF(WEEKDAY(I53-1)=7,1,IF(WEEKDAY(I53-1)&lt;5,2,0)),1+IF(WEEKDAY(I53-1)=7,1,IF(WEEKDAY(I53-1)&lt;3,2,0)))</f>
        <v>1433</v>
      </c>
      <c r="P53" s="342" t="n">
        <f aca="false">(I53-DateToday+1)/365.25</f>
        <v>3.93429158110883</v>
      </c>
      <c r="Q53" s="342" t="n">
        <f aca="false">(I54-DateToday)/365.25</f>
        <v>4.01368925393566</v>
      </c>
      <c r="R53" s="314" t="n">
        <v>19.145</v>
      </c>
      <c r="S53" s="347" t="n">
        <v>0</v>
      </c>
      <c r="T53" s="316" t="n">
        <f aca="false">R53+S53/100</f>
        <v>19.145</v>
      </c>
      <c r="U53" s="325" t="n">
        <f aca="false">R54*K53+R55*(1-K53)</f>
        <v>18.194</v>
      </c>
      <c r="V53" s="337" t="n">
        <f aca="false">T54*K53+T55*(1-K53)</f>
        <v>18.194</v>
      </c>
      <c r="W53" s="318" t="n">
        <v>0.204428316362077</v>
      </c>
      <c r="X53" s="319" t="str">
        <f aca="false">IF($I53-DateToday+1&gt;=$A$10,"",IF($I53-DateToday+1&lt;$A$5,1,MATCH($I53-DateToday+1,$A$5:$A$10)))</f>
        <v/>
      </c>
      <c r="Y53" s="348" t="n">
        <f aca="false">IF($X53="",Y52^2/Y51,INDEX(B$5:B$10,$X53)^((INDEX($A$5:$A$10,$X53+1)-($I53-DateToday+1))/(INDEX($A$5:$A$10,$X53+1)-INDEX($A$5:$A$10,$X53)))/INDEX(B$5:B$10,$X53+1)^((INDEX($A$5:$A$10,$X53)-($I53-DateToday+1))/(INDEX($A$5:$A$10,$X53+1)-INDEX($A$5:$A$10,$X53))))</f>
        <v>0.00554384554685369</v>
      </c>
      <c r="Z53" s="348" t="n">
        <f aca="false">IF($X53="",Z52^2/Z51,INDEX(C$5:C$10,$X53)^((INDEX($A$5:$A$10,$X53+1)-($I53-DateToday+1))/(INDEX($A$5:$A$10,$X53+1)-INDEX($A$5:$A$10,$X53)))/INDEX(C$5:C$10,$X53+1)^((INDEX($A$5:$A$10,$X53)-($I53-DateToday+1))/(INDEX($A$5:$A$10,$X53+1)-INDEX($A$5:$A$10,$X53))))</f>
        <v>0.00265212526371655</v>
      </c>
      <c r="AA53" s="348" t="n">
        <f aca="false">IF($X53="",AA52^2/AA51,INDEX(D$5:D$10,$X53)^((INDEX($A$5:$A$10,$X53+1)-($I53-DateToday+1))/(INDEX($A$5:$A$10,$X53+1)-INDEX($A$5:$A$10,$X53)))/INDEX(D$5:D$10,$X53+1)^((INDEX($A$5:$A$10,$X53)-($I53-DateToday+1))/(INDEX($A$5:$A$10,$X53+1)-INDEX($A$5:$A$10,$X53))))</f>
        <v>0.00111377644309098</v>
      </c>
      <c r="AB53" s="348" t="n">
        <f aca="false">IF($X53="",AB52^2/AB51,INDEX(E$5:E$10,$X53)^((INDEX($A$5:$A$10,$X53+1)-($I53-DateToday+1))/(INDEX($A$5:$A$10,$X53+1)-INDEX($A$5:$A$10,$X53)))/INDEX(E$5:E$10,$X53+1)^((INDEX($A$5:$A$10,$X53)-($I53-DateToday+1))/(INDEX($A$5:$A$10,$X53+1)-INDEX($A$5:$A$10,$X53))))</f>
        <v>0.00250911557099537</v>
      </c>
      <c r="AC53" s="348" t="n">
        <f aca="false">IF($X53="",AC52^2/AC51,INDEX(F$5:F$10,$X53)^((INDEX($A$5:$A$10,$X53+1)-($I53-DateToday+1))/(INDEX($A$5:$A$10,$X53+1)-INDEX($A$5:$A$10,$X53)))/INDEX(F$5:F$10,$X53+1)^((INDEX($A$5:$A$10,$X53)-($I53-DateToday+1))/(INDEX($A$5:$A$10,$X53+1)-INDEX($A$5:$A$10,$X53))))</f>
        <v>0.00597470779410066</v>
      </c>
      <c r="AD53" s="348" t="n">
        <f aca="false">IF($X53="",AD52^2/AD51,INDEX(G$5:G$10,$X53)^((INDEX($A$5:$A$10,$X53+1)-($I53-DateToday+1))/(INDEX($A$5:$A$10,$X53+1)-INDEX($A$5:$A$10,$X53)))/INDEX(G$5:G$10,$X53+1)^((INDEX($A$5:$A$10,$X53)-($I53-DateToday+1))/(INDEX($A$5:$A$10,$X53+1)-INDEX($A$5:$A$10,$X53))))</f>
        <v>0.0124891752479518</v>
      </c>
      <c r="AE53" s="321" t="n">
        <v>0.072515453213774</v>
      </c>
      <c r="AF53" s="316" t="n">
        <f aca="false">(1+AE53/2)^(-2*(I54-DateToday)/365.25)</f>
        <v>0.751336108205267</v>
      </c>
      <c r="AG53" s="316" t="n">
        <f aca="false">AG52*(1+IF(AND(M53=1,L53&gt;YearStart),Escalation,0))</f>
        <v>1</v>
      </c>
      <c r="AH53" s="322" t="n">
        <f aca="false">IF(OR(DateStart&gt;=I54,DateEnd&lt;I53),0,Volume*AG53)</f>
        <v>0</v>
      </c>
      <c r="AI53" s="322" t="n">
        <f aca="false">AH53*AF53</f>
        <v>0</v>
      </c>
      <c r="AJ53" s="322" t="n">
        <f aca="false">IF(OR(DateStart2&gt;=I54,DateEnd2&lt;I53),0,VolumeSwaption*AG53)</f>
        <v>0</v>
      </c>
      <c r="AK53" s="322" t="n">
        <f aca="false">AJ53*AF53</f>
        <v>0</v>
      </c>
      <c r="AL53" s="316" t="str">
        <f aca="true">IF(AH53,OFFSET(BY53,0,HorizontalPriceOffset)+PriceSpreadAsian,"")</f>
        <v/>
      </c>
      <c r="AM53" s="316" t="str">
        <f aca="false">IF(AH53,Strike1/AL53-1,"")</f>
        <v/>
      </c>
      <c r="AN53" s="316" t="str">
        <f aca="false">IF(AH53,Strike2/AL53-1,"")</f>
        <v/>
      </c>
      <c r="AO53" s="323" t="str">
        <f aca="false">IF(AH53,IF(VolOverrideAsian,VolOverrideAsian,IF(ProductGroup=1,IF(Product&lt;3,DA54,DE54),W54)+VolSpreadAsian),"")</f>
        <v/>
      </c>
      <c r="AP53" s="323" t="str">
        <f aca="false">IF($AH53,$AO53+IF(SkewFlag=1,IF(AM53&gt;0,$AA53*MIN(AM53/10%,1)+($Z53-$AA53)*MAX(0,MIN(AM53/10%-1,1))+($Y53-$Z53)*MAX(0,AM53/10%-2),$AB53*MIN(-AM53/10%,1)+($AC53-$AB53)*MAX(0,MIN(-AM53/10%-1,1))+($AD53-$AC53)*MAX(0,-AM53/10%-2)),0),"")</f>
        <v/>
      </c>
      <c r="AQ53" s="323" t="str">
        <f aca="false">IF($AH53,$AO53+IF(SkewFlag=1,IF(AN53&gt;0,$AA53*MIN(AN53/10%,1)+($Z53-$AA53)*MAX(0,MIN(AN53/10%-1,1))+($Y53-$Z53)*MAX(0,AN53/10%-2),$AB53*MIN(-AN53/10%,1)+($AC53-$AB53)*MAX(0,MIN(-AN53/10%-1,1))+($AD53-$AC53)*MAX(0,-AN53/10%-2)),0),"")</f>
        <v/>
      </c>
      <c r="AR53" s="324" t="n">
        <f aca="false">IF(AH53,xASN(AL53,Strike1,AE53,AP53,0,N53,0,P53,Q53,IF(OptControl=4,0,1),0),0)</f>
        <v>0</v>
      </c>
      <c r="AS53" s="324" t="n">
        <f aca="false">IF(AH53,xASN(AL53,Strike1,AE53,AP53,0,N53,0,P53,Q53,IF(OptControl=4,0,1),1),0)</f>
        <v>0</v>
      </c>
      <c r="AT53" s="324" t="n">
        <f aca="false">IF(AH53,xASN(AL53,Strike1,AE53,AP53,0,N53,0,P53,Q53,IF(OptControl=4,0,1),2),0)</f>
        <v>0</v>
      </c>
      <c r="AU53" s="324" t="n">
        <f aca="false">IF(AH53,xASN(AL53,Strike1,AE53,AP53,0,N53,0,P53,Q53,IF(OptControl=4,0,1),3)/100,0)</f>
        <v>0</v>
      </c>
      <c r="AV53" s="324" t="n">
        <f aca="false">IF(AH53,xASN(AL53,Strike1,AE53,AP53,0,N53,0,P53-DaysForThetaCalculation/365.25,Q53-DaysForThetaCalculation/365.25,IF(OptControl=4,0,1),0)-xASN(AL53,Strike1,AE53,AP53,0,N53,0,P53,Q53,IF(OptControl=4,0,1),0),0)</f>
        <v>0</v>
      </c>
      <c r="AW53" s="324" t="n">
        <f aca="false">IF(AH53,xASN(AL53,Strike2,AE53,AQ53,0,N53,0,P53,Q53,IF(OptControl=3,1,0),0),0)</f>
        <v>0</v>
      </c>
      <c r="AX53" s="324" t="n">
        <f aca="false">IF(AH53,xASN(AL53,Strike2,AE53,AQ53,0,N53,0,P53,Q53,IF(OptControl=3,1,0),1),0)</f>
        <v>0</v>
      </c>
      <c r="AY53" s="324" t="n">
        <f aca="false">IF(AH53,xASN(AL53,Strike2,AE53,AQ53,0,N53,0,P53,Q53,IF(OptControl=3,1,0),2),0)</f>
        <v>0</v>
      </c>
      <c r="AZ53" s="324" t="n">
        <f aca="false">IF(AH53,xASN(AL53,Strike2,AE53,AQ53,0,N53,0,P53,Q53,IF(OptControl=3,1,0),3)/100,0)</f>
        <v>0</v>
      </c>
      <c r="BA53" s="324" t="n">
        <f aca="false">IF(AH53,xASN(AL53,Strike2,AE53,AQ53,0,N53,0,P53-DaysForThetaCalculation/365.25,Q53-DaysForThetaCalculation/365.25,IF(OptControl=3,1,0),0)-xASN(AL53,Strike2,AE53,AQ53,0,N53,0,P53,Q53,IF(OptControl=3,1,0),0),0)</f>
        <v>0</v>
      </c>
      <c r="BB53" s="325" t="str">
        <f aca="false">IF(AH53,IF(ProductGroup=1,IF(Product=1,BX53+PriceSpreadEuro,IF(Product=3,CK53+PriceSpreadEuro,"N/A")),"N/A"),"")</f>
        <v/>
      </c>
      <c r="BC53" s="316" t="str">
        <f aca="false">IF(AH53,Strike1/BB53-1,"")</f>
        <v/>
      </c>
      <c r="BD53" s="316" t="str">
        <f aca="false">IF(AH53,Strike2/BB53-1,"")</f>
        <v/>
      </c>
      <c r="BE53" s="326" t="str">
        <f aca="false">IF(AH53,IF(VolOverrideEuro,VolOverrideEuro,IF(ProductGroup=1,IF(Product&lt;3,DA53,DE53)+VolSpreadEuro,"N/A")),"")</f>
        <v/>
      </c>
      <c r="BF53" s="323" t="str">
        <f aca="false">IF($AH53,$BE53+IF(SkewFlag=1,IF(BC53&gt;0,$AA53*MIN(BC53/10%,1)+($Z53-$AA53)*MAX(0,MIN(BC53/10%-1,1))+($Y53-$Z53)*MAX(0,BC53/10%-2),$AB53*MIN(-BC53/10%,1)+($AC53-$AB53)*MAX(0,MIN(-BC53/10%-1,1))+($AD53-$AC53)*MAX(0,-BC53/10%-2)),0),"")</f>
        <v/>
      </c>
      <c r="BG53" s="323" t="str">
        <f aca="false">IF($AH53,$BE53+IF(SkewFlag=1,IF(BD53&gt;0,$AA53*MIN(BD53/10%,1)+($Z53-$AA53)*MAX(0,MIN(BD53/10%-1,1))+($Y53-$Z53)*MAX(0,BD53/10%-2),$AB53*MIN(-BD53/10%,1)+($AC53-$AB53)*MAX(0,MIN(-BD53/10%-1,1))+($AD53-$AC53)*MAX(0,-BD53/10%-2)),0),"")</f>
        <v/>
      </c>
      <c r="BH53" s="324" t="n">
        <f aca="false">IF(AH53,xEURO(BB53,Strike1,AE53,AE53,BF53,O53,IF(OptControl=4,0,1),0),0)</f>
        <v>0</v>
      </c>
      <c r="BI53" s="324" t="n">
        <f aca="false">IF(AH53,xEURO(BB53,Strike1,AE53,AE53,BF53,O53,IF(OptControl=4,0,1),1),0)</f>
        <v>0</v>
      </c>
      <c r="BJ53" s="324" t="n">
        <f aca="false">IF(AH53,xEURO(BB53,Strike1,AE53,AE53,BF53,O53,IF(OptControl=4,0,1),2),0)</f>
        <v>0</v>
      </c>
      <c r="BK53" s="324" t="n">
        <f aca="false">IF(AH53,xEURO(BB53,Strike1,AE53,AE53,BF53,O53,IF(OptControl=4,0,1),3)/100,0)</f>
        <v>0</v>
      </c>
      <c r="BL53" s="324" t="n">
        <f aca="false">IF(AH53,xEURO(BB53,Strike1,AE53,AE53,BF53,O53-DaysForThetaCalculation,IF(OptControl=4,0,1),0)-xEURO(BB53,Strike1,AE53,AE53,BF53,O53,IF(OptControl=4,0,1),0),0)</f>
        <v>0</v>
      </c>
      <c r="BM53" s="324" t="n">
        <f aca="false">IF(AH53,xEURO(BB53,Strike2,AE53,AE53,BG53,O53,IF(OptControl=3,1,0),0),0)</f>
        <v>0</v>
      </c>
      <c r="BN53" s="324" t="n">
        <f aca="false">IF(AH53,xEURO(BB53,Strike2,AE53,AE53,BG53,O53,IF(OptControl=3,1,0),1),0)</f>
        <v>0</v>
      </c>
      <c r="BO53" s="324" t="n">
        <f aca="false">IF(AH53,xEURO(BB53,Strike2,AE53,AE53,BG53,O53,IF(OptControl=3,1,0),2),0)</f>
        <v>0</v>
      </c>
      <c r="BP53" s="324" t="n">
        <f aca="false">IF(AH53,xEURO(BB53,Strike2,AE53,AE53,BG53,O53,IF(OptControl=3,1,0),3)/100,0)</f>
        <v>0</v>
      </c>
      <c r="BQ53" s="327" t="n">
        <f aca="false">IF(AH53,xEURO(BB53,Strike2,AE53,AE53,BG53,O53-DaysForThetaCalculation,IF(OptControl=3,1,0),0)-xEURO(BB53,Strike2,AE53,AE53,BG53,O53,IF(OptControl=3,1,0),0),0)</f>
        <v>0</v>
      </c>
      <c r="BR53" s="343"/>
      <c r="BS53" s="314" t="n">
        <v>25.179</v>
      </c>
      <c r="BT53" s="329" t="n">
        <f aca="false">BS53*100/42</f>
        <v>59.95</v>
      </c>
      <c r="BU53" s="329" t="n">
        <f aca="false">BS54-$U53</f>
        <v>10.719</v>
      </c>
      <c r="BV53" s="224"/>
      <c r="BW53" s="329" t="n">
        <f aca="false">BW41+VLOOKUP(1900+$L53,ProductSpreadTable,2)</f>
        <v>10.792</v>
      </c>
      <c r="BX53" s="329" t="n">
        <f aca="false">($V52+BW52)*100/42</f>
        <v>73.9763087843831</v>
      </c>
      <c r="BY53" s="332" t="n">
        <f aca="false">BX54</f>
        <v>69.0142857142856</v>
      </c>
      <c r="BZ53" s="314" t="n">
        <v>25.133</v>
      </c>
      <c r="CA53" s="329" t="n">
        <f aca="false">BZ53*100/42</f>
        <v>59.8404761904762</v>
      </c>
      <c r="CB53" s="329" t="n">
        <f aca="false">BZ53-$U53</f>
        <v>6.93900000000004</v>
      </c>
      <c r="CC53" s="329" t="n">
        <f aca="false">CC41+VLOOKUP(1900+$L53,ProductSpreadTable,3)</f>
        <v>13.143</v>
      </c>
      <c r="CD53" s="329" t="n">
        <f aca="false">($V53+CC53)*100/42</f>
        <v>74.6119047619046</v>
      </c>
      <c r="CE53" s="333" t="n">
        <f aca="false">CD53-BY53</f>
        <v>5.59761904761896</v>
      </c>
      <c r="CF53" s="314" t="n">
        <v>22.709</v>
      </c>
      <c r="CG53" s="329" t="n">
        <f aca="false">CF53*100/42</f>
        <v>54.0690476190476</v>
      </c>
      <c r="CH53" s="329" t="n">
        <f aca="false">CF54-$U53</f>
        <v>3.86900000000004</v>
      </c>
      <c r="CI53" s="224"/>
      <c r="CJ53" s="329" t="n">
        <f aca="false">CJ41+VLOOKUP(1900+$L53,ProductSpreadTable,4)</f>
        <v>10.124</v>
      </c>
      <c r="CK53" s="329" t="n">
        <f aca="false">($V52+CJ52)*100/42</f>
        <v>69.7572611653355</v>
      </c>
      <c r="CL53" s="329" t="n">
        <f aca="false">CK54</f>
        <v>67.4238095238094</v>
      </c>
      <c r="CM53" s="314" t="n">
        <v>20.929</v>
      </c>
      <c r="CN53" s="329" t="n">
        <f aca="false">CM53*100/42</f>
        <v>49.8309523809524</v>
      </c>
      <c r="CO53" s="329" t="n">
        <f aca="false">CM53-$U53</f>
        <v>2.73500000000004</v>
      </c>
      <c r="CP53" s="329" t="n">
        <f aca="false">CP41+VLOOKUP(1900+$L53,ProductSpreadTable,5)</f>
        <v>9.01099999999997</v>
      </c>
      <c r="CQ53" s="329" t="n">
        <f aca="false">($V53+CP53)*100/42</f>
        <v>64.7738095238094</v>
      </c>
      <c r="CR53" s="333" t="n">
        <f aca="false">CQ53-CL53</f>
        <v>-2.65000000000001</v>
      </c>
      <c r="CS53" s="314" t="n">
        <v>22.189</v>
      </c>
      <c r="CT53" s="329" t="n">
        <f aca="false">CS53*100/42</f>
        <v>52.8309523809524</v>
      </c>
      <c r="CU53" s="329" t="n">
        <f aca="false">CT53-CG54</f>
        <v>0.299999999999997</v>
      </c>
      <c r="CV53" s="329" t="n">
        <f aca="false">CV41+VLOOKUP(1900+$L53,ProductSpreadTable,6)</f>
        <v>1.04999999999999</v>
      </c>
      <c r="CW53" s="333" t="n">
        <f aca="false">CL53+CV53</f>
        <v>68.4738095238094</v>
      </c>
      <c r="CX53" s="318" t="n">
        <v>0.204</v>
      </c>
      <c r="CY53" s="326" t="n">
        <f aca="false">CX53-$W53</f>
        <v>-0.000428316362076991</v>
      </c>
      <c r="CZ53" s="326" t="n">
        <f aca="false">VLOOKUP(1900+$L53,ProductSpreadTable,7)</f>
        <v>-0.03</v>
      </c>
      <c r="DA53" s="365" t="n">
        <f aca="false">$W53+CZ53</f>
        <v>0.174428316362077</v>
      </c>
      <c r="DB53" s="318" t="n">
        <v>0.204</v>
      </c>
      <c r="DC53" s="326" t="n">
        <f aca="false">DB53-$W53</f>
        <v>-0.000428316362076991</v>
      </c>
      <c r="DD53" s="326" t="n">
        <f aca="false">VLOOKUP(1900+$L53,ProductSpreadTable,8)</f>
        <v>0.03</v>
      </c>
      <c r="DE53" s="365" t="n">
        <f aca="false">$W53+DD53</f>
        <v>0.234428316362077</v>
      </c>
      <c r="DG53" s="336"/>
      <c r="DH53" s="314" t="n">
        <v>16.425</v>
      </c>
      <c r="DI53" s="325" t="n">
        <f aca="false">DH53-$U53</f>
        <v>-1.76899999999996</v>
      </c>
      <c r="DJ53" s="325" t="n">
        <f aca="false">VLOOKUP(1900+$L53,ResidSpreadTable,2)</f>
        <v>-2</v>
      </c>
      <c r="DK53" s="337" t="n">
        <f aca="false">$V53+DJ53</f>
        <v>16.194</v>
      </c>
      <c r="DL53" s="314" t="n">
        <v>13.875</v>
      </c>
      <c r="DM53" s="325" t="n">
        <f aca="false">DL53-$U53</f>
        <v>-4.31899999999996</v>
      </c>
      <c r="DN53" s="325" t="n">
        <f aca="false">VLOOKUP(1900+$L53,ResidSpreadTable,3)</f>
        <v>-3</v>
      </c>
      <c r="DO53" s="337" t="n">
        <f aca="false">$V53+DN53</f>
        <v>15.194</v>
      </c>
      <c r="DP53" s="314" t="n">
        <v>13.125</v>
      </c>
      <c r="DQ53" s="325" t="n">
        <f aca="false">DP53-$U53</f>
        <v>-5.06899999999996</v>
      </c>
      <c r="DR53" s="325" t="n">
        <f aca="false">VLOOKUP(1900+$L53,ResidSpreadTable,4)</f>
        <v>-6</v>
      </c>
      <c r="DS53" s="337" t="n">
        <f aca="false">$V53+DR53</f>
        <v>12.194</v>
      </c>
      <c r="DT53" s="314" t="n">
        <v>15.125</v>
      </c>
      <c r="DU53" s="325" t="n">
        <f aca="false">DT53-$U53</f>
        <v>-3.06899999999996</v>
      </c>
      <c r="DV53" s="325" t="n">
        <f aca="false">VLOOKUP(1900+$L53,ResidSpreadTable,5)</f>
        <v>-5</v>
      </c>
      <c r="DW53" s="337" t="n">
        <f aca="false">$V53+DV53</f>
        <v>13.194</v>
      </c>
      <c r="DY53" s="95" t="n">
        <v>2015</v>
      </c>
      <c r="DZ53" s="390" t="n">
        <v>-2</v>
      </c>
      <c r="EA53" s="390" t="n">
        <v>-3</v>
      </c>
      <c r="EB53" s="390" t="n">
        <v>-6</v>
      </c>
      <c r="EC53" s="376" t="n">
        <v>-5</v>
      </c>
    </row>
    <row r="54" customFormat="false" ht="12.75" hidden="false" customHeight="false" outlineLevel="0" collapsed="false">
      <c r="B54" s="371" t="n">
        <v>37196</v>
      </c>
      <c r="C54" s="372" t="n">
        <v>37186</v>
      </c>
      <c r="I54" s="338" t="n">
        <f aca="false">EOMONTH(I53,0)+1</f>
        <v>47392</v>
      </c>
      <c r="J54" s="389" t="n">
        <f aca="false">VLOOKUP(I54,$B$12:$C$332,2)</f>
        <v>45644</v>
      </c>
      <c r="K54" s="339" t="n">
        <f aca="false">NETWORKDAYS(I54,J55)/N54</f>
        <v>-54.304347826087</v>
      </c>
      <c r="L54" s="309" t="n">
        <f aca="false">YEAR(I54)-1900</f>
        <v>129</v>
      </c>
      <c r="M54" s="310" t="n">
        <f aca="false">MONTH(I54)</f>
        <v>10</v>
      </c>
      <c r="N54" s="340" t="n">
        <f aca="false">NETWORKDAYS(I54,I55-1)</f>
        <v>23</v>
      </c>
      <c r="O54" s="341" t="n">
        <f aca="false">I54-DateToday-IF(EuroExpDateToggle=1,3+IF(WEEKDAY(I54-1)=7,1,IF(WEEKDAY(I54-1)&lt;5,2,0)),1+IF(WEEKDAY(I54-1)=7,1,IF(WEEKDAY(I54-1)&lt;3,2,0)))</f>
        <v>1461</v>
      </c>
      <c r="P54" s="342" t="n">
        <f aca="false">(I54-DateToday+1)/365.25</f>
        <v>4.01642710472279</v>
      </c>
      <c r="Q54" s="342" t="n">
        <f aca="false">(I55-DateToday)/365.25</f>
        <v>4.09856262833676</v>
      </c>
      <c r="R54" s="314" t="n">
        <v>19.13</v>
      </c>
      <c r="S54" s="347" t="n">
        <v>0</v>
      </c>
      <c r="T54" s="316" t="n">
        <f aca="false">R54+S54/100</f>
        <v>19.13</v>
      </c>
      <c r="U54" s="325" t="n">
        <f aca="false">R55*K54+R56*(1-K54)</f>
        <v>18.2854347826087</v>
      </c>
      <c r="V54" s="337" t="n">
        <f aca="false">T55*K54+T56*(1-K54)</f>
        <v>18.2854347826087</v>
      </c>
      <c r="W54" s="318" t="n">
        <v>0.203760696159647</v>
      </c>
      <c r="X54" s="319" t="str">
        <f aca="false">IF($I54-DateToday+1&gt;=$A$10,"",IF($I54-DateToday+1&lt;$A$5,1,MATCH($I54-DateToday+1,$A$5:$A$10)))</f>
        <v/>
      </c>
      <c r="Y54" s="348" t="n">
        <f aca="false">IF($X54="",Y53^2/Y52,INDEX(B$5:B$10,$X54)^((INDEX($A$5:$A$10,$X54+1)-($I54-DateToday+1))/(INDEX($A$5:$A$10,$X54+1)-INDEX($A$5:$A$10,$X54)))/INDEX(B$5:B$10,$X54+1)^((INDEX($A$5:$A$10,$X54)-($I54-DateToday+1))/(INDEX($A$5:$A$10,$X54+1)-INDEX($A$5:$A$10,$X54))))</f>
        <v>0.00542516024548146</v>
      </c>
      <c r="Z54" s="348" t="n">
        <f aca="false">IF($X54="",Z53^2/Z52,INDEX(C$5:C$10,$X54)^((INDEX($A$5:$A$10,$X54+1)-($I54-DateToday+1))/(INDEX($A$5:$A$10,$X54+1)-INDEX($A$5:$A$10,$X54)))/INDEX(C$5:C$10,$X54+1)^((INDEX($A$5:$A$10,$X54)-($I54-DateToday+1))/(INDEX($A$5:$A$10,$X54+1)-INDEX($A$5:$A$10,$X54))))</f>
        <v>0.00258145167128248</v>
      </c>
      <c r="AA54" s="348" t="n">
        <f aca="false">IF($X54="",AA53^2/AA52,INDEX(D$5:D$10,$X54)^((INDEX($A$5:$A$10,$X54+1)-($I54-DateToday+1))/(INDEX($A$5:$A$10,$X54+1)-INDEX($A$5:$A$10,$X54)))/INDEX(D$5:D$10,$X54+1)^((INDEX($A$5:$A$10,$X54)-($I54-DateToday+1))/(INDEX($A$5:$A$10,$X54+1)-INDEX($A$5:$A$10,$X54))))</f>
        <v>0.00108118952221066</v>
      </c>
      <c r="AB54" s="348" t="n">
        <f aca="false">IF($X54="",AB53^2/AB52,INDEX(E$5:E$10,$X54)^((INDEX($A$5:$A$10,$X54+1)-($I54-DateToday+1))/(INDEX($A$5:$A$10,$X54+1)-INDEX($A$5:$A$10,$X54)))/INDEX(E$5:E$10,$X54+1)^((INDEX($A$5:$A$10,$X54)-($I54-DateToday+1))/(INDEX($A$5:$A$10,$X54+1)-INDEX($A$5:$A$10,$X54))))</f>
        <v>0.00243570375563618</v>
      </c>
      <c r="AC54" s="348" t="n">
        <f aca="false">IF($X54="",AC53^2/AC52,INDEX(F$5:F$10,$X54)^((INDEX($A$5:$A$10,$X54+1)-($I54-DateToday+1))/(INDEX($A$5:$A$10,$X54+1)-INDEX($A$5:$A$10,$X54)))/INDEX(F$5:F$10,$X54+1)^((INDEX($A$5:$A$10,$X54)-($I54-DateToday+1))/(INDEX($A$5:$A$10,$X54+1)-INDEX($A$5:$A$10,$X54))))</f>
        <v>0.00581549432506519</v>
      </c>
      <c r="AD54" s="348" t="n">
        <f aca="false">IF($X54="",AD53^2/AD52,INDEX(G$5:G$10,$X54)^((INDEX($A$5:$A$10,$X54+1)-($I54-DateToday+1))/(INDEX($A$5:$A$10,$X54+1)-INDEX($A$5:$A$10,$X54)))/INDEX(G$5:G$10,$X54+1)^((INDEX($A$5:$A$10,$X54)-($I54-DateToday+1))/(INDEX($A$5:$A$10,$X54+1)-INDEX($A$5:$A$10,$X54))))</f>
        <v>0.0122218010010205</v>
      </c>
      <c r="AE54" s="321" t="n">
        <v>0.072563790777123</v>
      </c>
      <c r="AF54" s="316" t="n">
        <f aca="false">(1+AE54/2)^(-2*(I55-DateToday)/365.25)</f>
        <v>0.746664711957332</v>
      </c>
      <c r="AG54" s="316" t="n">
        <f aca="false">AG53*(1+IF(AND(M54=1,L54&gt;YearStart),Escalation,0))</f>
        <v>1</v>
      </c>
      <c r="AH54" s="322" t="n">
        <f aca="false">IF(OR(DateStart&gt;=I55,DateEnd&lt;I54),0,Volume*AG54)</f>
        <v>0</v>
      </c>
      <c r="AI54" s="322" t="n">
        <f aca="false">AH54*AF54</f>
        <v>0</v>
      </c>
      <c r="AJ54" s="322" t="n">
        <f aca="false">IF(OR(DateStart2&gt;=I55,DateEnd2&lt;I54),0,VolumeSwaption*AG54)</f>
        <v>0</v>
      </c>
      <c r="AK54" s="322" t="n">
        <f aca="false">AJ54*AF54</f>
        <v>0</v>
      </c>
      <c r="AL54" s="316" t="str">
        <f aca="true">IF(AH54,OFFSET(BY54,0,HorizontalPriceOffset)+PriceSpreadAsian,"")</f>
        <v/>
      </c>
      <c r="AM54" s="316" t="str">
        <f aca="false">IF(AH54,Strike1/AL54-1,"")</f>
        <v/>
      </c>
      <c r="AN54" s="316" t="str">
        <f aca="false">IF(AH54,Strike2/AL54-1,"")</f>
        <v/>
      </c>
      <c r="AO54" s="323" t="str">
        <f aca="false">IF(AH54,IF(VolOverrideAsian,VolOverrideAsian,IF(ProductGroup=1,IF(Product&lt;3,DA55,DE55),W55)+VolSpreadAsian),"")</f>
        <v/>
      </c>
      <c r="AP54" s="323" t="str">
        <f aca="false">IF($AH54,$AO54+IF(SkewFlag=1,IF(AM54&gt;0,$AA54*MIN(AM54/10%,1)+($Z54-$AA54)*MAX(0,MIN(AM54/10%-1,1))+($Y54-$Z54)*MAX(0,AM54/10%-2),$AB54*MIN(-AM54/10%,1)+($AC54-$AB54)*MAX(0,MIN(-AM54/10%-1,1))+($AD54-$AC54)*MAX(0,-AM54/10%-2)),0),"")</f>
        <v/>
      </c>
      <c r="AQ54" s="323" t="str">
        <f aca="false">IF($AH54,$AO54+IF(SkewFlag=1,IF(AN54&gt;0,$AA54*MIN(AN54/10%,1)+($Z54-$AA54)*MAX(0,MIN(AN54/10%-1,1))+($Y54-$Z54)*MAX(0,AN54/10%-2),$AB54*MIN(-AN54/10%,1)+($AC54-$AB54)*MAX(0,MIN(-AN54/10%-1,1))+($AD54-$AC54)*MAX(0,-AN54/10%-2)),0),"")</f>
        <v/>
      </c>
      <c r="AR54" s="324" t="n">
        <f aca="false">IF(AH54,xASN(AL54,Strike1,AE54,AP54,0,N54,0,P54,Q54,IF(OptControl=4,0,1),0),0)</f>
        <v>0</v>
      </c>
      <c r="AS54" s="324" t="n">
        <f aca="false">IF(AH54,xASN(AL54,Strike1,AE54,AP54,0,N54,0,P54,Q54,IF(OptControl=4,0,1),1),0)</f>
        <v>0</v>
      </c>
      <c r="AT54" s="324" t="n">
        <f aca="false">IF(AH54,xASN(AL54,Strike1,AE54,AP54,0,N54,0,P54,Q54,IF(OptControl=4,0,1),2),0)</f>
        <v>0</v>
      </c>
      <c r="AU54" s="324" t="n">
        <f aca="false">IF(AH54,xASN(AL54,Strike1,AE54,AP54,0,N54,0,P54,Q54,IF(OptControl=4,0,1),3)/100,0)</f>
        <v>0</v>
      </c>
      <c r="AV54" s="324" t="n">
        <f aca="false">IF(AH54,xASN(AL54,Strike1,AE54,AP54,0,N54,0,P54-DaysForThetaCalculation/365.25,Q54-DaysForThetaCalculation/365.25,IF(OptControl=4,0,1),0)-xASN(AL54,Strike1,AE54,AP54,0,N54,0,P54,Q54,IF(OptControl=4,0,1),0),0)</f>
        <v>0</v>
      </c>
      <c r="AW54" s="324" t="n">
        <f aca="false">IF(AH54,xASN(AL54,Strike2,AE54,AQ54,0,N54,0,P54,Q54,IF(OptControl=3,1,0),0),0)</f>
        <v>0</v>
      </c>
      <c r="AX54" s="324" t="n">
        <f aca="false">IF(AH54,xASN(AL54,Strike2,AE54,AQ54,0,N54,0,P54,Q54,IF(OptControl=3,1,0),1),0)</f>
        <v>0</v>
      </c>
      <c r="AY54" s="324" t="n">
        <f aca="false">IF(AH54,xASN(AL54,Strike2,AE54,AQ54,0,N54,0,P54,Q54,IF(OptControl=3,1,0),2),0)</f>
        <v>0</v>
      </c>
      <c r="AZ54" s="324" t="n">
        <f aca="false">IF(AH54,xASN(AL54,Strike2,AE54,AQ54,0,N54,0,P54,Q54,IF(OptControl=3,1,0),3)/100,0)</f>
        <v>0</v>
      </c>
      <c r="BA54" s="324" t="n">
        <f aca="false">IF(AH54,xASN(AL54,Strike2,AE54,AQ54,0,N54,0,P54-DaysForThetaCalculation/365.25,Q54-DaysForThetaCalculation/365.25,IF(OptControl=3,1,0),0)-xASN(AL54,Strike2,AE54,AQ54,0,N54,0,P54,Q54,IF(OptControl=3,1,0),0),0)</f>
        <v>0</v>
      </c>
      <c r="BB54" s="325" t="str">
        <f aca="false">IF(AH54,IF(ProductGroup=1,IF(Product=1,BX54+PriceSpreadEuro,IF(Product=3,CK54+PriceSpreadEuro,"N/A")),"N/A"),"")</f>
        <v/>
      </c>
      <c r="BC54" s="316" t="str">
        <f aca="false">IF(AH54,Strike1/BB54-1,"")</f>
        <v/>
      </c>
      <c r="BD54" s="316" t="str">
        <f aca="false">IF(AH54,Strike2/BB54-1,"")</f>
        <v/>
      </c>
      <c r="BE54" s="326" t="str">
        <f aca="false">IF(AH54,IF(VolOverrideEuro,VolOverrideEuro,IF(ProductGroup=1,IF(Product&lt;3,DA54,DE54)+VolSpreadEuro,"N/A")),"")</f>
        <v/>
      </c>
      <c r="BF54" s="323" t="str">
        <f aca="false">IF($AH54,$BE54+IF(SkewFlag=1,IF(BC54&gt;0,$AA54*MIN(BC54/10%,1)+($Z54-$AA54)*MAX(0,MIN(BC54/10%-1,1))+($Y54-$Z54)*MAX(0,BC54/10%-2),$AB54*MIN(-BC54/10%,1)+($AC54-$AB54)*MAX(0,MIN(-BC54/10%-1,1))+($AD54-$AC54)*MAX(0,-BC54/10%-2)),0),"")</f>
        <v/>
      </c>
      <c r="BG54" s="323" t="str">
        <f aca="false">IF($AH54,$BE54+IF(SkewFlag=1,IF(BD54&gt;0,$AA54*MIN(BD54/10%,1)+($Z54-$AA54)*MAX(0,MIN(BD54/10%-1,1))+($Y54-$Z54)*MAX(0,BD54/10%-2),$AB54*MIN(-BD54/10%,1)+($AC54-$AB54)*MAX(0,MIN(-BD54/10%-1,1))+($AD54-$AC54)*MAX(0,-BD54/10%-2)),0),"")</f>
        <v/>
      </c>
      <c r="BH54" s="324" t="n">
        <f aca="false">IF(AH54,xEURO(BB54,Strike1,AE54,AE54,BF54,O54,IF(OptControl=4,0,1),0),0)</f>
        <v>0</v>
      </c>
      <c r="BI54" s="324" t="n">
        <f aca="false">IF(AH54,xEURO(BB54,Strike1,AE54,AE54,BF54,O54,IF(OptControl=4,0,1),1),0)</f>
        <v>0</v>
      </c>
      <c r="BJ54" s="324" t="n">
        <f aca="false">IF(AH54,xEURO(BB54,Strike1,AE54,AE54,BF54,O54,IF(OptControl=4,0,1),2),0)</f>
        <v>0</v>
      </c>
      <c r="BK54" s="324" t="n">
        <f aca="false">IF(AH54,xEURO(BB54,Strike1,AE54,AE54,BF54,O54,IF(OptControl=4,0,1),3)/100,0)</f>
        <v>0</v>
      </c>
      <c r="BL54" s="324" t="n">
        <f aca="false">IF(AH54,xEURO(BB54,Strike1,AE54,AE54,BF54,O54-DaysForThetaCalculation,IF(OptControl=4,0,1),0)-xEURO(BB54,Strike1,AE54,AE54,BF54,O54,IF(OptControl=4,0,1),0),0)</f>
        <v>0</v>
      </c>
      <c r="BM54" s="324" t="n">
        <f aca="false">IF(AH54,xEURO(BB54,Strike2,AE54,AE54,BG54,O54,IF(OptControl=3,1,0),0),0)</f>
        <v>0</v>
      </c>
      <c r="BN54" s="324" t="n">
        <f aca="false">IF(AH54,xEURO(BB54,Strike2,AE54,AE54,BG54,O54,IF(OptControl=3,1,0),1),0)</f>
        <v>0</v>
      </c>
      <c r="BO54" s="324" t="n">
        <f aca="false">IF(AH54,xEURO(BB54,Strike2,AE54,AE54,BG54,O54,IF(OptControl=3,1,0),2),0)</f>
        <v>0</v>
      </c>
      <c r="BP54" s="324" t="n">
        <f aca="false">IF(AH54,xEURO(BB54,Strike2,AE54,AE54,BG54,O54,IF(OptControl=3,1,0),3)/100,0)</f>
        <v>0</v>
      </c>
      <c r="BQ54" s="327" t="n">
        <f aca="false">IF(AH54,xEURO(BB54,Strike2,AE54,AE54,BG54,O54-DaysForThetaCalculation,IF(OptControl=3,1,0),0)-xEURO(BB54,Strike2,AE54,AE54,BG54,O54,IF(OptControl=3,1,0),0),0)</f>
        <v>0</v>
      </c>
      <c r="BR54" s="343"/>
      <c r="BS54" s="314" t="n">
        <v>28.913</v>
      </c>
      <c r="BT54" s="329" t="n">
        <f aca="false">BS54*100/42</f>
        <v>68.8404761904762</v>
      </c>
      <c r="BU54" s="329" t="n">
        <f aca="false">BS55-$U54</f>
        <v>9.10656521739129</v>
      </c>
      <c r="BV54" s="224"/>
      <c r="BW54" s="329" t="n">
        <f aca="false">BW42+VLOOKUP(1900+$L54,ProductSpreadTable,2)</f>
        <v>21.024347826087</v>
      </c>
      <c r="BX54" s="329" t="n">
        <f aca="false">($V53+BW53)*100/42</f>
        <v>69.0142857142856</v>
      </c>
      <c r="BY54" s="332" t="n">
        <f aca="false">BX55</f>
        <v>93.5947204968945</v>
      </c>
      <c r="BZ54" s="314" t="n">
        <v>25.502</v>
      </c>
      <c r="CA54" s="329" t="n">
        <f aca="false">BZ54*100/42</f>
        <v>60.7190476190476</v>
      </c>
      <c r="CB54" s="329" t="n">
        <f aca="false">BZ54-$U54</f>
        <v>7.21656521739129</v>
      </c>
      <c r="CC54" s="329" t="n">
        <f aca="false">CC42+VLOOKUP(1900+$L54,ProductSpreadTable,3)</f>
        <v>18.399347826087</v>
      </c>
      <c r="CD54" s="329" t="n">
        <f aca="false">($V54+CC54)*100/42</f>
        <v>87.3447204968945</v>
      </c>
      <c r="CE54" s="333" t="n">
        <f aca="false">CD54-BY54</f>
        <v>-6.25</v>
      </c>
      <c r="CF54" s="314" t="n">
        <v>22.063</v>
      </c>
      <c r="CG54" s="329" t="n">
        <f aca="false">CF54*100/42</f>
        <v>52.5309523809524</v>
      </c>
      <c r="CH54" s="329" t="n">
        <f aca="false">CF55-$U54</f>
        <v>3.19356521739129</v>
      </c>
      <c r="CI54" s="224"/>
      <c r="CJ54" s="329" t="n">
        <f aca="false">CJ42+VLOOKUP(1900+$L54,ProductSpreadTable,4)</f>
        <v>8.81163636363634</v>
      </c>
      <c r="CK54" s="329" t="n">
        <f aca="false">($V53+CJ53)*100/42</f>
        <v>67.4238095238094</v>
      </c>
      <c r="CL54" s="329" t="n">
        <f aca="false">CK55</f>
        <v>64.5168360624882</v>
      </c>
      <c r="CM54" s="314" t="n">
        <v>20.66</v>
      </c>
      <c r="CN54" s="329" t="n">
        <f aca="false">CM54*100/42</f>
        <v>49.1904761904762</v>
      </c>
      <c r="CO54" s="329" t="n">
        <f aca="false">CM54-$U54</f>
        <v>2.37456521739128</v>
      </c>
      <c r="CP54" s="329" t="n">
        <f aca="false">CP42+VLOOKUP(1900+$L54,ProductSpreadTable,5)</f>
        <v>7.88763636363634</v>
      </c>
      <c r="CQ54" s="329" t="n">
        <f aca="false">($V54+CP54)*100/42</f>
        <v>62.3168360624882</v>
      </c>
      <c r="CR54" s="333" t="n">
        <f aca="false">CQ54-CL54</f>
        <v>-2.20000000000001</v>
      </c>
      <c r="CS54" s="314" t="n">
        <v>21.605</v>
      </c>
      <c r="CT54" s="329" t="n">
        <f aca="false">CS54*100/42</f>
        <v>51.4404761904762</v>
      </c>
      <c r="CU54" s="329" t="n">
        <f aca="false">CT54-CG55</f>
        <v>0.299999999999997</v>
      </c>
      <c r="CV54" s="329" t="n">
        <f aca="false">CV42+VLOOKUP(1900+$L54,ProductSpreadTable,6)</f>
        <v>1.04999999999999</v>
      </c>
      <c r="CW54" s="333" t="n">
        <f aca="false">CL54+CV54</f>
        <v>65.5668360624882</v>
      </c>
      <c r="CX54" s="318" t="n">
        <v>0.204</v>
      </c>
      <c r="CY54" s="326" t="n">
        <f aca="false">CX54-$W54</f>
        <v>0.00023930384035295</v>
      </c>
      <c r="CZ54" s="326" t="n">
        <f aca="false">VLOOKUP(1900+$L54,ProductSpreadTable,7)</f>
        <v>-0.03</v>
      </c>
      <c r="DA54" s="365" t="n">
        <f aca="false">$W54+CZ54</f>
        <v>0.173760696159647</v>
      </c>
      <c r="DB54" s="318" t="n">
        <v>0.204</v>
      </c>
      <c r="DC54" s="326" t="n">
        <f aca="false">DB54-$W54</f>
        <v>0.00023930384035295</v>
      </c>
      <c r="DD54" s="326" t="n">
        <f aca="false">VLOOKUP(1900+$L54,ProductSpreadTable,8)</f>
        <v>0.03</v>
      </c>
      <c r="DE54" s="365" t="n">
        <f aca="false">$W54+DD54</f>
        <v>0.233760696159647</v>
      </c>
      <c r="DG54" s="336"/>
      <c r="DH54" s="314" t="n">
        <v>16.41</v>
      </c>
      <c r="DI54" s="325" t="n">
        <f aca="false">DH54-$U54</f>
        <v>-1.87543478260872</v>
      </c>
      <c r="DJ54" s="325" t="n">
        <f aca="false">VLOOKUP(1900+$L54,ResidSpreadTable,2)</f>
        <v>-2</v>
      </c>
      <c r="DK54" s="337" t="n">
        <f aca="false">$V54+DJ54</f>
        <v>16.2854347826087</v>
      </c>
      <c r="DL54" s="314" t="n">
        <v>13.86</v>
      </c>
      <c r="DM54" s="325" t="n">
        <f aca="false">DL54-$U54</f>
        <v>-4.42543478260872</v>
      </c>
      <c r="DN54" s="325" t="n">
        <f aca="false">VLOOKUP(1900+$L54,ResidSpreadTable,3)</f>
        <v>-3</v>
      </c>
      <c r="DO54" s="337" t="n">
        <f aca="false">$V54+DN54</f>
        <v>15.2854347826087</v>
      </c>
      <c r="DP54" s="314" t="n">
        <v>13.11</v>
      </c>
      <c r="DQ54" s="325" t="n">
        <f aca="false">DP54-$U54</f>
        <v>-5.17543478260872</v>
      </c>
      <c r="DR54" s="325" t="n">
        <f aca="false">VLOOKUP(1900+$L54,ResidSpreadTable,4)</f>
        <v>-6</v>
      </c>
      <c r="DS54" s="337" t="n">
        <f aca="false">$V54+DR54</f>
        <v>12.2854347826087</v>
      </c>
      <c r="DT54" s="314" t="n">
        <v>15.21</v>
      </c>
      <c r="DU54" s="325" t="n">
        <f aca="false">DT54-$U54</f>
        <v>-3.07543478260872</v>
      </c>
      <c r="DV54" s="325" t="n">
        <f aca="false">VLOOKUP(1900+$L54,ResidSpreadTable,5)</f>
        <v>-5</v>
      </c>
      <c r="DW54" s="337" t="n">
        <f aca="false">$V54+DV54</f>
        <v>13.2854347826087</v>
      </c>
    </row>
    <row r="55" customFormat="false" ht="12.75" hidden="false" customHeight="false" outlineLevel="0" collapsed="false">
      <c r="B55" s="371" t="n">
        <v>37226</v>
      </c>
      <c r="C55" s="372" t="n">
        <v>37214</v>
      </c>
      <c r="I55" s="338" t="n">
        <f aca="false">EOMONTH(I54,0)+1</f>
        <v>47423</v>
      </c>
      <c r="J55" s="389" t="n">
        <f aca="false">VLOOKUP(I55,$B$12:$C$332,2)</f>
        <v>45644</v>
      </c>
      <c r="K55" s="339" t="n">
        <f aca="false">NETWORKDAYS(I55,J56)/N55</f>
        <v>-57.8181818181818</v>
      </c>
      <c r="L55" s="309" t="n">
        <f aca="false">YEAR(I55)-1900</f>
        <v>129</v>
      </c>
      <c r="M55" s="310" t="n">
        <f aca="false">MONTH(I55)</f>
        <v>11</v>
      </c>
      <c r="N55" s="340" t="n">
        <f aca="false">NETWORKDAYS(I55,I56-1)</f>
        <v>22</v>
      </c>
      <c r="O55" s="341" t="n">
        <f aca="false">I55-DateToday-IF(EuroExpDateToggle=1,3+IF(WEEKDAY(I55-1)=7,1,IF(WEEKDAY(I55-1)&lt;5,2,0)),1+IF(WEEKDAY(I55-1)=7,1,IF(WEEKDAY(I55-1)&lt;3,2,0)))</f>
        <v>1492</v>
      </c>
      <c r="P55" s="342" t="n">
        <f aca="false">(I55-DateToday+1)/365.25</f>
        <v>4.10130047912389</v>
      </c>
      <c r="Q55" s="342" t="n">
        <f aca="false">(I56-DateToday)/365.25</f>
        <v>4.18069815195072</v>
      </c>
      <c r="R55" s="314" t="n">
        <v>19.115</v>
      </c>
      <c r="S55" s="347" t="n">
        <v>0</v>
      </c>
      <c r="T55" s="316" t="n">
        <f aca="false">R55+S55/100</f>
        <v>19.115</v>
      </c>
      <c r="U55" s="325" t="n">
        <f aca="false">R56*K55+R57*(1-K55)</f>
        <v>18.2177272727272</v>
      </c>
      <c r="V55" s="337" t="n">
        <f aca="false">T56*K55+T57*(1-K55)</f>
        <v>18.2177272727272</v>
      </c>
      <c r="W55" s="318" t="n">
        <v>0.203399699793964</v>
      </c>
      <c r="X55" s="319" t="str">
        <f aca="false">IF($I55-DateToday+1&gt;=$A$10,"",IF($I55-DateToday+1&lt;$A$5,1,MATCH($I55-DateToday+1,$A$5:$A$10)))</f>
        <v/>
      </c>
      <c r="Y55" s="348" t="n">
        <f aca="false">IF($X55="",Y54^2/Y53,INDEX(B$5:B$10,$X55)^((INDEX($A$5:$A$10,$X55+1)-($I55-DateToday+1))/(INDEX($A$5:$A$10,$X55+1)-INDEX($A$5:$A$10,$X55)))/INDEX(B$5:B$10,$X55+1)^((INDEX($A$5:$A$10,$X55)-($I55-DateToday+1))/(INDEX($A$5:$A$10,$X55+1)-INDEX($A$5:$A$10,$X55))))</f>
        <v>0.0053090158158999</v>
      </c>
      <c r="Z55" s="348" t="n">
        <f aca="false">IF($X55="",Z54^2/Z53,INDEX(C$5:C$10,$X55)^((INDEX($A$5:$A$10,$X55+1)-($I55-DateToday+1))/(INDEX($A$5:$A$10,$X55+1)-INDEX($A$5:$A$10,$X55)))/INDEX(C$5:C$10,$X55+1)^((INDEX($A$5:$A$10,$X55)-($I55-DateToday+1))/(INDEX($A$5:$A$10,$X55+1)-INDEX($A$5:$A$10,$X55))))</f>
        <v>0.00251266138230164</v>
      </c>
      <c r="AA55" s="348" t="n">
        <f aca="false">IF($X55="",AA54^2/AA53,INDEX(D$5:D$10,$X55)^((INDEX($A$5:$A$10,$X55+1)-($I55-DateToday+1))/(INDEX($A$5:$A$10,$X55+1)-INDEX($A$5:$A$10,$X55)))/INDEX(D$5:D$10,$X55+1)^((INDEX($A$5:$A$10,$X55)-($I55-DateToday+1))/(INDEX($A$5:$A$10,$X55+1)-INDEX($A$5:$A$10,$X55))))</f>
        <v>0.00104955603091582</v>
      </c>
      <c r="AB55" s="348" t="n">
        <f aca="false">IF($X55="",AB54^2/AB53,INDEX(E$5:E$10,$X55)^((INDEX($A$5:$A$10,$X55+1)-($I55-DateToday+1))/(INDEX($A$5:$A$10,$X55+1)-INDEX($A$5:$A$10,$X55)))/INDEX(E$5:E$10,$X55+1)^((INDEX($A$5:$A$10,$X55)-($I55-DateToday+1))/(INDEX($A$5:$A$10,$X55+1)-INDEX($A$5:$A$10,$X55))))</f>
        <v>0.00236443982644718</v>
      </c>
      <c r="AC55" s="348" t="n">
        <f aca="false">IF($X55="",AC54^2/AC53,INDEX(F$5:F$10,$X55)^((INDEX($A$5:$A$10,$X55+1)-($I55-DateToday+1))/(INDEX($A$5:$A$10,$X55+1)-INDEX($A$5:$A$10,$X55)))/INDEX(F$5:F$10,$X55+1)^((INDEX($A$5:$A$10,$X55)-($I55-DateToday+1))/(INDEX($A$5:$A$10,$X55+1)-INDEX($A$5:$A$10,$X55))))</f>
        <v>0.00566052356204915</v>
      </c>
      <c r="AD55" s="348" t="n">
        <f aca="false">IF($X55="",AD54^2/AD53,INDEX(G$5:G$10,$X55)^((INDEX($A$5:$A$10,$X55+1)-($I55-DateToday+1))/(INDEX($A$5:$A$10,$X55+1)-INDEX($A$5:$A$10,$X55)))/INDEX(G$5:G$10,$X55+1)^((INDEX($A$5:$A$10,$X55)-($I55-DateToday+1))/(INDEX($A$5:$A$10,$X55+1)-INDEX($A$5:$A$10,$X55))))</f>
        <v>0.0119601508300591</v>
      </c>
      <c r="AE55" s="321" t="n">
        <v>0.072608165122854</v>
      </c>
      <c r="AF55" s="316" t="n">
        <f aca="false">(1+AE55/2)^(-2*(I56-DateToday)/365.25)</f>
        <v>0.742173267341855</v>
      </c>
      <c r="AG55" s="316" t="n">
        <f aca="false">AG54*(1+IF(AND(M55=1,L55&gt;YearStart),Escalation,0))</f>
        <v>1</v>
      </c>
      <c r="AH55" s="322" t="n">
        <f aca="false">IF(OR(DateStart&gt;=I56,DateEnd&lt;I55),0,Volume*AG55)</f>
        <v>0</v>
      </c>
      <c r="AI55" s="322" t="n">
        <f aca="false">AH55*AF55</f>
        <v>0</v>
      </c>
      <c r="AJ55" s="322" t="n">
        <f aca="false">IF(OR(DateStart2&gt;=I56,DateEnd2&lt;I55),0,VolumeSwaption*AG55)</f>
        <v>0</v>
      </c>
      <c r="AK55" s="322" t="n">
        <f aca="false">AJ55*AF55</f>
        <v>0</v>
      </c>
      <c r="AL55" s="316" t="str">
        <f aca="true">IF(AH55,OFFSET(BY55,0,HorizontalPriceOffset)+PriceSpreadAsian,"")</f>
        <v/>
      </c>
      <c r="AM55" s="316" t="str">
        <f aca="false">IF(AH55,Strike1/AL55-1,"")</f>
        <v/>
      </c>
      <c r="AN55" s="316" t="str">
        <f aca="false">IF(AH55,Strike2/AL55-1,"")</f>
        <v/>
      </c>
      <c r="AO55" s="323" t="str">
        <f aca="false">IF(AH55,IF(VolOverrideAsian,VolOverrideAsian,IF(ProductGroup=1,IF(Product&lt;3,DA56,DE56),W56)+VolSpreadAsian),"")</f>
        <v/>
      </c>
      <c r="AP55" s="323" t="str">
        <f aca="false">IF($AH55,$AO55+IF(SkewFlag=1,IF(AM55&gt;0,$AA55*MIN(AM55/10%,1)+($Z55-$AA55)*MAX(0,MIN(AM55/10%-1,1))+($Y55-$Z55)*MAX(0,AM55/10%-2),$AB55*MIN(-AM55/10%,1)+($AC55-$AB55)*MAX(0,MIN(-AM55/10%-1,1))+($AD55-$AC55)*MAX(0,-AM55/10%-2)),0),"")</f>
        <v/>
      </c>
      <c r="AQ55" s="323" t="str">
        <f aca="false">IF($AH55,$AO55+IF(SkewFlag=1,IF(AN55&gt;0,$AA55*MIN(AN55/10%,1)+($Z55-$AA55)*MAX(0,MIN(AN55/10%-1,1))+($Y55-$Z55)*MAX(0,AN55/10%-2),$AB55*MIN(-AN55/10%,1)+($AC55-$AB55)*MAX(0,MIN(-AN55/10%-1,1))+($AD55-$AC55)*MAX(0,-AN55/10%-2)),0),"")</f>
        <v/>
      </c>
      <c r="AR55" s="324" t="n">
        <f aca="false">IF(AH55,xASN(AL55,Strike1,AE55,AP55,0,N55,0,P55,Q55,IF(OptControl=4,0,1),0),0)</f>
        <v>0</v>
      </c>
      <c r="AS55" s="324" t="n">
        <f aca="false">IF(AH55,xASN(AL55,Strike1,AE55,AP55,0,N55,0,P55,Q55,IF(OptControl=4,0,1),1),0)</f>
        <v>0</v>
      </c>
      <c r="AT55" s="324" t="n">
        <f aca="false">IF(AH55,xASN(AL55,Strike1,AE55,AP55,0,N55,0,P55,Q55,IF(OptControl=4,0,1),2),0)</f>
        <v>0</v>
      </c>
      <c r="AU55" s="324" t="n">
        <f aca="false">IF(AH55,xASN(AL55,Strike1,AE55,AP55,0,N55,0,P55,Q55,IF(OptControl=4,0,1),3)/100,0)</f>
        <v>0</v>
      </c>
      <c r="AV55" s="324" t="n">
        <f aca="false">IF(AH55,xASN(AL55,Strike1,AE55,AP55,0,N55,0,P55-DaysForThetaCalculation/365.25,Q55-DaysForThetaCalculation/365.25,IF(OptControl=4,0,1),0)-xASN(AL55,Strike1,AE55,AP55,0,N55,0,P55,Q55,IF(OptControl=4,0,1),0),0)</f>
        <v>0</v>
      </c>
      <c r="AW55" s="324" t="n">
        <f aca="false">IF(AH55,xASN(AL55,Strike2,AE55,AQ55,0,N55,0,P55,Q55,IF(OptControl=3,1,0),0),0)</f>
        <v>0</v>
      </c>
      <c r="AX55" s="324" t="n">
        <f aca="false">IF(AH55,xASN(AL55,Strike2,AE55,AQ55,0,N55,0,P55,Q55,IF(OptControl=3,1,0),1),0)</f>
        <v>0</v>
      </c>
      <c r="AY55" s="324" t="n">
        <f aca="false">IF(AH55,xASN(AL55,Strike2,AE55,AQ55,0,N55,0,P55,Q55,IF(OptControl=3,1,0),2),0)</f>
        <v>0</v>
      </c>
      <c r="AZ55" s="324" t="n">
        <f aca="false">IF(AH55,xASN(AL55,Strike2,AE55,AQ55,0,N55,0,P55,Q55,IF(OptControl=3,1,0),3)/100,0)</f>
        <v>0</v>
      </c>
      <c r="BA55" s="324" t="n">
        <f aca="false">IF(AH55,xASN(AL55,Strike2,AE55,AQ55,0,N55,0,P55-DaysForThetaCalculation/365.25,Q55-DaysForThetaCalculation/365.25,IF(OptControl=3,1,0),0)-xASN(AL55,Strike2,AE55,AQ55,0,N55,0,P55,Q55,IF(OptControl=3,1,0),0),0)</f>
        <v>0</v>
      </c>
      <c r="BB55" s="325" t="str">
        <f aca="false">IF(AH55,IF(ProductGroup=1,IF(Product=1,BX55+PriceSpreadEuro,IF(Product=3,CK55+PriceSpreadEuro,"N/A")),"N/A"),"")</f>
        <v/>
      </c>
      <c r="BC55" s="316" t="str">
        <f aca="false">IF(AH55,Strike1/BB55-1,"")</f>
        <v/>
      </c>
      <c r="BD55" s="316" t="str">
        <f aca="false">IF(AH55,Strike2/BB55-1,"")</f>
        <v/>
      </c>
      <c r="BE55" s="326" t="str">
        <f aca="false">IF(AH55,IF(VolOverrideEuro,VolOverrideEuro,IF(ProductGroup=1,IF(Product&lt;3,DA55,DE55)+VolSpreadEuro,"N/A")),"")</f>
        <v/>
      </c>
      <c r="BF55" s="323" t="str">
        <f aca="false">IF($AH55,$BE55+IF(SkewFlag=1,IF(BC55&gt;0,$AA55*MIN(BC55/10%,1)+($Z55-$AA55)*MAX(0,MIN(BC55/10%-1,1))+($Y55-$Z55)*MAX(0,BC55/10%-2),$AB55*MIN(-BC55/10%,1)+($AC55-$AB55)*MAX(0,MIN(-BC55/10%-1,1))+($AD55-$AC55)*MAX(0,-BC55/10%-2)),0),"")</f>
        <v/>
      </c>
      <c r="BG55" s="323" t="str">
        <f aca="false">IF($AH55,$BE55+IF(SkewFlag=1,IF(BD55&gt;0,$AA55*MIN(BD55/10%,1)+($Z55-$AA55)*MAX(0,MIN(BD55/10%-1,1))+($Y55-$Z55)*MAX(0,BD55/10%-2),$AB55*MIN(-BD55/10%,1)+($AC55-$AB55)*MAX(0,MIN(-BD55/10%-1,1))+($AD55-$AC55)*MAX(0,-BD55/10%-2)),0),"")</f>
        <v/>
      </c>
      <c r="BH55" s="324" t="n">
        <f aca="false">IF(AH55,xEURO(BB55,Strike1,AE55,AE55,BF55,O55,IF(OptControl=4,0,1),0),0)</f>
        <v>0</v>
      </c>
      <c r="BI55" s="324" t="n">
        <f aca="false">IF(AH55,xEURO(BB55,Strike1,AE55,AE55,BF55,O55,IF(OptControl=4,0,1),1),0)</f>
        <v>0</v>
      </c>
      <c r="BJ55" s="324" t="n">
        <f aca="false">IF(AH55,xEURO(BB55,Strike1,AE55,AE55,BF55,O55,IF(OptControl=4,0,1),2),0)</f>
        <v>0</v>
      </c>
      <c r="BK55" s="324" t="n">
        <f aca="false">IF(AH55,xEURO(BB55,Strike1,AE55,AE55,BF55,O55,IF(OptControl=4,0,1),3)/100,0)</f>
        <v>0</v>
      </c>
      <c r="BL55" s="324" t="n">
        <f aca="false">IF(AH55,xEURO(BB55,Strike1,AE55,AE55,BF55,O55-DaysForThetaCalculation,IF(OptControl=4,0,1),0)-xEURO(BB55,Strike1,AE55,AE55,BF55,O55,IF(OptControl=4,0,1),0),0)</f>
        <v>0</v>
      </c>
      <c r="BM55" s="324" t="n">
        <f aca="false">IF(AH55,xEURO(BB55,Strike2,AE55,AE55,BG55,O55,IF(OptControl=3,1,0),0),0)</f>
        <v>0</v>
      </c>
      <c r="BN55" s="324" t="n">
        <f aca="false">IF(AH55,xEURO(BB55,Strike2,AE55,AE55,BG55,O55,IF(OptControl=3,1,0),1),0)</f>
        <v>0</v>
      </c>
      <c r="BO55" s="324" t="n">
        <f aca="false">IF(AH55,xEURO(BB55,Strike2,AE55,AE55,BG55,O55,IF(OptControl=3,1,0),2),0)</f>
        <v>0</v>
      </c>
      <c r="BP55" s="324" t="n">
        <f aca="false">IF(AH55,xEURO(BB55,Strike2,AE55,AE55,BG55,O55,IF(OptControl=3,1,0),3)/100,0)</f>
        <v>0</v>
      </c>
      <c r="BQ55" s="327" t="n">
        <f aca="false">IF(AH55,xEURO(BB55,Strike2,AE55,AE55,BG55,O55-DaysForThetaCalculation,IF(OptControl=3,1,0),0)-xEURO(BB55,Strike2,AE55,AE55,BG55,O55,IF(OptControl=3,1,0),0),0)</f>
        <v>0</v>
      </c>
      <c r="BR55" s="343"/>
      <c r="BS55" s="314" t="n">
        <v>27.392</v>
      </c>
      <c r="BT55" s="329" t="n">
        <f aca="false">BS55*100/42</f>
        <v>65.2190476190476</v>
      </c>
      <c r="BU55" s="329" t="n">
        <f aca="false">BS56-$U55</f>
        <v>8.60327272727281</v>
      </c>
      <c r="BV55" s="224"/>
      <c r="BW55" s="329" t="n">
        <f aca="false">BW43+VLOOKUP(1900+$L55,ProductSpreadTable,2)</f>
        <v>19.04</v>
      </c>
      <c r="BX55" s="329" t="n">
        <f aca="false">($V54+BW54)*100/42</f>
        <v>93.5947204968945</v>
      </c>
      <c r="BY55" s="332" t="n">
        <f aca="false">BX56</f>
        <v>88.7088744588742</v>
      </c>
      <c r="BZ55" s="314" t="n">
        <v>24.931</v>
      </c>
      <c r="CA55" s="329" t="n">
        <f aca="false">BZ55*100/42</f>
        <v>59.3595238095238</v>
      </c>
      <c r="CB55" s="329" t="n">
        <f aca="false">BZ55-$U55</f>
        <v>6.71327272727281</v>
      </c>
      <c r="CC55" s="329" t="n">
        <f aca="false">CC43+VLOOKUP(1900+$L55,ProductSpreadTable,3)</f>
        <v>16.415</v>
      </c>
      <c r="CD55" s="329" t="n">
        <f aca="false">($V55+CC55)*100/42</f>
        <v>82.4588744588742</v>
      </c>
      <c r="CE55" s="333" t="n">
        <f aca="false">CD55-BY55</f>
        <v>-6.25</v>
      </c>
      <c r="CF55" s="314" t="n">
        <v>21.479</v>
      </c>
      <c r="CG55" s="329" t="n">
        <f aca="false">CF55*100/42</f>
        <v>51.1404761904762</v>
      </c>
      <c r="CH55" s="329" t="n">
        <f aca="false">CF56-$U55</f>
        <v>2.84927272727281</v>
      </c>
      <c r="CI55" s="224"/>
      <c r="CJ55" s="329" t="n">
        <f aca="false">CJ43+VLOOKUP(1900+$L55,ProductSpreadTable,4)</f>
        <v>8.25552380952372</v>
      </c>
      <c r="CK55" s="329" t="n">
        <f aca="false">($V54+CJ54)*100/42</f>
        <v>64.5168360624882</v>
      </c>
      <c r="CL55" s="329" t="n">
        <f aca="false">CK56</f>
        <v>63.0315501958355</v>
      </c>
      <c r="CM55" s="314" t="n">
        <v>20.248</v>
      </c>
      <c r="CN55" s="329" t="n">
        <f aca="false">CM55*100/42</f>
        <v>48.2095238095238</v>
      </c>
      <c r="CO55" s="329" t="n">
        <f aca="false">CM55-$U55</f>
        <v>2.03027272727281</v>
      </c>
      <c r="CP55" s="329" t="n">
        <f aca="false">CP43+VLOOKUP(1900+$L55,ProductSpreadTable,5)</f>
        <v>7.33152380952373</v>
      </c>
      <c r="CQ55" s="329" t="n">
        <f aca="false">($V55+CP55)*100/42</f>
        <v>60.8315501958355</v>
      </c>
      <c r="CR55" s="333" t="n">
        <f aca="false">CQ55-CL55</f>
        <v>-2.2</v>
      </c>
      <c r="CS55" s="314" t="n">
        <v>21.193</v>
      </c>
      <c r="CT55" s="329" t="n">
        <f aca="false">CS55*100/42</f>
        <v>50.4595238095238</v>
      </c>
      <c r="CU55" s="329" t="n">
        <f aca="false">CT55-CG56</f>
        <v>0.300000000000011</v>
      </c>
      <c r="CV55" s="329" t="n">
        <f aca="false">CV43+VLOOKUP(1900+$L55,ProductSpreadTable,6)</f>
        <v>1.05000000000001</v>
      </c>
      <c r="CW55" s="333" t="n">
        <f aca="false">CL55+CV55</f>
        <v>64.0815501958355</v>
      </c>
      <c r="CX55" s="318" t="n">
        <v>0.203</v>
      </c>
      <c r="CY55" s="326" t="n">
        <f aca="false">CX55-$W55</f>
        <v>-0.000399699793964065</v>
      </c>
      <c r="CZ55" s="326" t="n">
        <f aca="false">VLOOKUP(1900+$L55,ProductSpreadTable,7)</f>
        <v>-0.03</v>
      </c>
      <c r="DA55" s="365" t="n">
        <f aca="false">$W55+CZ55</f>
        <v>0.173399699793964</v>
      </c>
      <c r="DB55" s="318" t="n">
        <v>0.203</v>
      </c>
      <c r="DC55" s="326" t="n">
        <f aca="false">DB55-$W55</f>
        <v>-0.000399699793964065</v>
      </c>
      <c r="DD55" s="326" t="n">
        <f aca="false">VLOOKUP(1900+$L55,ProductSpreadTable,8)</f>
        <v>0.03</v>
      </c>
      <c r="DE55" s="365" t="n">
        <f aca="false">$W55+DD55</f>
        <v>0.233399699793964</v>
      </c>
      <c r="DG55" s="336"/>
      <c r="DH55" s="314" t="n">
        <v>16.395</v>
      </c>
      <c r="DI55" s="325" t="n">
        <f aca="false">DH55-$U55</f>
        <v>-1.82272727272719</v>
      </c>
      <c r="DJ55" s="325" t="n">
        <f aca="false">VLOOKUP(1900+$L55,ResidSpreadTable,2)</f>
        <v>-2</v>
      </c>
      <c r="DK55" s="337" t="n">
        <f aca="false">$V55+DJ55</f>
        <v>16.2177272727272</v>
      </c>
      <c r="DL55" s="314" t="n">
        <v>13.845</v>
      </c>
      <c r="DM55" s="325" t="n">
        <f aca="false">DL55-$U55</f>
        <v>-4.37272727272719</v>
      </c>
      <c r="DN55" s="325" t="n">
        <f aca="false">VLOOKUP(1900+$L55,ResidSpreadTable,3)</f>
        <v>-3</v>
      </c>
      <c r="DO55" s="337" t="n">
        <f aca="false">$V55+DN55</f>
        <v>15.2177272727272</v>
      </c>
      <c r="DP55" s="314" t="n">
        <v>13.095</v>
      </c>
      <c r="DQ55" s="325" t="n">
        <f aca="false">DP55-$U55</f>
        <v>-5.12272727272719</v>
      </c>
      <c r="DR55" s="325" t="n">
        <f aca="false">VLOOKUP(1900+$L55,ResidSpreadTable,4)</f>
        <v>-6</v>
      </c>
      <c r="DS55" s="337" t="n">
        <f aca="false">$V55+DR55</f>
        <v>12.2177272727272</v>
      </c>
      <c r="DT55" s="314" t="n">
        <v>15.195</v>
      </c>
      <c r="DU55" s="325" t="n">
        <f aca="false">DT55-$U55</f>
        <v>-3.02272727272719</v>
      </c>
      <c r="DV55" s="325" t="n">
        <f aca="false">VLOOKUP(1900+$L55,ResidSpreadTable,5)</f>
        <v>-5</v>
      </c>
      <c r="DW55" s="337" t="n">
        <f aca="false">$V55+DV55</f>
        <v>13.2177272727272</v>
      </c>
    </row>
    <row r="56" customFormat="false" ht="12.75" hidden="false" customHeight="false" outlineLevel="0" collapsed="false">
      <c r="B56" s="371" t="n">
        <v>37257</v>
      </c>
      <c r="C56" s="391" t="n">
        <v>37244</v>
      </c>
      <c r="I56" s="338" t="n">
        <f aca="false">EOMONTH(I55,0)+1</f>
        <v>47453</v>
      </c>
      <c r="J56" s="389" t="n">
        <f aca="false">VLOOKUP(I56,$B$12:$C$332,2)</f>
        <v>45644</v>
      </c>
      <c r="K56" s="339" t="n">
        <f aca="false">NETWORKDAYS(I56,J57)/N56</f>
        <v>-61.5714285714286</v>
      </c>
      <c r="L56" s="309" t="n">
        <f aca="false">YEAR(I56)-1900</f>
        <v>129</v>
      </c>
      <c r="M56" s="310" t="n">
        <f aca="false">MONTH(I56)</f>
        <v>12</v>
      </c>
      <c r="N56" s="340" t="n">
        <f aca="false">NETWORKDAYS(I56,I57-1)</f>
        <v>21</v>
      </c>
      <c r="O56" s="341" t="n">
        <f aca="false">I56-DateToday-IF(EuroExpDateToggle=1,3+IF(WEEKDAY(I56-1)=7,1,IF(WEEKDAY(I56-1)&lt;5,2,0)),1+IF(WEEKDAY(I56-1)=7,1,IF(WEEKDAY(I56-1)&lt;3,2,0)))</f>
        <v>1524</v>
      </c>
      <c r="P56" s="342" t="n">
        <f aca="false">(I56-DateToday+1)/365.25</f>
        <v>4.18343600273785</v>
      </c>
      <c r="Q56" s="342" t="n">
        <f aca="false">(I57-DateToday)/365.25</f>
        <v>4.26557152635181</v>
      </c>
      <c r="R56" s="314" t="n">
        <v>19.1</v>
      </c>
      <c r="S56" s="347" t="n">
        <v>0</v>
      </c>
      <c r="T56" s="316" t="n">
        <f aca="false">R56+S56/100</f>
        <v>19.1</v>
      </c>
      <c r="U56" s="325" t="n">
        <f aca="false">R57*K56+R58*(1-K56)</f>
        <v>18.1464285714285</v>
      </c>
      <c r="V56" s="337" t="n">
        <f aca="false">T57*K56+T58*(1-K56)</f>
        <v>18.1464285714285</v>
      </c>
      <c r="W56" s="318" t="n">
        <v>0.201517233385867</v>
      </c>
      <c r="X56" s="319" t="str">
        <f aca="false">IF($I56-DateToday+1&gt;=$A$10,"",IF($I56-DateToday+1&lt;$A$5,1,MATCH($I56-DateToday+1,$A$5:$A$10)))</f>
        <v/>
      </c>
      <c r="Y56" s="348" t="n">
        <f aca="false">IF($X56="",Y55^2/Y54,INDEX(B$5:B$10,$X56)^((INDEX($A$5:$A$10,$X56+1)-($I56-DateToday+1))/(INDEX($A$5:$A$10,$X56+1)-INDEX($A$5:$A$10,$X56)))/INDEX(B$5:B$10,$X56+1)^((INDEX($A$5:$A$10,$X56)-($I56-DateToday+1))/(INDEX($A$5:$A$10,$X56+1)-INDEX($A$5:$A$10,$X56))))</f>
        <v>0.00519535786190845</v>
      </c>
      <c r="Z56" s="348" t="n">
        <f aca="false">IF($X56="",Z55^2/Z54,INDEX(C$5:C$10,$X56)^((INDEX($A$5:$A$10,$X56+1)-($I56-DateToday+1))/(INDEX($A$5:$A$10,$X56+1)-INDEX($A$5:$A$10,$X56)))/INDEX(C$5:C$10,$X56+1)^((INDEX($A$5:$A$10,$X56)-($I56-DateToday+1))/(INDEX($A$5:$A$10,$X56+1)-INDEX($A$5:$A$10,$X56))))</f>
        <v>0.00244570421067515</v>
      </c>
      <c r="AA56" s="348" t="n">
        <f aca="false">IF($X56="",AA55^2/AA54,INDEX(D$5:D$10,$X56)^((INDEX($A$5:$A$10,$X56+1)-($I56-DateToday+1))/(INDEX($A$5:$A$10,$X56+1)-INDEX($A$5:$A$10,$X56)))/INDEX(D$5:D$10,$X56+1)^((INDEX($A$5:$A$10,$X56)-($I56-DateToday+1))/(INDEX($A$5:$A$10,$X56+1)-INDEX($A$5:$A$10,$X56))))</f>
        <v>0.00101884807372111</v>
      </c>
      <c r="AB56" s="348" t="n">
        <f aca="false">IF($X56="",AB55^2/AB54,INDEX(E$5:E$10,$X56)^((INDEX($A$5:$A$10,$X56+1)-($I56-DateToday+1))/(INDEX($A$5:$A$10,$X56+1)-INDEX($A$5:$A$10,$X56)))/INDEX(E$5:E$10,$X56+1)^((INDEX($A$5:$A$10,$X56)-($I56-DateToday+1))/(INDEX($A$5:$A$10,$X56+1)-INDEX($A$5:$A$10,$X56))))</f>
        <v>0.00229526094047893</v>
      </c>
      <c r="AC56" s="348" t="n">
        <f aca="false">IF($X56="",AC55^2/AC54,INDEX(F$5:F$10,$X56)^((INDEX($A$5:$A$10,$X56+1)-($I56-DateToday+1))/(INDEX($A$5:$A$10,$X56+1)-INDEX($A$5:$A$10,$X56)))/INDEX(F$5:F$10,$X56+1)^((INDEX($A$5:$A$10,$X56)-($I56-DateToday+1))/(INDEX($A$5:$A$10,$X56+1)-INDEX($A$5:$A$10,$X56))))</f>
        <v>0.005509682445809</v>
      </c>
      <c r="AD56" s="348" t="n">
        <f aca="false">IF($X56="",AD55^2/AD54,INDEX(G$5:G$10,$X56)^((INDEX($A$5:$A$10,$X56+1)-($I56-DateToday+1))/(INDEX($A$5:$A$10,$X56+1)-INDEX($A$5:$A$10,$X56)))/INDEX(G$5:G$10,$X56+1)^((INDEX($A$5:$A$10,$X56)-($I56-DateToday+1))/(INDEX($A$5:$A$10,$X56+1)-INDEX($A$5:$A$10,$X56))))</f>
        <v>0.0117041021913072</v>
      </c>
      <c r="AE56" s="321" t="n">
        <v>0.072654018614125</v>
      </c>
      <c r="AF56" s="316" t="n">
        <f aca="false">(1+AE56/2)^(-2*(I57-DateToday)/365.25)</f>
        <v>0.737555042140584</v>
      </c>
      <c r="AG56" s="316" t="n">
        <f aca="false">AG55*(1+IF(AND(M56=1,L56&gt;YearStart),Escalation,0))</f>
        <v>1</v>
      </c>
      <c r="AH56" s="322" t="n">
        <f aca="false">IF(OR(DateStart&gt;=I57,DateEnd&lt;I56),0,Volume*AG56)</f>
        <v>0</v>
      </c>
      <c r="AI56" s="322" t="n">
        <f aca="false">AH56*AF56</f>
        <v>0</v>
      </c>
      <c r="AJ56" s="322" t="n">
        <f aca="false">IF(OR(DateStart2&gt;=I57,DateEnd2&lt;I56),0,VolumeSwaption*AG56)</f>
        <v>0</v>
      </c>
      <c r="AK56" s="322" t="n">
        <f aca="false">AJ56*AF56</f>
        <v>0</v>
      </c>
      <c r="AL56" s="316" t="str">
        <f aca="true">IF(AH56,OFFSET(BY56,0,HorizontalPriceOffset)+PriceSpreadAsian,"")</f>
        <v/>
      </c>
      <c r="AM56" s="316" t="str">
        <f aca="false">IF(AH56,Strike1/AL56-1,"")</f>
        <v/>
      </c>
      <c r="AN56" s="316" t="str">
        <f aca="false">IF(AH56,Strike2/AL56-1,"")</f>
        <v/>
      </c>
      <c r="AO56" s="323" t="str">
        <f aca="false">IF(AH56,IF(VolOverrideAsian,VolOverrideAsian,IF(ProductGroup=1,IF(Product&lt;3,DA57,DE57),W57)+VolSpreadAsian),"")</f>
        <v/>
      </c>
      <c r="AP56" s="323" t="str">
        <f aca="false">IF($AH56,$AO56+IF(SkewFlag=1,IF(AM56&gt;0,$AA56*MIN(AM56/10%,1)+($Z56-$AA56)*MAX(0,MIN(AM56/10%-1,1))+($Y56-$Z56)*MAX(0,AM56/10%-2),$AB56*MIN(-AM56/10%,1)+($AC56-$AB56)*MAX(0,MIN(-AM56/10%-1,1))+($AD56-$AC56)*MAX(0,-AM56/10%-2)),0),"")</f>
        <v/>
      </c>
      <c r="AQ56" s="323" t="str">
        <f aca="false">IF($AH56,$AO56+IF(SkewFlag=1,IF(AN56&gt;0,$AA56*MIN(AN56/10%,1)+($Z56-$AA56)*MAX(0,MIN(AN56/10%-1,1))+($Y56-$Z56)*MAX(0,AN56/10%-2),$AB56*MIN(-AN56/10%,1)+($AC56-$AB56)*MAX(0,MIN(-AN56/10%-1,1))+($AD56-$AC56)*MAX(0,-AN56/10%-2)),0),"")</f>
        <v/>
      </c>
      <c r="AR56" s="324" t="n">
        <f aca="false">IF(AH56,xASN(AL56,Strike1,AE56,AP56,0,N56,0,P56,Q56,IF(OptControl=4,0,1),0),0)</f>
        <v>0</v>
      </c>
      <c r="AS56" s="324" t="n">
        <f aca="false">IF(AH56,xASN(AL56,Strike1,AE56,AP56,0,N56,0,P56,Q56,IF(OptControl=4,0,1),1),0)</f>
        <v>0</v>
      </c>
      <c r="AT56" s="324" t="n">
        <f aca="false">IF(AH56,xASN(AL56,Strike1,AE56,AP56,0,N56,0,P56,Q56,IF(OptControl=4,0,1),2),0)</f>
        <v>0</v>
      </c>
      <c r="AU56" s="324" t="n">
        <f aca="false">IF(AH56,xASN(AL56,Strike1,AE56,AP56,0,N56,0,P56,Q56,IF(OptControl=4,0,1),3)/100,0)</f>
        <v>0</v>
      </c>
      <c r="AV56" s="324" t="n">
        <f aca="false">IF(AH56,xASN(AL56,Strike1,AE56,AP56,0,N56,0,P56-DaysForThetaCalculation/365.25,Q56-DaysForThetaCalculation/365.25,IF(OptControl=4,0,1),0)-xASN(AL56,Strike1,AE56,AP56,0,N56,0,P56,Q56,IF(OptControl=4,0,1),0),0)</f>
        <v>0</v>
      </c>
      <c r="AW56" s="324" t="n">
        <f aca="false">IF(AH56,xASN(AL56,Strike2,AE56,AQ56,0,N56,0,P56,Q56,IF(OptControl=3,1,0),0),0)</f>
        <v>0</v>
      </c>
      <c r="AX56" s="324" t="n">
        <f aca="false">IF(AH56,xASN(AL56,Strike2,AE56,AQ56,0,N56,0,P56,Q56,IF(OptControl=3,1,0),1),0)</f>
        <v>0</v>
      </c>
      <c r="AY56" s="324" t="n">
        <f aca="false">IF(AH56,xASN(AL56,Strike2,AE56,AQ56,0,N56,0,P56,Q56,IF(OptControl=3,1,0),2),0)</f>
        <v>0</v>
      </c>
      <c r="AZ56" s="324" t="n">
        <f aca="false">IF(AH56,xASN(AL56,Strike2,AE56,AQ56,0,N56,0,P56,Q56,IF(OptControl=3,1,0),3)/100,0)</f>
        <v>0</v>
      </c>
      <c r="BA56" s="324" t="n">
        <f aca="false">IF(AH56,xASN(AL56,Strike2,AE56,AQ56,0,N56,0,P56-DaysForThetaCalculation/365.25,Q56-DaysForThetaCalculation/365.25,IF(OptControl=3,1,0),0)-xASN(AL56,Strike2,AE56,AQ56,0,N56,0,P56,Q56,IF(OptControl=3,1,0),0),0)</f>
        <v>0</v>
      </c>
      <c r="BB56" s="325" t="str">
        <f aca="false">IF(AH56,IF(ProductGroup=1,IF(Product=1,BX56+PriceSpreadEuro,IF(Product=3,CK56+PriceSpreadEuro,"N/A")),"N/A"),"")</f>
        <v/>
      </c>
      <c r="BC56" s="316" t="str">
        <f aca="false">IF(AH56,Strike1/BB56-1,"")</f>
        <v/>
      </c>
      <c r="BD56" s="316" t="str">
        <f aca="false">IF(AH56,Strike2/BB56-1,"")</f>
        <v/>
      </c>
      <c r="BE56" s="326" t="str">
        <f aca="false">IF(AH56,IF(VolOverrideEuro,VolOverrideEuro,IF(ProductGroup=1,IF(Product&lt;3,DA56,DE56)+VolSpreadEuro,"N/A")),"")</f>
        <v/>
      </c>
      <c r="BF56" s="323" t="str">
        <f aca="false">IF($AH56,$BE56+IF(SkewFlag=1,IF(BC56&gt;0,$AA56*MIN(BC56/10%,1)+($Z56-$AA56)*MAX(0,MIN(BC56/10%-1,1))+($Y56-$Z56)*MAX(0,BC56/10%-2),$AB56*MIN(-BC56/10%,1)+($AC56-$AB56)*MAX(0,MIN(-BC56/10%-1,1))+($AD56-$AC56)*MAX(0,-BC56/10%-2)),0),"")</f>
        <v/>
      </c>
      <c r="BG56" s="323" t="str">
        <f aca="false">IF($AH56,$BE56+IF(SkewFlag=1,IF(BD56&gt;0,$AA56*MIN(BD56/10%,1)+($Z56-$AA56)*MAX(0,MIN(BD56/10%-1,1))+($Y56-$Z56)*MAX(0,BD56/10%-2),$AB56*MIN(-BD56/10%,1)+($AC56-$AB56)*MAX(0,MIN(-BD56/10%-1,1))+($AD56-$AC56)*MAX(0,-BD56/10%-2)),0),"")</f>
        <v/>
      </c>
      <c r="BH56" s="324" t="n">
        <f aca="false">IF(AH56,xEURO(BB56,Strike1,AE56,AE56,BF56,O56,IF(OptControl=4,0,1),0),0)</f>
        <v>0</v>
      </c>
      <c r="BI56" s="324" t="n">
        <f aca="false">IF(AH56,xEURO(BB56,Strike1,AE56,AE56,BF56,O56,IF(OptControl=4,0,1),1),0)</f>
        <v>0</v>
      </c>
      <c r="BJ56" s="324" t="n">
        <f aca="false">IF(AH56,xEURO(BB56,Strike1,AE56,AE56,BF56,O56,IF(OptControl=4,0,1),2),0)</f>
        <v>0</v>
      </c>
      <c r="BK56" s="324" t="n">
        <f aca="false">IF(AH56,xEURO(BB56,Strike1,AE56,AE56,BF56,O56,IF(OptControl=4,0,1),3)/100,0)</f>
        <v>0</v>
      </c>
      <c r="BL56" s="324" t="n">
        <f aca="false">IF(AH56,xEURO(BB56,Strike1,AE56,AE56,BF56,O56-DaysForThetaCalculation,IF(OptControl=4,0,1),0)-xEURO(BB56,Strike1,AE56,AE56,BF56,O56,IF(OptControl=4,0,1),0),0)</f>
        <v>0</v>
      </c>
      <c r="BM56" s="324" t="n">
        <f aca="false">IF(AH56,xEURO(BB56,Strike2,AE56,AE56,BG56,O56,IF(OptControl=3,1,0),0),0)</f>
        <v>0</v>
      </c>
      <c r="BN56" s="324" t="n">
        <f aca="false">IF(AH56,xEURO(BB56,Strike2,AE56,AE56,BG56,O56,IF(OptControl=3,1,0),1),0)</f>
        <v>0</v>
      </c>
      <c r="BO56" s="324" t="n">
        <f aca="false">IF(AH56,xEURO(BB56,Strike2,AE56,AE56,BG56,O56,IF(OptControl=3,1,0),2),0)</f>
        <v>0</v>
      </c>
      <c r="BP56" s="324" t="n">
        <f aca="false">IF(AH56,xEURO(BB56,Strike2,AE56,AE56,BG56,O56,IF(OptControl=3,1,0),3)/100,0)</f>
        <v>0</v>
      </c>
      <c r="BQ56" s="327" t="n">
        <f aca="false">IF(AH56,xEURO(BB56,Strike2,AE56,AE56,BG56,O56-DaysForThetaCalculation,IF(OptControl=3,1,0),0)-xEURO(BB56,Strike2,AE56,AE56,BG56,O56,IF(OptControl=3,1,0),0),0)</f>
        <v>0</v>
      </c>
      <c r="BR56" s="343"/>
      <c r="BS56" s="314" t="n">
        <v>26.821</v>
      </c>
      <c r="BT56" s="329" t="n">
        <f aca="false">BS56*100/42</f>
        <v>63.8595238095238</v>
      </c>
      <c r="BU56" s="329" t="n">
        <f aca="false">BS57-$U56</f>
        <v>8.22557142857152</v>
      </c>
      <c r="BV56" s="224"/>
      <c r="BW56" s="329" t="n">
        <f aca="false">BW44+VLOOKUP(1900+$L56,ProductSpreadTable,2)</f>
        <v>15.1439565217392</v>
      </c>
      <c r="BX56" s="329" t="n">
        <f aca="false">($V55+BW55)*100/42</f>
        <v>88.7088744588742</v>
      </c>
      <c r="BY56" s="332" t="n">
        <f aca="false">BX57</f>
        <v>79.2628216503992</v>
      </c>
      <c r="BZ56" s="314" t="n">
        <v>24.482</v>
      </c>
      <c r="CA56" s="329" t="n">
        <f aca="false">BZ56*100/42</f>
        <v>58.2904761904762</v>
      </c>
      <c r="CB56" s="329" t="n">
        <f aca="false">BZ56-$U56</f>
        <v>6.33557142857152</v>
      </c>
      <c r="CC56" s="329" t="n">
        <f aca="false">CC44+VLOOKUP(1900+$L56,ProductSpreadTable,3)</f>
        <v>12.5189565217392</v>
      </c>
      <c r="CD56" s="329" t="n">
        <f aca="false">($V56+CC56)*100/42</f>
        <v>73.0128216503992</v>
      </c>
      <c r="CE56" s="333" t="n">
        <f aca="false">CD56-BY56</f>
        <v>-6.25</v>
      </c>
      <c r="CF56" s="314" t="n">
        <v>21.067</v>
      </c>
      <c r="CG56" s="329" t="n">
        <f aca="false">CF56*100/42</f>
        <v>50.1595238095238</v>
      </c>
      <c r="CH56" s="329" t="n">
        <f aca="false">CF57-$U56</f>
        <v>2.98757142857151</v>
      </c>
      <c r="CI56" s="224"/>
      <c r="CJ56" s="329" t="n">
        <f aca="false">CJ44+VLOOKUP(1900+$L56,ProductSpreadTable,4)</f>
        <v>7.60800000000003</v>
      </c>
      <c r="CK56" s="329" t="n">
        <f aca="false">($V55+CJ55)*100/42</f>
        <v>63.0315501958355</v>
      </c>
      <c r="CL56" s="329" t="n">
        <f aca="false">CK57</f>
        <v>61.3200680272107</v>
      </c>
      <c r="CM56" s="314" t="n">
        <v>20.315</v>
      </c>
      <c r="CN56" s="329" t="n">
        <f aca="false">CM56*100/42</f>
        <v>48.3690476190476</v>
      </c>
      <c r="CO56" s="329" t="n">
        <f aca="false">CM56-$U56</f>
        <v>2.16857142857151</v>
      </c>
      <c r="CP56" s="329" t="n">
        <f aca="false">CP44+VLOOKUP(1900+$L56,ProductSpreadTable,5)</f>
        <v>6.68400000000002</v>
      </c>
      <c r="CQ56" s="329" t="n">
        <f aca="false">($V56+CP56)*100/42</f>
        <v>59.1200680272107</v>
      </c>
      <c r="CR56" s="333" t="n">
        <f aca="false">CQ56-CL56</f>
        <v>-2.2</v>
      </c>
      <c r="CS56" s="314" t="n">
        <v>21.26</v>
      </c>
      <c r="CT56" s="329" t="n">
        <f aca="false">CS56*100/42</f>
        <v>50.6190476190476</v>
      </c>
      <c r="CU56" s="329" t="n">
        <f aca="false">CT56-CG57</f>
        <v>0.299999999999997</v>
      </c>
      <c r="CV56" s="329" t="n">
        <f aca="false">CV44+VLOOKUP(1900+$L56,ProductSpreadTable,6)</f>
        <v>1.04999999999999</v>
      </c>
      <c r="CW56" s="333" t="n">
        <f aca="false">CL56+CV56</f>
        <v>62.3700680272107</v>
      </c>
      <c r="CX56" s="318" t="n">
        <v>0.202</v>
      </c>
      <c r="CY56" s="326" t="n">
        <f aca="false">CX56-$W56</f>
        <v>0.000482766614132962</v>
      </c>
      <c r="CZ56" s="326" t="n">
        <f aca="false">VLOOKUP(1900+$L56,ProductSpreadTable,7)</f>
        <v>-0.03</v>
      </c>
      <c r="DA56" s="365" t="n">
        <f aca="false">$W56+CZ56</f>
        <v>0.171517233385867</v>
      </c>
      <c r="DB56" s="318" t="n">
        <v>0.202</v>
      </c>
      <c r="DC56" s="326" t="n">
        <f aca="false">DB56-$W56</f>
        <v>0.000482766614132962</v>
      </c>
      <c r="DD56" s="326" t="n">
        <f aca="false">VLOOKUP(1900+$L56,ProductSpreadTable,8)</f>
        <v>0.03</v>
      </c>
      <c r="DE56" s="365" t="n">
        <f aca="false">$W56+DD56</f>
        <v>0.231517233385867</v>
      </c>
      <c r="DG56" s="336"/>
      <c r="DH56" s="314" t="n">
        <v>16.38</v>
      </c>
      <c r="DI56" s="325" t="n">
        <f aca="false">DH56-$U56</f>
        <v>-1.76642857142849</v>
      </c>
      <c r="DJ56" s="325" t="n">
        <f aca="false">VLOOKUP(1900+$L56,ResidSpreadTable,2)</f>
        <v>-2</v>
      </c>
      <c r="DK56" s="337" t="n">
        <f aca="false">$V56+DJ56</f>
        <v>16.1464285714285</v>
      </c>
      <c r="DL56" s="314" t="n">
        <v>13.83</v>
      </c>
      <c r="DM56" s="325" t="n">
        <f aca="false">DL56-$U56</f>
        <v>-4.31642857142849</v>
      </c>
      <c r="DN56" s="325" t="n">
        <f aca="false">VLOOKUP(1900+$L56,ResidSpreadTable,3)</f>
        <v>-3</v>
      </c>
      <c r="DO56" s="337" t="n">
        <f aca="false">$V56+DN56</f>
        <v>15.1464285714285</v>
      </c>
      <c r="DP56" s="314" t="n">
        <v>13.08</v>
      </c>
      <c r="DQ56" s="325" t="n">
        <f aca="false">DP56-$U56</f>
        <v>-5.06642857142849</v>
      </c>
      <c r="DR56" s="325" t="n">
        <f aca="false">VLOOKUP(1900+$L56,ResidSpreadTable,4)</f>
        <v>-6</v>
      </c>
      <c r="DS56" s="337" t="n">
        <f aca="false">$V56+DR56</f>
        <v>12.1464285714285</v>
      </c>
      <c r="DT56" s="314" t="n">
        <v>15.18</v>
      </c>
      <c r="DU56" s="325" t="n">
        <f aca="false">DT56-$U56</f>
        <v>-2.96642857142849</v>
      </c>
      <c r="DV56" s="325" t="n">
        <f aca="false">VLOOKUP(1900+$L56,ResidSpreadTable,5)</f>
        <v>-5</v>
      </c>
      <c r="DW56" s="337" t="n">
        <f aca="false">$V56+DV56</f>
        <v>13.1464285714285</v>
      </c>
    </row>
    <row r="57" customFormat="false" ht="12.75" hidden="false" customHeight="false" outlineLevel="0" collapsed="false">
      <c r="B57" s="371" t="n">
        <v>37288</v>
      </c>
      <c r="C57" s="391" t="n">
        <v>37278</v>
      </c>
      <c r="I57" s="338" t="n">
        <f aca="false">EOMONTH(I56,0)+1</f>
        <v>47484</v>
      </c>
      <c r="J57" s="389" t="n">
        <f aca="false">VLOOKUP(I57,$B$12:$C$332,2)</f>
        <v>45644</v>
      </c>
      <c r="K57" s="339" t="n">
        <f aca="false">NETWORKDAYS(I57,J58)/N57</f>
        <v>-57.1739130434783</v>
      </c>
      <c r="L57" s="309" t="n">
        <f aca="false">YEAR(I57)-1900</f>
        <v>130</v>
      </c>
      <c r="M57" s="310" t="n">
        <f aca="false">MONTH(I57)</f>
        <v>1</v>
      </c>
      <c r="N57" s="340" t="n">
        <f aca="false">NETWORKDAYS(I57,I58-1)</f>
        <v>23</v>
      </c>
      <c r="O57" s="341" t="n">
        <f aca="false">I57-DateToday-IF(EuroExpDateToggle=1,3+IF(WEEKDAY(I57-1)=7,1,IF(WEEKDAY(I57-1)&lt;5,2,0)),1+IF(WEEKDAY(I57-1)=7,1,IF(WEEKDAY(I57-1)&lt;3,2,0)))</f>
        <v>1553</v>
      </c>
      <c r="P57" s="342" t="n">
        <f aca="false">(I57-DateToday+1)/365.25</f>
        <v>4.26830937713895</v>
      </c>
      <c r="Q57" s="342" t="n">
        <f aca="false">(I58-DateToday)/365.25</f>
        <v>4.35044490075291</v>
      </c>
      <c r="R57" s="314" t="n">
        <v>19.085</v>
      </c>
      <c r="S57" s="347" t="n">
        <v>0</v>
      </c>
      <c r="T57" s="316" t="n">
        <f aca="false">R57+S57/100</f>
        <v>19.085</v>
      </c>
      <c r="U57" s="325" t="n">
        <f aca="false">R58*K57+R59*(1-K57)</f>
        <v>18.1973913043478</v>
      </c>
      <c r="V57" s="337" t="n">
        <f aca="false">T58*K57+T59*(1-K57)</f>
        <v>18.1973913043478</v>
      </c>
      <c r="W57" s="318" t="n">
        <v>0.200994809876039</v>
      </c>
      <c r="X57" s="319" t="str">
        <f aca="false">IF($I57-DateToday+1&gt;=$A$10,"",IF($I57-DateToday+1&lt;$A$5,1,MATCH($I57-DateToday+1,$A$5:$A$10)))</f>
        <v/>
      </c>
      <c r="Y57" s="348" t="n">
        <f aca="false">IF($X57="",Y56^2/Y55,INDEX(B$5:B$10,$X57)^((INDEX($A$5:$A$10,$X57+1)-($I57-DateToday+1))/(INDEX($A$5:$A$10,$X57+1)-INDEX($A$5:$A$10,$X57)))/INDEX(B$5:B$10,$X57+1)^((INDEX($A$5:$A$10,$X57)-($I57-DateToday+1))/(INDEX($A$5:$A$10,$X57+1)-INDEX($A$5:$A$10,$X57))))</f>
        <v>0.00508413315184647</v>
      </c>
      <c r="Z57" s="348" t="n">
        <f aca="false">IF($X57="",Z56^2/Z55,INDEX(C$5:C$10,$X57)^((INDEX($A$5:$A$10,$X57+1)-($I57-DateToday+1))/(INDEX($A$5:$A$10,$X57+1)-INDEX($A$5:$A$10,$X57)))/INDEX(C$5:C$10,$X57+1)^((INDEX($A$5:$A$10,$X57)-($I57-DateToday+1))/(INDEX($A$5:$A$10,$X57+1)-INDEX($A$5:$A$10,$X57))))</f>
        <v>0.00238053130765875</v>
      </c>
      <c r="AA57" s="348" t="n">
        <f aca="false">IF($X57="",AA56^2/AA55,INDEX(D$5:D$10,$X57)^((INDEX($A$5:$A$10,$X57+1)-($I57-DateToday+1))/(INDEX($A$5:$A$10,$X57+1)-INDEX($A$5:$A$10,$X57)))/INDEX(D$5:D$10,$X57+1)^((INDEX($A$5:$A$10,$X57)-($I57-DateToday+1))/(INDEX($A$5:$A$10,$X57+1)-INDEX($A$5:$A$10,$X57))))</f>
        <v>0.000989038571308507</v>
      </c>
      <c r="AB57" s="348" t="n">
        <f aca="false">IF($X57="",AB56^2/AB55,INDEX(E$5:E$10,$X57)^((INDEX($A$5:$A$10,$X57+1)-($I57-DateToday+1))/(INDEX($A$5:$A$10,$X57+1)-INDEX($A$5:$A$10,$X57)))/INDEX(E$5:E$10,$X57+1)^((INDEX($A$5:$A$10,$X57)-($I57-DateToday+1))/(INDEX($A$5:$A$10,$X57+1)-INDEX($A$5:$A$10,$X57))))</f>
        <v>0.00222810609344382</v>
      </c>
      <c r="AC57" s="348" t="n">
        <f aca="false">IF($X57="",AC56^2/AC55,INDEX(F$5:F$10,$X57)^((INDEX($A$5:$A$10,$X57+1)-($I57-DateToday+1))/(INDEX($A$5:$A$10,$X57+1)-INDEX($A$5:$A$10,$X57)))/INDEX(F$5:F$10,$X57+1)^((INDEX($A$5:$A$10,$X57)-($I57-DateToday+1))/(INDEX($A$5:$A$10,$X57+1)-INDEX($A$5:$A$10,$X57))))</f>
        <v>0.00536286092989366</v>
      </c>
      <c r="AD57" s="348" t="n">
        <f aca="false">IF($X57="",AD56^2/AD55,INDEX(G$5:G$10,$X57)^((INDEX($A$5:$A$10,$X57+1)-($I57-DateToday+1))/(INDEX($A$5:$A$10,$X57+1)-INDEX($A$5:$A$10,$X57)))/INDEX(G$5:G$10,$X57+1)^((INDEX($A$5:$A$10,$X57)-($I57-DateToday+1))/(INDEX($A$5:$A$10,$X57+1)-INDEX($A$5:$A$10,$X57))))</f>
        <v>0.0114535351644795</v>
      </c>
      <c r="AE57" s="321" t="n">
        <v>0.072698392961177</v>
      </c>
      <c r="AF57" s="316" t="n">
        <f aca="false">(1+AE57/2)^(-2*(I58-DateToday)/365.25)</f>
        <v>0.732964603342272</v>
      </c>
      <c r="AG57" s="316" t="n">
        <f aca="false">AG56*(1+IF(AND(M57=1,L57&gt;YearStart),Escalation,0))</f>
        <v>1</v>
      </c>
      <c r="AH57" s="322" t="n">
        <f aca="false">IF(OR(DateStart&gt;=I58,DateEnd&lt;I57),0,Volume*AG57)</f>
        <v>0</v>
      </c>
      <c r="AI57" s="322" t="n">
        <f aca="false">AH57*AF57</f>
        <v>0</v>
      </c>
      <c r="AJ57" s="322" t="n">
        <f aca="false">IF(OR(DateStart2&gt;=I58,DateEnd2&lt;I57),0,VolumeSwaption*AG57)</f>
        <v>0</v>
      </c>
      <c r="AK57" s="322" t="n">
        <f aca="false">AJ57*AF57</f>
        <v>0</v>
      </c>
      <c r="AL57" s="316" t="str">
        <f aca="true">IF(AH57,OFFSET(BY57,0,HorizontalPriceOffset)+PriceSpreadAsian,"")</f>
        <v/>
      </c>
      <c r="AM57" s="316" t="str">
        <f aca="false">IF(AH57,Strike1/AL57-1,"")</f>
        <v/>
      </c>
      <c r="AN57" s="316" t="str">
        <f aca="false">IF(AH57,Strike2/AL57-1,"")</f>
        <v/>
      </c>
      <c r="AO57" s="323" t="str">
        <f aca="false">IF(AH57,IF(VolOverrideAsian,VolOverrideAsian,IF(ProductGroup=1,IF(Product&lt;3,DA58,DE58),W58)+VolSpreadAsian),"")</f>
        <v/>
      </c>
      <c r="AP57" s="323" t="str">
        <f aca="false">IF($AH57,$AO57+IF(SkewFlag=1,IF(AM57&gt;0,$AA57*MIN(AM57/10%,1)+($Z57-$AA57)*MAX(0,MIN(AM57/10%-1,1))+($Y57-$Z57)*MAX(0,AM57/10%-2),$AB57*MIN(-AM57/10%,1)+($AC57-$AB57)*MAX(0,MIN(-AM57/10%-1,1))+($AD57-$AC57)*MAX(0,-AM57/10%-2)),0),"")</f>
        <v/>
      </c>
      <c r="AQ57" s="323" t="str">
        <f aca="false">IF($AH57,$AO57+IF(SkewFlag=1,IF(AN57&gt;0,$AA57*MIN(AN57/10%,1)+($Z57-$AA57)*MAX(0,MIN(AN57/10%-1,1))+($Y57-$Z57)*MAX(0,AN57/10%-2),$AB57*MIN(-AN57/10%,1)+($AC57-$AB57)*MAX(0,MIN(-AN57/10%-1,1))+($AD57-$AC57)*MAX(0,-AN57/10%-2)),0),"")</f>
        <v/>
      </c>
      <c r="AR57" s="324" t="n">
        <f aca="false">IF(AH57,xASN(AL57,Strike1,AE57,AP57,0,N57,0,P57,Q57,IF(OptControl=4,0,1),0),0)</f>
        <v>0</v>
      </c>
      <c r="AS57" s="324" t="n">
        <f aca="false">IF(AH57,xASN(AL57,Strike1,AE57,AP57,0,N57,0,P57,Q57,IF(OptControl=4,0,1),1),0)</f>
        <v>0</v>
      </c>
      <c r="AT57" s="324" t="n">
        <f aca="false">IF(AH57,xASN(AL57,Strike1,AE57,AP57,0,N57,0,P57,Q57,IF(OptControl=4,0,1),2),0)</f>
        <v>0</v>
      </c>
      <c r="AU57" s="324" t="n">
        <f aca="false">IF(AH57,xASN(AL57,Strike1,AE57,AP57,0,N57,0,P57,Q57,IF(OptControl=4,0,1),3)/100,0)</f>
        <v>0</v>
      </c>
      <c r="AV57" s="324" t="n">
        <f aca="false">IF(AH57,xASN(AL57,Strike1,AE57,AP57,0,N57,0,P57-DaysForThetaCalculation/365.25,Q57-DaysForThetaCalculation/365.25,IF(OptControl=4,0,1),0)-xASN(AL57,Strike1,AE57,AP57,0,N57,0,P57,Q57,IF(OptControl=4,0,1),0),0)</f>
        <v>0</v>
      </c>
      <c r="AW57" s="324" t="n">
        <f aca="false">IF(AH57,xASN(AL57,Strike2,AE57,AQ57,0,N57,0,P57,Q57,IF(OptControl=3,1,0),0),0)</f>
        <v>0</v>
      </c>
      <c r="AX57" s="324" t="n">
        <f aca="false">IF(AH57,xASN(AL57,Strike2,AE57,AQ57,0,N57,0,P57,Q57,IF(OptControl=3,1,0),1),0)</f>
        <v>0</v>
      </c>
      <c r="AY57" s="324" t="n">
        <f aca="false">IF(AH57,xASN(AL57,Strike2,AE57,AQ57,0,N57,0,P57,Q57,IF(OptControl=3,1,0),2),0)</f>
        <v>0</v>
      </c>
      <c r="AZ57" s="324" t="n">
        <f aca="false">IF(AH57,xASN(AL57,Strike2,AE57,AQ57,0,N57,0,P57,Q57,IF(OptControl=3,1,0),3)/100,0)</f>
        <v>0</v>
      </c>
      <c r="BA57" s="324" t="n">
        <f aca="false">IF(AH57,xASN(AL57,Strike2,AE57,AQ57,0,N57,0,P57-DaysForThetaCalculation/365.25,Q57-DaysForThetaCalculation/365.25,IF(OptControl=3,1,0),0)-xASN(AL57,Strike2,AE57,AQ57,0,N57,0,P57,Q57,IF(OptControl=3,1,0),0),0)</f>
        <v>0</v>
      </c>
      <c r="BB57" s="325" t="str">
        <f aca="false">IF(AH57,IF(ProductGroup=1,IF(Product=1,BX57+PriceSpreadEuro,IF(Product=3,CK57+PriceSpreadEuro,"N/A")),"N/A"),"")</f>
        <v/>
      </c>
      <c r="BC57" s="316" t="str">
        <f aca="false">IF(AH57,Strike1/BB57-1,"")</f>
        <v/>
      </c>
      <c r="BD57" s="316" t="str">
        <f aca="false">IF(AH57,Strike2/BB57-1,"")</f>
        <v/>
      </c>
      <c r="BE57" s="326" t="str">
        <f aca="false">IF(AH57,IF(VolOverrideEuro,VolOverrideEuro,IF(ProductGroup=1,IF(Product&lt;3,DA57,DE57)+VolSpreadEuro,"N/A")),"")</f>
        <v/>
      </c>
      <c r="BF57" s="323" t="str">
        <f aca="false">IF($AH57,$BE57+IF(SkewFlag=1,IF(BC57&gt;0,$AA57*MIN(BC57/10%,1)+($Z57-$AA57)*MAX(0,MIN(BC57/10%-1,1))+($Y57-$Z57)*MAX(0,BC57/10%-2),$AB57*MIN(-BC57/10%,1)+($AC57-$AB57)*MAX(0,MIN(-BC57/10%-1,1))+($AD57-$AC57)*MAX(0,-BC57/10%-2)),0),"")</f>
        <v/>
      </c>
      <c r="BG57" s="323" t="str">
        <f aca="false">IF($AH57,$BE57+IF(SkewFlag=1,IF(BD57&gt;0,$AA57*MIN(BD57/10%,1)+($Z57-$AA57)*MAX(0,MIN(BD57/10%-1,1))+($Y57-$Z57)*MAX(0,BD57/10%-2),$AB57*MIN(-BD57/10%,1)+($AC57-$AB57)*MAX(0,MIN(-BD57/10%-1,1))+($AD57-$AC57)*MAX(0,-BD57/10%-2)),0),"")</f>
        <v/>
      </c>
      <c r="BH57" s="324" t="n">
        <f aca="false">IF(AH57,xEURO(BB57,Strike1,AE57,AE57,BF57,O57,IF(OptControl=4,0,1),0),0)</f>
        <v>0</v>
      </c>
      <c r="BI57" s="324" t="n">
        <f aca="false">IF(AH57,xEURO(BB57,Strike1,AE57,AE57,BF57,O57,IF(OptControl=4,0,1),1),0)</f>
        <v>0</v>
      </c>
      <c r="BJ57" s="324" t="n">
        <f aca="false">IF(AH57,xEURO(BB57,Strike1,AE57,AE57,BF57,O57,IF(OptControl=4,0,1),2),0)</f>
        <v>0</v>
      </c>
      <c r="BK57" s="324" t="n">
        <f aca="false">IF(AH57,xEURO(BB57,Strike1,AE57,AE57,BF57,O57,IF(OptControl=4,0,1),3)/100,0)</f>
        <v>0</v>
      </c>
      <c r="BL57" s="324" t="n">
        <f aca="false">IF(AH57,xEURO(BB57,Strike1,AE57,AE57,BF57,O57-DaysForThetaCalculation,IF(OptControl=4,0,1),0)-xEURO(BB57,Strike1,AE57,AE57,BF57,O57,IF(OptControl=4,0,1),0),0)</f>
        <v>0</v>
      </c>
      <c r="BM57" s="324" t="n">
        <f aca="false">IF(AH57,xEURO(BB57,Strike2,AE57,AE57,BG57,O57,IF(OptControl=3,1,0),0),0)</f>
        <v>0</v>
      </c>
      <c r="BN57" s="324" t="n">
        <f aca="false">IF(AH57,xEURO(BB57,Strike2,AE57,AE57,BG57,O57,IF(OptControl=3,1,0),1),0)</f>
        <v>0</v>
      </c>
      <c r="BO57" s="324" t="n">
        <f aca="false">IF(AH57,xEURO(BB57,Strike2,AE57,AE57,BG57,O57,IF(OptControl=3,1,0),2),0)</f>
        <v>0</v>
      </c>
      <c r="BP57" s="324" t="n">
        <f aca="false">IF(AH57,xEURO(BB57,Strike2,AE57,AE57,BG57,O57,IF(OptControl=3,1,0),3)/100,0)</f>
        <v>0</v>
      </c>
      <c r="BQ57" s="327" t="n">
        <f aca="false">IF(AH57,xEURO(BB57,Strike2,AE57,AE57,BG57,O57-DaysForThetaCalculation,IF(OptControl=3,1,0),0)-xEURO(BB57,Strike2,AE57,AE57,BG57,O57,IF(OptControl=3,1,0),0),0)</f>
        <v>0</v>
      </c>
      <c r="BR57" s="343"/>
      <c r="BS57" s="314" t="n">
        <v>26.372</v>
      </c>
      <c r="BT57" s="329" t="n">
        <f aca="false">BS57*100/42</f>
        <v>62.7904761904762</v>
      </c>
      <c r="BU57" s="329" t="n">
        <f aca="false">BS58-$U57</f>
        <v>7.62860869565223</v>
      </c>
      <c r="BV57" s="224"/>
      <c r="BW57" s="329" t="n">
        <f aca="false">BW45+VLOOKUP(1900+$L57,ProductSpreadTable,2)</f>
        <v>14.5692727272728</v>
      </c>
      <c r="BX57" s="329" t="n">
        <f aca="false">($V56+BW56)*100/42</f>
        <v>79.2628216503992</v>
      </c>
      <c r="BY57" s="332" t="n">
        <f aca="false">BX58</f>
        <v>78.0158667419536</v>
      </c>
      <c r="BZ57" s="314" t="n">
        <v>23.936</v>
      </c>
      <c r="CA57" s="329" t="n">
        <f aca="false">BZ57*100/42</f>
        <v>56.9904761904762</v>
      </c>
      <c r="CB57" s="329" t="n">
        <f aca="false">BZ57-$U57</f>
        <v>5.73860869565223</v>
      </c>
      <c r="CC57" s="329" t="n">
        <f aca="false">CC45+VLOOKUP(1900+$L57,ProductSpreadTable,3)</f>
        <v>12.1542727272728</v>
      </c>
      <c r="CD57" s="329" t="n">
        <f aca="false">($V57+CC57)*100/42</f>
        <v>72.2658667419536</v>
      </c>
      <c r="CE57" s="333" t="n">
        <f aca="false">CD57-BY57</f>
        <v>-5.75000000000001</v>
      </c>
      <c r="CF57" s="314" t="n">
        <v>21.134</v>
      </c>
      <c r="CG57" s="329" t="n">
        <f aca="false">CF57*100/42</f>
        <v>50.3190476190476</v>
      </c>
      <c r="CH57" s="329" t="n">
        <f aca="false">CF58-$U57</f>
        <v>3.24760869565223</v>
      </c>
      <c r="CI57" s="224"/>
      <c r="CJ57" s="329" t="n">
        <f aca="false">CJ45+VLOOKUP(1900+$L57,ProductSpreadTable,4)</f>
        <v>8.15299999999997</v>
      </c>
      <c r="CK57" s="329" t="n">
        <f aca="false">($V56+CJ56)*100/42</f>
        <v>61.3200680272107</v>
      </c>
      <c r="CL57" s="329" t="n">
        <f aca="false">CK58</f>
        <v>62.7390269151137</v>
      </c>
      <c r="CM57" s="314" t="n">
        <v>20.521</v>
      </c>
      <c r="CN57" s="329" t="n">
        <f aca="false">CM57*100/42</f>
        <v>48.8595238095238</v>
      </c>
      <c r="CO57" s="329" t="n">
        <f aca="false">CM57-$U57</f>
        <v>2.32360869565223</v>
      </c>
      <c r="CP57" s="329" t="n">
        <f aca="false">CP45+VLOOKUP(1900+$L57,ProductSpreadTable,5)</f>
        <v>7.22899999999997</v>
      </c>
      <c r="CQ57" s="329" t="n">
        <f aca="false">($V57+CP57)*100/42</f>
        <v>60.5390269151137</v>
      </c>
      <c r="CR57" s="333" t="n">
        <f aca="false">CQ57-CL57</f>
        <v>-2.20000000000001</v>
      </c>
      <c r="CS57" s="314" t="n">
        <v>21.571</v>
      </c>
      <c r="CT57" s="329" t="n">
        <f aca="false">CS57*100/42</f>
        <v>51.3595238095238</v>
      </c>
      <c r="CU57" s="329" t="n">
        <f aca="false">CT57-CG58</f>
        <v>0.299999999999997</v>
      </c>
      <c r="CV57" s="329" t="n">
        <f aca="false">CV45+VLOOKUP(1900+$L57,ProductSpreadTable,6)</f>
        <v>1.04999999999999</v>
      </c>
      <c r="CW57" s="333" t="n">
        <f aca="false">CL57+CV57</f>
        <v>63.7890269151137</v>
      </c>
      <c r="CX57" s="318" t="n">
        <v>0.201</v>
      </c>
      <c r="CY57" s="326" t="n">
        <f aca="false">CX57-$W57</f>
        <v>5.19012396096863E-006</v>
      </c>
      <c r="CZ57" s="326" t="n">
        <f aca="false">VLOOKUP(1900+$L57,ProductSpreadTable,7)</f>
        <v>-0.03</v>
      </c>
      <c r="DA57" s="365" t="n">
        <f aca="false">$W57+CZ57</f>
        <v>0.170994809876039</v>
      </c>
      <c r="DB57" s="318" t="n">
        <v>0.201</v>
      </c>
      <c r="DC57" s="326" t="n">
        <f aca="false">DB57-$W57</f>
        <v>5.19012396096863E-006</v>
      </c>
      <c r="DD57" s="326" t="n">
        <f aca="false">VLOOKUP(1900+$L57,ProductSpreadTable,8)</f>
        <v>0.03</v>
      </c>
      <c r="DE57" s="365" t="n">
        <f aca="false">$W57+DD57</f>
        <v>0.230994809876039</v>
      </c>
      <c r="DG57" s="336"/>
      <c r="DH57" s="314" t="n">
        <v>16.365</v>
      </c>
      <c r="DI57" s="325" t="n">
        <f aca="false">DH57-$U57</f>
        <v>-1.83239130434778</v>
      </c>
      <c r="DJ57" s="325" t="n">
        <f aca="false">VLOOKUP(1900+$L57,ResidSpreadTable,2)</f>
        <v>-2</v>
      </c>
      <c r="DK57" s="337" t="n">
        <f aca="false">$V57+DJ57</f>
        <v>16.1973913043478</v>
      </c>
      <c r="DL57" s="314" t="n">
        <v>13.815</v>
      </c>
      <c r="DM57" s="325" t="n">
        <f aca="false">DL57-$U57</f>
        <v>-4.38239130434778</v>
      </c>
      <c r="DN57" s="325" t="n">
        <f aca="false">VLOOKUP(1900+$L57,ResidSpreadTable,3)</f>
        <v>-3</v>
      </c>
      <c r="DO57" s="337" t="n">
        <f aca="false">$V57+DN57</f>
        <v>15.1973913043478</v>
      </c>
      <c r="DP57" s="314" t="n">
        <v>13.065</v>
      </c>
      <c r="DQ57" s="325" t="n">
        <f aca="false">DP57-$U57</f>
        <v>-5.13239130434778</v>
      </c>
      <c r="DR57" s="325" t="n">
        <f aca="false">VLOOKUP(1900+$L57,ResidSpreadTable,4)</f>
        <v>-6</v>
      </c>
      <c r="DS57" s="337" t="n">
        <f aca="false">$V57+DR57</f>
        <v>12.1973913043478</v>
      </c>
      <c r="DT57" s="314" t="n">
        <v>15.315</v>
      </c>
      <c r="DU57" s="325" t="n">
        <f aca="false">DT57-$U57</f>
        <v>-2.88239130434778</v>
      </c>
      <c r="DV57" s="325" t="n">
        <f aca="false">VLOOKUP(1900+$L57,ResidSpreadTable,5)</f>
        <v>-5</v>
      </c>
      <c r="DW57" s="337" t="n">
        <f aca="false">$V57+DV57</f>
        <v>13.1973913043478</v>
      </c>
    </row>
    <row r="58" customFormat="false" ht="12.75" hidden="false" customHeight="false" outlineLevel="0" collapsed="false">
      <c r="B58" s="371" t="n">
        <v>37316</v>
      </c>
      <c r="C58" s="391" t="n">
        <v>37307</v>
      </c>
      <c r="I58" s="338" t="n">
        <f aca="false">EOMONTH(I57,0)+1</f>
        <v>47515</v>
      </c>
      <c r="J58" s="389" t="n">
        <f aca="false">VLOOKUP(I58,$B$12:$C$332,2)</f>
        <v>45644</v>
      </c>
      <c r="K58" s="339" t="n">
        <f aca="false">NETWORKDAYS(I58,J59)/N58</f>
        <v>-66.9</v>
      </c>
      <c r="L58" s="309" t="n">
        <f aca="false">YEAR(I58)-1900</f>
        <v>130</v>
      </c>
      <c r="M58" s="310" t="n">
        <f aca="false">MONTH(I58)</f>
        <v>2</v>
      </c>
      <c r="N58" s="340" t="n">
        <f aca="false">NETWORKDAYS(I58,I59-1)</f>
        <v>20</v>
      </c>
      <c r="O58" s="341" t="n">
        <f aca="false">I58-DateToday-IF(EuroExpDateToggle=1,3+IF(WEEKDAY(I58-1)=7,1,IF(WEEKDAY(I58-1)&lt;5,2,0)),1+IF(WEEKDAY(I58-1)=7,1,IF(WEEKDAY(I58-1)&lt;3,2,0)))</f>
        <v>1586</v>
      </c>
      <c r="P58" s="342" t="n">
        <f aca="false">(I58-DateToday+1)/365.25</f>
        <v>4.35318275154004</v>
      </c>
      <c r="Q58" s="342" t="n">
        <f aca="false">(I59-DateToday)/365.25</f>
        <v>4.42710472279261</v>
      </c>
      <c r="R58" s="314" t="n">
        <v>19.07</v>
      </c>
      <c r="S58" s="347" t="n">
        <v>0</v>
      </c>
      <c r="T58" s="316" t="n">
        <f aca="false">R58+S58/100</f>
        <v>19.07</v>
      </c>
      <c r="U58" s="325" t="n">
        <f aca="false">R59*K58+R60*(1-K58)</f>
        <v>18.0364999999999</v>
      </c>
      <c r="V58" s="337" t="n">
        <f aca="false">T59*K58+T60*(1-K58)</f>
        <v>18.0364999999999</v>
      </c>
      <c r="W58" s="318" t="n">
        <v>0.200686180216185</v>
      </c>
      <c r="X58" s="319" t="str">
        <f aca="false">IF($I58-DateToday+1&gt;=$A$10,"",IF($I58-DateToday+1&lt;$A$5,1,MATCH($I58-DateToday+1,$A$5:$A$10)))</f>
        <v/>
      </c>
      <c r="Y58" s="348" t="n">
        <f aca="false">IF($X58="",Y57^2/Y56,INDEX(B$5:B$10,$X58)^((INDEX($A$5:$A$10,$X58+1)-($I58-DateToday+1))/(INDEX($A$5:$A$10,$X58+1)-INDEX($A$5:$A$10,$X58)))/INDEX(B$5:B$10,$X58+1)^((INDEX($A$5:$A$10,$X58)-($I58-DateToday+1))/(INDEX($A$5:$A$10,$X58+1)-INDEX($A$5:$A$10,$X58))))</f>
        <v>0.00497528959366222</v>
      </c>
      <c r="Z58" s="348" t="n">
        <f aca="false">IF($X58="",Z57^2/Z56,INDEX(C$5:C$10,$X58)^((INDEX($A$5:$A$10,$X58+1)-($I58-DateToday+1))/(INDEX($A$5:$A$10,$X58+1)-INDEX($A$5:$A$10,$X58)))/INDEX(C$5:C$10,$X58+1)^((INDEX($A$5:$A$10,$X58)-($I58-DateToday+1))/(INDEX($A$5:$A$10,$X58+1)-INDEX($A$5:$A$10,$X58))))</f>
        <v>0.00231709512622506</v>
      </c>
      <c r="AA58" s="348" t="n">
        <f aca="false">IF($X58="",AA57^2/AA56,INDEX(D$5:D$10,$X58)^((INDEX($A$5:$A$10,$X58+1)-($I58-DateToday+1))/(INDEX($A$5:$A$10,$X58+1)-INDEX($A$5:$A$10,$X58)))/INDEX(D$5:D$10,$X58+1)^((INDEX($A$5:$A$10,$X58)-($I58-DateToday+1))/(INDEX($A$5:$A$10,$X58+1)-INDEX($A$5:$A$10,$X58))))</f>
        <v>0.000960101236647907</v>
      </c>
      <c r="AB58" s="348" t="n">
        <f aca="false">IF($X58="",AB57^2/AB56,INDEX(E$5:E$10,$X58)^((INDEX($A$5:$A$10,$X58+1)-($I58-DateToday+1))/(INDEX($A$5:$A$10,$X58+1)-INDEX($A$5:$A$10,$X58)))/INDEX(E$5:E$10,$X58+1)^((INDEX($A$5:$A$10,$X58)-($I58-DateToday+1))/(INDEX($A$5:$A$10,$X58+1)-INDEX($A$5:$A$10,$X58))))</f>
        <v>0.00216291606592042</v>
      </c>
      <c r="AC58" s="348" t="n">
        <f aca="false">IF($X58="",AC57^2/AC56,INDEX(F$5:F$10,$X58)^((INDEX($A$5:$A$10,$X58+1)-($I58-DateToday+1))/(INDEX($A$5:$A$10,$X58+1)-INDEX($A$5:$A$10,$X58)))/INDEX(F$5:F$10,$X58+1)^((INDEX($A$5:$A$10,$X58)-($I58-DateToday+1))/(INDEX($A$5:$A$10,$X58+1)-INDEX($A$5:$A$10,$X58))))</f>
        <v>0.00521995190035983</v>
      </c>
      <c r="AD58" s="348" t="n">
        <f aca="false">IF($X58="",AD57^2/AD56,INDEX(G$5:G$10,$X58)^((INDEX($A$5:$A$10,$X58+1)-($I58-DateToday+1))/(INDEX($A$5:$A$10,$X58+1)-INDEX($A$5:$A$10,$X58)))/INDEX(G$5:G$10,$X58+1)^((INDEX($A$5:$A$10,$X58)-($I58-DateToday+1))/(INDEX($A$5:$A$10,$X58+1)-INDEX($A$5:$A$10,$X58))))</f>
        <v>0.0112083323966021</v>
      </c>
      <c r="AE58" s="321" t="n">
        <v>0.072744246453815</v>
      </c>
      <c r="AF58" s="316" t="n">
        <f aca="false">(1+AE58/2)^(-2*(I59-DateToday)/365.25)</f>
        <v>0.728820436685912</v>
      </c>
      <c r="AG58" s="316" t="n">
        <f aca="false">AG57*(1+IF(AND(M58=1,L58&gt;YearStart),Escalation,0))</f>
        <v>1</v>
      </c>
      <c r="AH58" s="322" t="n">
        <f aca="false">IF(OR(DateStart&gt;=I59,DateEnd&lt;I58),0,Volume*AG58)</f>
        <v>0</v>
      </c>
      <c r="AI58" s="322" t="n">
        <f aca="false">AH58*AF58</f>
        <v>0</v>
      </c>
      <c r="AJ58" s="322" t="n">
        <f aca="false">IF(OR(DateStart2&gt;=I59,DateEnd2&lt;I58),0,VolumeSwaption*AG58)</f>
        <v>0</v>
      </c>
      <c r="AK58" s="322" t="n">
        <f aca="false">AJ58*AF58</f>
        <v>0</v>
      </c>
      <c r="AL58" s="316" t="str">
        <f aca="true">IF(AH58,OFFSET(BY58,0,HorizontalPriceOffset)+PriceSpreadAsian,"")</f>
        <v/>
      </c>
      <c r="AM58" s="316" t="str">
        <f aca="false">IF(AH58,Strike1/AL58-1,"")</f>
        <v/>
      </c>
      <c r="AN58" s="316" t="str">
        <f aca="false">IF(AH58,Strike2/AL58-1,"")</f>
        <v/>
      </c>
      <c r="AO58" s="323" t="str">
        <f aca="false">IF(AH58,IF(VolOverrideAsian,VolOverrideAsian,IF(ProductGroup=1,IF(Product&lt;3,DA59,DE59),W59)+VolSpreadAsian),"")</f>
        <v/>
      </c>
      <c r="AP58" s="323" t="str">
        <f aca="false">IF($AH58,$AO58+IF(SkewFlag=1,IF(AM58&gt;0,$AA58*MIN(AM58/10%,1)+($Z58-$AA58)*MAX(0,MIN(AM58/10%-1,1))+($Y58-$Z58)*MAX(0,AM58/10%-2),$AB58*MIN(-AM58/10%,1)+($AC58-$AB58)*MAX(0,MIN(-AM58/10%-1,1))+($AD58-$AC58)*MAX(0,-AM58/10%-2)),0),"")</f>
        <v/>
      </c>
      <c r="AQ58" s="323" t="str">
        <f aca="false">IF($AH58,$AO58+IF(SkewFlag=1,IF(AN58&gt;0,$AA58*MIN(AN58/10%,1)+($Z58-$AA58)*MAX(0,MIN(AN58/10%-1,1))+($Y58-$Z58)*MAX(0,AN58/10%-2),$AB58*MIN(-AN58/10%,1)+($AC58-$AB58)*MAX(0,MIN(-AN58/10%-1,1))+($AD58-$AC58)*MAX(0,-AN58/10%-2)),0),"")</f>
        <v/>
      </c>
      <c r="AR58" s="324" t="n">
        <f aca="false">IF(AH58,xASN(AL58,Strike1,AE58,AP58,0,N58,0,P58,Q58,IF(OptControl=4,0,1),0),0)</f>
        <v>0</v>
      </c>
      <c r="AS58" s="324" t="n">
        <f aca="false">IF(AH58,xASN(AL58,Strike1,AE58,AP58,0,N58,0,P58,Q58,IF(OptControl=4,0,1),1),0)</f>
        <v>0</v>
      </c>
      <c r="AT58" s="324" t="n">
        <f aca="false">IF(AH58,xASN(AL58,Strike1,AE58,AP58,0,N58,0,P58,Q58,IF(OptControl=4,0,1),2),0)</f>
        <v>0</v>
      </c>
      <c r="AU58" s="324" t="n">
        <f aca="false">IF(AH58,xASN(AL58,Strike1,AE58,AP58,0,N58,0,P58,Q58,IF(OptControl=4,0,1),3)/100,0)</f>
        <v>0</v>
      </c>
      <c r="AV58" s="324" t="n">
        <f aca="false">IF(AH58,xASN(AL58,Strike1,AE58,AP58,0,N58,0,P58-DaysForThetaCalculation/365.25,Q58-DaysForThetaCalculation/365.25,IF(OptControl=4,0,1),0)-xASN(AL58,Strike1,AE58,AP58,0,N58,0,P58,Q58,IF(OptControl=4,0,1),0),0)</f>
        <v>0</v>
      </c>
      <c r="AW58" s="324" t="n">
        <f aca="false">IF(AH58,xASN(AL58,Strike2,AE58,AQ58,0,N58,0,P58,Q58,IF(OptControl=3,1,0),0),0)</f>
        <v>0</v>
      </c>
      <c r="AX58" s="324" t="n">
        <f aca="false">IF(AH58,xASN(AL58,Strike2,AE58,AQ58,0,N58,0,P58,Q58,IF(OptControl=3,1,0),1),0)</f>
        <v>0</v>
      </c>
      <c r="AY58" s="324" t="n">
        <f aca="false">IF(AH58,xASN(AL58,Strike2,AE58,AQ58,0,N58,0,P58,Q58,IF(OptControl=3,1,0),2),0)</f>
        <v>0</v>
      </c>
      <c r="AZ58" s="324" t="n">
        <f aca="false">IF(AH58,xASN(AL58,Strike2,AE58,AQ58,0,N58,0,P58,Q58,IF(OptControl=3,1,0),3)/100,0)</f>
        <v>0</v>
      </c>
      <c r="BA58" s="324" t="n">
        <f aca="false">IF(AH58,xASN(AL58,Strike2,AE58,AQ58,0,N58,0,P58-DaysForThetaCalculation/365.25,Q58-DaysForThetaCalculation/365.25,IF(OptControl=3,1,0),0)-xASN(AL58,Strike2,AE58,AQ58,0,N58,0,P58,Q58,IF(OptControl=3,1,0),0),0)</f>
        <v>0</v>
      </c>
      <c r="BB58" s="325" t="str">
        <f aca="false">IF(AH58,IF(ProductGroup=1,IF(Product=1,BX58+PriceSpreadEuro,IF(Product=3,CK58+PriceSpreadEuro,"N/A")),"N/A"),"")</f>
        <v/>
      </c>
      <c r="BC58" s="316" t="str">
        <f aca="false">IF(AH58,Strike1/BB58-1,"")</f>
        <v/>
      </c>
      <c r="BD58" s="316" t="str">
        <f aca="false">IF(AH58,Strike2/BB58-1,"")</f>
        <v/>
      </c>
      <c r="BE58" s="326" t="str">
        <f aca="false">IF(AH58,IF(VolOverrideEuro,VolOverrideEuro,IF(ProductGroup=1,IF(Product&lt;3,DA58,DE58)+VolSpreadEuro,"N/A")),"")</f>
        <v/>
      </c>
      <c r="BF58" s="323" t="str">
        <f aca="false">IF($AH58,$BE58+IF(SkewFlag=1,IF(BC58&gt;0,$AA58*MIN(BC58/10%,1)+($Z58-$AA58)*MAX(0,MIN(BC58/10%-1,1))+($Y58-$Z58)*MAX(0,BC58/10%-2),$AB58*MIN(-BC58/10%,1)+($AC58-$AB58)*MAX(0,MIN(-BC58/10%-1,1))+($AD58-$AC58)*MAX(0,-BC58/10%-2)),0),"")</f>
        <v/>
      </c>
      <c r="BG58" s="323" t="str">
        <f aca="false">IF($AH58,$BE58+IF(SkewFlag=1,IF(BD58&gt;0,$AA58*MIN(BD58/10%,1)+($Z58-$AA58)*MAX(0,MIN(BD58/10%-1,1))+($Y58-$Z58)*MAX(0,BD58/10%-2),$AB58*MIN(-BD58/10%,1)+($AC58-$AB58)*MAX(0,MIN(-BD58/10%-1,1))+($AD58-$AC58)*MAX(0,-BD58/10%-2)),0),"")</f>
        <v/>
      </c>
      <c r="BH58" s="324" t="n">
        <f aca="false">IF(AH58,xEURO(BB58,Strike1,AE58,AE58,BF58,O58,IF(OptControl=4,0,1),0),0)</f>
        <v>0</v>
      </c>
      <c r="BI58" s="324" t="n">
        <f aca="false">IF(AH58,xEURO(BB58,Strike1,AE58,AE58,BF58,O58,IF(OptControl=4,0,1),1),0)</f>
        <v>0</v>
      </c>
      <c r="BJ58" s="324" t="n">
        <f aca="false">IF(AH58,xEURO(BB58,Strike1,AE58,AE58,BF58,O58,IF(OptControl=4,0,1),2),0)</f>
        <v>0</v>
      </c>
      <c r="BK58" s="324" t="n">
        <f aca="false">IF(AH58,xEURO(BB58,Strike1,AE58,AE58,BF58,O58,IF(OptControl=4,0,1),3)/100,0)</f>
        <v>0</v>
      </c>
      <c r="BL58" s="324" t="n">
        <f aca="false">IF(AH58,xEURO(BB58,Strike1,AE58,AE58,BF58,O58-DaysForThetaCalculation,IF(OptControl=4,0,1),0)-xEURO(BB58,Strike1,AE58,AE58,BF58,O58,IF(OptControl=4,0,1),0),0)</f>
        <v>0</v>
      </c>
      <c r="BM58" s="324" t="n">
        <f aca="false">IF(AH58,xEURO(BB58,Strike2,AE58,AE58,BG58,O58,IF(OptControl=3,1,0),0),0)</f>
        <v>0</v>
      </c>
      <c r="BN58" s="324" t="n">
        <f aca="false">IF(AH58,xEURO(BB58,Strike2,AE58,AE58,BG58,O58,IF(OptControl=3,1,0),1),0)</f>
        <v>0</v>
      </c>
      <c r="BO58" s="324" t="n">
        <f aca="false">IF(AH58,xEURO(BB58,Strike2,AE58,AE58,BG58,O58,IF(OptControl=3,1,0),2),0)</f>
        <v>0</v>
      </c>
      <c r="BP58" s="324" t="n">
        <f aca="false">IF(AH58,xEURO(BB58,Strike2,AE58,AE58,BG58,O58,IF(OptControl=3,1,0),3)/100,0)</f>
        <v>0</v>
      </c>
      <c r="BQ58" s="327" t="n">
        <f aca="false">IF(AH58,xEURO(BB58,Strike2,AE58,AE58,BG58,O58-DaysForThetaCalculation,IF(OptControl=3,1,0),0)-xEURO(BB58,Strike2,AE58,AE58,BG58,O58,IF(OptControl=3,1,0),0),0)</f>
        <v>0</v>
      </c>
      <c r="BR58" s="343"/>
      <c r="BS58" s="314" t="n">
        <v>25.826</v>
      </c>
      <c r="BT58" s="329" t="n">
        <f aca="false">BS58*100/42</f>
        <v>61.4904761904762</v>
      </c>
      <c r="BU58" s="329" t="n">
        <f aca="false">BS59-$U58</f>
        <v>7.22250000000007</v>
      </c>
      <c r="BV58" s="224"/>
      <c r="BW58" s="329" t="n">
        <f aca="false">BW46+VLOOKUP(1900+$L58,ProductSpreadTable,2)</f>
        <v>14.589</v>
      </c>
      <c r="BX58" s="329" t="n">
        <f aca="false">($V57+BW57)*100/42</f>
        <v>78.0158667419536</v>
      </c>
      <c r="BY58" s="332" t="n">
        <f aca="false">BX59</f>
        <v>77.6797619047617</v>
      </c>
      <c r="BZ58" s="314" t="n">
        <v>23.369</v>
      </c>
      <c r="CA58" s="329" t="n">
        <f aca="false">BZ58*100/42</f>
        <v>55.6404761904762</v>
      </c>
      <c r="CB58" s="329" t="n">
        <f aca="false">BZ58-$U58</f>
        <v>5.33250000000007</v>
      </c>
      <c r="CC58" s="329" t="n">
        <f aca="false">CC46+VLOOKUP(1900+$L58,ProductSpreadTable,3)</f>
        <v>12.174</v>
      </c>
      <c r="CD58" s="329" t="n">
        <f aca="false">($V58+CC58)*100/42</f>
        <v>71.9297619047617</v>
      </c>
      <c r="CE58" s="333" t="n">
        <f aca="false">CD58-BY58</f>
        <v>-5.75</v>
      </c>
      <c r="CF58" s="314" t="n">
        <v>21.445</v>
      </c>
      <c r="CG58" s="329" t="n">
        <f aca="false">CF58*100/42</f>
        <v>51.0595238095238</v>
      </c>
      <c r="CH58" s="329" t="n">
        <f aca="false">CF59-$U58</f>
        <v>3.81150000000007</v>
      </c>
      <c r="CI58" s="224"/>
      <c r="CJ58" s="329" t="n">
        <f aca="false">CJ46+VLOOKUP(1900+$L58,ProductSpreadTable,4)</f>
        <v>8.4859999999999</v>
      </c>
      <c r="CK58" s="329" t="n">
        <f aca="false">($V57+CJ57)*100/42</f>
        <v>62.7390269151137</v>
      </c>
      <c r="CL58" s="329" t="n">
        <f aca="false">CK59</f>
        <v>63.1488095238091</v>
      </c>
      <c r="CM58" s="314" t="n">
        <v>20.924</v>
      </c>
      <c r="CN58" s="329" t="n">
        <f aca="false">CM58*100/42</f>
        <v>49.8190476190476</v>
      </c>
      <c r="CO58" s="329" t="n">
        <f aca="false">CM58-$U58</f>
        <v>2.88750000000007</v>
      </c>
      <c r="CP58" s="329" t="n">
        <f aca="false">CP46+VLOOKUP(1900+$L58,ProductSpreadTable,5)</f>
        <v>7.5619999999999</v>
      </c>
      <c r="CQ58" s="329" t="n">
        <f aca="false">($V58+CP58)*100/42</f>
        <v>60.9488095238091</v>
      </c>
      <c r="CR58" s="333" t="n">
        <f aca="false">CQ58-CL58</f>
        <v>-2.2</v>
      </c>
      <c r="CS58" s="314" t="n">
        <v>21.974</v>
      </c>
      <c r="CT58" s="329" t="n">
        <f aca="false">CS58*100/42</f>
        <v>52.3190476190476</v>
      </c>
      <c r="CU58" s="329" t="n">
        <f aca="false">CT58-CG59</f>
        <v>0.299999999999997</v>
      </c>
      <c r="CV58" s="329" t="n">
        <f aca="false">CV46+VLOOKUP(1900+$L58,ProductSpreadTable,6)</f>
        <v>1.04999999999999</v>
      </c>
      <c r="CW58" s="333" t="n">
        <f aca="false">CL58+CV58</f>
        <v>64.1988095238091</v>
      </c>
      <c r="CX58" s="318" t="n">
        <v>0.201</v>
      </c>
      <c r="CY58" s="326" t="n">
        <f aca="false">CX58-$W58</f>
        <v>0.000313819783815006</v>
      </c>
      <c r="CZ58" s="326" t="n">
        <f aca="false">VLOOKUP(1900+$L58,ProductSpreadTable,7)</f>
        <v>-0.03</v>
      </c>
      <c r="DA58" s="365" t="n">
        <f aca="false">$W58+CZ58</f>
        <v>0.170686180216185</v>
      </c>
      <c r="DB58" s="318" t="n">
        <v>0.201</v>
      </c>
      <c r="DC58" s="326" t="n">
        <f aca="false">DB58-$W58</f>
        <v>0.000313819783815006</v>
      </c>
      <c r="DD58" s="326" t="n">
        <f aca="false">VLOOKUP(1900+$L58,ProductSpreadTable,8)</f>
        <v>0.03</v>
      </c>
      <c r="DE58" s="365" t="n">
        <f aca="false">$W58+DD58</f>
        <v>0.230686180216185</v>
      </c>
      <c r="DG58" s="336"/>
      <c r="DH58" s="314" t="n">
        <v>16.35</v>
      </c>
      <c r="DI58" s="325" t="n">
        <f aca="false">DH58-$U58</f>
        <v>-1.68649999999993</v>
      </c>
      <c r="DJ58" s="325" t="n">
        <f aca="false">VLOOKUP(1900+$L58,ResidSpreadTable,2)</f>
        <v>-2</v>
      </c>
      <c r="DK58" s="337" t="n">
        <f aca="false">$V58+DJ58</f>
        <v>16.0364999999999</v>
      </c>
      <c r="DL58" s="314" t="n">
        <v>13.8</v>
      </c>
      <c r="DM58" s="325" t="n">
        <f aca="false">DL58-$U58</f>
        <v>-4.23649999999993</v>
      </c>
      <c r="DN58" s="325" t="n">
        <f aca="false">VLOOKUP(1900+$L58,ResidSpreadTable,3)</f>
        <v>-3</v>
      </c>
      <c r="DO58" s="337" t="n">
        <f aca="false">$V58+DN58</f>
        <v>15.0364999999999</v>
      </c>
      <c r="DP58" s="314" t="n">
        <v>13.05</v>
      </c>
      <c r="DQ58" s="325" t="n">
        <f aca="false">DP58-$U58</f>
        <v>-4.98649999999993</v>
      </c>
      <c r="DR58" s="325" t="n">
        <f aca="false">VLOOKUP(1900+$L58,ResidSpreadTable,4)</f>
        <v>-6</v>
      </c>
      <c r="DS58" s="337" t="n">
        <f aca="false">$V58+DR58</f>
        <v>12.0364999999999</v>
      </c>
      <c r="DT58" s="314" t="n">
        <v>15.3</v>
      </c>
      <c r="DU58" s="325" t="n">
        <f aca="false">DT58-$U58</f>
        <v>-2.73649999999993</v>
      </c>
      <c r="DV58" s="325" t="n">
        <f aca="false">VLOOKUP(1900+$L58,ResidSpreadTable,5)</f>
        <v>-5</v>
      </c>
      <c r="DW58" s="337" t="n">
        <f aca="false">$V58+DV58</f>
        <v>13.0364999999999</v>
      </c>
    </row>
    <row r="59" customFormat="false" ht="12.75" hidden="false" customHeight="false" outlineLevel="0" collapsed="false">
      <c r="B59" s="371" t="n">
        <v>37347</v>
      </c>
      <c r="C59" s="391" t="n">
        <v>37335</v>
      </c>
      <c r="I59" s="338" t="n">
        <f aca="false">EOMONTH(I58,0)+1</f>
        <v>47543</v>
      </c>
      <c r="J59" s="389" t="n">
        <f aca="false">VLOOKUP(I59,$B$12:$C$332,2)</f>
        <v>45644</v>
      </c>
      <c r="K59" s="339" t="n">
        <f aca="false">NETWORKDAYS(I59,J60)/N59</f>
        <v>-64.6666666666667</v>
      </c>
      <c r="L59" s="309" t="n">
        <f aca="false">YEAR(I59)-1900</f>
        <v>130</v>
      </c>
      <c r="M59" s="310" t="n">
        <f aca="false">MONTH(I59)</f>
        <v>3</v>
      </c>
      <c r="N59" s="340" t="n">
        <f aca="false">NETWORKDAYS(I59,I60-1)</f>
        <v>21</v>
      </c>
      <c r="O59" s="341" t="n">
        <f aca="false">I59-DateToday-IF(EuroExpDateToggle=1,3+IF(WEEKDAY(I59-1)=7,1,IF(WEEKDAY(I59-1)&lt;5,2,0)),1+IF(WEEKDAY(I59-1)=7,1,IF(WEEKDAY(I59-1)&lt;3,2,0)))</f>
        <v>1614</v>
      </c>
      <c r="P59" s="342" t="n">
        <f aca="false">(I59-DateToday+1)/365.25</f>
        <v>4.42984257357974</v>
      </c>
      <c r="Q59" s="342" t="n">
        <f aca="false">(I60-DateToday)/365.25</f>
        <v>4.5119780971937</v>
      </c>
      <c r="R59" s="314" t="n">
        <v>19.055</v>
      </c>
      <c r="S59" s="347" t="n">
        <v>0</v>
      </c>
      <c r="T59" s="316" t="n">
        <f aca="false">R59+S59/100</f>
        <v>19.055</v>
      </c>
      <c r="U59" s="325" t="n">
        <f aca="false">R60*K59+R61*(1-K59)</f>
        <v>18.0550000000001</v>
      </c>
      <c r="V59" s="337" t="n">
        <f aca="false">T60*K59+T61*(1-K59)</f>
        <v>18.0550000000001</v>
      </c>
      <c r="W59" s="318" t="n">
        <v>0.199903905915605</v>
      </c>
      <c r="X59" s="319" t="str">
        <f aca="false">IF($I59-DateToday+1&gt;=$A$10,"",IF($I59-DateToday+1&lt;$A$5,1,MATCH($I59-DateToday+1,$A$5:$A$10)))</f>
        <v/>
      </c>
      <c r="Y59" s="348" t="n">
        <f aca="false">IF($X59="",Y58^2/Y57,INDEX(B$5:B$10,$X59)^((INDEX($A$5:$A$10,$X59+1)-($I59-DateToday+1))/(INDEX($A$5:$A$10,$X59+1)-INDEX($A$5:$A$10,$X59)))/INDEX(B$5:B$10,$X59+1)^((INDEX($A$5:$A$10,$X59)-($I59-DateToday+1))/(INDEX($A$5:$A$10,$X59+1)-INDEX($A$5:$A$10,$X59))))</f>
        <v>0.00486877621051557</v>
      </c>
      <c r="Z59" s="348" t="n">
        <f aca="false">IF($X59="",Z58^2/Z57,INDEX(C$5:C$10,$X59)^((INDEX($A$5:$A$10,$X59+1)-($I59-DateToday+1))/(INDEX($A$5:$A$10,$X59+1)-INDEX($A$5:$A$10,$X59)))/INDEX(C$5:C$10,$X59+1)^((INDEX($A$5:$A$10,$X59)-($I59-DateToday+1))/(INDEX($A$5:$A$10,$X59+1)-INDEX($A$5:$A$10,$X59))))</f>
        <v>0.00225534938637553</v>
      </c>
      <c r="AA59" s="348" t="n">
        <f aca="false">IF($X59="",AA58^2/AA57,INDEX(D$5:D$10,$X59)^((INDEX($A$5:$A$10,$X59+1)-($I59-DateToday+1))/(INDEX($A$5:$A$10,$X59+1)-INDEX($A$5:$A$10,$X59)))/INDEX(D$5:D$10,$X59+1)^((INDEX($A$5:$A$10,$X59)-($I59-DateToday+1))/(INDEX($A$5:$A$10,$X59+1)-INDEX($A$5:$A$10,$X59))))</f>
        <v>0.000932010551816294</v>
      </c>
      <c r="AB59" s="348" t="n">
        <f aca="false">IF($X59="",AB58^2/AB57,INDEX(E$5:E$10,$X59)^((INDEX($A$5:$A$10,$X59+1)-($I59-DateToday+1))/(INDEX($A$5:$A$10,$X59+1)-INDEX($A$5:$A$10,$X59)))/INDEX(E$5:E$10,$X59+1)^((INDEX($A$5:$A$10,$X59)-($I59-DateToday+1))/(INDEX($A$5:$A$10,$X59+1)-INDEX($A$5:$A$10,$X59))))</f>
        <v>0.00209963337113176</v>
      </c>
      <c r="AC59" s="348" t="n">
        <f aca="false">IF($X59="",AC58^2/AC57,INDEX(F$5:F$10,$X59)^((INDEX($A$5:$A$10,$X59+1)-($I59-DateToday+1))/(INDEX($A$5:$A$10,$X59+1)-INDEX($A$5:$A$10,$X59)))/INDEX(F$5:F$10,$X59+1)^((INDEX($A$5:$A$10,$X59)-($I59-DateToday+1))/(INDEX($A$5:$A$10,$X59+1)-INDEX($A$5:$A$10,$X59))))</f>
        <v>0.00508085109762682</v>
      </c>
      <c r="AD59" s="348" t="n">
        <f aca="false">IF($X59="",AD58^2/AD57,INDEX(G$5:G$10,$X59)^((INDEX($A$5:$A$10,$X59+1)-($I59-DateToday+1))/(INDEX($A$5:$A$10,$X59+1)-INDEX($A$5:$A$10,$X59)))/INDEX(G$5:G$10,$X59+1)^((INDEX($A$5:$A$10,$X59)-($I59-DateToday+1))/(INDEX($A$5:$A$10,$X59+1)-INDEX($A$5:$A$10,$X59))))</f>
        <v>0.0109683790470493</v>
      </c>
      <c r="AE59" s="321" t="n">
        <v>0.072790099947147</v>
      </c>
      <c r="AF59" s="316" t="n">
        <f aca="false">(1+AE59/2)^(-2*(I60-DateToday)/365.25)</f>
        <v>0.724269341486382</v>
      </c>
      <c r="AG59" s="316" t="n">
        <f aca="false">AG58*(1+IF(AND(M59=1,L59&gt;YearStart),Escalation,0))</f>
        <v>1</v>
      </c>
      <c r="AH59" s="322" t="n">
        <f aca="false">IF(OR(DateStart&gt;=I60,DateEnd&lt;I59),0,Volume*AG59)</f>
        <v>0</v>
      </c>
      <c r="AI59" s="322" t="n">
        <f aca="false">AH59*AF59</f>
        <v>0</v>
      </c>
      <c r="AJ59" s="322" t="n">
        <f aca="false">IF(OR(DateStart2&gt;=I60,DateEnd2&lt;I59),0,VolumeSwaption*AG59)</f>
        <v>0</v>
      </c>
      <c r="AK59" s="322" t="n">
        <f aca="false">AJ59*AF59</f>
        <v>0</v>
      </c>
      <c r="AL59" s="316" t="str">
        <f aca="true">IF(AH59,OFFSET(BY59,0,HorizontalPriceOffset)+PriceSpreadAsian,"")</f>
        <v/>
      </c>
      <c r="AM59" s="316" t="str">
        <f aca="false">IF(AH59,Strike1/AL59-1,"")</f>
        <v/>
      </c>
      <c r="AN59" s="316" t="str">
        <f aca="false">IF(AH59,Strike2/AL59-1,"")</f>
        <v/>
      </c>
      <c r="AO59" s="323" t="str">
        <f aca="false">IF(AH59,IF(VolOverrideAsian,VolOverrideAsian,IF(ProductGroup=1,IF(Product&lt;3,DA60,DE60),W60)+VolSpreadAsian),"")</f>
        <v/>
      </c>
      <c r="AP59" s="323" t="str">
        <f aca="false">IF($AH59,$AO59+IF(SkewFlag=1,IF(AM59&gt;0,$AA59*MIN(AM59/10%,1)+($Z59-$AA59)*MAX(0,MIN(AM59/10%-1,1))+($Y59-$Z59)*MAX(0,AM59/10%-2),$AB59*MIN(-AM59/10%,1)+($AC59-$AB59)*MAX(0,MIN(-AM59/10%-1,1))+($AD59-$AC59)*MAX(0,-AM59/10%-2)),0),"")</f>
        <v/>
      </c>
      <c r="AQ59" s="323" t="str">
        <f aca="false">IF($AH59,$AO59+IF(SkewFlag=1,IF(AN59&gt;0,$AA59*MIN(AN59/10%,1)+($Z59-$AA59)*MAX(0,MIN(AN59/10%-1,1))+($Y59-$Z59)*MAX(0,AN59/10%-2),$AB59*MIN(-AN59/10%,1)+($AC59-$AB59)*MAX(0,MIN(-AN59/10%-1,1))+($AD59-$AC59)*MAX(0,-AN59/10%-2)),0),"")</f>
        <v/>
      </c>
      <c r="AR59" s="324" t="n">
        <f aca="false">IF(AH59,xASN(AL59,Strike1,AE59,AP59,0,N59,0,P59,Q59,IF(OptControl=4,0,1),0),0)</f>
        <v>0</v>
      </c>
      <c r="AS59" s="324" t="n">
        <f aca="false">IF(AH59,xASN(AL59,Strike1,AE59,AP59,0,N59,0,P59,Q59,IF(OptControl=4,0,1),1),0)</f>
        <v>0</v>
      </c>
      <c r="AT59" s="324" t="n">
        <f aca="false">IF(AH59,xASN(AL59,Strike1,AE59,AP59,0,N59,0,P59,Q59,IF(OptControl=4,0,1),2),0)</f>
        <v>0</v>
      </c>
      <c r="AU59" s="324" t="n">
        <f aca="false">IF(AH59,xASN(AL59,Strike1,AE59,AP59,0,N59,0,P59,Q59,IF(OptControl=4,0,1),3)/100,0)</f>
        <v>0</v>
      </c>
      <c r="AV59" s="324" t="n">
        <f aca="false">IF(AH59,xASN(AL59,Strike1,AE59,AP59,0,N59,0,P59-DaysForThetaCalculation/365.25,Q59-DaysForThetaCalculation/365.25,IF(OptControl=4,0,1),0)-xASN(AL59,Strike1,AE59,AP59,0,N59,0,P59,Q59,IF(OptControl=4,0,1),0),0)</f>
        <v>0</v>
      </c>
      <c r="AW59" s="324" t="n">
        <f aca="false">IF(AH59,xASN(AL59,Strike2,AE59,AQ59,0,N59,0,P59,Q59,IF(OptControl=3,1,0),0),0)</f>
        <v>0</v>
      </c>
      <c r="AX59" s="324" t="n">
        <f aca="false">IF(AH59,xASN(AL59,Strike2,AE59,AQ59,0,N59,0,P59,Q59,IF(OptControl=3,1,0),1),0)</f>
        <v>0</v>
      </c>
      <c r="AY59" s="324" t="n">
        <f aca="false">IF(AH59,xASN(AL59,Strike2,AE59,AQ59,0,N59,0,P59,Q59,IF(OptControl=3,1,0),2),0)</f>
        <v>0</v>
      </c>
      <c r="AZ59" s="324" t="n">
        <f aca="false">IF(AH59,xASN(AL59,Strike2,AE59,AQ59,0,N59,0,P59,Q59,IF(OptControl=3,1,0),3)/100,0)</f>
        <v>0</v>
      </c>
      <c r="BA59" s="324" t="n">
        <f aca="false">IF(AH59,xASN(AL59,Strike2,AE59,AQ59,0,N59,0,P59-DaysForThetaCalculation/365.25,Q59-DaysForThetaCalculation/365.25,IF(OptControl=3,1,0),0)-xASN(AL59,Strike2,AE59,AQ59,0,N59,0,P59,Q59,IF(OptControl=3,1,0),0),0)</f>
        <v>0</v>
      </c>
      <c r="BB59" s="325" t="str">
        <f aca="false">IF(AH59,IF(ProductGroup=1,IF(Product=1,BX59+PriceSpreadEuro,IF(Product=3,CK59+PriceSpreadEuro,"N/A")),"N/A"),"")</f>
        <v/>
      </c>
      <c r="BC59" s="316" t="str">
        <f aca="false">IF(AH59,Strike1/BB59-1,"")</f>
        <v/>
      </c>
      <c r="BD59" s="316" t="str">
        <f aca="false">IF(AH59,Strike2/BB59-1,"")</f>
        <v/>
      </c>
      <c r="BE59" s="326" t="str">
        <f aca="false">IF(AH59,IF(VolOverrideEuro,VolOverrideEuro,IF(ProductGroup=1,IF(Product&lt;3,DA59,DE59)+VolSpreadEuro,"N/A")),"")</f>
        <v/>
      </c>
      <c r="BF59" s="323" t="str">
        <f aca="false">IF($AH59,$BE59+IF(SkewFlag=1,IF(BC59&gt;0,$AA59*MIN(BC59/10%,1)+($Z59-$AA59)*MAX(0,MIN(BC59/10%-1,1))+($Y59-$Z59)*MAX(0,BC59/10%-2),$AB59*MIN(-BC59/10%,1)+($AC59-$AB59)*MAX(0,MIN(-BC59/10%-1,1))+($AD59-$AC59)*MAX(0,-BC59/10%-2)),0),"")</f>
        <v/>
      </c>
      <c r="BG59" s="323" t="str">
        <f aca="false">IF($AH59,$BE59+IF(SkewFlag=1,IF(BD59&gt;0,$AA59*MIN(BD59/10%,1)+($Z59-$AA59)*MAX(0,MIN(BD59/10%-1,1))+($Y59-$Z59)*MAX(0,BD59/10%-2),$AB59*MIN(-BD59/10%,1)+($AC59-$AB59)*MAX(0,MIN(-BD59/10%-1,1))+($AD59-$AC59)*MAX(0,-BD59/10%-2)),0),"")</f>
        <v/>
      </c>
      <c r="BH59" s="324" t="n">
        <f aca="false">IF(AH59,xEURO(BB59,Strike1,AE59,AE59,BF59,O59,IF(OptControl=4,0,1),0),0)</f>
        <v>0</v>
      </c>
      <c r="BI59" s="324" t="n">
        <f aca="false">IF(AH59,xEURO(BB59,Strike1,AE59,AE59,BF59,O59,IF(OptControl=4,0,1),1),0)</f>
        <v>0</v>
      </c>
      <c r="BJ59" s="324" t="n">
        <f aca="false">IF(AH59,xEURO(BB59,Strike1,AE59,AE59,BF59,O59,IF(OptControl=4,0,1),2),0)</f>
        <v>0</v>
      </c>
      <c r="BK59" s="324" t="n">
        <f aca="false">IF(AH59,xEURO(BB59,Strike1,AE59,AE59,BF59,O59,IF(OptControl=4,0,1),3)/100,0)</f>
        <v>0</v>
      </c>
      <c r="BL59" s="324" t="n">
        <f aca="false">IF(AH59,xEURO(BB59,Strike1,AE59,AE59,BF59,O59-DaysForThetaCalculation,IF(OptControl=4,0,1),0)-xEURO(BB59,Strike1,AE59,AE59,BF59,O59,IF(OptControl=4,0,1),0),0)</f>
        <v>0</v>
      </c>
      <c r="BM59" s="324" t="n">
        <f aca="false">IF(AH59,xEURO(BB59,Strike2,AE59,AE59,BG59,O59,IF(OptControl=3,1,0),0),0)</f>
        <v>0</v>
      </c>
      <c r="BN59" s="324" t="n">
        <f aca="false">IF(AH59,xEURO(BB59,Strike2,AE59,AE59,BG59,O59,IF(OptControl=3,1,0),1),0)</f>
        <v>0</v>
      </c>
      <c r="BO59" s="324" t="n">
        <f aca="false">IF(AH59,xEURO(BB59,Strike2,AE59,AE59,BG59,O59,IF(OptControl=3,1,0),2),0)</f>
        <v>0</v>
      </c>
      <c r="BP59" s="324" t="n">
        <f aca="false">IF(AH59,xEURO(BB59,Strike2,AE59,AE59,BG59,O59,IF(OptControl=3,1,0),3)/100,0)</f>
        <v>0</v>
      </c>
      <c r="BQ59" s="327" t="n">
        <f aca="false">IF(AH59,xEURO(BB59,Strike2,AE59,AE59,BG59,O59-DaysForThetaCalculation,IF(OptControl=3,1,0),0)-xEURO(BB59,Strike2,AE59,AE59,BG59,O59,IF(OptControl=3,1,0),0),0)</f>
        <v>0</v>
      </c>
      <c r="BR59" s="343"/>
      <c r="BS59" s="314" t="n">
        <v>25.259</v>
      </c>
      <c r="BT59" s="329" t="n">
        <f aca="false">BS59*100/42</f>
        <v>60.1404761904762</v>
      </c>
      <c r="BU59" s="329" t="n">
        <f aca="false">BS60-$U59</f>
        <v>6.14499999999994</v>
      </c>
      <c r="BV59" s="224"/>
      <c r="BW59" s="329" t="n">
        <f aca="false">BW47+VLOOKUP(1900+$L59,ProductSpreadTable,2)</f>
        <v>12.1169999999999</v>
      </c>
      <c r="BX59" s="329" t="n">
        <f aca="false">($V58+BW58)*100/42</f>
        <v>77.6797619047617</v>
      </c>
      <c r="BY59" s="332" t="n">
        <f aca="false">BX60</f>
        <v>71.8380952380952</v>
      </c>
      <c r="BZ59" s="314" t="n">
        <v>22.31</v>
      </c>
      <c r="CA59" s="329" t="n">
        <f aca="false">BZ59*100/42</f>
        <v>53.1190476190476</v>
      </c>
      <c r="CB59" s="329" t="n">
        <f aca="false">BZ59-$U59</f>
        <v>4.25499999999994</v>
      </c>
      <c r="CC59" s="329" t="n">
        <f aca="false">CC47+VLOOKUP(1900+$L59,ProductSpreadTable,3)</f>
        <v>9.70199999999992</v>
      </c>
      <c r="CD59" s="329" t="n">
        <f aca="false">($V59+CC59)*100/42</f>
        <v>66.0880952380952</v>
      </c>
      <c r="CE59" s="333" t="n">
        <f aca="false">CD59-BY59</f>
        <v>-5.75</v>
      </c>
      <c r="CF59" s="314" t="n">
        <v>21.848</v>
      </c>
      <c r="CG59" s="329" t="n">
        <f aca="false">CF59*100/42</f>
        <v>52.0190476190476</v>
      </c>
      <c r="CH59" s="329" t="n">
        <f aca="false">CF60-$U59</f>
        <v>4.23399999999994</v>
      </c>
      <c r="CI59" s="224"/>
      <c r="CJ59" s="329" t="n">
        <f aca="false">CJ47+VLOOKUP(1900+$L59,ProductSpreadTable,4)</f>
        <v>10.0089999999999</v>
      </c>
      <c r="CK59" s="329" t="n">
        <f aca="false">($V58+CJ58)*100/42</f>
        <v>63.1488095238091</v>
      </c>
      <c r="CL59" s="329" t="n">
        <f aca="false">CK60</f>
        <v>66.8190476190476</v>
      </c>
      <c r="CM59" s="314" t="n">
        <v>21.365</v>
      </c>
      <c r="CN59" s="329" t="n">
        <f aca="false">CM59*100/42</f>
        <v>50.8690476190476</v>
      </c>
      <c r="CO59" s="329" t="n">
        <f aca="false">CM59-$U59</f>
        <v>3.30999999999993</v>
      </c>
      <c r="CP59" s="329" t="n">
        <f aca="false">CP47+VLOOKUP(1900+$L59,ProductSpreadTable,5)</f>
        <v>7.50773913043481</v>
      </c>
      <c r="CQ59" s="329" t="n">
        <f aca="false">($V59+CP59)*100/42</f>
        <v>60.8636645962735</v>
      </c>
      <c r="CR59" s="333" t="n">
        <f aca="false">CQ59-CL59</f>
        <v>-5.95538302277407</v>
      </c>
      <c r="CS59" s="314" t="n">
        <v>22.415</v>
      </c>
      <c r="CT59" s="329" t="n">
        <f aca="false">CS59*100/42</f>
        <v>53.3690476190476</v>
      </c>
      <c r="CU59" s="329" t="n">
        <f aca="false">CT59-CG60</f>
        <v>0.299999999999997</v>
      </c>
      <c r="CV59" s="329" t="n">
        <f aca="false">CV47+VLOOKUP(1900+$L59,ProductSpreadTable,6)</f>
        <v>1.05000000000001</v>
      </c>
      <c r="CW59" s="333" t="n">
        <f aca="false">CL59+CV59</f>
        <v>67.8690476190476</v>
      </c>
      <c r="CX59" s="318" t="n">
        <v>0.2</v>
      </c>
      <c r="CY59" s="326" t="n">
        <f aca="false">CX59-$W59</f>
        <v>9.6094084394982E-005</v>
      </c>
      <c r="CZ59" s="326" t="n">
        <f aca="false">VLOOKUP(1900+$L59,ProductSpreadTable,7)</f>
        <v>-0.03</v>
      </c>
      <c r="DA59" s="365" t="n">
        <f aca="false">$W59+CZ59</f>
        <v>0.169903905915605</v>
      </c>
      <c r="DB59" s="318" t="n">
        <v>0.2</v>
      </c>
      <c r="DC59" s="326" t="n">
        <f aca="false">DB59-$W59</f>
        <v>9.6094084394982E-005</v>
      </c>
      <c r="DD59" s="326" t="n">
        <f aca="false">VLOOKUP(1900+$L59,ProductSpreadTable,8)</f>
        <v>0.03</v>
      </c>
      <c r="DE59" s="365" t="n">
        <f aca="false">$W59+DD59</f>
        <v>0.229903905915605</v>
      </c>
      <c r="DG59" s="336"/>
      <c r="DH59" s="314" t="n">
        <v>16.335</v>
      </c>
      <c r="DI59" s="325" t="n">
        <f aca="false">DH59-$U59</f>
        <v>-1.72000000000006</v>
      </c>
      <c r="DJ59" s="325" t="n">
        <f aca="false">VLOOKUP(1900+$L59,ResidSpreadTable,2)</f>
        <v>-2</v>
      </c>
      <c r="DK59" s="337" t="n">
        <f aca="false">$V59+DJ59</f>
        <v>16.0550000000001</v>
      </c>
      <c r="DL59" s="314" t="n">
        <v>13.785</v>
      </c>
      <c r="DM59" s="325" t="n">
        <f aca="false">DL59-$U59</f>
        <v>-4.27000000000006</v>
      </c>
      <c r="DN59" s="325" t="n">
        <f aca="false">VLOOKUP(1900+$L59,ResidSpreadTable,3)</f>
        <v>-3</v>
      </c>
      <c r="DO59" s="337" t="n">
        <f aca="false">$V59+DN59</f>
        <v>15.0550000000001</v>
      </c>
      <c r="DP59" s="314" t="n">
        <v>13.035</v>
      </c>
      <c r="DQ59" s="325" t="n">
        <f aca="false">DP59-$U59</f>
        <v>-5.02000000000006</v>
      </c>
      <c r="DR59" s="325" t="n">
        <f aca="false">VLOOKUP(1900+$L59,ResidSpreadTable,4)</f>
        <v>-6</v>
      </c>
      <c r="DS59" s="337" t="n">
        <f aca="false">$V59+DR59</f>
        <v>12.0550000000001</v>
      </c>
      <c r="DT59" s="314" t="n">
        <v>15.285</v>
      </c>
      <c r="DU59" s="325" t="n">
        <f aca="false">DT59-$U59</f>
        <v>-2.77000000000006</v>
      </c>
      <c r="DV59" s="325" t="n">
        <f aca="false">VLOOKUP(1900+$L59,ResidSpreadTable,5)</f>
        <v>-5</v>
      </c>
      <c r="DW59" s="337" t="n">
        <f aca="false">$V59+DV59</f>
        <v>13.0550000000001</v>
      </c>
    </row>
    <row r="60" customFormat="false" ht="12.75" hidden="false" customHeight="false" outlineLevel="0" collapsed="false">
      <c r="B60" s="371" t="n">
        <v>37377</v>
      </c>
      <c r="C60" s="391" t="n">
        <v>37366</v>
      </c>
      <c r="I60" s="338" t="n">
        <f aca="false">EOMONTH(I59,0)+1</f>
        <v>47574</v>
      </c>
      <c r="J60" s="389" t="n">
        <f aca="false">VLOOKUP(I60,$B$12:$C$332,2)</f>
        <v>45644</v>
      </c>
      <c r="K60" s="339" t="n">
        <f aca="false">NETWORKDAYS(I60,J61)/N60</f>
        <v>-62.6818181818182</v>
      </c>
      <c r="L60" s="309" t="n">
        <f aca="false">YEAR(I60)-1900</f>
        <v>130</v>
      </c>
      <c r="M60" s="310" t="n">
        <f aca="false">MONTH(I60)</f>
        <v>4</v>
      </c>
      <c r="N60" s="340" t="n">
        <f aca="false">NETWORKDAYS(I60,I61-1)</f>
        <v>22</v>
      </c>
      <c r="O60" s="341" t="n">
        <f aca="false">I60-DateToday-IF(EuroExpDateToggle=1,3+IF(WEEKDAY(I60-1)=7,1,IF(WEEKDAY(I60-1)&lt;5,2,0)),1+IF(WEEKDAY(I60-1)=7,1,IF(WEEKDAY(I60-1)&lt;3,2,0)))</f>
        <v>1643</v>
      </c>
      <c r="P60" s="342" t="n">
        <f aca="false">(I60-DateToday+1)/365.25</f>
        <v>4.51471594798084</v>
      </c>
      <c r="Q60" s="342" t="n">
        <f aca="false">(I61-DateToday)/365.25</f>
        <v>4.59411362080767</v>
      </c>
      <c r="R60" s="314" t="n">
        <v>19.04</v>
      </c>
      <c r="S60" s="347" t="n">
        <v>0</v>
      </c>
      <c r="T60" s="316" t="n">
        <f aca="false">R60+S60/100</f>
        <v>19.04</v>
      </c>
      <c r="U60" s="325" t="n">
        <f aca="false">R61*K60+R62*(1-K60)</f>
        <v>18.0697727272729</v>
      </c>
      <c r="V60" s="337" t="n">
        <f aca="false">T61*K60+T62*(1-K60)</f>
        <v>18.0697727272729</v>
      </c>
      <c r="W60" s="318" t="n">
        <v>0.198969367449856</v>
      </c>
      <c r="X60" s="319" t="str">
        <f aca="false">IF($I60-DateToday+1&gt;=$A$10,"",IF($I60-DateToday+1&lt;$A$5,1,MATCH($I60-DateToday+1,$A$5:$A$10)))</f>
        <v/>
      </c>
      <c r="Y60" s="348" t="n">
        <f aca="false">IF($X60="",Y59^2/Y58,INDEX(B$5:B$10,$X60)^((INDEX($A$5:$A$10,$X60+1)-($I60-DateToday+1))/(INDEX($A$5:$A$10,$X60+1)-INDEX($A$5:$A$10,$X60)))/INDEX(B$5:B$10,$X60+1)^((INDEX($A$5:$A$10,$X60)-($I60-DateToday+1))/(INDEX($A$5:$A$10,$X60+1)-INDEX($A$5:$A$10,$X60))))</f>
        <v>0.00476454311690297</v>
      </c>
      <c r="Z60" s="348" t="n">
        <f aca="false">IF($X60="",Z59^2/Z58,INDEX(C$5:C$10,$X60)^((INDEX($A$5:$A$10,$X60+1)-($I60-DateToday+1))/(INDEX($A$5:$A$10,$X60+1)-INDEX($A$5:$A$10,$X60)))/INDEX(C$5:C$10,$X60+1)^((INDEX($A$5:$A$10,$X60)-($I60-DateToday+1))/(INDEX($A$5:$A$10,$X60+1)-INDEX($A$5:$A$10,$X60))))</f>
        <v>0.00219524904137684</v>
      </c>
      <c r="AA60" s="348" t="n">
        <f aca="false">IF($X60="",AA59^2/AA58,INDEX(D$5:D$10,$X60)^((INDEX($A$5:$A$10,$X60+1)-($I60-DateToday+1))/(INDEX($A$5:$A$10,$X60+1)-INDEX($A$5:$A$10,$X60)))/INDEX(D$5:D$10,$X60+1)^((INDEX($A$5:$A$10,$X60)-($I60-DateToday+1))/(INDEX($A$5:$A$10,$X60+1)-INDEX($A$5:$A$10,$X60))))</f>
        <v>0.000904741745495184</v>
      </c>
      <c r="AB60" s="348" t="n">
        <f aca="false">IF($X60="",AB59^2/AB58,INDEX(E$5:E$10,$X60)^((INDEX($A$5:$A$10,$X60+1)-($I60-DateToday+1))/(INDEX($A$5:$A$10,$X60+1)-INDEX($A$5:$A$10,$X60)))/INDEX(E$5:E$10,$X60+1)^((INDEX($A$5:$A$10,$X60)-($I60-DateToday+1))/(INDEX($A$5:$A$10,$X60+1)-INDEX($A$5:$A$10,$X60))))</f>
        <v>0.00203820220425157</v>
      </c>
      <c r="AC60" s="348" t="n">
        <f aca="false">IF($X60="",AC59^2/AC58,INDEX(F$5:F$10,$X60)^((INDEX($A$5:$A$10,$X60+1)-($I60-DateToday+1))/(INDEX($A$5:$A$10,$X60+1)-INDEX($A$5:$A$10,$X60)))/INDEX(F$5:F$10,$X60+1)^((INDEX($A$5:$A$10,$X60)-($I60-DateToday+1))/(INDEX($A$5:$A$10,$X60+1)-INDEX($A$5:$A$10,$X60))))</f>
        <v>0.00494545704041376</v>
      </c>
      <c r="AD60" s="348" t="n">
        <f aca="false">IF($X60="",AD59^2/AD58,INDEX(G$5:G$10,$X60)^((INDEX($A$5:$A$10,$X60+1)-($I60-DateToday+1))/(INDEX($A$5:$A$10,$X60+1)-INDEX($A$5:$A$10,$X60)))/INDEX(G$5:G$10,$X60+1)^((INDEX($A$5:$A$10,$X60)-($I60-DateToday+1))/(INDEX($A$5:$A$10,$X60+1)-INDEX($A$5:$A$10,$X60))))</f>
        <v>0.0107335627337588</v>
      </c>
      <c r="AE60" s="321" t="n">
        <v>0.072834474296193</v>
      </c>
      <c r="AF60" s="316" t="n">
        <f aca="false">(1+AE60/2)^(-2*(I61-DateToday)/365.25)</f>
        <v>0.719886971794521</v>
      </c>
      <c r="AG60" s="316" t="n">
        <f aca="false">AG59*(1+IF(AND(M60=1,L60&gt;YearStart),Escalation,0))</f>
        <v>1</v>
      </c>
      <c r="AH60" s="322" t="n">
        <f aca="false">IF(OR(DateStart&gt;=I61,DateEnd&lt;I60),0,Volume*AG60)</f>
        <v>0</v>
      </c>
      <c r="AI60" s="322" t="n">
        <f aca="false">AH60*AF60</f>
        <v>0</v>
      </c>
      <c r="AJ60" s="322" t="n">
        <f aca="false">IF(OR(DateStart2&gt;=I61,DateEnd2&lt;I60),0,VolumeSwaption*AG60)</f>
        <v>0</v>
      </c>
      <c r="AK60" s="322" t="n">
        <f aca="false">AJ60*AF60</f>
        <v>0</v>
      </c>
      <c r="AL60" s="316" t="str">
        <f aca="true">IF(AH60,OFFSET(BY60,0,HorizontalPriceOffset)+PriceSpreadAsian,"")</f>
        <v/>
      </c>
      <c r="AM60" s="316" t="str">
        <f aca="false">IF(AH60,Strike1/AL60-1,"")</f>
        <v/>
      </c>
      <c r="AN60" s="316" t="str">
        <f aca="false">IF(AH60,Strike2/AL60-1,"")</f>
        <v/>
      </c>
      <c r="AO60" s="323" t="str">
        <f aca="false">IF(AH60,IF(VolOverrideAsian,VolOverrideAsian,IF(ProductGroup=1,IF(Product&lt;3,DA61,DE61),W61)+VolSpreadAsian),"")</f>
        <v/>
      </c>
      <c r="AP60" s="323" t="str">
        <f aca="false">IF($AH60,$AO60+IF(SkewFlag=1,IF(AM60&gt;0,$AA60*MIN(AM60/10%,1)+($Z60-$AA60)*MAX(0,MIN(AM60/10%-1,1))+($Y60-$Z60)*MAX(0,AM60/10%-2),$AB60*MIN(-AM60/10%,1)+($AC60-$AB60)*MAX(0,MIN(-AM60/10%-1,1))+($AD60-$AC60)*MAX(0,-AM60/10%-2)),0),"")</f>
        <v/>
      </c>
      <c r="AQ60" s="323" t="str">
        <f aca="false">IF($AH60,$AO60+IF(SkewFlag=1,IF(AN60&gt;0,$AA60*MIN(AN60/10%,1)+($Z60-$AA60)*MAX(0,MIN(AN60/10%-1,1))+($Y60-$Z60)*MAX(0,AN60/10%-2),$AB60*MIN(-AN60/10%,1)+($AC60-$AB60)*MAX(0,MIN(-AN60/10%-1,1))+($AD60-$AC60)*MAX(0,-AN60/10%-2)),0),"")</f>
        <v/>
      </c>
      <c r="AR60" s="324" t="n">
        <f aca="false">IF(AH60,xASN(AL60,Strike1,AE60,AP60,0,N60,0,P60,Q60,IF(OptControl=4,0,1),0),0)</f>
        <v>0</v>
      </c>
      <c r="AS60" s="324" t="n">
        <f aca="false">IF(AH60,xASN(AL60,Strike1,AE60,AP60,0,N60,0,P60,Q60,IF(OptControl=4,0,1),1),0)</f>
        <v>0</v>
      </c>
      <c r="AT60" s="324" t="n">
        <f aca="false">IF(AH60,xASN(AL60,Strike1,AE60,AP60,0,N60,0,P60,Q60,IF(OptControl=4,0,1),2),0)</f>
        <v>0</v>
      </c>
      <c r="AU60" s="324" t="n">
        <f aca="false">IF(AH60,xASN(AL60,Strike1,AE60,AP60,0,N60,0,P60,Q60,IF(OptControl=4,0,1),3)/100,0)</f>
        <v>0</v>
      </c>
      <c r="AV60" s="324" t="n">
        <f aca="false">IF(AH60,xASN(AL60,Strike1,AE60,AP60,0,N60,0,P60-DaysForThetaCalculation/365.25,Q60-DaysForThetaCalculation/365.25,IF(OptControl=4,0,1),0)-xASN(AL60,Strike1,AE60,AP60,0,N60,0,P60,Q60,IF(OptControl=4,0,1),0),0)</f>
        <v>0</v>
      </c>
      <c r="AW60" s="324" t="n">
        <f aca="false">IF(AH60,xASN(AL60,Strike2,AE60,AQ60,0,N60,0,P60,Q60,IF(OptControl=3,1,0),0),0)</f>
        <v>0</v>
      </c>
      <c r="AX60" s="324" t="n">
        <f aca="false">IF(AH60,xASN(AL60,Strike2,AE60,AQ60,0,N60,0,P60,Q60,IF(OptControl=3,1,0),1),0)</f>
        <v>0</v>
      </c>
      <c r="AY60" s="324" t="n">
        <f aca="false">IF(AH60,xASN(AL60,Strike2,AE60,AQ60,0,N60,0,P60,Q60,IF(OptControl=3,1,0),2),0)</f>
        <v>0</v>
      </c>
      <c r="AZ60" s="324" t="n">
        <f aca="false">IF(AH60,xASN(AL60,Strike2,AE60,AQ60,0,N60,0,P60,Q60,IF(OptControl=3,1,0),3)/100,0)</f>
        <v>0</v>
      </c>
      <c r="BA60" s="324" t="n">
        <f aca="false">IF(AH60,xASN(AL60,Strike2,AE60,AQ60,0,N60,0,P60-DaysForThetaCalculation/365.25,Q60-DaysForThetaCalculation/365.25,IF(OptControl=3,1,0),0)-xASN(AL60,Strike2,AE60,AQ60,0,N60,0,P60,Q60,IF(OptControl=3,1,0),0),0)</f>
        <v>0</v>
      </c>
      <c r="BB60" s="325" t="str">
        <f aca="false">IF(AH60,IF(ProductGroup=1,IF(Product=1,BX60+PriceSpreadEuro,IF(Product=3,CK60+PriceSpreadEuro,"N/A")),"N/A"),"")</f>
        <v/>
      </c>
      <c r="BC60" s="316" t="str">
        <f aca="false">IF(AH60,Strike1/BB60-1,"")</f>
        <v/>
      </c>
      <c r="BD60" s="316" t="str">
        <f aca="false">IF(AH60,Strike2/BB60-1,"")</f>
        <v/>
      </c>
      <c r="BE60" s="326" t="str">
        <f aca="false">IF(AH60,IF(VolOverrideEuro,VolOverrideEuro,IF(ProductGroup=1,IF(Product&lt;3,DA60,DE60)+VolSpreadEuro,"N/A")),"")</f>
        <v/>
      </c>
      <c r="BF60" s="323" t="str">
        <f aca="false">IF($AH60,$BE60+IF(SkewFlag=1,IF(BC60&gt;0,$AA60*MIN(BC60/10%,1)+($Z60-$AA60)*MAX(0,MIN(BC60/10%-1,1))+($Y60-$Z60)*MAX(0,BC60/10%-2),$AB60*MIN(-BC60/10%,1)+($AC60-$AB60)*MAX(0,MIN(-BC60/10%-1,1))+($AD60-$AC60)*MAX(0,-BC60/10%-2)),0),"")</f>
        <v/>
      </c>
      <c r="BG60" s="323" t="str">
        <f aca="false">IF($AH60,$BE60+IF(SkewFlag=1,IF(BD60&gt;0,$AA60*MIN(BD60/10%,1)+($Z60-$AA60)*MAX(0,MIN(BD60/10%-1,1))+($Y60-$Z60)*MAX(0,BD60/10%-2),$AB60*MIN(-BD60/10%,1)+($AC60-$AB60)*MAX(0,MIN(-BD60/10%-1,1))+($AD60-$AC60)*MAX(0,-BD60/10%-2)),0),"")</f>
        <v/>
      </c>
      <c r="BH60" s="324" t="n">
        <f aca="false">IF(AH60,xEURO(BB60,Strike1,AE60,AE60,BF60,O60,IF(OptControl=4,0,1),0),0)</f>
        <v>0</v>
      </c>
      <c r="BI60" s="324" t="n">
        <f aca="false">IF(AH60,xEURO(BB60,Strike1,AE60,AE60,BF60,O60,IF(OptControl=4,0,1),1),0)</f>
        <v>0</v>
      </c>
      <c r="BJ60" s="324" t="n">
        <f aca="false">IF(AH60,xEURO(BB60,Strike1,AE60,AE60,BF60,O60,IF(OptControl=4,0,1),2),0)</f>
        <v>0</v>
      </c>
      <c r="BK60" s="324" t="n">
        <f aca="false">IF(AH60,xEURO(BB60,Strike1,AE60,AE60,BF60,O60,IF(OptControl=4,0,1),3)/100,0)</f>
        <v>0</v>
      </c>
      <c r="BL60" s="324" t="n">
        <f aca="false">IF(AH60,xEURO(BB60,Strike1,AE60,AE60,BF60,O60-DaysForThetaCalculation,IF(OptControl=4,0,1),0)-xEURO(BB60,Strike1,AE60,AE60,BF60,O60,IF(OptControl=4,0,1),0),0)</f>
        <v>0</v>
      </c>
      <c r="BM60" s="324" t="n">
        <f aca="false">IF(AH60,xEURO(BB60,Strike2,AE60,AE60,BG60,O60,IF(OptControl=3,1,0),0),0)</f>
        <v>0</v>
      </c>
      <c r="BN60" s="324" t="n">
        <f aca="false">IF(AH60,xEURO(BB60,Strike2,AE60,AE60,BG60,O60,IF(OptControl=3,1,0),1),0)</f>
        <v>0</v>
      </c>
      <c r="BO60" s="324" t="n">
        <f aca="false">IF(AH60,xEURO(BB60,Strike2,AE60,AE60,BG60,O60,IF(OptControl=3,1,0),2),0)</f>
        <v>0</v>
      </c>
      <c r="BP60" s="324" t="n">
        <f aca="false">IF(AH60,xEURO(BB60,Strike2,AE60,AE60,BG60,O60,IF(OptControl=3,1,0),3)/100,0)</f>
        <v>0</v>
      </c>
      <c r="BQ60" s="327" t="n">
        <f aca="false">IF(AH60,xEURO(BB60,Strike2,AE60,AE60,BG60,O60-DaysForThetaCalculation,IF(OptControl=3,1,0),0)-xEURO(BB60,Strike2,AE60,AE60,BG60,O60,IF(OptControl=3,1,0),0),0)</f>
        <v>0</v>
      </c>
      <c r="BR60" s="343"/>
      <c r="BS60" s="314" t="n">
        <v>24.2</v>
      </c>
      <c r="BT60" s="329" t="n">
        <f aca="false">BS60*100/42</f>
        <v>57.6190476190476</v>
      </c>
      <c r="BU60" s="329" t="n">
        <f aca="false">BS61-$U60</f>
        <v>5.69822727272705</v>
      </c>
      <c r="BV60" s="224"/>
      <c r="BW60" s="329" t="n">
        <f aca="false">BW48+VLOOKUP(1900+$L60,ProductSpreadTable,2)</f>
        <v>11.6888181818182</v>
      </c>
      <c r="BX60" s="329" t="n">
        <f aca="false">($V59+BW59)*100/42</f>
        <v>71.8380952380952</v>
      </c>
      <c r="BY60" s="332" t="n">
        <f aca="false">BX61</f>
        <v>70.8537878787884</v>
      </c>
      <c r="BZ60" s="314" t="n">
        <v>21.458</v>
      </c>
      <c r="CA60" s="329" t="n">
        <f aca="false">BZ60*100/42</f>
        <v>51.0904761904762</v>
      </c>
      <c r="CB60" s="329" t="n">
        <f aca="false">BZ60-$U60</f>
        <v>3.38822727272705</v>
      </c>
      <c r="CC60" s="329" t="n">
        <f aca="false">CC48+VLOOKUP(1900+$L60,ProductSpreadTable,3)</f>
        <v>9.37881818181819</v>
      </c>
      <c r="CD60" s="329" t="n">
        <f aca="false">($V60+CC60)*100/42</f>
        <v>65.3537878787884</v>
      </c>
      <c r="CE60" s="333" t="n">
        <f aca="false">CD60-BY60</f>
        <v>-5.49999999999999</v>
      </c>
      <c r="CF60" s="314" t="n">
        <v>22.289</v>
      </c>
      <c r="CG60" s="329" t="n">
        <f aca="false">CF60*100/42</f>
        <v>53.0690476190476</v>
      </c>
      <c r="CH60" s="329" t="n">
        <f aca="false">CF61-$U60</f>
        <v>4.75722727272705</v>
      </c>
      <c r="CI60" s="224"/>
      <c r="CJ60" s="329" t="n">
        <f aca="false">CJ48+VLOOKUP(1900+$L60,ProductSpreadTable,4)</f>
        <v>10.5468181818182</v>
      </c>
      <c r="CK60" s="329" t="n">
        <f aca="false">($V59+CJ59)*100/42</f>
        <v>66.8190476190476</v>
      </c>
      <c r="CL60" s="329" t="n">
        <f aca="false">CK61</f>
        <v>68.1347402597408</v>
      </c>
      <c r="CM60" s="314" t="n">
        <v>21.588</v>
      </c>
      <c r="CN60" s="329" t="n">
        <f aca="false">CM60*100/42</f>
        <v>51.4</v>
      </c>
      <c r="CO60" s="329" t="n">
        <f aca="false">CM60-$U60</f>
        <v>3.51822727272705</v>
      </c>
      <c r="CP60" s="329" t="n">
        <f aca="false">CP48+VLOOKUP(1900+$L60,ProductSpreadTable,5)</f>
        <v>9.34981818181818</v>
      </c>
      <c r="CQ60" s="329" t="n">
        <f aca="false">($V60+CP60)*100/42</f>
        <v>65.2847402597408</v>
      </c>
      <c r="CR60" s="333" t="n">
        <f aca="false">CQ60-CL60</f>
        <v>-2.84999999999999</v>
      </c>
      <c r="CS60" s="314" t="n">
        <v>22.953</v>
      </c>
      <c r="CT60" s="329" t="n">
        <f aca="false">CS60*100/42</f>
        <v>54.65</v>
      </c>
      <c r="CU60" s="329" t="n">
        <f aca="false">CT60-CG61</f>
        <v>0.299999999999997</v>
      </c>
      <c r="CV60" s="329" t="n">
        <f aca="false">CV48+VLOOKUP(1900+$L60,ProductSpreadTable,6)</f>
        <v>1.20000000000001</v>
      </c>
      <c r="CW60" s="333" t="n">
        <f aca="false">CL60+CV60</f>
        <v>69.3347402597408</v>
      </c>
      <c r="CX60" s="318" t="n">
        <v>0.199</v>
      </c>
      <c r="CY60" s="326" t="n">
        <f aca="false">CX60-$W60</f>
        <v>3.06325501439886E-005</v>
      </c>
      <c r="CZ60" s="326" t="n">
        <f aca="false">VLOOKUP(1900+$L60,ProductSpreadTable,7)</f>
        <v>-0.03</v>
      </c>
      <c r="DA60" s="365" t="n">
        <f aca="false">$W60+CZ60</f>
        <v>0.168969367449856</v>
      </c>
      <c r="DB60" s="318" t="n">
        <v>0.199</v>
      </c>
      <c r="DC60" s="326" t="n">
        <f aca="false">DB60-$W60</f>
        <v>3.06325501439886E-005</v>
      </c>
      <c r="DD60" s="326" t="n">
        <f aca="false">VLOOKUP(1900+$L60,ProductSpreadTable,8)</f>
        <v>0.03</v>
      </c>
      <c r="DE60" s="365" t="n">
        <f aca="false">$W60+DD60</f>
        <v>0.228969367449856</v>
      </c>
      <c r="DG60" s="336"/>
      <c r="DH60" s="314" t="n">
        <v>16.32</v>
      </c>
      <c r="DI60" s="325" t="n">
        <f aca="false">DH60-$U60</f>
        <v>-1.74977272727295</v>
      </c>
      <c r="DJ60" s="325" t="n">
        <f aca="false">VLOOKUP(1900+$L60,ResidSpreadTable,2)</f>
        <v>-2</v>
      </c>
      <c r="DK60" s="337" t="n">
        <f aca="false">$V60+DJ60</f>
        <v>16.0697727272729</v>
      </c>
      <c r="DL60" s="314" t="n">
        <v>13.77</v>
      </c>
      <c r="DM60" s="325" t="n">
        <f aca="false">DL60-$U60</f>
        <v>-4.29977272727295</v>
      </c>
      <c r="DN60" s="325" t="n">
        <f aca="false">VLOOKUP(1900+$L60,ResidSpreadTable,3)</f>
        <v>-3</v>
      </c>
      <c r="DO60" s="337" t="n">
        <f aca="false">$V60+DN60</f>
        <v>15.0697727272729</v>
      </c>
      <c r="DP60" s="314" t="n">
        <v>13.02</v>
      </c>
      <c r="DQ60" s="325" t="n">
        <f aca="false">DP60-$U60</f>
        <v>-5.04977272727295</v>
      </c>
      <c r="DR60" s="325" t="n">
        <f aca="false">VLOOKUP(1900+$L60,ResidSpreadTable,4)</f>
        <v>-6</v>
      </c>
      <c r="DS60" s="337" t="n">
        <f aca="false">$V60+DR60</f>
        <v>12.0697727272729</v>
      </c>
      <c r="DT60" s="314" t="n">
        <v>15.27</v>
      </c>
      <c r="DU60" s="325" t="n">
        <f aca="false">DT60-$U60</f>
        <v>-2.79977272727295</v>
      </c>
      <c r="DV60" s="325" t="n">
        <f aca="false">VLOOKUP(1900+$L60,ResidSpreadTable,5)</f>
        <v>-5</v>
      </c>
      <c r="DW60" s="337" t="n">
        <f aca="false">$V60+DV60</f>
        <v>13.0697727272729</v>
      </c>
    </row>
    <row r="61" customFormat="false" ht="12.75" hidden="false" customHeight="false" outlineLevel="0" collapsed="false">
      <c r="B61" s="371" t="n">
        <v>37408</v>
      </c>
      <c r="C61" s="391" t="n">
        <v>37398</v>
      </c>
      <c r="I61" s="338" t="n">
        <f aca="false">EOMONTH(I60,0)+1</f>
        <v>47604</v>
      </c>
      <c r="J61" s="389" t="n">
        <f aca="false">VLOOKUP(I61,$B$12:$C$332,2)</f>
        <v>45644</v>
      </c>
      <c r="K61" s="339" t="n">
        <f aca="false">NETWORKDAYS(I61,J62)/N61</f>
        <v>-60.9130434782609</v>
      </c>
      <c r="L61" s="309" t="n">
        <f aca="false">YEAR(I61)-1900</f>
        <v>130</v>
      </c>
      <c r="M61" s="310" t="n">
        <f aca="false">MONTH(I61)</f>
        <v>5</v>
      </c>
      <c r="N61" s="340" t="n">
        <f aca="false">NETWORKDAYS(I61,I62-1)</f>
        <v>23</v>
      </c>
      <c r="O61" s="341" t="n">
        <f aca="false">I61-DateToday-IF(EuroExpDateToggle=1,3+IF(WEEKDAY(I61-1)=7,1,IF(WEEKDAY(I61-1)&lt;5,2,0)),1+IF(WEEKDAY(I61-1)=7,1,IF(WEEKDAY(I61-1)&lt;3,2,0)))</f>
        <v>1673</v>
      </c>
      <c r="P61" s="342" t="n">
        <f aca="false">(I61-DateToday+1)/365.25</f>
        <v>4.5968514715948</v>
      </c>
      <c r="Q61" s="342" t="n">
        <f aca="false">(I62-DateToday)/365.25</f>
        <v>4.67898699520876</v>
      </c>
      <c r="R61" s="314" t="n">
        <v>19.025</v>
      </c>
      <c r="S61" s="347" t="n">
        <v>0</v>
      </c>
      <c r="T61" s="316" t="n">
        <f aca="false">R61+S61/100</f>
        <v>19.025</v>
      </c>
      <c r="U61" s="325" t="n">
        <f aca="false">R62*K61+R63*(1-K61)</f>
        <v>18.7004347826087</v>
      </c>
      <c r="V61" s="337" t="n">
        <f aca="false">T62*K61+T63*(1-K61)</f>
        <v>18.7004347826087</v>
      </c>
      <c r="W61" s="318" t="n">
        <v>0.198786420030716</v>
      </c>
      <c r="X61" s="319" t="str">
        <f aca="false">IF($I61-DateToday+1&gt;=$A$10,"",IF($I61-DateToday+1&lt;$A$5,1,MATCH($I61-DateToday+1,$A$5:$A$10)))</f>
        <v/>
      </c>
      <c r="Y61" s="348" t="n">
        <f aca="false">IF($X61="",Y60^2/Y59,INDEX(B$5:B$10,$X61)^((INDEX($A$5:$A$10,$X61+1)-($I61-DateToday+1))/(INDEX($A$5:$A$10,$X61+1)-INDEX($A$5:$A$10,$X61)))/INDEX(B$5:B$10,$X61+1)^((INDEX($A$5:$A$10,$X61)-($I61-DateToday+1))/(INDEX($A$5:$A$10,$X61+1)-INDEX($A$5:$A$10,$X61))))</f>
        <v>0.00466254149529366</v>
      </c>
      <c r="Z61" s="348" t="n">
        <f aca="false">IF($X61="",Z60^2/Z59,INDEX(C$5:C$10,$X61)^((INDEX($A$5:$A$10,$X61+1)-($I61-DateToday+1))/(INDEX($A$5:$A$10,$X61+1)-INDEX($A$5:$A$10,$X61)))/INDEX(C$5:C$10,$X61+1)^((INDEX($A$5:$A$10,$X61)-($I61-DateToday+1))/(INDEX($A$5:$A$10,$X61+1)-INDEX($A$5:$A$10,$X61))))</f>
        <v>0.00213675024489686</v>
      </c>
      <c r="AA61" s="348" t="n">
        <f aca="false">IF($X61="",AA60^2/AA59,INDEX(D$5:D$10,$X61)^((INDEX($A$5:$A$10,$X61+1)-($I61-DateToday+1))/(INDEX($A$5:$A$10,$X61+1)-INDEX($A$5:$A$10,$X61)))/INDEX(D$5:D$10,$X61+1)^((INDEX($A$5:$A$10,$X61)-($I61-DateToday+1))/(INDEX($A$5:$A$10,$X61+1)-INDEX($A$5:$A$10,$X61))))</f>
        <v>0.000878270771126437</v>
      </c>
      <c r="AB61" s="348" t="n">
        <f aca="false">IF($X61="",AB60^2/AB59,INDEX(E$5:E$10,$X61)^((INDEX($A$5:$A$10,$X61+1)-($I61-DateToday+1))/(INDEX($A$5:$A$10,$X61+1)-INDEX($A$5:$A$10,$X61)))/INDEX(E$5:E$10,$X61+1)^((INDEX($A$5:$A$10,$X61)-($I61-DateToday+1))/(INDEX($A$5:$A$10,$X61+1)-INDEX($A$5:$A$10,$X61))))</f>
        <v>0.00197856839319365</v>
      </c>
      <c r="AC61" s="348" t="n">
        <f aca="false">IF($X61="",AC60^2/AC59,INDEX(F$5:F$10,$X61)^((INDEX($A$5:$A$10,$X61+1)-($I61-DateToday+1))/(INDEX($A$5:$A$10,$X61+1)-INDEX($A$5:$A$10,$X61)))/INDEX(F$5:F$10,$X61+1)^((INDEX($A$5:$A$10,$X61)-($I61-DateToday+1))/(INDEX($A$5:$A$10,$X61+1)-INDEX($A$5:$A$10,$X61))))</f>
        <v>0.00481367095170368</v>
      </c>
      <c r="AD61" s="348" t="n">
        <f aca="false">IF($X61="",AD60^2/AD59,INDEX(G$5:G$10,$X61)^((INDEX($A$5:$A$10,$X61+1)-($I61-DateToday+1))/(INDEX($A$5:$A$10,$X61+1)-INDEX($A$5:$A$10,$X61)))/INDEX(G$5:G$10,$X61+1)^((INDEX($A$5:$A$10,$X61)-($I61-DateToday+1))/(INDEX($A$5:$A$10,$X61+1)-INDEX($A$5:$A$10,$X61))))</f>
        <v>0.0105037734805974</v>
      </c>
      <c r="AE61" s="321" t="n">
        <v>0.072880327790891</v>
      </c>
      <c r="AF61" s="316" t="n">
        <f aca="false">(1+AE61/2)^(-2*(I62-DateToday)/365.25)</f>
        <v>0.715381095698425</v>
      </c>
      <c r="AG61" s="316" t="n">
        <f aca="false">AG60*(1+IF(AND(M61=1,L61&gt;YearStart),Escalation,0))</f>
        <v>1</v>
      </c>
      <c r="AH61" s="322" t="n">
        <f aca="false">IF(OR(DateStart&gt;=I62,DateEnd&lt;I61),0,Volume*AG61)</f>
        <v>0</v>
      </c>
      <c r="AI61" s="322" t="n">
        <f aca="false">AH61*AF61</f>
        <v>0</v>
      </c>
      <c r="AJ61" s="322" t="n">
        <f aca="false">IF(OR(DateStart2&gt;=I62,DateEnd2&lt;I61),0,VolumeSwaption*AG61)</f>
        <v>0</v>
      </c>
      <c r="AK61" s="322" t="n">
        <f aca="false">AJ61*AF61</f>
        <v>0</v>
      </c>
      <c r="AL61" s="316" t="str">
        <f aca="true">IF(AH61,OFFSET(BY61,0,HorizontalPriceOffset)+PriceSpreadAsian,"")</f>
        <v/>
      </c>
      <c r="AM61" s="316" t="str">
        <f aca="false">IF(AH61,Strike1/AL61-1,"")</f>
        <v/>
      </c>
      <c r="AN61" s="316" t="str">
        <f aca="false">IF(AH61,Strike2/AL61-1,"")</f>
        <v/>
      </c>
      <c r="AO61" s="323" t="str">
        <f aca="false">IF(AH61,IF(VolOverrideAsian,VolOverrideAsian,IF(ProductGroup=1,IF(Product&lt;3,DA62,DE62),W62)+VolSpreadAsian),"")</f>
        <v/>
      </c>
      <c r="AP61" s="323" t="str">
        <f aca="false">IF($AH61,$AO61+IF(SkewFlag=1,IF(AM61&gt;0,$AA61*MIN(AM61/10%,1)+($Z61-$AA61)*MAX(0,MIN(AM61/10%-1,1))+($Y61-$Z61)*MAX(0,AM61/10%-2),$AB61*MIN(-AM61/10%,1)+($AC61-$AB61)*MAX(0,MIN(-AM61/10%-1,1))+($AD61-$AC61)*MAX(0,-AM61/10%-2)),0),"")</f>
        <v/>
      </c>
      <c r="AQ61" s="323" t="str">
        <f aca="false">IF($AH61,$AO61+IF(SkewFlag=1,IF(AN61&gt;0,$AA61*MIN(AN61/10%,1)+($Z61-$AA61)*MAX(0,MIN(AN61/10%-1,1))+($Y61-$Z61)*MAX(0,AN61/10%-2),$AB61*MIN(-AN61/10%,1)+($AC61-$AB61)*MAX(0,MIN(-AN61/10%-1,1))+($AD61-$AC61)*MAX(0,-AN61/10%-2)),0),"")</f>
        <v/>
      </c>
      <c r="AR61" s="324" t="n">
        <f aca="false">IF(AH61,xASN(AL61,Strike1,AE61,AP61,0,N61,0,P61,Q61,IF(OptControl=4,0,1),0),0)</f>
        <v>0</v>
      </c>
      <c r="AS61" s="324" t="n">
        <f aca="false">IF(AH61,xASN(AL61,Strike1,AE61,AP61,0,N61,0,P61,Q61,IF(OptControl=4,0,1),1),0)</f>
        <v>0</v>
      </c>
      <c r="AT61" s="324" t="n">
        <f aca="false">IF(AH61,xASN(AL61,Strike1,AE61,AP61,0,N61,0,P61,Q61,IF(OptControl=4,0,1),2),0)</f>
        <v>0</v>
      </c>
      <c r="AU61" s="324" t="n">
        <f aca="false">IF(AH61,xASN(AL61,Strike1,AE61,AP61,0,N61,0,P61,Q61,IF(OptControl=4,0,1),3)/100,0)</f>
        <v>0</v>
      </c>
      <c r="AV61" s="324" t="n">
        <f aca="false">IF(AH61,xASN(AL61,Strike1,AE61,AP61,0,N61,0,P61-DaysForThetaCalculation/365.25,Q61-DaysForThetaCalculation/365.25,IF(OptControl=4,0,1),0)-xASN(AL61,Strike1,AE61,AP61,0,N61,0,P61,Q61,IF(OptControl=4,0,1),0),0)</f>
        <v>0</v>
      </c>
      <c r="AW61" s="324" t="n">
        <f aca="false">IF(AH61,xASN(AL61,Strike2,AE61,AQ61,0,N61,0,P61,Q61,IF(OptControl=3,1,0),0),0)</f>
        <v>0</v>
      </c>
      <c r="AX61" s="324" t="n">
        <f aca="false">IF(AH61,xASN(AL61,Strike2,AE61,AQ61,0,N61,0,P61,Q61,IF(OptControl=3,1,0),1),0)</f>
        <v>0</v>
      </c>
      <c r="AY61" s="324" t="n">
        <f aca="false">IF(AH61,xASN(AL61,Strike2,AE61,AQ61,0,N61,0,P61,Q61,IF(OptControl=3,1,0),2),0)</f>
        <v>0</v>
      </c>
      <c r="AZ61" s="324" t="n">
        <f aca="false">IF(AH61,xASN(AL61,Strike2,AE61,AQ61,0,N61,0,P61,Q61,IF(OptControl=3,1,0),3)/100,0)</f>
        <v>0</v>
      </c>
      <c r="BA61" s="324" t="n">
        <f aca="false">IF(AH61,xASN(AL61,Strike2,AE61,AQ61,0,N61,0,P61-DaysForThetaCalculation/365.25,Q61-DaysForThetaCalculation/365.25,IF(OptControl=3,1,0),0)-xASN(AL61,Strike2,AE61,AQ61,0,N61,0,P61,Q61,IF(OptControl=3,1,0),0),0)</f>
        <v>0</v>
      </c>
      <c r="BB61" s="325" t="str">
        <f aca="false">IF(AH61,IF(ProductGroup=1,IF(Product=1,BX61+PriceSpreadEuro,IF(Product=3,CK61+PriceSpreadEuro,"N/A")),"N/A"),"")</f>
        <v/>
      </c>
      <c r="BC61" s="316" t="str">
        <f aca="false">IF(AH61,Strike1/BB61-1,"")</f>
        <v/>
      </c>
      <c r="BD61" s="316" t="str">
        <f aca="false">IF(AH61,Strike2/BB61-1,"")</f>
        <v/>
      </c>
      <c r="BE61" s="326" t="str">
        <f aca="false">IF(AH61,IF(VolOverrideEuro,VolOverrideEuro,IF(ProductGroup=1,IF(Product&lt;3,DA61,DE61)+VolSpreadEuro,"N/A")),"")</f>
        <v/>
      </c>
      <c r="BF61" s="323" t="str">
        <f aca="false">IF($AH61,$BE61+IF(SkewFlag=1,IF(BC61&gt;0,$AA61*MIN(BC61/10%,1)+($Z61-$AA61)*MAX(0,MIN(BC61/10%-1,1))+($Y61-$Z61)*MAX(0,BC61/10%-2),$AB61*MIN(-BC61/10%,1)+($AC61-$AB61)*MAX(0,MIN(-BC61/10%-1,1))+($AD61-$AC61)*MAX(0,-BC61/10%-2)),0),"")</f>
        <v/>
      </c>
      <c r="BG61" s="323" t="str">
        <f aca="false">IF($AH61,$BE61+IF(SkewFlag=1,IF(BD61&gt;0,$AA61*MIN(BD61/10%,1)+($Z61-$AA61)*MAX(0,MIN(BD61/10%-1,1))+($Y61-$Z61)*MAX(0,BD61/10%-2),$AB61*MIN(-BD61/10%,1)+($AC61-$AB61)*MAX(0,MIN(-BD61/10%-1,1))+($AD61-$AC61)*MAX(0,-BD61/10%-2)),0),"")</f>
        <v/>
      </c>
      <c r="BH61" s="324" t="n">
        <f aca="false">IF(AH61,xEURO(BB61,Strike1,AE61,AE61,BF61,O61,IF(OptControl=4,0,1),0),0)</f>
        <v>0</v>
      </c>
      <c r="BI61" s="324" t="n">
        <f aca="false">IF(AH61,xEURO(BB61,Strike1,AE61,AE61,BF61,O61,IF(OptControl=4,0,1),1),0)</f>
        <v>0</v>
      </c>
      <c r="BJ61" s="324" t="n">
        <f aca="false">IF(AH61,xEURO(BB61,Strike1,AE61,AE61,BF61,O61,IF(OptControl=4,0,1),2),0)</f>
        <v>0</v>
      </c>
      <c r="BK61" s="324" t="n">
        <f aca="false">IF(AH61,xEURO(BB61,Strike1,AE61,AE61,BF61,O61,IF(OptControl=4,0,1),3)/100,0)</f>
        <v>0</v>
      </c>
      <c r="BL61" s="324" t="n">
        <f aca="false">IF(AH61,xEURO(BB61,Strike1,AE61,AE61,BF61,O61-DaysForThetaCalculation,IF(OptControl=4,0,1),0)-xEURO(BB61,Strike1,AE61,AE61,BF61,O61,IF(OptControl=4,0,1),0),0)</f>
        <v>0</v>
      </c>
      <c r="BM61" s="324" t="n">
        <f aca="false">IF(AH61,xEURO(BB61,Strike2,AE61,AE61,BG61,O61,IF(OptControl=3,1,0),0),0)</f>
        <v>0</v>
      </c>
      <c r="BN61" s="324" t="n">
        <f aca="false">IF(AH61,xEURO(BB61,Strike2,AE61,AE61,BG61,O61,IF(OptControl=3,1,0),1),0)</f>
        <v>0</v>
      </c>
      <c r="BO61" s="324" t="n">
        <f aca="false">IF(AH61,xEURO(BB61,Strike2,AE61,AE61,BG61,O61,IF(OptControl=3,1,0),2),0)</f>
        <v>0</v>
      </c>
      <c r="BP61" s="324" t="n">
        <f aca="false">IF(AH61,xEURO(BB61,Strike2,AE61,AE61,BG61,O61,IF(OptControl=3,1,0),3)/100,0)</f>
        <v>0</v>
      </c>
      <c r="BQ61" s="327" t="n">
        <f aca="false">IF(AH61,xEURO(BB61,Strike2,AE61,AE61,BG61,O61-DaysForThetaCalculation,IF(OptControl=3,1,0),0)-xEURO(BB61,Strike2,AE61,AE61,BG61,O61,IF(OptControl=3,1,0),0),0)</f>
        <v>0</v>
      </c>
      <c r="BR61" s="343"/>
      <c r="BS61" s="314" t="n">
        <v>23.768</v>
      </c>
      <c r="BT61" s="329" t="n">
        <f aca="false">BS61*100/42</f>
        <v>56.5904761904762</v>
      </c>
      <c r="BU61" s="329" t="n">
        <f aca="false">BS62-$U61</f>
        <v>4.90356521739132</v>
      </c>
      <c r="BV61" s="224"/>
      <c r="BW61" s="329" t="n">
        <f aca="false">BW49+VLOOKUP(1900+$L61,ProductSpreadTable,2)</f>
        <v>11.6970952380953</v>
      </c>
      <c r="BX61" s="329" t="n">
        <f aca="false">($V60+BW60)*100/42</f>
        <v>70.8537878787884</v>
      </c>
      <c r="BY61" s="332" t="n">
        <f aca="false">BX62</f>
        <v>72.3750714778667</v>
      </c>
      <c r="BZ61" s="314" t="n">
        <v>21.294</v>
      </c>
      <c r="CA61" s="329" t="n">
        <f aca="false">BZ61*100/42</f>
        <v>50.7</v>
      </c>
      <c r="CB61" s="329" t="n">
        <f aca="false">BZ61-$U61</f>
        <v>2.59356521739132</v>
      </c>
      <c r="CC61" s="329" t="n">
        <f aca="false">CC49+VLOOKUP(1900+$L61,ProductSpreadTable,3)</f>
        <v>9.38709523809531</v>
      </c>
      <c r="CD61" s="329" t="n">
        <f aca="false">($V61+CC61)*100/42</f>
        <v>66.8750714778667</v>
      </c>
      <c r="CE61" s="333" t="n">
        <f aca="false">CD61-BY61</f>
        <v>-5.50000000000001</v>
      </c>
      <c r="CF61" s="314" t="n">
        <v>22.827</v>
      </c>
      <c r="CG61" s="329" t="n">
        <f aca="false">CF61*100/42</f>
        <v>54.35</v>
      </c>
      <c r="CH61" s="329" t="n">
        <f aca="false">CF62-$U61</f>
        <v>4.67256521739132</v>
      </c>
      <c r="CI61" s="224"/>
      <c r="CJ61" s="329" t="n">
        <f aca="false">CJ49+VLOOKUP(1900+$L61,ProductSpreadTable,4)</f>
        <v>11.2690952380953</v>
      </c>
      <c r="CK61" s="329" t="n">
        <f aca="false">($V60+CJ60)*100/42</f>
        <v>68.1347402597408</v>
      </c>
      <c r="CL61" s="329" t="n">
        <f aca="false">CK62</f>
        <v>71.356023858819</v>
      </c>
      <c r="CM61" s="314" t="n">
        <v>22.134</v>
      </c>
      <c r="CN61" s="329" t="n">
        <f aca="false">CM61*100/42</f>
        <v>52.7</v>
      </c>
      <c r="CO61" s="329" t="n">
        <f aca="false">CM61-$U61</f>
        <v>3.43356521739132</v>
      </c>
      <c r="CP61" s="329" t="n">
        <f aca="false">CP49+VLOOKUP(1900+$L61,ProductSpreadTable,5)</f>
        <v>10.0720952380953</v>
      </c>
      <c r="CQ61" s="329" t="n">
        <f aca="false">($V61+CP61)*100/42</f>
        <v>68.5060238588191</v>
      </c>
      <c r="CR61" s="333" t="n">
        <f aca="false">CQ61-CL61</f>
        <v>-2.84999999999998</v>
      </c>
      <c r="CS61" s="314" t="n">
        <v>23.499</v>
      </c>
      <c r="CT61" s="329" t="n">
        <f aca="false">CS61*100/42</f>
        <v>55.95</v>
      </c>
      <c r="CU61" s="329" t="n">
        <f aca="false">CT61-CG62</f>
        <v>0.299999999999997</v>
      </c>
      <c r="CV61" s="329" t="n">
        <f aca="false">CV49+VLOOKUP(1900+$L61,ProductSpreadTable,6)</f>
        <v>1.20000000000001</v>
      </c>
      <c r="CW61" s="333" t="n">
        <f aca="false">CL61+CV61</f>
        <v>72.556023858819</v>
      </c>
      <c r="CX61" s="318" t="n">
        <v>0.199</v>
      </c>
      <c r="CY61" s="326" t="n">
        <f aca="false">CX61-$W61</f>
        <v>0.000213579969284033</v>
      </c>
      <c r="CZ61" s="326" t="n">
        <f aca="false">VLOOKUP(1900+$L61,ProductSpreadTable,7)</f>
        <v>-0.03</v>
      </c>
      <c r="DA61" s="365" t="n">
        <f aca="false">$W61+CZ61</f>
        <v>0.168786420030716</v>
      </c>
      <c r="DB61" s="318" t="n">
        <v>0.199</v>
      </c>
      <c r="DC61" s="326" t="n">
        <f aca="false">DB61-$W61</f>
        <v>0.000213579969284033</v>
      </c>
      <c r="DD61" s="326" t="n">
        <f aca="false">VLOOKUP(1900+$L61,ProductSpreadTable,8)</f>
        <v>0.03</v>
      </c>
      <c r="DE61" s="365" t="n">
        <f aca="false">$W61+DD61</f>
        <v>0.228786420030716</v>
      </c>
      <c r="DG61" s="336"/>
      <c r="DH61" s="314" t="n">
        <v>16.308</v>
      </c>
      <c r="DI61" s="325" t="n">
        <f aca="false">DH61-$U61</f>
        <v>-2.39243478260868</v>
      </c>
      <c r="DJ61" s="325" t="n">
        <f aca="false">VLOOKUP(1900+$L61,ResidSpreadTable,2)</f>
        <v>-2</v>
      </c>
      <c r="DK61" s="337" t="n">
        <f aca="false">$V61+DJ61</f>
        <v>16.7004347826087</v>
      </c>
      <c r="DL61" s="314" t="n">
        <v>13.758</v>
      </c>
      <c r="DM61" s="325" t="n">
        <f aca="false">DL61-$U61</f>
        <v>-4.94243478260868</v>
      </c>
      <c r="DN61" s="325" t="n">
        <f aca="false">VLOOKUP(1900+$L61,ResidSpreadTable,3)</f>
        <v>-3</v>
      </c>
      <c r="DO61" s="337" t="n">
        <f aca="false">$V61+DN61</f>
        <v>15.7004347826087</v>
      </c>
      <c r="DP61" s="314" t="n">
        <v>13.008</v>
      </c>
      <c r="DQ61" s="325" t="n">
        <f aca="false">DP61-$U61</f>
        <v>-5.69243478260868</v>
      </c>
      <c r="DR61" s="325" t="n">
        <f aca="false">VLOOKUP(1900+$L61,ResidSpreadTable,4)</f>
        <v>-6</v>
      </c>
      <c r="DS61" s="337" t="n">
        <f aca="false">$V61+DR61</f>
        <v>12.7004347826087</v>
      </c>
      <c r="DT61" s="314" t="n">
        <v>15.258</v>
      </c>
      <c r="DU61" s="325" t="n">
        <f aca="false">DT61-$U61</f>
        <v>-3.44243478260868</v>
      </c>
      <c r="DV61" s="325" t="n">
        <f aca="false">VLOOKUP(1900+$L61,ResidSpreadTable,5)</f>
        <v>-5</v>
      </c>
      <c r="DW61" s="337" t="n">
        <f aca="false">$V61+DV61</f>
        <v>13.7004347826087</v>
      </c>
    </row>
    <row r="62" customFormat="false" ht="12.75" hidden="false" customHeight="false" outlineLevel="0" collapsed="false">
      <c r="B62" s="371" t="n">
        <v>37438</v>
      </c>
      <c r="C62" s="391" t="n">
        <v>37427</v>
      </c>
      <c r="I62" s="338" t="n">
        <f aca="false">EOMONTH(I61,0)+1</f>
        <v>47635</v>
      </c>
      <c r="J62" s="389" t="n">
        <f aca="false">VLOOKUP(I62,$B$12:$C$332,2)</f>
        <v>45644</v>
      </c>
      <c r="K62" s="339" t="n">
        <f aca="false">NETWORKDAYS(I62,J63)/N62</f>
        <v>-71.15</v>
      </c>
      <c r="L62" s="309" t="n">
        <f aca="false">YEAR(I62)-1900</f>
        <v>130</v>
      </c>
      <c r="M62" s="310" t="n">
        <f aca="false">MONTH(I62)</f>
        <v>6</v>
      </c>
      <c r="N62" s="340" t="n">
        <f aca="false">NETWORKDAYS(I62,I63-1)</f>
        <v>20</v>
      </c>
      <c r="O62" s="341" t="n">
        <f aca="false">I62-DateToday-IF(EuroExpDateToggle=1,3+IF(WEEKDAY(I62-1)=7,1,IF(WEEKDAY(I62-1)&lt;5,2,0)),1+IF(WEEKDAY(I62-1)=7,1,IF(WEEKDAY(I62-1)&lt;3,2,0)))</f>
        <v>1706</v>
      </c>
      <c r="P62" s="342" t="n">
        <f aca="false">(I62-DateToday+1)/365.25</f>
        <v>4.68172484599589</v>
      </c>
      <c r="Q62" s="342" t="n">
        <f aca="false">(I63-DateToday)/365.25</f>
        <v>4.76112251882272</v>
      </c>
      <c r="R62" s="314" t="n">
        <v>19.01</v>
      </c>
      <c r="S62" s="347" t="n">
        <v>0</v>
      </c>
      <c r="T62" s="316" t="n">
        <f aca="false">R62+S62/100</f>
        <v>19.01</v>
      </c>
      <c r="U62" s="325" t="n">
        <f aca="false">R63*K62+R64*(1-K62)</f>
        <v>18.6442500000001</v>
      </c>
      <c r="V62" s="337" t="n">
        <f aca="false">T63*K62+T64*(1-K62)</f>
        <v>18.6442500000001</v>
      </c>
      <c r="W62" s="318" t="n">
        <v>0.198656220398928</v>
      </c>
      <c r="X62" s="319" t="str">
        <f aca="false">IF($I62-DateToday+1&gt;=$A$10,"",IF($I62-DateToday+1&lt;$A$5,1,MATCH($I62-DateToday+1,$A$5:$A$10)))</f>
        <v/>
      </c>
      <c r="Y62" s="348" t="n">
        <f aca="false">IF($X62="",Y61^2/Y60,INDEX(B$5:B$10,$X62)^((INDEX($A$5:$A$10,$X62+1)-($I62-DateToday+1))/(INDEX($A$5:$A$10,$X62+1)-INDEX($A$5:$A$10,$X62)))/INDEX(B$5:B$10,$X62+1)^((INDEX($A$5:$A$10,$X62)-($I62-DateToday+1))/(INDEX($A$5:$A$10,$X62+1)-INDEX($A$5:$A$10,$X62))))</f>
        <v>0.00456272357326596</v>
      </c>
      <c r="Z62" s="348" t="n">
        <f aca="false">IF($X62="",Z61^2/Z60,INDEX(C$5:C$10,$X62)^((INDEX($A$5:$A$10,$X62+1)-($I62-DateToday+1))/(INDEX($A$5:$A$10,$X62+1)-INDEX($A$5:$A$10,$X62)))/INDEX(C$5:C$10,$X62+1)^((INDEX($A$5:$A$10,$X62)-($I62-DateToday+1))/(INDEX($A$5:$A$10,$X62+1)-INDEX($A$5:$A$10,$X62))))</f>
        <v>0.00207981031901659</v>
      </c>
      <c r="AA62" s="348" t="n">
        <f aca="false">IF($X62="",AA61^2/AA60,INDEX(D$5:D$10,$X62)^((INDEX($A$5:$A$10,$X62+1)-($I62-DateToday+1))/(INDEX($A$5:$A$10,$X62+1)-INDEX($A$5:$A$10,$X62)))/INDEX(D$5:D$10,$X62+1)^((INDEX($A$5:$A$10,$X62)-($I62-DateToday+1))/(INDEX($A$5:$A$10,$X62+1)-INDEX($A$5:$A$10,$X62))))</f>
        <v>0.000852574285707183</v>
      </c>
      <c r="AB62" s="348" t="n">
        <f aca="false">IF($X62="",AB61^2/AB60,INDEX(E$5:E$10,$X62)^((INDEX($A$5:$A$10,$X62+1)-($I62-DateToday+1))/(INDEX($A$5:$A$10,$X62+1)-INDEX($A$5:$A$10,$X62)))/INDEX(E$5:E$10,$X62+1)^((INDEX($A$5:$A$10,$X62)-($I62-DateToday+1))/(INDEX($A$5:$A$10,$X62+1)-INDEX($A$5:$A$10,$X62))))</f>
        <v>0.00192067935084116</v>
      </c>
      <c r="AC62" s="348" t="n">
        <f aca="false">IF($X62="",AC61^2/AC60,INDEX(F$5:F$10,$X62)^((INDEX($A$5:$A$10,$X62+1)-($I62-DateToday+1))/(INDEX($A$5:$A$10,$X62+1)-INDEX($A$5:$A$10,$X62)))/INDEX(F$5:F$10,$X62+1)^((INDEX($A$5:$A$10,$X62)-($I62-DateToday+1))/(INDEX($A$5:$A$10,$X62+1)-INDEX($A$5:$A$10,$X62))))</f>
        <v>0.00468539668668059</v>
      </c>
      <c r="AD62" s="348" t="n">
        <f aca="false">IF($X62="",AD61^2/AD60,INDEX(G$5:G$10,$X62)^((INDEX($A$5:$A$10,$X62+1)-($I62-DateToday+1))/(INDEX($A$5:$A$10,$X62+1)-INDEX($A$5:$A$10,$X62)))/INDEX(G$5:G$10,$X62+1)^((INDEX($A$5:$A$10,$X62)-($I62-DateToday+1))/(INDEX($A$5:$A$10,$X62+1)-INDEX($A$5:$A$10,$X62))))</f>
        <v>0.0102789036658533</v>
      </c>
      <c r="AE62" s="321" t="n">
        <v>0.07292470214126</v>
      </c>
      <c r="AF62" s="316" t="n">
        <f aca="false">(1+AE62/2)^(-2*(I63-DateToday)/365.25)</f>
        <v>0.71104234407231</v>
      </c>
      <c r="AG62" s="316" t="n">
        <f aca="false">AG61*(1+IF(AND(M62=1,L62&gt;YearStart),Escalation,0))</f>
        <v>1</v>
      </c>
      <c r="AH62" s="322" t="n">
        <f aca="false">IF(OR(DateStart&gt;=I63,DateEnd&lt;I62),0,Volume*AG62)</f>
        <v>0</v>
      </c>
      <c r="AI62" s="322" t="n">
        <f aca="false">AH62*AF62</f>
        <v>0</v>
      </c>
      <c r="AJ62" s="322" t="n">
        <f aca="false">IF(OR(DateStart2&gt;=I63,DateEnd2&lt;I62),0,VolumeSwaption*AG62)</f>
        <v>0</v>
      </c>
      <c r="AK62" s="322" t="n">
        <f aca="false">AJ62*AF62</f>
        <v>0</v>
      </c>
      <c r="AL62" s="316" t="str">
        <f aca="true">IF(AH62,OFFSET(BY62,0,HorizontalPriceOffset)+PriceSpreadAsian,"")</f>
        <v/>
      </c>
      <c r="AM62" s="316" t="str">
        <f aca="false">IF(AH62,Strike1/AL62-1,"")</f>
        <v/>
      </c>
      <c r="AN62" s="316" t="str">
        <f aca="false">IF(AH62,Strike2/AL62-1,"")</f>
        <v/>
      </c>
      <c r="AO62" s="323" t="str">
        <f aca="false">IF(AH62,IF(VolOverrideAsian,VolOverrideAsian,IF(ProductGroup=1,IF(Product&lt;3,DA63,DE63),W63)+VolSpreadAsian),"")</f>
        <v/>
      </c>
      <c r="AP62" s="323" t="str">
        <f aca="false">IF($AH62,$AO62+IF(SkewFlag=1,IF(AM62&gt;0,$AA62*MIN(AM62/10%,1)+($Z62-$AA62)*MAX(0,MIN(AM62/10%-1,1))+($Y62-$Z62)*MAX(0,AM62/10%-2),$AB62*MIN(-AM62/10%,1)+($AC62-$AB62)*MAX(0,MIN(-AM62/10%-1,1))+($AD62-$AC62)*MAX(0,-AM62/10%-2)),0),"")</f>
        <v/>
      </c>
      <c r="AQ62" s="323" t="str">
        <f aca="false">IF($AH62,$AO62+IF(SkewFlag=1,IF(AN62&gt;0,$AA62*MIN(AN62/10%,1)+($Z62-$AA62)*MAX(0,MIN(AN62/10%-1,1))+($Y62-$Z62)*MAX(0,AN62/10%-2),$AB62*MIN(-AN62/10%,1)+($AC62-$AB62)*MAX(0,MIN(-AN62/10%-1,1))+($AD62-$AC62)*MAX(0,-AN62/10%-2)),0),"")</f>
        <v/>
      </c>
      <c r="AR62" s="324" t="n">
        <f aca="false">IF(AH62,xASN(AL62,Strike1,AE62,AP62,0,N62,0,P62,Q62,IF(OptControl=4,0,1),0),0)</f>
        <v>0</v>
      </c>
      <c r="AS62" s="324" t="n">
        <f aca="false">IF(AH62,xASN(AL62,Strike1,AE62,AP62,0,N62,0,P62,Q62,IF(OptControl=4,0,1),1),0)</f>
        <v>0</v>
      </c>
      <c r="AT62" s="324" t="n">
        <f aca="false">IF(AH62,xASN(AL62,Strike1,AE62,AP62,0,N62,0,P62,Q62,IF(OptControl=4,0,1),2),0)</f>
        <v>0</v>
      </c>
      <c r="AU62" s="324" t="n">
        <f aca="false">IF(AH62,xASN(AL62,Strike1,AE62,AP62,0,N62,0,P62,Q62,IF(OptControl=4,0,1),3)/100,0)</f>
        <v>0</v>
      </c>
      <c r="AV62" s="324" t="n">
        <f aca="false">IF(AH62,xASN(AL62,Strike1,AE62,AP62,0,N62,0,P62-DaysForThetaCalculation/365.25,Q62-DaysForThetaCalculation/365.25,IF(OptControl=4,0,1),0)-xASN(AL62,Strike1,AE62,AP62,0,N62,0,P62,Q62,IF(OptControl=4,0,1),0),0)</f>
        <v>0</v>
      </c>
      <c r="AW62" s="324" t="n">
        <f aca="false">IF(AH62,xASN(AL62,Strike2,AE62,AQ62,0,N62,0,P62,Q62,IF(OptControl=3,1,0),0),0)</f>
        <v>0</v>
      </c>
      <c r="AX62" s="324" t="n">
        <f aca="false">IF(AH62,xASN(AL62,Strike2,AE62,AQ62,0,N62,0,P62,Q62,IF(OptControl=3,1,0),1),0)</f>
        <v>0</v>
      </c>
      <c r="AY62" s="324" t="n">
        <f aca="false">IF(AH62,xASN(AL62,Strike2,AE62,AQ62,0,N62,0,P62,Q62,IF(OptControl=3,1,0),2),0)</f>
        <v>0</v>
      </c>
      <c r="AZ62" s="324" t="n">
        <f aca="false">IF(AH62,xASN(AL62,Strike2,AE62,AQ62,0,N62,0,P62,Q62,IF(OptControl=3,1,0),3)/100,0)</f>
        <v>0</v>
      </c>
      <c r="BA62" s="324" t="n">
        <f aca="false">IF(AH62,xASN(AL62,Strike2,AE62,AQ62,0,N62,0,P62-DaysForThetaCalculation/365.25,Q62-DaysForThetaCalculation/365.25,IF(OptControl=3,1,0),0)-xASN(AL62,Strike2,AE62,AQ62,0,N62,0,P62,Q62,IF(OptControl=3,1,0),0),0)</f>
        <v>0</v>
      </c>
      <c r="BB62" s="325" t="str">
        <f aca="false">IF(AH62,IF(ProductGroup=1,IF(Product=1,BX62+PriceSpreadEuro,IF(Product=3,CK62+PriceSpreadEuro,"N/A")),"N/A"),"")</f>
        <v/>
      </c>
      <c r="BC62" s="316" t="str">
        <f aca="false">IF(AH62,Strike1/BB62-1,"")</f>
        <v/>
      </c>
      <c r="BD62" s="316" t="str">
        <f aca="false">IF(AH62,Strike2/BB62-1,"")</f>
        <v/>
      </c>
      <c r="BE62" s="326" t="str">
        <f aca="false">IF(AH62,IF(VolOverrideEuro,VolOverrideEuro,IF(ProductGroup=1,IF(Product&lt;3,DA62,DE62)+VolSpreadEuro,"N/A")),"")</f>
        <v/>
      </c>
      <c r="BF62" s="323" t="str">
        <f aca="false">IF($AH62,$BE62+IF(SkewFlag=1,IF(BC62&gt;0,$AA62*MIN(BC62/10%,1)+($Z62-$AA62)*MAX(0,MIN(BC62/10%-1,1))+($Y62-$Z62)*MAX(0,BC62/10%-2),$AB62*MIN(-BC62/10%,1)+($AC62-$AB62)*MAX(0,MIN(-BC62/10%-1,1))+($AD62-$AC62)*MAX(0,-BC62/10%-2)),0),"")</f>
        <v/>
      </c>
      <c r="BG62" s="323" t="str">
        <f aca="false">IF($AH62,$BE62+IF(SkewFlag=1,IF(BD62&gt;0,$AA62*MIN(BD62/10%,1)+($Z62-$AA62)*MAX(0,MIN(BD62/10%-1,1))+($Y62-$Z62)*MAX(0,BD62/10%-2),$AB62*MIN(-BD62/10%,1)+($AC62-$AB62)*MAX(0,MIN(-BD62/10%-1,1))+($AD62-$AC62)*MAX(0,-BD62/10%-2)),0),"")</f>
        <v/>
      </c>
      <c r="BH62" s="324" t="n">
        <f aca="false">IF(AH62,xEURO(BB62,Strike1,AE62,AE62,BF62,O62,IF(OptControl=4,0,1),0),0)</f>
        <v>0</v>
      </c>
      <c r="BI62" s="324" t="n">
        <f aca="false">IF(AH62,xEURO(BB62,Strike1,AE62,AE62,BF62,O62,IF(OptControl=4,0,1),1),0)</f>
        <v>0</v>
      </c>
      <c r="BJ62" s="324" t="n">
        <f aca="false">IF(AH62,xEURO(BB62,Strike1,AE62,AE62,BF62,O62,IF(OptControl=4,0,1),2),0)</f>
        <v>0</v>
      </c>
      <c r="BK62" s="324" t="n">
        <f aca="false">IF(AH62,xEURO(BB62,Strike1,AE62,AE62,BF62,O62,IF(OptControl=4,0,1),3)/100,0)</f>
        <v>0</v>
      </c>
      <c r="BL62" s="324" t="n">
        <f aca="false">IF(AH62,xEURO(BB62,Strike1,AE62,AE62,BF62,O62-DaysForThetaCalculation,IF(OptControl=4,0,1),0)-xEURO(BB62,Strike1,AE62,AE62,BF62,O62,IF(OptControl=4,0,1),0),0)</f>
        <v>0</v>
      </c>
      <c r="BM62" s="324" t="n">
        <f aca="false">IF(AH62,xEURO(BB62,Strike2,AE62,AE62,BG62,O62,IF(OptControl=3,1,0),0),0)</f>
        <v>0</v>
      </c>
      <c r="BN62" s="324" t="n">
        <f aca="false">IF(AH62,xEURO(BB62,Strike2,AE62,AE62,BG62,O62,IF(OptControl=3,1,0),1),0)</f>
        <v>0</v>
      </c>
      <c r="BO62" s="324" t="n">
        <f aca="false">IF(AH62,xEURO(BB62,Strike2,AE62,AE62,BG62,O62,IF(OptControl=3,1,0),2),0)</f>
        <v>0</v>
      </c>
      <c r="BP62" s="324" t="n">
        <f aca="false">IF(AH62,xEURO(BB62,Strike2,AE62,AE62,BG62,O62,IF(OptControl=3,1,0),3)/100,0)</f>
        <v>0</v>
      </c>
      <c r="BQ62" s="327" t="n">
        <f aca="false">IF(AH62,xEURO(BB62,Strike2,AE62,AE62,BG62,O62-DaysForThetaCalculation,IF(OptControl=3,1,0),0)-xEURO(BB62,Strike2,AE62,AE62,BG62,O62,IF(OptControl=3,1,0),0),0)</f>
        <v>0</v>
      </c>
      <c r="BR62" s="343"/>
      <c r="BS62" s="314" t="n">
        <v>23.604</v>
      </c>
      <c r="BT62" s="329" t="n">
        <f aca="false">BS62*100/42</f>
        <v>56.2</v>
      </c>
      <c r="BU62" s="329" t="n">
        <f aca="false">BS63-$U62</f>
        <v>5.11474999999994</v>
      </c>
      <c r="BV62" s="224"/>
      <c r="BW62" s="329" t="n">
        <f aca="false">BW50+VLOOKUP(1900+$L62,ProductSpreadTable,2)</f>
        <v>11.5918181818182</v>
      </c>
      <c r="BX62" s="329" t="n">
        <f aca="false">($V61+BW61)*100/42</f>
        <v>72.3750714778667</v>
      </c>
      <c r="BY62" s="332" t="n">
        <f aca="false">BX63</f>
        <v>71.9906385281387</v>
      </c>
      <c r="BZ62" s="314" t="n">
        <v>21.449</v>
      </c>
      <c r="CA62" s="329" t="n">
        <f aca="false">BZ62*100/42</f>
        <v>51.0690476190476</v>
      </c>
      <c r="CB62" s="329" t="n">
        <f aca="false">BZ62-$U62</f>
        <v>2.80474999999995</v>
      </c>
      <c r="CC62" s="329" t="n">
        <f aca="false">CC50+VLOOKUP(1900+$L62,ProductSpreadTable,3)</f>
        <v>9.28181818181819</v>
      </c>
      <c r="CD62" s="329" t="n">
        <f aca="false">($V62+CC62)*100/42</f>
        <v>66.4906385281387</v>
      </c>
      <c r="CE62" s="333" t="n">
        <f aca="false">CD62-BY62</f>
        <v>-5.5</v>
      </c>
      <c r="CF62" s="314" t="n">
        <v>23.373</v>
      </c>
      <c r="CG62" s="329" t="n">
        <f aca="false">CF62*100/42</f>
        <v>55.65</v>
      </c>
      <c r="CH62" s="329" t="n">
        <f aca="false">CF63-$U62</f>
        <v>5.07774999999995</v>
      </c>
      <c r="CI62" s="224"/>
      <c r="CJ62" s="329" t="n">
        <f aca="false">CJ50+VLOOKUP(1900+$L62,ProductSpreadTable,4)</f>
        <v>11.3528181818182</v>
      </c>
      <c r="CK62" s="329" t="n">
        <f aca="false">($V61+CJ61)*100/42</f>
        <v>71.356023858819</v>
      </c>
      <c r="CL62" s="329" t="n">
        <f aca="false">CK63</f>
        <v>71.4215909090911</v>
      </c>
      <c r="CM62" s="314" t="n">
        <v>22.483</v>
      </c>
      <c r="CN62" s="329" t="n">
        <f aca="false">CM62*100/42</f>
        <v>53.5309523809524</v>
      </c>
      <c r="CO62" s="329" t="n">
        <f aca="false">CM62-$U62</f>
        <v>3.83874999999994</v>
      </c>
      <c r="CP62" s="329" t="n">
        <f aca="false">CP50+VLOOKUP(1900+$L62,ProductSpreadTable,5)</f>
        <v>10.1558181818182</v>
      </c>
      <c r="CQ62" s="329" t="n">
        <f aca="false">($V62+CP62)*100/42</f>
        <v>68.5715909090911</v>
      </c>
      <c r="CR62" s="333" t="n">
        <f aca="false">CQ62-CL62</f>
        <v>-2.85000000000001</v>
      </c>
      <c r="CS62" s="314" t="n">
        <v>23.848</v>
      </c>
      <c r="CT62" s="329" t="n">
        <f aca="false">CS62*100/42</f>
        <v>56.7809523809524</v>
      </c>
      <c r="CU62" s="329" t="n">
        <f aca="false">CT62-CG63</f>
        <v>0.299999999999997</v>
      </c>
      <c r="CV62" s="329" t="n">
        <f aca="false">CV50+VLOOKUP(1900+$L62,ProductSpreadTable,6)</f>
        <v>1.20000000000001</v>
      </c>
      <c r="CW62" s="333" t="n">
        <f aca="false">CL62+CV62</f>
        <v>72.6215909090911</v>
      </c>
      <c r="CX62" s="318" t="n">
        <v>0.199</v>
      </c>
      <c r="CY62" s="326" t="n">
        <f aca="false">CX62-$W62</f>
        <v>0.000343779601071986</v>
      </c>
      <c r="CZ62" s="326" t="n">
        <f aca="false">VLOOKUP(1900+$L62,ProductSpreadTable,7)</f>
        <v>-0.03</v>
      </c>
      <c r="DA62" s="365" t="n">
        <f aca="false">$W62+CZ62</f>
        <v>0.168656220398928</v>
      </c>
      <c r="DB62" s="318" t="n">
        <v>0.199</v>
      </c>
      <c r="DC62" s="326" t="n">
        <f aca="false">DB62-$W62</f>
        <v>0.000343779601071986</v>
      </c>
      <c r="DD62" s="326" t="n">
        <f aca="false">VLOOKUP(1900+$L62,ProductSpreadTable,8)</f>
        <v>0.03</v>
      </c>
      <c r="DE62" s="365" t="n">
        <f aca="false">$W62+DD62</f>
        <v>0.228656220398928</v>
      </c>
      <c r="DG62" s="336"/>
      <c r="DH62" s="314" t="n">
        <v>16.303</v>
      </c>
      <c r="DI62" s="325" t="n">
        <f aca="false">DH62-$U62</f>
        <v>-2.34125000000006</v>
      </c>
      <c r="DJ62" s="325" t="n">
        <f aca="false">VLOOKUP(1900+$L62,ResidSpreadTable,2)</f>
        <v>-2</v>
      </c>
      <c r="DK62" s="337" t="n">
        <f aca="false">$V62+DJ62</f>
        <v>16.6442500000001</v>
      </c>
      <c r="DL62" s="314" t="n">
        <v>13.753</v>
      </c>
      <c r="DM62" s="325" t="n">
        <f aca="false">DL62-$U62</f>
        <v>-4.89125000000006</v>
      </c>
      <c r="DN62" s="325" t="n">
        <f aca="false">VLOOKUP(1900+$L62,ResidSpreadTable,3)</f>
        <v>-3</v>
      </c>
      <c r="DO62" s="337" t="n">
        <f aca="false">$V62+DN62</f>
        <v>15.6442500000001</v>
      </c>
      <c r="DP62" s="314" t="n">
        <v>13.003</v>
      </c>
      <c r="DQ62" s="325" t="n">
        <f aca="false">DP62-$U62</f>
        <v>-5.64125000000006</v>
      </c>
      <c r="DR62" s="325" t="n">
        <f aca="false">VLOOKUP(1900+$L62,ResidSpreadTable,4)</f>
        <v>-6</v>
      </c>
      <c r="DS62" s="337" t="n">
        <f aca="false">$V62+DR62</f>
        <v>12.6442500000001</v>
      </c>
      <c r="DT62" s="314" t="n">
        <v>15.253</v>
      </c>
      <c r="DU62" s="325" t="n">
        <f aca="false">DT62-$U62</f>
        <v>-3.39125000000006</v>
      </c>
      <c r="DV62" s="325" t="n">
        <f aca="false">VLOOKUP(1900+$L62,ResidSpreadTable,5)</f>
        <v>-5</v>
      </c>
      <c r="DW62" s="337" t="n">
        <f aca="false">$V62+DV62</f>
        <v>13.6442500000001</v>
      </c>
    </row>
    <row r="63" customFormat="false" ht="12.75" hidden="false" customHeight="false" outlineLevel="0" collapsed="false">
      <c r="B63" s="371" t="n">
        <v>37469</v>
      </c>
      <c r="C63" s="391" t="n">
        <v>37457</v>
      </c>
      <c r="I63" s="338" t="n">
        <f aca="false">EOMONTH(I62,0)+1</f>
        <v>47665</v>
      </c>
      <c r="J63" s="389" t="n">
        <f aca="false">VLOOKUP(I63,$B$12:$C$332,2)</f>
        <v>45644</v>
      </c>
      <c r="K63" s="339" t="n">
        <f aca="false">NETWORKDAYS(I63,J64)/N63</f>
        <v>-62.7826086956522</v>
      </c>
      <c r="L63" s="309" t="n">
        <f aca="false">YEAR(I63)-1900</f>
        <v>130</v>
      </c>
      <c r="M63" s="310" t="n">
        <f aca="false">MONTH(I63)</f>
        <v>7</v>
      </c>
      <c r="N63" s="340" t="n">
        <f aca="false">NETWORKDAYS(I63,I64-1)</f>
        <v>23</v>
      </c>
      <c r="O63" s="341" t="n">
        <f aca="false">I63-DateToday-IF(EuroExpDateToggle=1,3+IF(WEEKDAY(I63-1)=7,1,IF(WEEKDAY(I63-1)&lt;5,2,0)),1+IF(WEEKDAY(I63-1)=7,1,IF(WEEKDAY(I63-1)&lt;3,2,0)))</f>
        <v>1734</v>
      </c>
      <c r="P63" s="342" t="n">
        <f aca="false">(I63-DateToday+1)/365.25</f>
        <v>4.76386036960986</v>
      </c>
      <c r="Q63" s="342" t="n">
        <f aca="false">(I64-DateToday)/365.25</f>
        <v>4.84599589322382</v>
      </c>
      <c r="R63" s="314" t="n">
        <v>19.005</v>
      </c>
      <c r="S63" s="347" t="n">
        <v>0</v>
      </c>
      <c r="T63" s="316" t="n">
        <f aca="false">R63+S63/100</f>
        <v>19.005</v>
      </c>
      <c r="U63" s="325" t="n">
        <f aca="false">R64*K63+R65*(1-K63)</f>
        <v>18.6810869565218</v>
      </c>
      <c r="V63" s="337" t="n">
        <f aca="false">T64*K63+T65*(1-K63)</f>
        <v>18.6810869565218</v>
      </c>
      <c r="W63" s="318" t="n">
        <v>0.198594286948375</v>
      </c>
      <c r="X63" s="319" t="str">
        <f aca="false">IF($I63-DateToday+1&gt;=$A$10,"",IF($I63-DateToday+1&lt;$A$5,1,MATCH($I63-DateToday+1,$A$5:$A$10)))</f>
        <v/>
      </c>
      <c r="Y63" s="348" t="n">
        <f aca="false">IF($X63="",Y62^2/Y61,INDEX(B$5:B$10,$X63)^((INDEX($A$5:$A$10,$X63+1)-($I63-DateToday+1))/(INDEX($A$5:$A$10,$X63+1)-INDEX($A$5:$A$10,$X63)))/INDEX(B$5:B$10,$X63+1)^((INDEX($A$5:$A$10,$X63)-($I63-DateToday+1))/(INDEX($A$5:$A$10,$X63+1)-INDEX($A$5:$A$10,$X63))))</f>
        <v>0.00446504260113308</v>
      </c>
      <c r="Z63" s="348" t="n">
        <f aca="false">IF($X63="",Z62^2/Z61,INDEX(C$5:C$10,$X63)^((INDEX($A$5:$A$10,$X63+1)-($I63-DateToday+1))/(INDEX($A$5:$A$10,$X63+1)-INDEX($A$5:$A$10,$X63)))/INDEX(C$5:C$10,$X63+1)^((INDEX($A$5:$A$10,$X63)-($I63-DateToday+1))/(INDEX($A$5:$A$10,$X63+1)-INDEX($A$5:$A$10,$X63))))</f>
        <v>0.00202438772309426</v>
      </c>
      <c r="AA63" s="348" t="n">
        <f aca="false">IF($X63="",AA62^2/AA61,INDEX(D$5:D$10,$X63)^((INDEX($A$5:$A$10,$X63+1)-($I63-DateToday+1))/(INDEX($A$5:$A$10,$X63+1)-INDEX($A$5:$A$10,$X63)))/INDEX(D$5:D$10,$X63+1)^((INDEX($A$5:$A$10,$X63)-($I63-DateToday+1))/(INDEX($A$5:$A$10,$X63+1)-INDEX($A$5:$A$10,$X63))))</f>
        <v>0.000827629629205171</v>
      </c>
      <c r="AB63" s="348" t="n">
        <f aca="false">IF($X63="",AB62^2/AB61,INDEX(E$5:E$10,$X63)^((INDEX($A$5:$A$10,$X63+1)-($I63-DateToday+1))/(INDEX($A$5:$A$10,$X63+1)-INDEX($A$5:$A$10,$X63)))/INDEX(E$5:E$10,$X63+1)^((INDEX($A$5:$A$10,$X63)-($I63-DateToday+1))/(INDEX($A$5:$A$10,$X63+1)-INDEX($A$5:$A$10,$X63))))</f>
        <v>0.00186448402867343</v>
      </c>
      <c r="AC63" s="348" t="n">
        <f aca="false">IF($X63="",AC62^2/AC61,INDEX(F$5:F$10,$X63)^((INDEX($A$5:$A$10,$X63+1)-($I63-DateToday+1))/(INDEX($A$5:$A$10,$X63+1)-INDEX($A$5:$A$10,$X63)))/INDEX(F$5:F$10,$X63+1)^((INDEX($A$5:$A$10,$X63)-($I63-DateToday+1))/(INDEX($A$5:$A$10,$X63+1)-INDEX($A$5:$A$10,$X63))))</f>
        <v>0.00456054066258678</v>
      </c>
      <c r="AD63" s="348" t="n">
        <f aca="false">IF($X63="",AD62^2/AD61,INDEX(G$5:G$10,$X63)^((INDEX($A$5:$A$10,$X63+1)-($I63-DateToday+1))/(INDEX($A$5:$A$10,$X63+1)-INDEX($A$5:$A$10,$X63)))/INDEX(G$5:G$10,$X63+1)^((INDEX($A$5:$A$10,$X63)-($I63-DateToday+1))/(INDEX($A$5:$A$10,$X63+1)-INDEX($A$5:$A$10,$X63))))</f>
        <v>0.0100588479718324</v>
      </c>
      <c r="AE63" s="321" t="n">
        <v>0.072970555637324</v>
      </c>
      <c r="AF63" s="316" t="n">
        <f aca="false">(1+AE63/2)^(-2*(I64-DateToday)/365.25)</f>
        <v>0.706581392795073</v>
      </c>
      <c r="AG63" s="316" t="n">
        <f aca="false">AG62*(1+IF(AND(M63=1,L63&gt;YearStart),Escalation,0))</f>
        <v>1</v>
      </c>
      <c r="AH63" s="322" t="n">
        <f aca="false">IF(OR(DateStart&gt;=I64,DateEnd&lt;I63),0,Volume*AG63)</f>
        <v>0</v>
      </c>
      <c r="AI63" s="322" t="n">
        <f aca="false">AH63*AF63</f>
        <v>0</v>
      </c>
      <c r="AJ63" s="322" t="n">
        <f aca="false">IF(OR(DateStart2&gt;=I64,DateEnd2&lt;I63),0,VolumeSwaption*AG63)</f>
        <v>0</v>
      </c>
      <c r="AK63" s="322" t="n">
        <f aca="false">AJ63*AF63</f>
        <v>0</v>
      </c>
      <c r="AL63" s="316" t="str">
        <f aca="true">IF(AH63,OFFSET(BY63,0,HorizontalPriceOffset)+PriceSpreadAsian,"")</f>
        <v/>
      </c>
      <c r="AM63" s="316" t="str">
        <f aca="false">IF(AH63,Strike1/AL63-1,"")</f>
        <v/>
      </c>
      <c r="AN63" s="316" t="str">
        <f aca="false">IF(AH63,Strike2/AL63-1,"")</f>
        <v/>
      </c>
      <c r="AO63" s="323" t="str">
        <f aca="false">IF(AH63,IF(VolOverrideAsian,VolOverrideAsian,IF(ProductGroup=1,IF(Product&lt;3,DA64,DE64),W64)+VolSpreadAsian),"")</f>
        <v/>
      </c>
      <c r="AP63" s="323" t="str">
        <f aca="false">IF($AH63,$AO63+IF(SkewFlag=1,IF(AM63&gt;0,$AA63*MIN(AM63/10%,1)+($Z63-$AA63)*MAX(0,MIN(AM63/10%-1,1))+($Y63-$Z63)*MAX(0,AM63/10%-2),$AB63*MIN(-AM63/10%,1)+($AC63-$AB63)*MAX(0,MIN(-AM63/10%-1,1))+($AD63-$AC63)*MAX(0,-AM63/10%-2)),0),"")</f>
        <v/>
      </c>
      <c r="AQ63" s="323" t="str">
        <f aca="false">IF($AH63,$AO63+IF(SkewFlag=1,IF(AN63&gt;0,$AA63*MIN(AN63/10%,1)+($Z63-$AA63)*MAX(0,MIN(AN63/10%-1,1))+($Y63-$Z63)*MAX(0,AN63/10%-2),$AB63*MIN(-AN63/10%,1)+($AC63-$AB63)*MAX(0,MIN(-AN63/10%-1,1))+($AD63-$AC63)*MAX(0,-AN63/10%-2)),0),"")</f>
        <v/>
      </c>
      <c r="AR63" s="324" t="n">
        <f aca="false">IF(AH63,xASN(AL63,Strike1,AE63,AP63,0,N63,0,P63,Q63,IF(OptControl=4,0,1),0),0)</f>
        <v>0</v>
      </c>
      <c r="AS63" s="324" t="n">
        <f aca="false">IF(AH63,xASN(AL63,Strike1,AE63,AP63,0,N63,0,P63,Q63,IF(OptControl=4,0,1),1),0)</f>
        <v>0</v>
      </c>
      <c r="AT63" s="324" t="n">
        <f aca="false">IF(AH63,xASN(AL63,Strike1,AE63,AP63,0,N63,0,P63,Q63,IF(OptControl=4,0,1),2),0)</f>
        <v>0</v>
      </c>
      <c r="AU63" s="324" t="n">
        <f aca="false">IF(AH63,xASN(AL63,Strike1,AE63,AP63,0,N63,0,P63,Q63,IF(OptControl=4,0,1),3)/100,0)</f>
        <v>0</v>
      </c>
      <c r="AV63" s="324" t="n">
        <f aca="false">IF(AH63,xASN(AL63,Strike1,AE63,AP63,0,N63,0,P63-DaysForThetaCalculation/365.25,Q63-DaysForThetaCalculation/365.25,IF(OptControl=4,0,1),0)-xASN(AL63,Strike1,AE63,AP63,0,N63,0,P63,Q63,IF(OptControl=4,0,1),0),0)</f>
        <v>0</v>
      </c>
      <c r="AW63" s="324" t="n">
        <f aca="false">IF(AH63,xASN(AL63,Strike2,AE63,AQ63,0,N63,0,P63,Q63,IF(OptControl=3,1,0),0),0)</f>
        <v>0</v>
      </c>
      <c r="AX63" s="324" t="n">
        <f aca="false">IF(AH63,xASN(AL63,Strike2,AE63,AQ63,0,N63,0,P63,Q63,IF(OptControl=3,1,0),1),0)</f>
        <v>0</v>
      </c>
      <c r="AY63" s="324" t="n">
        <f aca="false">IF(AH63,xASN(AL63,Strike2,AE63,AQ63,0,N63,0,P63,Q63,IF(OptControl=3,1,0),2),0)</f>
        <v>0</v>
      </c>
      <c r="AZ63" s="324" t="n">
        <f aca="false">IF(AH63,xASN(AL63,Strike2,AE63,AQ63,0,N63,0,P63,Q63,IF(OptControl=3,1,0),3)/100,0)</f>
        <v>0</v>
      </c>
      <c r="BA63" s="324" t="n">
        <f aca="false">IF(AH63,xASN(AL63,Strike2,AE63,AQ63,0,N63,0,P63-DaysForThetaCalculation/365.25,Q63-DaysForThetaCalculation/365.25,IF(OptControl=3,1,0),0)-xASN(AL63,Strike2,AE63,AQ63,0,N63,0,P63,Q63,IF(OptControl=3,1,0),0),0)</f>
        <v>0</v>
      </c>
      <c r="BB63" s="325" t="str">
        <f aca="false">IF(AH63,IF(ProductGroup=1,IF(Product=1,BX63+PriceSpreadEuro,IF(Product=3,CK63+PriceSpreadEuro,"N/A")),"N/A"),"")</f>
        <v/>
      </c>
      <c r="BC63" s="316" t="str">
        <f aca="false">IF(AH63,Strike1/BB63-1,"")</f>
        <v/>
      </c>
      <c r="BD63" s="316" t="str">
        <f aca="false">IF(AH63,Strike2/BB63-1,"")</f>
        <v/>
      </c>
      <c r="BE63" s="326" t="str">
        <f aca="false">IF(AH63,IF(VolOverrideEuro,VolOverrideEuro,IF(ProductGroup=1,IF(Product&lt;3,DA63,DE63)+VolSpreadEuro,"N/A")),"")</f>
        <v/>
      </c>
      <c r="BF63" s="323" t="str">
        <f aca="false">IF($AH63,$BE63+IF(SkewFlag=1,IF(BC63&gt;0,$AA63*MIN(BC63/10%,1)+($Z63-$AA63)*MAX(0,MIN(BC63/10%-1,1))+($Y63-$Z63)*MAX(0,BC63/10%-2),$AB63*MIN(-BC63/10%,1)+($AC63-$AB63)*MAX(0,MIN(-BC63/10%-1,1))+($AD63-$AC63)*MAX(0,-BC63/10%-2)),0),"")</f>
        <v/>
      </c>
      <c r="BG63" s="323" t="str">
        <f aca="false">IF($AH63,$BE63+IF(SkewFlag=1,IF(BD63&gt;0,$AA63*MIN(BD63/10%,1)+($Z63-$AA63)*MAX(0,MIN(BD63/10%-1,1))+($Y63-$Z63)*MAX(0,BD63/10%-2),$AB63*MIN(-BD63/10%,1)+($AC63-$AB63)*MAX(0,MIN(-BD63/10%-1,1))+($AD63-$AC63)*MAX(0,-BD63/10%-2)),0),"")</f>
        <v/>
      </c>
      <c r="BH63" s="324" t="n">
        <f aca="false">IF(AH63,xEURO(BB63,Strike1,AE63,AE63,BF63,O63,IF(OptControl=4,0,1),0),0)</f>
        <v>0</v>
      </c>
      <c r="BI63" s="324" t="n">
        <f aca="false">IF(AH63,xEURO(BB63,Strike1,AE63,AE63,BF63,O63,IF(OptControl=4,0,1),1),0)</f>
        <v>0</v>
      </c>
      <c r="BJ63" s="324" t="n">
        <f aca="false">IF(AH63,xEURO(BB63,Strike1,AE63,AE63,BF63,O63,IF(OptControl=4,0,1),2),0)</f>
        <v>0</v>
      </c>
      <c r="BK63" s="324" t="n">
        <f aca="false">IF(AH63,xEURO(BB63,Strike1,AE63,AE63,BF63,O63,IF(OptControl=4,0,1),3)/100,0)</f>
        <v>0</v>
      </c>
      <c r="BL63" s="324" t="n">
        <f aca="false">IF(AH63,xEURO(BB63,Strike1,AE63,AE63,BF63,O63-DaysForThetaCalculation,IF(OptControl=4,0,1),0)-xEURO(BB63,Strike1,AE63,AE63,BF63,O63,IF(OptControl=4,0,1),0),0)</f>
        <v>0</v>
      </c>
      <c r="BM63" s="324" t="n">
        <f aca="false">IF(AH63,xEURO(BB63,Strike2,AE63,AE63,BG63,O63,IF(OptControl=3,1,0),0),0)</f>
        <v>0</v>
      </c>
      <c r="BN63" s="324" t="n">
        <f aca="false">IF(AH63,xEURO(BB63,Strike2,AE63,AE63,BG63,O63,IF(OptControl=3,1,0),1),0)</f>
        <v>0</v>
      </c>
      <c r="BO63" s="324" t="n">
        <f aca="false">IF(AH63,xEURO(BB63,Strike2,AE63,AE63,BG63,O63,IF(OptControl=3,1,0),2),0)</f>
        <v>0</v>
      </c>
      <c r="BP63" s="324" t="n">
        <f aca="false">IF(AH63,xEURO(BB63,Strike2,AE63,AE63,BG63,O63,IF(OptControl=3,1,0),3)/100,0)</f>
        <v>0</v>
      </c>
      <c r="BQ63" s="327" t="n">
        <f aca="false">IF(AH63,xEURO(BB63,Strike2,AE63,AE63,BG63,O63-DaysForThetaCalculation,IF(OptControl=3,1,0),0)-xEURO(BB63,Strike2,AE63,AE63,BG63,O63,IF(OptControl=3,1,0),0),0)</f>
        <v>0</v>
      </c>
      <c r="BR63" s="343"/>
      <c r="BS63" s="314" t="n">
        <v>23.759</v>
      </c>
      <c r="BT63" s="329" t="n">
        <f aca="false">BS63*100/42</f>
        <v>56.5690476190476</v>
      </c>
      <c r="BU63" s="329" t="n">
        <f aca="false">BS64-$U63</f>
        <v>6.02291304347823</v>
      </c>
      <c r="BV63" s="224"/>
      <c r="BW63" s="329" t="n">
        <f aca="false">BW51+VLOOKUP(1900+$L63,ProductSpreadTable,2)</f>
        <v>11.5738260869565</v>
      </c>
      <c r="BX63" s="329" t="n">
        <f aca="false">($V62+BW62)*100/42</f>
        <v>71.9906385281387</v>
      </c>
      <c r="BY63" s="332" t="n">
        <f aca="false">BX64</f>
        <v>72.0355072463769</v>
      </c>
      <c r="BZ63" s="314" t="n">
        <v>22.499</v>
      </c>
      <c r="CA63" s="329" t="n">
        <f aca="false">BZ63*100/42</f>
        <v>53.5690476190476</v>
      </c>
      <c r="CB63" s="329" t="n">
        <f aca="false">BZ63-$U63</f>
        <v>3.81791304347824</v>
      </c>
      <c r="CC63" s="329" t="n">
        <f aca="false">CC51+VLOOKUP(1900+$L63,ProductSpreadTable,3)</f>
        <v>10.0618260869565</v>
      </c>
      <c r="CD63" s="329" t="n">
        <f aca="false">($V63+CC63)*100/42</f>
        <v>68.4355072463769</v>
      </c>
      <c r="CE63" s="333" t="n">
        <f aca="false">CD63-BY63</f>
        <v>-3.59999999999999</v>
      </c>
      <c r="CF63" s="314" t="n">
        <v>23.722</v>
      </c>
      <c r="CG63" s="329" t="n">
        <f aca="false">CF63*100/42</f>
        <v>56.4809523809524</v>
      </c>
      <c r="CH63" s="329" t="n">
        <f aca="false">CF64-$U63</f>
        <v>4.59991304347823</v>
      </c>
      <c r="CI63" s="224"/>
      <c r="CJ63" s="329" t="n">
        <f aca="false">CJ51+VLOOKUP(1900+$L63,ProductSpreadTable,4)</f>
        <v>10.8938260869565</v>
      </c>
      <c r="CK63" s="329" t="n">
        <f aca="false">($V62+CJ62)*100/42</f>
        <v>71.4215909090911</v>
      </c>
      <c r="CL63" s="329" t="n">
        <f aca="false">CK64</f>
        <v>70.4164596273293</v>
      </c>
      <c r="CM63" s="314" t="n">
        <v>22.147</v>
      </c>
      <c r="CN63" s="329" t="n">
        <f aca="false">CM63*100/42</f>
        <v>52.7309523809524</v>
      </c>
      <c r="CO63" s="329" t="n">
        <f aca="false">CM63-$U63</f>
        <v>3.46591304347824</v>
      </c>
      <c r="CP63" s="329" t="n">
        <f aca="false">CP51+VLOOKUP(1900+$L63,ProductSpreadTable,5)</f>
        <v>9.78082608695654</v>
      </c>
      <c r="CQ63" s="329" t="n">
        <f aca="false">($V63+CP63)*100/42</f>
        <v>67.7664596273293</v>
      </c>
      <c r="CR63" s="333" t="n">
        <f aca="false">CQ63-CL63</f>
        <v>-2.65000000000001</v>
      </c>
      <c r="CS63" s="314" t="n">
        <v>23.407</v>
      </c>
      <c r="CT63" s="329" t="n">
        <f aca="false">CS63*100/42</f>
        <v>55.7309523809524</v>
      </c>
      <c r="CU63" s="329" t="n">
        <f aca="false">CT63-CG64</f>
        <v>0.300000000000011</v>
      </c>
      <c r="CV63" s="329" t="n">
        <f aca="false">CV51+VLOOKUP(1900+$L63,ProductSpreadTable,6)</f>
        <v>1.20000000000001</v>
      </c>
      <c r="CW63" s="333" t="n">
        <f aca="false">CL63+CV63</f>
        <v>71.6164596273293</v>
      </c>
      <c r="CX63" s="318" t="n">
        <v>0.199</v>
      </c>
      <c r="CY63" s="326" t="n">
        <f aca="false">CX63-$W63</f>
        <v>0.00040571305162504</v>
      </c>
      <c r="CZ63" s="326" t="n">
        <f aca="false">VLOOKUP(1900+$L63,ProductSpreadTable,7)</f>
        <v>-0.03</v>
      </c>
      <c r="DA63" s="365" t="n">
        <f aca="false">$W63+CZ63</f>
        <v>0.168594286948375</v>
      </c>
      <c r="DB63" s="318" t="n">
        <v>0.199</v>
      </c>
      <c r="DC63" s="326" t="n">
        <f aca="false">DB63-$W63</f>
        <v>0.00040571305162504</v>
      </c>
      <c r="DD63" s="326" t="n">
        <f aca="false">VLOOKUP(1900+$L63,ProductSpreadTable,8)</f>
        <v>0.03</v>
      </c>
      <c r="DE63" s="365" t="n">
        <f aca="false">$W63+DD63</f>
        <v>0.228594286948375</v>
      </c>
      <c r="DG63" s="336"/>
      <c r="DH63" s="314" t="n">
        <v>16.348</v>
      </c>
      <c r="DI63" s="325" t="n">
        <f aca="false">DH63-$U63</f>
        <v>-2.33308695652177</v>
      </c>
      <c r="DJ63" s="325" t="n">
        <f aca="false">VLOOKUP(1900+$L63,ResidSpreadTable,2)</f>
        <v>-2</v>
      </c>
      <c r="DK63" s="337" t="n">
        <f aca="false">$V63+DJ63</f>
        <v>16.6810869565218</v>
      </c>
      <c r="DL63" s="314" t="n">
        <v>13.748</v>
      </c>
      <c r="DM63" s="325" t="n">
        <f aca="false">DL63-$U63</f>
        <v>-4.93308695652177</v>
      </c>
      <c r="DN63" s="325" t="n">
        <f aca="false">VLOOKUP(1900+$L63,ResidSpreadTable,3)</f>
        <v>-3</v>
      </c>
      <c r="DO63" s="337" t="n">
        <f aca="false">$V63+DN63</f>
        <v>15.6810869565218</v>
      </c>
      <c r="DP63" s="314" t="n">
        <v>12.998</v>
      </c>
      <c r="DQ63" s="325" t="n">
        <f aca="false">DP63-$U63</f>
        <v>-5.68308695652177</v>
      </c>
      <c r="DR63" s="325" t="n">
        <f aca="false">VLOOKUP(1900+$L63,ResidSpreadTable,4)</f>
        <v>-6</v>
      </c>
      <c r="DS63" s="337" t="n">
        <f aca="false">$V63+DR63</f>
        <v>12.6810869565218</v>
      </c>
      <c r="DT63" s="314" t="n">
        <v>15.048</v>
      </c>
      <c r="DU63" s="325" t="n">
        <f aca="false">DT63-$U63</f>
        <v>-3.63308695652177</v>
      </c>
      <c r="DV63" s="325" t="n">
        <f aca="false">VLOOKUP(1900+$L63,ResidSpreadTable,5)</f>
        <v>-5</v>
      </c>
      <c r="DW63" s="337" t="n">
        <f aca="false">$V63+DV63</f>
        <v>13.6810869565218</v>
      </c>
    </row>
    <row r="64" customFormat="false" ht="12.75" hidden="false" customHeight="false" outlineLevel="0" collapsed="false">
      <c r="B64" s="371" t="n">
        <v>37500</v>
      </c>
      <c r="C64" s="391" t="n">
        <v>37489</v>
      </c>
      <c r="I64" s="338" t="n">
        <f aca="false">EOMONTH(I63,0)+1</f>
        <v>47696</v>
      </c>
      <c r="J64" s="389" t="n">
        <f aca="false">VLOOKUP(I64,$B$12:$C$332,2)</f>
        <v>45644</v>
      </c>
      <c r="K64" s="339" t="n">
        <f aca="false">NETWORKDAYS(I64,J65)/N64</f>
        <v>-66.6818181818182</v>
      </c>
      <c r="L64" s="309" t="n">
        <f aca="false">YEAR(I64)-1900</f>
        <v>130</v>
      </c>
      <c r="M64" s="310" t="n">
        <f aca="false">MONTH(I64)</f>
        <v>8</v>
      </c>
      <c r="N64" s="340" t="n">
        <f aca="false">NETWORKDAYS(I64,I65-1)</f>
        <v>22</v>
      </c>
      <c r="O64" s="341" t="n">
        <f aca="false">I64-DateToday-IF(EuroExpDateToggle=1,3+IF(WEEKDAY(I64-1)=7,1,IF(WEEKDAY(I64-1)&lt;5,2,0)),1+IF(WEEKDAY(I64-1)=7,1,IF(WEEKDAY(I64-1)&lt;3,2,0)))</f>
        <v>1765</v>
      </c>
      <c r="P64" s="342" t="n">
        <f aca="false">(I64-DateToday+1)/365.25</f>
        <v>4.84873374401095</v>
      </c>
      <c r="Q64" s="342" t="n">
        <f aca="false">(I65-DateToday)/365.25</f>
        <v>4.93086926762492</v>
      </c>
      <c r="R64" s="314" t="n">
        <v>19</v>
      </c>
      <c r="S64" s="347" t="n">
        <v>0</v>
      </c>
      <c r="T64" s="316" t="n">
        <f aca="false">R64+S64/100</f>
        <v>19</v>
      </c>
      <c r="U64" s="325" t="n">
        <f aca="false">R65*K64+R66*(1-K64)</f>
        <v>18.6565909090909</v>
      </c>
      <c r="V64" s="337" t="n">
        <f aca="false">T65*K64+T66*(1-K64)</f>
        <v>18.6565909090909</v>
      </c>
      <c r="W64" s="318" t="n">
        <v>0.198304123374695</v>
      </c>
      <c r="X64" s="319" t="str">
        <f aca="false">IF($I64-DateToday+1&gt;=$A$10,"",IF($I64-DateToday+1&lt;$A$5,1,MATCH($I64-DateToday+1,$A$5:$A$10)))</f>
        <v/>
      </c>
      <c r="Y64" s="348" t="n">
        <f aca="false">IF($X64="",Y63^2/Y62,INDEX(B$5:B$10,$X64)^((INDEX($A$5:$A$10,$X64+1)-($I64-DateToday+1))/(INDEX($A$5:$A$10,$X64+1)-INDEX($A$5:$A$10,$X64)))/INDEX(B$5:B$10,$X64+1)^((INDEX($A$5:$A$10,$X64)-($I64-DateToday+1))/(INDEX($A$5:$A$10,$X64+1)-INDEX($A$5:$A$10,$X64))))</f>
        <v>0.0043694528300479</v>
      </c>
      <c r="Z64" s="348" t="n">
        <f aca="false">IF($X64="",Z63^2/Z62,INDEX(C$5:C$10,$X64)^((INDEX($A$5:$A$10,$X64+1)-($I64-DateToday+1))/(INDEX($A$5:$A$10,$X64+1)-INDEX($A$5:$A$10,$X64)))/INDEX(C$5:C$10,$X64+1)^((INDEX($A$5:$A$10,$X64)-($I64-DateToday+1))/(INDEX($A$5:$A$10,$X64+1)-INDEX($A$5:$A$10,$X64))))</f>
        <v>0.0019704420234594</v>
      </c>
      <c r="AA64" s="348" t="n">
        <f aca="false">IF($X64="",AA63^2/AA62,INDEX(D$5:D$10,$X64)^((INDEX($A$5:$A$10,$X64+1)-($I64-DateToday+1))/(INDEX($A$5:$A$10,$X64+1)-INDEX($A$5:$A$10,$X64)))/INDEX(D$5:D$10,$X64+1)^((INDEX($A$5:$A$10,$X64)-($I64-DateToday+1))/(INDEX($A$5:$A$10,$X64+1)-INDEX($A$5:$A$10,$X64))))</f>
        <v>0.000803414804576388</v>
      </c>
      <c r="AB64" s="348" t="n">
        <f aca="false">IF($X64="",AB63^2/AB62,INDEX(E$5:E$10,$X64)^((INDEX($A$5:$A$10,$X64+1)-($I64-DateToday+1))/(INDEX($A$5:$A$10,$X64+1)-INDEX($A$5:$A$10,$X64)))/INDEX(E$5:E$10,$X64+1)^((INDEX($A$5:$A$10,$X64)-($I64-DateToday+1))/(INDEX($A$5:$A$10,$X64+1)-INDEX($A$5:$A$10,$X64))))</f>
        <v>0.0018099328717497</v>
      </c>
      <c r="AC64" s="348" t="n">
        <f aca="false">IF($X64="",AC63^2/AC62,INDEX(F$5:F$10,$X64)^((INDEX($A$5:$A$10,$X64+1)-($I64-DateToday+1))/(INDEX($A$5:$A$10,$X64+1)-INDEX($A$5:$A$10,$X64)))/INDEX(F$5:F$10,$X64+1)^((INDEX($A$5:$A$10,$X64)-($I64-DateToday+1))/(INDEX($A$5:$A$10,$X64+1)-INDEX($A$5:$A$10,$X64))))</f>
        <v>0.00443901179044935</v>
      </c>
      <c r="AD64" s="348" t="n">
        <f aca="false">IF($X64="",AD63^2/AD62,INDEX(G$5:G$10,$X64)^((INDEX($A$5:$A$10,$X64+1)-($I64-DateToday+1))/(INDEX($A$5:$A$10,$X64+1)-INDEX($A$5:$A$10,$X64)))/INDEX(G$5:G$10,$X64+1)^((INDEX($A$5:$A$10,$X64)-($I64-DateToday+1))/(INDEX($A$5:$A$10,$X64+1)-INDEX($A$5:$A$10,$X64))))</f>
        <v>0.00984350333553168</v>
      </c>
      <c r="AE64" s="321" t="n">
        <v>0.073016409134082</v>
      </c>
      <c r="AF64" s="316" t="n">
        <f aca="false">(1+AE64/2)^(-2*(I65-DateToday)/365.25)</f>
        <v>0.702143159287074</v>
      </c>
      <c r="AG64" s="316" t="n">
        <f aca="false">AG63*(1+IF(AND(M64=1,L64&gt;YearStart),Escalation,0))</f>
        <v>1</v>
      </c>
      <c r="AH64" s="322" t="n">
        <f aca="false">IF(OR(DateStart&gt;=I65,DateEnd&lt;I64),0,Volume*AG64)</f>
        <v>0</v>
      </c>
      <c r="AI64" s="322" t="n">
        <f aca="false">AH64*AF64</f>
        <v>0</v>
      </c>
      <c r="AJ64" s="322" t="n">
        <f aca="false">IF(OR(DateStart2&gt;=I65,DateEnd2&lt;I64),0,VolumeSwaption*AG64)</f>
        <v>0</v>
      </c>
      <c r="AK64" s="322" t="n">
        <f aca="false">AJ64*AF64</f>
        <v>0</v>
      </c>
      <c r="AL64" s="316" t="str">
        <f aca="true">IF(AH64,OFFSET(BY64,0,HorizontalPriceOffset)+PriceSpreadAsian,"")</f>
        <v/>
      </c>
      <c r="AM64" s="316" t="str">
        <f aca="false">IF(AH64,Strike1/AL64-1,"")</f>
        <v/>
      </c>
      <c r="AN64" s="316" t="str">
        <f aca="false">IF(AH64,Strike2/AL64-1,"")</f>
        <v/>
      </c>
      <c r="AO64" s="323" t="str">
        <f aca="false">IF(AH64,IF(VolOverrideAsian,VolOverrideAsian,IF(ProductGroup=1,IF(Product&lt;3,DA65,DE65),W65)+VolSpreadAsian),"")</f>
        <v/>
      </c>
      <c r="AP64" s="323" t="str">
        <f aca="false">IF($AH64,$AO64+IF(SkewFlag=1,IF(AM64&gt;0,$AA64*MIN(AM64/10%,1)+($Z64-$AA64)*MAX(0,MIN(AM64/10%-1,1))+($Y64-$Z64)*MAX(0,AM64/10%-2),$AB64*MIN(-AM64/10%,1)+($AC64-$AB64)*MAX(0,MIN(-AM64/10%-1,1))+($AD64-$AC64)*MAX(0,-AM64/10%-2)),0),"")</f>
        <v/>
      </c>
      <c r="AQ64" s="323" t="str">
        <f aca="false">IF($AH64,$AO64+IF(SkewFlag=1,IF(AN64&gt;0,$AA64*MIN(AN64/10%,1)+($Z64-$AA64)*MAX(0,MIN(AN64/10%-1,1))+($Y64-$Z64)*MAX(0,AN64/10%-2),$AB64*MIN(-AN64/10%,1)+($AC64-$AB64)*MAX(0,MIN(-AN64/10%-1,1))+($AD64-$AC64)*MAX(0,-AN64/10%-2)),0),"")</f>
        <v/>
      </c>
      <c r="AR64" s="324" t="n">
        <f aca="false">IF(AH64,xASN(AL64,Strike1,AE64,AP64,0,N64,0,P64,Q64,IF(OptControl=4,0,1),0),0)</f>
        <v>0</v>
      </c>
      <c r="AS64" s="324" t="n">
        <f aca="false">IF(AH64,xASN(AL64,Strike1,AE64,AP64,0,N64,0,P64,Q64,IF(OptControl=4,0,1),1),0)</f>
        <v>0</v>
      </c>
      <c r="AT64" s="324" t="n">
        <f aca="false">IF(AH64,xASN(AL64,Strike1,AE64,AP64,0,N64,0,P64,Q64,IF(OptControl=4,0,1),2),0)</f>
        <v>0</v>
      </c>
      <c r="AU64" s="324" t="n">
        <f aca="false">IF(AH64,xASN(AL64,Strike1,AE64,AP64,0,N64,0,P64,Q64,IF(OptControl=4,0,1),3)/100,0)</f>
        <v>0</v>
      </c>
      <c r="AV64" s="324" t="n">
        <f aca="false">IF(AH64,xASN(AL64,Strike1,AE64,AP64,0,N64,0,P64-DaysForThetaCalculation/365.25,Q64-DaysForThetaCalculation/365.25,IF(OptControl=4,0,1),0)-xASN(AL64,Strike1,AE64,AP64,0,N64,0,P64,Q64,IF(OptControl=4,0,1),0),0)</f>
        <v>0</v>
      </c>
      <c r="AW64" s="324" t="n">
        <f aca="false">IF(AH64,xASN(AL64,Strike2,AE64,AQ64,0,N64,0,P64,Q64,IF(OptControl=3,1,0),0),0)</f>
        <v>0</v>
      </c>
      <c r="AX64" s="324" t="n">
        <f aca="false">IF(AH64,xASN(AL64,Strike2,AE64,AQ64,0,N64,0,P64,Q64,IF(OptControl=3,1,0),1),0)</f>
        <v>0</v>
      </c>
      <c r="AY64" s="324" t="n">
        <f aca="false">IF(AH64,xASN(AL64,Strike2,AE64,AQ64,0,N64,0,P64,Q64,IF(OptControl=3,1,0),2),0)</f>
        <v>0</v>
      </c>
      <c r="AZ64" s="324" t="n">
        <f aca="false">IF(AH64,xASN(AL64,Strike2,AE64,AQ64,0,N64,0,P64,Q64,IF(OptControl=3,1,0),3)/100,0)</f>
        <v>0</v>
      </c>
      <c r="BA64" s="324" t="n">
        <f aca="false">IF(AH64,xASN(AL64,Strike2,AE64,AQ64,0,N64,0,P64-DaysForThetaCalculation/365.25,Q64-DaysForThetaCalculation/365.25,IF(OptControl=3,1,0),0)-xASN(AL64,Strike2,AE64,AQ64,0,N64,0,P64,Q64,IF(OptControl=3,1,0),0),0)</f>
        <v>0</v>
      </c>
      <c r="BB64" s="325" t="str">
        <f aca="false">IF(AH64,IF(ProductGroup=1,IF(Product=1,BX64+PriceSpreadEuro,IF(Product=3,CK64+PriceSpreadEuro,"N/A")),"N/A"),"")</f>
        <v/>
      </c>
      <c r="BC64" s="316" t="str">
        <f aca="false">IF(AH64,Strike1/BB64-1,"")</f>
        <v/>
      </c>
      <c r="BD64" s="316" t="str">
        <f aca="false">IF(AH64,Strike2/BB64-1,"")</f>
        <v/>
      </c>
      <c r="BE64" s="326" t="str">
        <f aca="false">IF(AH64,IF(VolOverrideEuro,VolOverrideEuro,IF(ProductGroup=1,IF(Product&lt;3,DA64,DE64)+VolSpreadEuro,"N/A")),"")</f>
        <v/>
      </c>
      <c r="BF64" s="323" t="str">
        <f aca="false">IF($AH64,$BE64+IF(SkewFlag=1,IF(BC64&gt;0,$AA64*MIN(BC64/10%,1)+($Z64-$AA64)*MAX(0,MIN(BC64/10%-1,1))+($Y64-$Z64)*MAX(0,BC64/10%-2),$AB64*MIN(-BC64/10%,1)+($AC64-$AB64)*MAX(0,MIN(-BC64/10%-1,1))+($AD64-$AC64)*MAX(0,-BC64/10%-2)),0),"")</f>
        <v/>
      </c>
      <c r="BG64" s="323" t="str">
        <f aca="false">IF($AH64,$BE64+IF(SkewFlag=1,IF(BD64&gt;0,$AA64*MIN(BD64/10%,1)+($Z64-$AA64)*MAX(0,MIN(BD64/10%-1,1))+($Y64-$Z64)*MAX(0,BD64/10%-2),$AB64*MIN(-BD64/10%,1)+($AC64-$AB64)*MAX(0,MIN(-BD64/10%-1,1))+($AD64-$AC64)*MAX(0,-BD64/10%-2)),0),"")</f>
        <v/>
      </c>
      <c r="BH64" s="324" t="n">
        <f aca="false">IF(AH64,xEURO(BB64,Strike1,AE64,AE64,BF64,O64,IF(OptControl=4,0,1),0),0)</f>
        <v>0</v>
      </c>
      <c r="BI64" s="324" t="n">
        <f aca="false">IF(AH64,xEURO(BB64,Strike1,AE64,AE64,BF64,O64,IF(OptControl=4,0,1),1),0)</f>
        <v>0</v>
      </c>
      <c r="BJ64" s="324" t="n">
        <f aca="false">IF(AH64,xEURO(BB64,Strike1,AE64,AE64,BF64,O64,IF(OptControl=4,0,1),2),0)</f>
        <v>0</v>
      </c>
      <c r="BK64" s="324" t="n">
        <f aca="false">IF(AH64,xEURO(BB64,Strike1,AE64,AE64,BF64,O64,IF(OptControl=4,0,1),3)/100,0)</f>
        <v>0</v>
      </c>
      <c r="BL64" s="324" t="n">
        <f aca="false">IF(AH64,xEURO(BB64,Strike1,AE64,AE64,BF64,O64-DaysForThetaCalculation,IF(OptControl=4,0,1),0)-xEURO(BB64,Strike1,AE64,AE64,BF64,O64,IF(OptControl=4,0,1),0),0)</f>
        <v>0</v>
      </c>
      <c r="BM64" s="324" t="n">
        <f aca="false">IF(AH64,xEURO(BB64,Strike2,AE64,AE64,BG64,O64,IF(OptControl=3,1,0),0),0)</f>
        <v>0</v>
      </c>
      <c r="BN64" s="324" t="n">
        <f aca="false">IF(AH64,xEURO(BB64,Strike2,AE64,AE64,BG64,O64,IF(OptControl=3,1,0),1),0)</f>
        <v>0</v>
      </c>
      <c r="BO64" s="324" t="n">
        <f aca="false">IF(AH64,xEURO(BB64,Strike2,AE64,AE64,BG64,O64,IF(OptControl=3,1,0),2),0)</f>
        <v>0</v>
      </c>
      <c r="BP64" s="324" t="n">
        <f aca="false">IF(AH64,xEURO(BB64,Strike2,AE64,AE64,BG64,O64,IF(OptControl=3,1,0),3)/100,0)</f>
        <v>0</v>
      </c>
      <c r="BQ64" s="327" t="n">
        <f aca="false">IF(AH64,xEURO(BB64,Strike2,AE64,AE64,BG64,O64-DaysForThetaCalculation,IF(OptControl=3,1,0),0)-xEURO(BB64,Strike2,AE64,AE64,BG64,O64,IF(OptControl=3,1,0),0),0)</f>
        <v>0</v>
      </c>
      <c r="BR64" s="343"/>
      <c r="BS64" s="314" t="n">
        <v>24.704</v>
      </c>
      <c r="BT64" s="329" t="n">
        <f aca="false">BS64*100/42</f>
        <v>58.8190476190476</v>
      </c>
      <c r="BU64" s="329" t="n">
        <f aca="false">BS65-$U64</f>
        <v>6.37540909090907</v>
      </c>
      <c r="BV64" s="224"/>
      <c r="BW64" s="329" t="n">
        <f aca="false">BW52+VLOOKUP(1900+$L64,ProductSpreadTable,2)</f>
        <v>12.8765714285714</v>
      </c>
      <c r="BX64" s="329" t="n">
        <f aca="false">($V63+BW63)*100/42</f>
        <v>72.0355072463769</v>
      </c>
      <c r="BY64" s="332" t="n">
        <f aca="false">BX65</f>
        <v>75.0789579468152</v>
      </c>
      <c r="BZ64" s="314" t="n">
        <v>22.827</v>
      </c>
      <c r="CA64" s="329" t="n">
        <f aca="false">BZ64*100/42</f>
        <v>54.35</v>
      </c>
      <c r="CB64" s="329" t="n">
        <f aca="false">BZ64-$U64</f>
        <v>4.17040909090906</v>
      </c>
      <c r="CC64" s="329" t="n">
        <f aca="false">CC52+VLOOKUP(1900+$L64,ProductSpreadTable,3)</f>
        <v>11.3185714285714</v>
      </c>
      <c r="CD64" s="329" t="n">
        <f aca="false">($V64+CC64)*100/42</f>
        <v>71.3694341372914</v>
      </c>
      <c r="CE64" s="333" t="n">
        <f aca="false">CD64-BY64</f>
        <v>-3.70952380952382</v>
      </c>
      <c r="CF64" s="314" t="n">
        <v>23.281</v>
      </c>
      <c r="CG64" s="329" t="n">
        <f aca="false">CF64*100/42</f>
        <v>55.4309523809524</v>
      </c>
      <c r="CH64" s="329" t="n">
        <f aca="false">CF65-$U64</f>
        <v>3.90540909090907</v>
      </c>
      <c r="CI64" s="224"/>
      <c r="CJ64" s="329" t="n">
        <f aca="false">CJ52+VLOOKUP(1900+$L64,ProductSpreadTable,4)</f>
        <v>11.1045714285714</v>
      </c>
      <c r="CK64" s="329" t="n">
        <f aca="false">($V63+CJ63)*100/42</f>
        <v>70.4164596273293</v>
      </c>
      <c r="CL64" s="329" t="n">
        <f aca="false">CK65</f>
        <v>70.8599103277675</v>
      </c>
      <c r="CM64" s="314" t="n">
        <v>21.428</v>
      </c>
      <c r="CN64" s="329" t="n">
        <f aca="false">CM64*100/42</f>
        <v>51.0190476190476</v>
      </c>
      <c r="CO64" s="329" t="n">
        <f aca="false">CM64-$U64</f>
        <v>2.77140909090906</v>
      </c>
      <c r="CP64" s="329" t="n">
        <f aca="false">CP52+VLOOKUP(1900+$L64,ProductSpreadTable,5)</f>
        <v>9.99157142857143</v>
      </c>
      <c r="CQ64" s="329" t="n">
        <f aca="false">($V64+CP64)*100/42</f>
        <v>68.2099103277676</v>
      </c>
      <c r="CR64" s="333" t="n">
        <f aca="false">CQ64-CL64</f>
        <v>-2.64999999999999</v>
      </c>
      <c r="CS64" s="314" t="n">
        <v>22.688</v>
      </c>
      <c r="CT64" s="329" t="n">
        <f aca="false">CS64*100/42</f>
        <v>54.0190476190476</v>
      </c>
      <c r="CU64" s="329" t="n">
        <f aca="false">CT64-CG65</f>
        <v>0.299999999999997</v>
      </c>
      <c r="CV64" s="329" t="n">
        <f aca="false">CV52+VLOOKUP(1900+$L64,ProductSpreadTable,6)</f>
        <v>1.20000000000001</v>
      </c>
      <c r="CW64" s="333" t="n">
        <f aca="false">CL64+CV64</f>
        <v>72.0599103277675</v>
      </c>
      <c r="CX64" s="318" t="n">
        <v>0.198</v>
      </c>
      <c r="CY64" s="326" t="n">
        <f aca="false">CX64-$W64</f>
        <v>-0.000304123374695042</v>
      </c>
      <c r="CZ64" s="326" t="n">
        <f aca="false">VLOOKUP(1900+$L64,ProductSpreadTable,7)</f>
        <v>-0.03</v>
      </c>
      <c r="DA64" s="365" t="n">
        <f aca="false">$W64+CZ64</f>
        <v>0.168304123374695</v>
      </c>
      <c r="DB64" s="318" t="n">
        <v>0.198</v>
      </c>
      <c r="DC64" s="326" t="n">
        <f aca="false">DB64-$W64</f>
        <v>-0.000304123374695042</v>
      </c>
      <c r="DD64" s="326" t="n">
        <f aca="false">VLOOKUP(1900+$L64,ProductSpreadTable,8)</f>
        <v>0.03</v>
      </c>
      <c r="DE64" s="365" t="n">
        <f aca="false">$W64+DD64</f>
        <v>0.228304123374695</v>
      </c>
      <c r="DG64" s="336"/>
      <c r="DH64" s="314" t="n">
        <v>16.344</v>
      </c>
      <c r="DI64" s="325" t="n">
        <f aca="false">DH64-$U64</f>
        <v>-2.31259090909094</v>
      </c>
      <c r="DJ64" s="325" t="n">
        <f aca="false">VLOOKUP(1900+$L64,ResidSpreadTable,2)</f>
        <v>-2</v>
      </c>
      <c r="DK64" s="337" t="n">
        <f aca="false">$V64+DJ64</f>
        <v>16.6565909090909</v>
      </c>
      <c r="DL64" s="314" t="n">
        <v>13.744</v>
      </c>
      <c r="DM64" s="325" t="n">
        <f aca="false">DL64-$U64</f>
        <v>-4.91259090909094</v>
      </c>
      <c r="DN64" s="325" t="n">
        <f aca="false">VLOOKUP(1900+$L64,ResidSpreadTable,3)</f>
        <v>-3</v>
      </c>
      <c r="DO64" s="337" t="n">
        <f aca="false">$V64+DN64</f>
        <v>15.6565909090909</v>
      </c>
      <c r="DP64" s="314" t="n">
        <v>12.994</v>
      </c>
      <c r="DQ64" s="325" t="n">
        <f aca="false">DP64-$U64</f>
        <v>-5.66259090909094</v>
      </c>
      <c r="DR64" s="325" t="n">
        <f aca="false">VLOOKUP(1900+$L64,ResidSpreadTable,4)</f>
        <v>-6</v>
      </c>
      <c r="DS64" s="337" t="n">
        <f aca="false">$V64+DR64</f>
        <v>12.6565909090909</v>
      </c>
      <c r="DT64" s="314" t="n">
        <v>15.044</v>
      </c>
      <c r="DU64" s="325" t="n">
        <f aca="false">DT64-$U64</f>
        <v>-3.61259090909094</v>
      </c>
      <c r="DV64" s="325" t="n">
        <f aca="false">VLOOKUP(1900+$L64,ResidSpreadTable,5)</f>
        <v>-5</v>
      </c>
      <c r="DW64" s="337" t="n">
        <f aca="false">$V64+DV64</f>
        <v>13.6565909090909</v>
      </c>
    </row>
    <row r="65" customFormat="false" ht="12.75" hidden="false" customHeight="false" outlineLevel="0" collapsed="false">
      <c r="B65" s="371" t="n">
        <v>37530</v>
      </c>
      <c r="C65" s="391" t="n">
        <v>37519</v>
      </c>
      <c r="I65" s="338" t="n">
        <f aca="false">EOMONTH(I64,0)+1</f>
        <v>47727</v>
      </c>
      <c r="J65" s="389" t="n">
        <f aca="false">VLOOKUP(I65,$B$12:$C$332,2)</f>
        <v>45644</v>
      </c>
      <c r="K65" s="339" t="n">
        <f aca="false">NETWORKDAYS(I65,J66)/N65</f>
        <v>-70.8571428571429</v>
      </c>
      <c r="L65" s="309" t="n">
        <f aca="false">YEAR(I65)-1900</f>
        <v>130</v>
      </c>
      <c r="M65" s="310" t="n">
        <f aca="false">MONTH(I65)</f>
        <v>9</v>
      </c>
      <c r="N65" s="340" t="n">
        <f aca="false">NETWORKDAYS(I65,I66-1)</f>
        <v>21</v>
      </c>
      <c r="O65" s="341" t="n">
        <f aca="false">I65-DateToday-IF(EuroExpDateToggle=1,3+IF(WEEKDAY(I65-1)=7,1,IF(WEEKDAY(I65-1)&lt;5,2,0)),1+IF(WEEKDAY(I65-1)=7,1,IF(WEEKDAY(I65-1)&lt;3,2,0)))</f>
        <v>1797</v>
      </c>
      <c r="P65" s="342" t="n">
        <f aca="false">(I65-DateToday+1)/365.25</f>
        <v>4.93360711841205</v>
      </c>
      <c r="Q65" s="342" t="n">
        <f aca="false">(I66-DateToday)/365.25</f>
        <v>5.01300479123888</v>
      </c>
      <c r="R65" s="314" t="n">
        <v>18.995</v>
      </c>
      <c r="S65" s="347" t="n">
        <v>0</v>
      </c>
      <c r="T65" s="316" t="n">
        <f aca="false">R65+S65/100</f>
        <v>18.995</v>
      </c>
      <c r="U65" s="325" t="n">
        <f aca="false">R66*K65+R67*(1-K65)</f>
        <v>18.6307142857142</v>
      </c>
      <c r="V65" s="337" t="n">
        <f aca="false">T66*K65+T67*(1-K65)</f>
        <v>18.6307142857142</v>
      </c>
      <c r="W65" s="318" t="n">
        <v>0.19830017508722</v>
      </c>
      <c r="X65" s="319" t="str">
        <f aca="false">IF($I65-DateToday+1&gt;=$A$10,"",IF($I65-DateToday+1&lt;$A$5,1,MATCH($I65-DateToday+1,$A$5:$A$10)))</f>
        <v/>
      </c>
      <c r="Y65" s="348" t="n">
        <f aca="false">IF($X65="",Y64^2/Y63,INDEX(B$5:B$10,$X65)^((INDEX($A$5:$A$10,$X65+1)-($I65-DateToday+1))/(INDEX($A$5:$A$10,$X65+1)-INDEX($A$5:$A$10,$X65)))/INDEX(B$5:B$10,$X65+1)^((INDEX($A$5:$A$10,$X65)-($I65-DateToday+1))/(INDEX($A$5:$A$10,$X65+1)-INDEX($A$5:$A$10,$X65))))</f>
        <v>0.00427590949057657</v>
      </c>
      <c r="Z65" s="348" t="n">
        <f aca="false">IF($X65="",Z64^2/Z63,INDEX(C$5:C$10,$X65)^((INDEX($A$5:$A$10,$X65+1)-($I65-DateToday+1))/(INDEX($A$5:$A$10,$X65+1)-INDEX($A$5:$A$10,$X65)))/INDEX(C$5:C$10,$X65+1)^((INDEX($A$5:$A$10,$X65)-($I65-DateToday+1))/(INDEX($A$5:$A$10,$X65+1)-INDEX($A$5:$A$10,$X65))))</f>
        <v>0.00191793386391425</v>
      </c>
      <c r="AA65" s="348" t="n">
        <f aca="false">IF($X65="",AA64^2/AA63,INDEX(D$5:D$10,$X65)^((INDEX($A$5:$A$10,$X65+1)-($I65-DateToday+1))/(INDEX($A$5:$A$10,$X65+1)-INDEX($A$5:$A$10,$X65)))/INDEX(D$5:D$10,$X65+1)^((INDEX($A$5:$A$10,$X65)-($I65-DateToday+1))/(INDEX($A$5:$A$10,$X65+1)-INDEX($A$5:$A$10,$X65))))</f>
        <v>0.000779908458367312</v>
      </c>
      <c r="AB65" s="348" t="n">
        <f aca="false">IF($X65="",AB64^2/AB63,INDEX(E$5:E$10,$X65)^((INDEX($A$5:$A$10,$X65+1)-($I65-DateToday+1))/(INDEX($A$5:$A$10,$X65+1)-INDEX($A$5:$A$10,$X65)))/INDEX(E$5:E$10,$X65+1)^((INDEX($A$5:$A$10,$X65)-($I65-DateToday+1))/(INDEX($A$5:$A$10,$X65+1)-INDEX($A$5:$A$10,$X65))))</f>
        <v>0.0017569777750099</v>
      </c>
      <c r="AC65" s="348" t="n">
        <f aca="false">IF($X65="",AC64^2/AC63,INDEX(F$5:F$10,$X65)^((INDEX($A$5:$A$10,$X65+1)-($I65-DateToday+1))/(INDEX($A$5:$A$10,$X65+1)-INDEX($A$5:$A$10,$X65)))/INDEX(F$5:F$10,$X65+1)^((INDEX($A$5:$A$10,$X65)-($I65-DateToday+1))/(INDEX($A$5:$A$10,$X65+1)-INDEX($A$5:$A$10,$X65))))</f>
        <v>0.00432072140862606</v>
      </c>
      <c r="AD65" s="348" t="n">
        <f aca="false">IF($X65="",AD64^2/AD63,INDEX(G$5:G$10,$X65)^((INDEX($A$5:$A$10,$X65+1)-($I65-DateToday+1))/(INDEX($A$5:$A$10,$X65+1)-INDEX($A$5:$A$10,$X65)))/INDEX(G$5:G$10,$X65+1)^((INDEX($A$5:$A$10,$X65)-($I65-DateToday+1))/(INDEX($A$5:$A$10,$X65+1)-INDEX($A$5:$A$10,$X65))))</f>
        <v>0.00963276890037066</v>
      </c>
      <c r="AE65" s="321" t="n">
        <v>0.073057825196267</v>
      </c>
      <c r="AF65" s="316" t="n">
        <f aca="false">(1+AE65/2)^(-2*(I66-DateToday)/365.25)</f>
        <v>0.697879637940246</v>
      </c>
      <c r="AG65" s="316" t="n">
        <f aca="false">AG64*(1+IF(AND(M65=1,L65&gt;YearStart),Escalation,0))</f>
        <v>1</v>
      </c>
      <c r="AH65" s="322" t="n">
        <f aca="false">IF(OR(DateStart&gt;=I66,DateEnd&lt;I65),0,Volume*AG65)</f>
        <v>0</v>
      </c>
      <c r="AI65" s="322" t="n">
        <f aca="false">AH65*AF65</f>
        <v>0</v>
      </c>
      <c r="AJ65" s="322" t="n">
        <f aca="false">IF(OR(DateStart2&gt;=I66,DateEnd2&lt;I65),0,VolumeSwaption*AG65)</f>
        <v>0</v>
      </c>
      <c r="AK65" s="322" t="n">
        <f aca="false">AJ65*AF65</f>
        <v>0</v>
      </c>
      <c r="AL65" s="316" t="str">
        <f aca="true">IF(AH65,OFFSET(BY65,0,HorizontalPriceOffset)+PriceSpreadAsian,"")</f>
        <v/>
      </c>
      <c r="AM65" s="316" t="str">
        <f aca="false">IF(AH65,Strike1/AL65-1,"")</f>
        <v/>
      </c>
      <c r="AN65" s="316" t="str">
        <f aca="false">IF(AH65,Strike2/AL65-1,"")</f>
        <v/>
      </c>
      <c r="AO65" s="323" t="str">
        <f aca="false">IF(AH65,IF(VolOverrideAsian,VolOverrideAsian,IF(ProductGroup=1,IF(Product&lt;3,DA66,DE66),W66)+VolSpreadAsian),"")</f>
        <v/>
      </c>
      <c r="AP65" s="323" t="str">
        <f aca="false">IF($AH65,$AO65+IF(SkewFlag=1,IF(AM65&gt;0,$AA65*MIN(AM65/10%,1)+($Z65-$AA65)*MAX(0,MIN(AM65/10%-1,1))+($Y65-$Z65)*MAX(0,AM65/10%-2),$AB65*MIN(-AM65/10%,1)+($AC65-$AB65)*MAX(0,MIN(-AM65/10%-1,1))+($AD65-$AC65)*MAX(0,-AM65/10%-2)),0),"")</f>
        <v/>
      </c>
      <c r="AQ65" s="323" t="str">
        <f aca="false">IF($AH65,$AO65+IF(SkewFlag=1,IF(AN65&gt;0,$AA65*MIN(AN65/10%,1)+($Z65-$AA65)*MAX(0,MIN(AN65/10%-1,1))+($Y65-$Z65)*MAX(0,AN65/10%-2),$AB65*MIN(-AN65/10%,1)+($AC65-$AB65)*MAX(0,MIN(-AN65/10%-1,1))+($AD65-$AC65)*MAX(0,-AN65/10%-2)),0),"")</f>
        <v/>
      </c>
      <c r="AR65" s="324" t="n">
        <f aca="false">IF(AH65,xASN(AL65,Strike1,AE65,AP65,0,N65,0,P65,Q65,IF(OptControl=4,0,1),0),0)</f>
        <v>0</v>
      </c>
      <c r="AS65" s="324" t="n">
        <f aca="false">IF(AH65,xASN(AL65,Strike1,AE65,AP65,0,N65,0,P65,Q65,IF(OptControl=4,0,1),1),0)</f>
        <v>0</v>
      </c>
      <c r="AT65" s="324" t="n">
        <f aca="false">IF(AH65,xASN(AL65,Strike1,AE65,AP65,0,N65,0,P65,Q65,IF(OptControl=4,0,1),2),0)</f>
        <v>0</v>
      </c>
      <c r="AU65" s="324" t="n">
        <f aca="false">IF(AH65,xASN(AL65,Strike1,AE65,AP65,0,N65,0,P65,Q65,IF(OptControl=4,0,1),3)/100,0)</f>
        <v>0</v>
      </c>
      <c r="AV65" s="324" t="n">
        <f aca="false">IF(AH65,xASN(AL65,Strike1,AE65,AP65,0,N65,0,P65-DaysForThetaCalculation/365.25,Q65-DaysForThetaCalculation/365.25,IF(OptControl=4,0,1),0)-xASN(AL65,Strike1,AE65,AP65,0,N65,0,P65,Q65,IF(OptControl=4,0,1),0),0)</f>
        <v>0</v>
      </c>
      <c r="AW65" s="324" t="n">
        <f aca="false">IF(AH65,xASN(AL65,Strike2,AE65,AQ65,0,N65,0,P65,Q65,IF(OptControl=3,1,0),0),0)</f>
        <v>0</v>
      </c>
      <c r="AX65" s="324" t="n">
        <f aca="false">IF(AH65,xASN(AL65,Strike2,AE65,AQ65,0,N65,0,P65,Q65,IF(OptControl=3,1,0),1),0)</f>
        <v>0</v>
      </c>
      <c r="AY65" s="324" t="n">
        <f aca="false">IF(AH65,xASN(AL65,Strike2,AE65,AQ65,0,N65,0,P65,Q65,IF(OptControl=3,1,0),2),0)</f>
        <v>0</v>
      </c>
      <c r="AZ65" s="324" t="n">
        <f aca="false">IF(AH65,xASN(AL65,Strike2,AE65,AQ65,0,N65,0,P65,Q65,IF(OptControl=3,1,0),3)/100,0)</f>
        <v>0</v>
      </c>
      <c r="BA65" s="324" t="n">
        <f aca="false">IF(AH65,xASN(AL65,Strike2,AE65,AQ65,0,N65,0,P65-DaysForThetaCalculation/365.25,Q65-DaysForThetaCalculation/365.25,IF(OptControl=3,1,0),0)-xASN(AL65,Strike2,AE65,AQ65,0,N65,0,P65,Q65,IF(OptControl=3,1,0),0),0)</f>
        <v>0</v>
      </c>
      <c r="BB65" s="325" t="str">
        <f aca="false">IF(AH65,IF(ProductGroup=1,IF(Product=1,BX65+PriceSpreadEuro,IF(Product=3,CK65+PriceSpreadEuro,"N/A")),"N/A"),"")</f>
        <v/>
      </c>
      <c r="BC65" s="316" t="str">
        <f aca="false">IF(AH65,Strike1/BB65-1,"")</f>
        <v/>
      </c>
      <c r="BD65" s="316" t="str">
        <f aca="false">IF(AH65,Strike2/BB65-1,"")</f>
        <v/>
      </c>
      <c r="BE65" s="326" t="str">
        <f aca="false">IF(AH65,IF(VolOverrideEuro,VolOverrideEuro,IF(ProductGroup=1,IF(Product&lt;3,DA65,DE65)+VolSpreadEuro,"N/A")),"")</f>
        <v/>
      </c>
      <c r="BF65" s="323" t="str">
        <f aca="false">IF($AH65,$BE65+IF(SkewFlag=1,IF(BC65&gt;0,$AA65*MIN(BC65/10%,1)+($Z65-$AA65)*MAX(0,MIN(BC65/10%-1,1))+($Y65-$Z65)*MAX(0,BC65/10%-2),$AB65*MIN(-BC65/10%,1)+($AC65-$AB65)*MAX(0,MIN(-BC65/10%-1,1))+($AD65-$AC65)*MAX(0,-BC65/10%-2)),0),"")</f>
        <v/>
      </c>
      <c r="BG65" s="323" t="str">
        <f aca="false">IF($AH65,$BE65+IF(SkewFlag=1,IF(BD65&gt;0,$AA65*MIN(BD65/10%,1)+($Z65-$AA65)*MAX(0,MIN(BD65/10%-1,1))+($Y65-$Z65)*MAX(0,BD65/10%-2),$AB65*MIN(-BD65/10%,1)+($AC65-$AB65)*MAX(0,MIN(-BD65/10%-1,1))+($AD65-$AC65)*MAX(0,-BD65/10%-2)),0),"")</f>
        <v/>
      </c>
      <c r="BH65" s="324" t="n">
        <f aca="false">IF(AH65,xEURO(BB65,Strike1,AE65,AE65,BF65,O65,IF(OptControl=4,0,1),0),0)</f>
        <v>0</v>
      </c>
      <c r="BI65" s="324" t="n">
        <f aca="false">IF(AH65,xEURO(BB65,Strike1,AE65,AE65,BF65,O65,IF(OptControl=4,0,1),1),0)</f>
        <v>0</v>
      </c>
      <c r="BJ65" s="324" t="n">
        <f aca="false">IF(AH65,xEURO(BB65,Strike1,AE65,AE65,BF65,O65,IF(OptControl=4,0,1),2),0)</f>
        <v>0</v>
      </c>
      <c r="BK65" s="324" t="n">
        <f aca="false">IF(AH65,xEURO(BB65,Strike1,AE65,AE65,BF65,O65,IF(OptControl=4,0,1),3)/100,0)</f>
        <v>0</v>
      </c>
      <c r="BL65" s="324" t="n">
        <f aca="false">IF(AH65,xEURO(BB65,Strike1,AE65,AE65,BF65,O65-DaysForThetaCalculation,IF(OptControl=4,0,1),0)-xEURO(BB65,Strike1,AE65,AE65,BF65,O65,IF(OptControl=4,0,1),0),0)</f>
        <v>0</v>
      </c>
      <c r="BM65" s="324" t="n">
        <f aca="false">IF(AH65,xEURO(BB65,Strike2,AE65,AE65,BG65,O65,IF(OptControl=3,1,0),0),0)</f>
        <v>0</v>
      </c>
      <c r="BN65" s="324" t="n">
        <f aca="false">IF(AH65,xEURO(BB65,Strike2,AE65,AE65,BG65,O65,IF(OptControl=3,1,0),1),0)</f>
        <v>0</v>
      </c>
      <c r="BO65" s="324" t="n">
        <f aca="false">IF(AH65,xEURO(BB65,Strike2,AE65,AE65,BG65,O65,IF(OptControl=3,1,0),2),0)</f>
        <v>0</v>
      </c>
      <c r="BP65" s="324" t="n">
        <f aca="false">IF(AH65,xEURO(BB65,Strike2,AE65,AE65,BG65,O65,IF(OptControl=3,1,0),3)/100,0)</f>
        <v>0</v>
      </c>
      <c r="BQ65" s="327" t="n">
        <f aca="false">IF(AH65,xEURO(BB65,Strike2,AE65,AE65,BG65,O65-DaysForThetaCalculation,IF(OptControl=3,1,0),0)-xEURO(BB65,Strike2,AE65,AE65,BG65,O65,IF(OptControl=3,1,0),0),0)</f>
        <v>0</v>
      </c>
      <c r="BR65" s="343"/>
      <c r="BS65" s="314" t="n">
        <v>25.032</v>
      </c>
      <c r="BT65" s="329" t="n">
        <f aca="false">BS65*100/42</f>
        <v>59.6</v>
      </c>
      <c r="BU65" s="329" t="n">
        <f aca="false">BS66-$U65</f>
        <v>10.1472857142858</v>
      </c>
      <c r="BV65" s="224"/>
      <c r="BW65" s="329" t="n">
        <f aca="false">BW53+VLOOKUP(1900+$L65,ProductSpreadTable,2)</f>
        <v>10.942</v>
      </c>
      <c r="BX65" s="329" t="n">
        <f aca="false">($V64+BW64)*100/42</f>
        <v>75.0789579468152</v>
      </c>
      <c r="BY65" s="332" t="n">
        <f aca="false">BX66</f>
        <v>70.4112244897958</v>
      </c>
      <c r="BZ65" s="314" t="n">
        <v>24.998</v>
      </c>
      <c r="CA65" s="329" t="n">
        <f aca="false">BZ65*100/42</f>
        <v>59.5190476190476</v>
      </c>
      <c r="CB65" s="329" t="n">
        <f aca="false">BZ65-$U65</f>
        <v>6.36728571428575</v>
      </c>
      <c r="CC65" s="329" t="n">
        <f aca="false">CC53+VLOOKUP(1900+$L65,ProductSpreadTable,3)</f>
        <v>13.293</v>
      </c>
      <c r="CD65" s="329" t="n">
        <f aca="false">($V65+CC65)*100/42</f>
        <v>76.0088435374148</v>
      </c>
      <c r="CE65" s="333" t="n">
        <f aca="false">CD65-BY65</f>
        <v>5.59761904761896</v>
      </c>
      <c r="CF65" s="314" t="n">
        <v>22.562</v>
      </c>
      <c r="CG65" s="329" t="n">
        <f aca="false">CF65*100/42</f>
        <v>53.7190476190476</v>
      </c>
      <c r="CH65" s="329" t="n">
        <f aca="false">CF66-$U65</f>
        <v>3.29728571428575</v>
      </c>
      <c r="CI65" s="224"/>
      <c r="CJ65" s="329" t="n">
        <f aca="false">CJ53+VLOOKUP(1900+$L65,ProductSpreadTable,4)</f>
        <v>10.274</v>
      </c>
      <c r="CK65" s="329" t="n">
        <f aca="false">($V64+CJ64)*100/42</f>
        <v>70.8599103277675</v>
      </c>
      <c r="CL65" s="329" t="n">
        <f aca="false">CK66</f>
        <v>68.8207482993196</v>
      </c>
      <c r="CM65" s="314" t="n">
        <v>20.794</v>
      </c>
      <c r="CN65" s="329" t="n">
        <f aca="false">CM65*100/42</f>
        <v>49.5095238095238</v>
      </c>
      <c r="CO65" s="329" t="n">
        <f aca="false">CM65-$U65</f>
        <v>2.16328571428575</v>
      </c>
      <c r="CP65" s="329" t="n">
        <f aca="false">CP53+VLOOKUP(1900+$L65,ProductSpreadTable,5)</f>
        <v>9.16099999999997</v>
      </c>
      <c r="CQ65" s="329" t="n">
        <f aca="false">($V65+CP65)*100/42</f>
        <v>66.1707482993196</v>
      </c>
      <c r="CR65" s="333" t="n">
        <f aca="false">CQ65-CL65</f>
        <v>-2.64999999999999</v>
      </c>
      <c r="CS65" s="314" t="n">
        <v>22.054</v>
      </c>
      <c r="CT65" s="329" t="n">
        <f aca="false">CS65*100/42</f>
        <v>52.5095238095238</v>
      </c>
      <c r="CU65" s="329" t="n">
        <f aca="false">CT65-CG66</f>
        <v>0.299999999999997</v>
      </c>
      <c r="CV65" s="329" t="n">
        <f aca="false">CV53+VLOOKUP(1900+$L65,ProductSpreadTable,6)</f>
        <v>1.19999999999999</v>
      </c>
      <c r="CW65" s="333" t="n">
        <f aca="false">CL65+CV65</f>
        <v>70.0207482993195</v>
      </c>
      <c r="CX65" s="318" t="n">
        <v>0.198</v>
      </c>
      <c r="CY65" s="326" t="n">
        <f aca="false">CX65-$W65</f>
        <v>-0.000300175087219995</v>
      </c>
      <c r="CZ65" s="326" t="n">
        <f aca="false">VLOOKUP(1900+$L65,ProductSpreadTable,7)</f>
        <v>-0.03</v>
      </c>
      <c r="DA65" s="365" t="n">
        <f aca="false">$W65+CZ65</f>
        <v>0.16830017508722</v>
      </c>
      <c r="DB65" s="318" t="n">
        <v>0.198</v>
      </c>
      <c r="DC65" s="326" t="n">
        <f aca="false">DB65-$W65</f>
        <v>-0.000300175087219995</v>
      </c>
      <c r="DD65" s="326" t="n">
        <f aca="false">VLOOKUP(1900+$L65,ProductSpreadTable,8)</f>
        <v>0.03</v>
      </c>
      <c r="DE65" s="365" t="n">
        <f aca="false">$W65+DD65</f>
        <v>0.22830017508722</v>
      </c>
      <c r="DG65" s="336"/>
      <c r="DH65" s="314" t="n">
        <v>16.338</v>
      </c>
      <c r="DI65" s="325" t="n">
        <f aca="false">DH65-$U65</f>
        <v>-2.29271428571425</v>
      </c>
      <c r="DJ65" s="325" t="n">
        <f aca="false">VLOOKUP(1900+$L65,ResidSpreadTable,2)</f>
        <v>-2</v>
      </c>
      <c r="DK65" s="337" t="n">
        <f aca="false">$V65+DJ65</f>
        <v>16.6307142857142</v>
      </c>
      <c r="DL65" s="314" t="n">
        <v>13.738</v>
      </c>
      <c r="DM65" s="325" t="n">
        <f aca="false">DL65-$U65</f>
        <v>-4.89271428571425</v>
      </c>
      <c r="DN65" s="325" t="n">
        <f aca="false">VLOOKUP(1900+$L65,ResidSpreadTable,3)</f>
        <v>-3</v>
      </c>
      <c r="DO65" s="337" t="n">
        <f aca="false">$V65+DN65</f>
        <v>15.6307142857142</v>
      </c>
      <c r="DP65" s="314" t="n">
        <v>12.988</v>
      </c>
      <c r="DQ65" s="325" t="n">
        <f aca="false">DP65-$U65</f>
        <v>-5.64271428571425</v>
      </c>
      <c r="DR65" s="325" t="n">
        <f aca="false">VLOOKUP(1900+$L65,ResidSpreadTable,4)</f>
        <v>-6</v>
      </c>
      <c r="DS65" s="337" t="n">
        <f aca="false">$V65+DR65</f>
        <v>12.6307142857142</v>
      </c>
      <c r="DT65" s="314" t="n">
        <v>15.038</v>
      </c>
      <c r="DU65" s="325" t="n">
        <f aca="false">DT65-$U65</f>
        <v>-3.59271428571425</v>
      </c>
      <c r="DV65" s="325" t="n">
        <f aca="false">VLOOKUP(1900+$L65,ResidSpreadTable,5)</f>
        <v>-5</v>
      </c>
      <c r="DW65" s="337" t="n">
        <f aca="false">$V65+DV65</f>
        <v>13.6307142857142</v>
      </c>
    </row>
    <row r="66" customFormat="false" ht="12.75" hidden="false" customHeight="false" outlineLevel="0" collapsed="false">
      <c r="B66" s="371" t="n">
        <v>37561</v>
      </c>
      <c r="C66" s="391" t="n">
        <v>37551</v>
      </c>
      <c r="I66" s="338" t="n">
        <f aca="false">EOMONTH(I65,0)+1</f>
        <v>47757</v>
      </c>
      <c r="J66" s="389" t="n">
        <f aca="false">VLOOKUP(I66,$B$12:$C$332,2)</f>
        <v>45644</v>
      </c>
      <c r="K66" s="339" t="n">
        <f aca="false">NETWORKDAYS(I66,J67)/N66</f>
        <v>-65.6521739130435</v>
      </c>
      <c r="L66" s="309" t="n">
        <f aca="false">YEAR(I66)-1900</f>
        <v>130</v>
      </c>
      <c r="M66" s="310" t="n">
        <f aca="false">MONTH(I66)</f>
        <v>10</v>
      </c>
      <c r="N66" s="340" t="n">
        <f aca="false">NETWORKDAYS(I66,I67-1)</f>
        <v>23</v>
      </c>
      <c r="O66" s="341" t="n">
        <f aca="false">I66-DateToday-IF(EuroExpDateToggle=1,3+IF(WEEKDAY(I66-1)=7,1,IF(WEEKDAY(I66-1)&lt;5,2,0)),1+IF(WEEKDAY(I66-1)=7,1,IF(WEEKDAY(I66-1)&lt;3,2,0)))</f>
        <v>1826</v>
      </c>
      <c r="P66" s="342" t="n">
        <f aca="false">(I66-DateToday+1)/365.25</f>
        <v>5.01574264202601</v>
      </c>
      <c r="Q66" s="342" t="n">
        <f aca="false">(I67-DateToday)/365.25</f>
        <v>5.09787816563997</v>
      </c>
      <c r="R66" s="314" t="n">
        <v>18.99</v>
      </c>
      <c r="S66" s="347" t="n">
        <v>0</v>
      </c>
      <c r="T66" s="316" t="n">
        <f aca="false">R66+S66/100</f>
        <v>18.99</v>
      </c>
      <c r="U66" s="325" t="n">
        <f aca="false">R67*K66+R68*(1-K66)</f>
        <v>18.6517391304349</v>
      </c>
      <c r="V66" s="337" t="n">
        <f aca="false">T67*K66+T68*(1-K66)</f>
        <v>18.6517391304349</v>
      </c>
      <c r="W66" s="318" t="n">
        <v>0.197835113053084</v>
      </c>
      <c r="X66" s="319" t="str">
        <f aca="false">IF($I66-DateToday+1&gt;=$A$10,"",IF($I66-DateToday+1&lt;$A$5,1,MATCH($I66-DateToday+1,$A$5:$A$10)))</f>
        <v/>
      </c>
      <c r="Y66" s="348" t="n">
        <f aca="false">IF($X66="",Y65^2/Y64,INDEX(B$5:B$10,$X66)^((INDEX($A$5:$A$10,$X66+1)-($I66-DateToday+1))/(INDEX($A$5:$A$10,$X66+1)-INDEX($A$5:$A$10,$X66)))/INDEX(B$5:B$10,$X66+1)^((INDEX($A$5:$A$10,$X66)-($I66-DateToday+1))/(INDEX($A$5:$A$10,$X66+1)-INDEX($A$5:$A$10,$X66))))</f>
        <v>0.0041843687717307</v>
      </c>
      <c r="Z66" s="348" t="n">
        <f aca="false">IF($X66="",Z65^2/Z64,INDEX(C$5:C$10,$X66)^((INDEX($A$5:$A$10,$X66+1)-($I66-DateToday+1))/(INDEX($A$5:$A$10,$X66+1)-INDEX($A$5:$A$10,$X66)))/INDEX(C$5:C$10,$X66+1)^((INDEX($A$5:$A$10,$X66)-($I66-DateToday+1))/(INDEX($A$5:$A$10,$X66+1)-INDEX($A$5:$A$10,$X66))))</f>
        <v>0.00186682493702148</v>
      </c>
      <c r="AA66" s="348" t="n">
        <f aca="false">IF($X66="",AA65^2/AA64,INDEX(D$5:D$10,$X66)^((INDEX($A$5:$A$10,$X66+1)-($I66-DateToday+1))/(INDEX($A$5:$A$10,$X66+1)-INDEX($A$5:$A$10,$X66)))/INDEX(D$5:D$10,$X66+1)^((INDEX($A$5:$A$10,$X66)-($I66-DateToday+1))/(INDEX($A$5:$A$10,$X66+1)-INDEX($A$5:$A$10,$X66))))</f>
        <v>0.00075708986188472</v>
      </c>
      <c r="AB66" s="348" t="n">
        <f aca="false">IF($X66="",AB65^2/AB64,INDEX(E$5:E$10,$X66)^((INDEX($A$5:$A$10,$X66+1)-($I66-DateToday+1))/(INDEX($A$5:$A$10,$X66+1)-INDEX($A$5:$A$10,$X66)))/INDEX(E$5:E$10,$X66+1)^((INDEX($A$5:$A$10,$X66)-($I66-DateToday+1))/(INDEX($A$5:$A$10,$X66+1)-INDEX($A$5:$A$10,$X66))))</f>
        <v>0.00170557204085392</v>
      </c>
      <c r="AC66" s="348" t="n">
        <f aca="false">IF($X66="",AC65^2/AC64,INDEX(F$5:F$10,$X66)^((INDEX($A$5:$A$10,$X66+1)-($I66-DateToday+1))/(INDEX($A$5:$A$10,$X66+1)-INDEX($A$5:$A$10,$X66)))/INDEX(F$5:F$10,$X66+1)^((INDEX($A$5:$A$10,$X66)-($I66-DateToday+1))/(INDEX($A$5:$A$10,$X66+1)-INDEX($A$5:$A$10,$X66))))</f>
        <v>0.00420558321812202</v>
      </c>
      <c r="AD66" s="348" t="n">
        <f aca="false">IF($X66="",AD65^2/AD64,INDEX(G$5:G$10,$X66)^((INDEX($A$5:$A$10,$X66+1)-($I66-DateToday+1))/(INDEX($A$5:$A$10,$X66+1)-INDEX($A$5:$A$10,$X66)))/INDEX(G$5:G$10,$X66+1)^((INDEX($A$5:$A$10,$X66)-($I66-DateToday+1))/(INDEX($A$5:$A$10,$X66+1)-INDEX($A$5:$A$10,$X66))))</f>
        <v>0.00942654596895468</v>
      </c>
      <c r="AE66" s="321" t="n">
        <v>0.073093764487798</v>
      </c>
      <c r="AF66" s="316" t="n">
        <f aca="false">(1+AE66/2)^(-2*(I67-DateToday)/365.25)</f>
        <v>0.693519804467844</v>
      </c>
      <c r="AG66" s="316" t="n">
        <f aca="false">AG65*(1+IF(AND(M66=1,L66&gt;YearStart),Escalation,0))</f>
        <v>1</v>
      </c>
      <c r="AH66" s="322" t="n">
        <f aca="false">IF(OR(DateStart&gt;=I67,DateEnd&lt;I66),0,Volume*AG66)</f>
        <v>0</v>
      </c>
      <c r="AI66" s="322" t="n">
        <f aca="false">AH66*AF66</f>
        <v>0</v>
      </c>
      <c r="AJ66" s="322" t="n">
        <f aca="false">IF(OR(DateStart2&gt;=I67,DateEnd2&lt;I66),0,VolumeSwaption*AG66)</f>
        <v>0</v>
      </c>
      <c r="AK66" s="322" t="n">
        <f aca="false">AJ66*AF66</f>
        <v>0</v>
      </c>
      <c r="AL66" s="316" t="str">
        <f aca="true">IF(AH66,OFFSET(BY66,0,HorizontalPriceOffset)+PriceSpreadAsian,"")</f>
        <v/>
      </c>
      <c r="AM66" s="316" t="str">
        <f aca="false">IF(AH66,Strike1/AL66-1,"")</f>
        <v/>
      </c>
      <c r="AN66" s="316" t="str">
        <f aca="false">IF(AH66,Strike2/AL66-1,"")</f>
        <v/>
      </c>
      <c r="AO66" s="323" t="str">
        <f aca="false">IF(AH66,IF(VolOverrideAsian,VolOverrideAsian,IF(ProductGroup=1,IF(Product&lt;3,DA67,DE67),W67)+VolSpreadAsian),"")</f>
        <v/>
      </c>
      <c r="AP66" s="323" t="str">
        <f aca="false">IF($AH66,$AO66+IF(SkewFlag=1,IF(AM66&gt;0,$AA66*MIN(AM66/10%,1)+($Z66-$AA66)*MAX(0,MIN(AM66/10%-1,1))+($Y66-$Z66)*MAX(0,AM66/10%-2),$AB66*MIN(-AM66/10%,1)+($AC66-$AB66)*MAX(0,MIN(-AM66/10%-1,1))+($AD66-$AC66)*MAX(0,-AM66/10%-2)),0),"")</f>
        <v/>
      </c>
      <c r="AQ66" s="323" t="str">
        <f aca="false">IF($AH66,$AO66+IF(SkewFlag=1,IF(AN66&gt;0,$AA66*MIN(AN66/10%,1)+($Z66-$AA66)*MAX(0,MIN(AN66/10%-1,1))+($Y66-$Z66)*MAX(0,AN66/10%-2),$AB66*MIN(-AN66/10%,1)+($AC66-$AB66)*MAX(0,MIN(-AN66/10%-1,1))+($AD66-$AC66)*MAX(0,-AN66/10%-2)),0),"")</f>
        <v/>
      </c>
      <c r="AR66" s="324" t="n">
        <f aca="false">IF(AH66,xASN(AL66,Strike1,AE66,AP66,0,N66,0,P66,Q66,IF(OptControl=4,0,1),0),0)</f>
        <v>0</v>
      </c>
      <c r="AS66" s="324" t="n">
        <f aca="false">IF(AH66,xASN(AL66,Strike1,AE66,AP66,0,N66,0,P66,Q66,IF(OptControl=4,0,1),1),0)</f>
        <v>0</v>
      </c>
      <c r="AT66" s="324" t="n">
        <f aca="false">IF(AH66,xASN(AL66,Strike1,AE66,AP66,0,N66,0,P66,Q66,IF(OptControl=4,0,1),2),0)</f>
        <v>0</v>
      </c>
      <c r="AU66" s="324" t="n">
        <f aca="false">IF(AH66,xASN(AL66,Strike1,AE66,AP66,0,N66,0,P66,Q66,IF(OptControl=4,0,1),3)/100,0)</f>
        <v>0</v>
      </c>
      <c r="AV66" s="324" t="n">
        <f aca="false">IF(AH66,xASN(AL66,Strike1,AE66,AP66,0,N66,0,P66-DaysForThetaCalculation/365.25,Q66-DaysForThetaCalculation/365.25,IF(OptControl=4,0,1),0)-xASN(AL66,Strike1,AE66,AP66,0,N66,0,P66,Q66,IF(OptControl=4,0,1),0),0)</f>
        <v>0</v>
      </c>
      <c r="AW66" s="324" t="n">
        <f aca="false">IF(AH66,xASN(AL66,Strike2,AE66,AQ66,0,N66,0,P66,Q66,IF(OptControl=3,1,0),0),0)</f>
        <v>0</v>
      </c>
      <c r="AX66" s="324" t="n">
        <f aca="false">IF(AH66,xASN(AL66,Strike2,AE66,AQ66,0,N66,0,P66,Q66,IF(OptControl=3,1,0),1),0)</f>
        <v>0</v>
      </c>
      <c r="AY66" s="324" t="n">
        <f aca="false">IF(AH66,xASN(AL66,Strike2,AE66,AQ66,0,N66,0,P66,Q66,IF(OptControl=3,1,0),2),0)</f>
        <v>0</v>
      </c>
      <c r="AZ66" s="324" t="n">
        <f aca="false">IF(AH66,xASN(AL66,Strike2,AE66,AQ66,0,N66,0,P66,Q66,IF(OptControl=3,1,0),3)/100,0)</f>
        <v>0</v>
      </c>
      <c r="BA66" s="324" t="n">
        <f aca="false">IF(AH66,xASN(AL66,Strike2,AE66,AQ66,0,N66,0,P66-DaysForThetaCalculation/365.25,Q66-DaysForThetaCalculation/365.25,IF(OptControl=3,1,0),0)-xASN(AL66,Strike2,AE66,AQ66,0,N66,0,P66,Q66,IF(OptControl=3,1,0),0),0)</f>
        <v>0</v>
      </c>
      <c r="BB66" s="325" t="str">
        <f aca="false">IF(AH66,IF(ProductGroup=1,IF(Product=1,BX66+PriceSpreadEuro,IF(Product=3,CK66+PriceSpreadEuro,"N/A")),"N/A"),"")</f>
        <v/>
      </c>
      <c r="BC66" s="316" t="str">
        <f aca="false">IF(AH66,Strike1/BB66-1,"")</f>
        <v/>
      </c>
      <c r="BD66" s="316" t="str">
        <f aca="false">IF(AH66,Strike2/BB66-1,"")</f>
        <v/>
      </c>
      <c r="BE66" s="326" t="str">
        <f aca="false">IF(AH66,IF(VolOverrideEuro,VolOverrideEuro,IF(ProductGroup=1,IF(Product&lt;3,DA66,DE66)+VolSpreadEuro,"N/A")),"")</f>
        <v/>
      </c>
      <c r="BF66" s="323" t="str">
        <f aca="false">IF($AH66,$BE66+IF(SkewFlag=1,IF(BC66&gt;0,$AA66*MIN(BC66/10%,1)+($Z66-$AA66)*MAX(0,MIN(BC66/10%-1,1))+($Y66-$Z66)*MAX(0,BC66/10%-2),$AB66*MIN(-BC66/10%,1)+($AC66-$AB66)*MAX(0,MIN(-BC66/10%-1,1))+($AD66-$AC66)*MAX(0,-BC66/10%-2)),0),"")</f>
        <v/>
      </c>
      <c r="BG66" s="323" t="str">
        <f aca="false">IF($AH66,$BE66+IF(SkewFlag=1,IF(BD66&gt;0,$AA66*MIN(BD66/10%,1)+($Z66-$AA66)*MAX(0,MIN(BD66/10%-1,1))+($Y66-$Z66)*MAX(0,BD66/10%-2),$AB66*MIN(-BD66/10%,1)+($AC66-$AB66)*MAX(0,MIN(-BD66/10%-1,1))+($AD66-$AC66)*MAX(0,-BD66/10%-2)),0),"")</f>
        <v/>
      </c>
      <c r="BH66" s="324" t="n">
        <f aca="false">IF(AH66,xEURO(BB66,Strike1,AE66,AE66,BF66,O66,IF(OptControl=4,0,1),0),0)</f>
        <v>0</v>
      </c>
      <c r="BI66" s="324" t="n">
        <f aca="false">IF(AH66,xEURO(BB66,Strike1,AE66,AE66,BF66,O66,IF(OptControl=4,0,1),1),0)</f>
        <v>0</v>
      </c>
      <c r="BJ66" s="324" t="n">
        <f aca="false">IF(AH66,xEURO(BB66,Strike1,AE66,AE66,BF66,O66,IF(OptControl=4,0,1),2),0)</f>
        <v>0</v>
      </c>
      <c r="BK66" s="324" t="n">
        <f aca="false">IF(AH66,xEURO(BB66,Strike1,AE66,AE66,BF66,O66,IF(OptControl=4,0,1),3)/100,0)</f>
        <v>0</v>
      </c>
      <c r="BL66" s="324" t="n">
        <f aca="false">IF(AH66,xEURO(BB66,Strike1,AE66,AE66,BF66,O66-DaysForThetaCalculation,IF(OptControl=4,0,1),0)-xEURO(BB66,Strike1,AE66,AE66,BF66,O66,IF(OptControl=4,0,1),0),0)</f>
        <v>0</v>
      </c>
      <c r="BM66" s="324" t="n">
        <f aca="false">IF(AH66,xEURO(BB66,Strike2,AE66,AE66,BG66,O66,IF(OptControl=3,1,0),0),0)</f>
        <v>0</v>
      </c>
      <c r="BN66" s="324" t="n">
        <f aca="false">IF(AH66,xEURO(BB66,Strike2,AE66,AE66,BG66,O66,IF(OptControl=3,1,0),1),0)</f>
        <v>0</v>
      </c>
      <c r="BO66" s="324" t="n">
        <f aca="false">IF(AH66,xEURO(BB66,Strike2,AE66,AE66,BG66,O66,IF(OptControl=3,1,0),2),0)</f>
        <v>0</v>
      </c>
      <c r="BP66" s="324" t="n">
        <f aca="false">IF(AH66,xEURO(BB66,Strike2,AE66,AE66,BG66,O66,IF(OptControl=3,1,0),3)/100,0)</f>
        <v>0</v>
      </c>
      <c r="BQ66" s="327" t="n">
        <f aca="false">IF(AH66,xEURO(BB66,Strike2,AE66,AE66,BG66,O66-DaysForThetaCalculation,IF(OptControl=3,1,0),0)-xEURO(BB66,Strike2,AE66,AE66,BG66,O66,IF(OptControl=3,1,0),0),0)</f>
        <v>0</v>
      </c>
      <c r="BR66" s="343"/>
      <c r="BS66" s="314" t="n">
        <v>28.778</v>
      </c>
      <c r="BT66" s="329" t="n">
        <f aca="false">BS66*100/42</f>
        <v>68.5190476190476</v>
      </c>
      <c r="BU66" s="329" t="n">
        <f aca="false">BS67-$U66</f>
        <v>8.61426086956514</v>
      </c>
      <c r="BV66" s="224"/>
      <c r="BW66" s="329" t="n">
        <f aca="false">BW54+VLOOKUP(1900+$L66,ProductSpreadTable,2)</f>
        <v>21.174347826087</v>
      </c>
      <c r="BX66" s="329" t="n">
        <f aca="false">($V65+BW65)*100/42</f>
        <v>70.4112244897958</v>
      </c>
      <c r="BY66" s="332" t="n">
        <f aca="false">BX67</f>
        <v>94.8240165631472</v>
      </c>
      <c r="BZ66" s="314" t="n">
        <v>25.376</v>
      </c>
      <c r="CA66" s="329" t="n">
        <f aca="false">BZ66*100/42</f>
        <v>60.4190476190476</v>
      </c>
      <c r="CB66" s="329" t="n">
        <f aca="false">BZ66-$U66</f>
        <v>6.72426086956514</v>
      </c>
      <c r="CC66" s="329" t="n">
        <f aca="false">CC54+VLOOKUP(1900+$L66,ProductSpreadTable,3)</f>
        <v>18.549347826087</v>
      </c>
      <c r="CD66" s="329" t="n">
        <f aca="false">($V66+CC66)*100/42</f>
        <v>88.5740165631472</v>
      </c>
      <c r="CE66" s="333" t="n">
        <f aca="false">CD66-BY66</f>
        <v>-6.25</v>
      </c>
      <c r="CF66" s="314" t="n">
        <v>21.928</v>
      </c>
      <c r="CG66" s="329" t="n">
        <f aca="false">CF66*100/42</f>
        <v>52.2095238095238</v>
      </c>
      <c r="CH66" s="329" t="n">
        <f aca="false">CF67-$U66</f>
        <v>2.70126086956514</v>
      </c>
      <c r="CI66" s="224"/>
      <c r="CJ66" s="329" t="n">
        <f aca="false">CJ54+VLOOKUP(1900+$L66,ProductSpreadTable,4)</f>
        <v>8.96163636363635</v>
      </c>
      <c r="CK66" s="329" t="n">
        <f aca="false">($V65+CJ65)*100/42</f>
        <v>68.8207482993196</v>
      </c>
      <c r="CL66" s="329" t="n">
        <f aca="false">CK67</f>
        <v>65.746132128741</v>
      </c>
      <c r="CM66" s="314" t="n">
        <v>20.534</v>
      </c>
      <c r="CN66" s="329" t="n">
        <f aca="false">CM66*100/42</f>
        <v>48.8904761904762</v>
      </c>
      <c r="CO66" s="329" t="n">
        <f aca="false">CM66-$U66</f>
        <v>1.88226086956514</v>
      </c>
      <c r="CP66" s="329" t="n">
        <f aca="false">CP54+VLOOKUP(1900+$L66,ProductSpreadTable,5)</f>
        <v>8.03763636363634</v>
      </c>
      <c r="CQ66" s="329" t="n">
        <f aca="false">($V66+CP66)*100/42</f>
        <v>63.546132128741</v>
      </c>
      <c r="CR66" s="333" t="n">
        <f aca="false">CQ66-CL66</f>
        <v>-2.2</v>
      </c>
      <c r="CS66" s="314" t="n">
        <v>21.479</v>
      </c>
      <c r="CT66" s="329" t="n">
        <f aca="false">CS66*100/42</f>
        <v>51.1404761904762</v>
      </c>
      <c r="CU66" s="329" t="n">
        <f aca="false">CT66-CG67</f>
        <v>0.299999999999997</v>
      </c>
      <c r="CV66" s="329" t="n">
        <f aca="false">CV54+VLOOKUP(1900+$L66,ProductSpreadTable,6)</f>
        <v>1.19999999999999</v>
      </c>
      <c r="CW66" s="333" t="n">
        <f aca="false">CL66+CV66</f>
        <v>66.946132128741</v>
      </c>
      <c r="CX66" s="318" t="n">
        <v>0.198</v>
      </c>
      <c r="CY66" s="326" t="n">
        <f aca="false">CX66-$W66</f>
        <v>0.000164886946915965</v>
      </c>
      <c r="CZ66" s="326" t="n">
        <f aca="false">VLOOKUP(1900+$L66,ProductSpreadTable,7)</f>
        <v>-0.03</v>
      </c>
      <c r="DA66" s="365" t="n">
        <f aca="false">$W66+CZ66</f>
        <v>0.167835113053084</v>
      </c>
      <c r="DB66" s="318" t="n">
        <v>0.198</v>
      </c>
      <c r="DC66" s="326" t="n">
        <f aca="false">DB66-$W66</f>
        <v>0.000164886946915965</v>
      </c>
      <c r="DD66" s="326" t="n">
        <f aca="false">VLOOKUP(1900+$L66,ProductSpreadTable,8)</f>
        <v>0.03</v>
      </c>
      <c r="DE66" s="365" t="n">
        <f aca="false">$W66+DD66</f>
        <v>0.227835113053084</v>
      </c>
      <c r="DG66" s="336"/>
      <c r="DH66" s="314" t="n">
        <v>16.333</v>
      </c>
      <c r="DI66" s="325" t="n">
        <f aca="false">DH66-$U66</f>
        <v>-2.31873913043486</v>
      </c>
      <c r="DJ66" s="325" t="n">
        <f aca="false">VLOOKUP(1900+$L66,ResidSpreadTable,2)</f>
        <v>-2</v>
      </c>
      <c r="DK66" s="337" t="n">
        <f aca="false">$V66+DJ66</f>
        <v>16.6517391304349</v>
      </c>
      <c r="DL66" s="314" t="n">
        <v>13.733</v>
      </c>
      <c r="DM66" s="325" t="n">
        <f aca="false">DL66-$U66</f>
        <v>-4.91873913043486</v>
      </c>
      <c r="DN66" s="325" t="n">
        <f aca="false">VLOOKUP(1900+$L66,ResidSpreadTable,3)</f>
        <v>-3</v>
      </c>
      <c r="DO66" s="337" t="n">
        <f aca="false">$V66+DN66</f>
        <v>15.6517391304349</v>
      </c>
      <c r="DP66" s="314" t="n">
        <v>12.983</v>
      </c>
      <c r="DQ66" s="325" t="n">
        <f aca="false">DP66-$U66</f>
        <v>-5.66873913043486</v>
      </c>
      <c r="DR66" s="325" t="n">
        <f aca="false">VLOOKUP(1900+$L66,ResidSpreadTable,4)</f>
        <v>-6</v>
      </c>
      <c r="DS66" s="337" t="n">
        <f aca="false">$V66+DR66</f>
        <v>12.6517391304349</v>
      </c>
      <c r="DT66" s="314" t="n">
        <v>15.133</v>
      </c>
      <c r="DU66" s="325" t="n">
        <f aca="false">DT66-$U66</f>
        <v>-3.51873913043486</v>
      </c>
      <c r="DV66" s="325" t="n">
        <f aca="false">VLOOKUP(1900+$L66,ResidSpreadTable,5)</f>
        <v>-5</v>
      </c>
      <c r="DW66" s="337" t="n">
        <f aca="false">$V66+DV66</f>
        <v>13.6517391304349</v>
      </c>
    </row>
    <row r="67" customFormat="false" ht="12.75" hidden="false" customHeight="false" outlineLevel="0" collapsed="false">
      <c r="B67" s="371" t="n">
        <v>37591</v>
      </c>
      <c r="C67" s="391" t="n">
        <v>37579</v>
      </c>
      <c r="I67" s="338" t="n">
        <f aca="false">EOMONTH(I66,0)+1</f>
        <v>47788</v>
      </c>
      <c r="J67" s="389" t="n">
        <f aca="false">VLOOKUP(I67,$B$12:$C$332,2)</f>
        <v>45644</v>
      </c>
      <c r="K67" s="339" t="n">
        <f aca="false">NETWORKDAYS(I67,J68)/N67</f>
        <v>-73</v>
      </c>
      <c r="L67" s="309" t="n">
        <f aca="false">YEAR(I67)-1900</f>
        <v>130</v>
      </c>
      <c r="M67" s="310" t="n">
        <f aca="false">MONTH(I67)</f>
        <v>11</v>
      </c>
      <c r="N67" s="340" t="n">
        <f aca="false">NETWORKDAYS(I67,I68-1)</f>
        <v>21</v>
      </c>
      <c r="O67" s="341" t="n">
        <f aca="false">I67-DateToday-IF(EuroExpDateToggle=1,3+IF(WEEKDAY(I67-1)=7,1,IF(WEEKDAY(I67-1)&lt;5,2,0)),1+IF(WEEKDAY(I67-1)=7,1,IF(WEEKDAY(I67-1)&lt;3,2,0)))</f>
        <v>1859</v>
      </c>
      <c r="P67" s="342" t="n">
        <f aca="false">(I67-DateToday+1)/365.25</f>
        <v>5.10061601642711</v>
      </c>
      <c r="Q67" s="342" t="n">
        <f aca="false">(I68-DateToday)/365.25</f>
        <v>5.18001368925394</v>
      </c>
      <c r="R67" s="314" t="n">
        <v>18.985</v>
      </c>
      <c r="S67" s="347" t="n">
        <v>0</v>
      </c>
      <c r="T67" s="316" t="n">
        <f aca="false">R67+S67/100</f>
        <v>18.985</v>
      </c>
      <c r="U67" s="325" t="n">
        <f aca="false">R68*K67+R69*(1-K67)</f>
        <v>18.6100000000001</v>
      </c>
      <c r="V67" s="337" t="n">
        <f aca="false">T68*K67+T69*(1-K67)</f>
        <v>18.6100000000001</v>
      </c>
      <c r="W67" s="318" t="n">
        <v>0.197182643064425</v>
      </c>
      <c r="X67" s="319" t="str">
        <f aca="false">IF($I67-DateToday+1&gt;=$A$10,"",IF($I67-DateToday+1&lt;$A$5,1,MATCH($I67-DateToday+1,$A$5:$A$10)))</f>
        <v/>
      </c>
      <c r="Y67" s="348" t="n">
        <f aca="false">IF($X67="",Y66^2/Y65,INDEX(B$5:B$10,$X67)^((INDEX($A$5:$A$10,$X67+1)-($I67-DateToday+1))/(INDEX($A$5:$A$10,$X67+1)-INDEX($A$5:$A$10,$X67)))/INDEX(B$5:B$10,$X67+1)^((INDEX($A$5:$A$10,$X67)-($I67-DateToday+1))/(INDEX($A$5:$A$10,$X67+1)-INDEX($A$5:$A$10,$X67))))</f>
        <v>0.00409478780044854</v>
      </c>
      <c r="Z67" s="348" t="n">
        <f aca="false">IF($X67="",Z66^2/Z65,INDEX(C$5:C$10,$X67)^((INDEX($A$5:$A$10,$X67+1)-($I67-DateToday+1))/(INDEX($A$5:$A$10,$X67+1)-INDEX($A$5:$A$10,$X67)))/INDEX(C$5:C$10,$X67+1)^((INDEX($A$5:$A$10,$X67)-($I67-DateToday+1))/(INDEX($A$5:$A$10,$X67+1)-INDEX($A$5:$A$10,$X67))))</f>
        <v>0.00181707795615681</v>
      </c>
      <c r="AA67" s="348" t="n">
        <f aca="false">IF($X67="",AA66^2/AA65,INDEX(D$5:D$10,$X67)^((INDEX($A$5:$A$10,$X67+1)-($I67-DateToday+1))/(INDEX($A$5:$A$10,$X67+1)-INDEX($A$5:$A$10,$X67)))/INDEX(D$5:D$10,$X67+1)^((INDEX($A$5:$A$10,$X67)-($I67-DateToday+1))/(INDEX($A$5:$A$10,$X67+1)-INDEX($A$5:$A$10,$X67))))</f>
        <v>0.000734938892916421</v>
      </c>
      <c r="AB67" s="348" t="n">
        <f aca="false">IF($X67="",AB66^2/AB65,INDEX(E$5:E$10,$X67)^((INDEX($A$5:$A$10,$X67+1)-($I67-DateToday+1))/(INDEX($A$5:$A$10,$X67+1)-INDEX($A$5:$A$10,$X67)))/INDEX(E$5:E$10,$X67+1)^((INDEX($A$5:$A$10,$X67)-($I67-DateToday+1))/(INDEX($A$5:$A$10,$X67+1)-INDEX($A$5:$A$10,$X67))))</f>
        <v>0.00165567033796213</v>
      </c>
      <c r="AC67" s="348" t="n">
        <f aca="false">IF($X67="",AC66^2/AC65,INDEX(F$5:F$10,$X67)^((INDEX($A$5:$A$10,$X67+1)-($I67-DateToday+1))/(INDEX($A$5:$A$10,$X67+1)-INDEX($A$5:$A$10,$X67)))/INDEX(F$5:F$10,$X67+1)^((INDEX($A$5:$A$10,$X67)-($I67-DateToday+1))/(INDEX($A$5:$A$10,$X67+1)-INDEX($A$5:$A$10,$X67))))</f>
        <v>0.00409351321963009</v>
      </c>
      <c r="AD67" s="348" t="n">
        <f aca="false">IF($X67="",AD66^2/AD65,INDEX(G$5:G$10,$X67)^((INDEX($A$5:$A$10,$X67+1)-($I67-DateToday+1))/(INDEX($A$5:$A$10,$X67+1)-INDEX($A$5:$A$10,$X67)))/INDEX(G$5:G$10,$X67+1)^((INDEX($A$5:$A$10,$X67)-($I67-DateToday+1))/(INDEX($A$5:$A$10,$X67+1)-INDEX($A$5:$A$10,$X67))))</f>
        <v>0.00922473795685024</v>
      </c>
      <c r="AE67" s="321" t="n">
        <v>0.07311110009593</v>
      </c>
      <c r="AF67" s="316" t="n">
        <f aca="false">(1+AE67/2)^(-2*(I68-DateToday)/365.25)</f>
        <v>0.689382779217551</v>
      </c>
      <c r="AG67" s="316" t="n">
        <f aca="false">AG66*(1+IF(AND(M67=1,L67&gt;YearStart),Escalation,0))</f>
        <v>1</v>
      </c>
      <c r="AH67" s="322" t="n">
        <f aca="false">IF(OR(DateStart&gt;=I68,DateEnd&lt;I67),0,Volume*AG67)</f>
        <v>0</v>
      </c>
      <c r="AI67" s="322" t="n">
        <f aca="false">AH67*AF67</f>
        <v>0</v>
      </c>
      <c r="AJ67" s="322" t="n">
        <f aca="false">IF(OR(DateStart2&gt;=I68,DateEnd2&lt;I67),0,VolumeSwaption*AG67)</f>
        <v>0</v>
      </c>
      <c r="AK67" s="322" t="n">
        <f aca="false">AJ67*AF67</f>
        <v>0</v>
      </c>
      <c r="AL67" s="316" t="str">
        <f aca="true">IF(AH67,OFFSET(BY67,0,HorizontalPriceOffset)+PriceSpreadAsian,"")</f>
        <v/>
      </c>
      <c r="AM67" s="316" t="str">
        <f aca="false">IF(AH67,Strike1/AL67-1,"")</f>
        <v/>
      </c>
      <c r="AN67" s="316" t="str">
        <f aca="false">IF(AH67,Strike2/AL67-1,"")</f>
        <v/>
      </c>
      <c r="AO67" s="323" t="str">
        <f aca="false">IF(AH67,IF(VolOverrideAsian,VolOverrideAsian,IF(ProductGroup=1,IF(Product&lt;3,DA68,DE68),W68)+VolSpreadAsian),"")</f>
        <v/>
      </c>
      <c r="AP67" s="323" t="str">
        <f aca="false">IF($AH67,$AO67+IF(SkewFlag=1,IF(AM67&gt;0,$AA67*MIN(AM67/10%,1)+($Z67-$AA67)*MAX(0,MIN(AM67/10%-1,1))+($Y67-$Z67)*MAX(0,AM67/10%-2),$AB67*MIN(-AM67/10%,1)+($AC67-$AB67)*MAX(0,MIN(-AM67/10%-1,1))+($AD67-$AC67)*MAX(0,-AM67/10%-2)),0),"")</f>
        <v/>
      </c>
      <c r="AQ67" s="323" t="str">
        <f aca="false">IF($AH67,$AO67+IF(SkewFlag=1,IF(AN67&gt;0,$AA67*MIN(AN67/10%,1)+($Z67-$AA67)*MAX(0,MIN(AN67/10%-1,1))+($Y67-$Z67)*MAX(0,AN67/10%-2),$AB67*MIN(-AN67/10%,1)+($AC67-$AB67)*MAX(0,MIN(-AN67/10%-1,1))+($AD67-$AC67)*MAX(0,-AN67/10%-2)),0),"")</f>
        <v/>
      </c>
      <c r="AR67" s="324" t="n">
        <f aca="false">IF(AH67,xASN(AL67,Strike1,AE67,AP67,0,N67,0,P67,Q67,IF(OptControl=4,0,1),0),0)</f>
        <v>0</v>
      </c>
      <c r="AS67" s="324" t="n">
        <f aca="false">IF(AH67,xASN(AL67,Strike1,AE67,AP67,0,N67,0,P67,Q67,IF(OptControl=4,0,1),1),0)</f>
        <v>0</v>
      </c>
      <c r="AT67" s="324" t="n">
        <f aca="false">IF(AH67,xASN(AL67,Strike1,AE67,AP67,0,N67,0,P67,Q67,IF(OptControl=4,0,1),2),0)</f>
        <v>0</v>
      </c>
      <c r="AU67" s="324" t="n">
        <f aca="false">IF(AH67,xASN(AL67,Strike1,AE67,AP67,0,N67,0,P67,Q67,IF(OptControl=4,0,1),3)/100,0)</f>
        <v>0</v>
      </c>
      <c r="AV67" s="324" t="n">
        <f aca="false">IF(AH67,xASN(AL67,Strike1,AE67,AP67,0,N67,0,P67-DaysForThetaCalculation/365.25,Q67-DaysForThetaCalculation/365.25,IF(OptControl=4,0,1),0)-xASN(AL67,Strike1,AE67,AP67,0,N67,0,P67,Q67,IF(OptControl=4,0,1),0),0)</f>
        <v>0</v>
      </c>
      <c r="AW67" s="324" t="n">
        <f aca="false">IF(AH67,xASN(AL67,Strike2,AE67,AQ67,0,N67,0,P67,Q67,IF(OptControl=3,1,0),0),0)</f>
        <v>0</v>
      </c>
      <c r="AX67" s="324" t="n">
        <f aca="false">IF(AH67,xASN(AL67,Strike2,AE67,AQ67,0,N67,0,P67,Q67,IF(OptControl=3,1,0),1),0)</f>
        <v>0</v>
      </c>
      <c r="AY67" s="324" t="n">
        <f aca="false">IF(AH67,xASN(AL67,Strike2,AE67,AQ67,0,N67,0,P67,Q67,IF(OptControl=3,1,0),2),0)</f>
        <v>0</v>
      </c>
      <c r="AZ67" s="324" t="n">
        <f aca="false">IF(AH67,xASN(AL67,Strike2,AE67,AQ67,0,N67,0,P67,Q67,IF(OptControl=3,1,0),3)/100,0)</f>
        <v>0</v>
      </c>
      <c r="BA67" s="324" t="n">
        <f aca="false">IF(AH67,xASN(AL67,Strike2,AE67,AQ67,0,N67,0,P67-DaysForThetaCalculation/365.25,Q67-DaysForThetaCalculation/365.25,IF(OptControl=3,1,0),0)-xASN(AL67,Strike2,AE67,AQ67,0,N67,0,P67,Q67,IF(OptControl=3,1,0),0),0)</f>
        <v>0</v>
      </c>
      <c r="BB67" s="325" t="str">
        <f aca="false">IF(AH67,IF(ProductGroup=1,IF(Product=1,BX67+PriceSpreadEuro,IF(Product=3,CK67+PriceSpreadEuro,"N/A")),"N/A"),"")</f>
        <v/>
      </c>
      <c r="BC67" s="316" t="str">
        <f aca="false">IF(AH67,Strike1/BB67-1,"")</f>
        <v/>
      </c>
      <c r="BD67" s="316" t="str">
        <f aca="false">IF(AH67,Strike2/BB67-1,"")</f>
        <v/>
      </c>
      <c r="BE67" s="326" t="str">
        <f aca="false">IF(AH67,IF(VolOverrideEuro,VolOverrideEuro,IF(ProductGroup=1,IF(Product&lt;3,DA67,DE67)+VolSpreadEuro,"N/A")),"")</f>
        <v/>
      </c>
      <c r="BF67" s="323" t="str">
        <f aca="false">IF($AH67,$BE67+IF(SkewFlag=1,IF(BC67&gt;0,$AA67*MIN(BC67/10%,1)+($Z67-$AA67)*MAX(0,MIN(BC67/10%-1,1))+($Y67-$Z67)*MAX(0,BC67/10%-2),$AB67*MIN(-BC67/10%,1)+($AC67-$AB67)*MAX(0,MIN(-BC67/10%-1,1))+($AD67-$AC67)*MAX(0,-BC67/10%-2)),0),"")</f>
        <v/>
      </c>
      <c r="BG67" s="323" t="str">
        <f aca="false">IF($AH67,$BE67+IF(SkewFlag=1,IF(BD67&gt;0,$AA67*MIN(BD67/10%,1)+($Z67-$AA67)*MAX(0,MIN(BD67/10%-1,1))+($Y67-$Z67)*MAX(0,BD67/10%-2),$AB67*MIN(-BD67/10%,1)+($AC67-$AB67)*MAX(0,MIN(-BD67/10%-1,1))+($AD67-$AC67)*MAX(0,-BD67/10%-2)),0),"")</f>
        <v/>
      </c>
      <c r="BH67" s="324" t="n">
        <f aca="false">IF(AH67,xEURO(BB67,Strike1,AE67,AE67,BF67,O67,IF(OptControl=4,0,1),0),0)</f>
        <v>0</v>
      </c>
      <c r="BI67" s="324" t="n">
        <f aca="false">IF(AH67,xEURO(BB67,Strike1,AE67,AE67,BF67,O67,IF(OptControl=4,0,1),1),0)</f>
        <v>0</v>
      </c>
      <c r="BJ67" s="324" t="n">
        <f aca="false">IF(AH67,xEURO(BB67,Strike1,AE67,AE67,BF67,O67,IF(OptControl=4,0,1),2),0)</f>
        <v>0</v>
      </c>
      <c r="BK67" s="324" t="n">
        <f aca="false">IF(AH67,xEURO(BB67,Strike1,AE67,AE67,BF67,O67,IF(OptControl=4,0,1),3)/100,0)</f>
        <v>0</v>
      </c>
      <c r="BL67" s="324" t="n">
        <f aca="false">IF(AH67,xEURO(BB67,Strike1,AE67,AE67,BF67,O67-DaysForThetaCalculation,IF(OptControl=4,0,1),0)-xEURO(BB67,Strike1,AE67,AE67,BF67,O67,IF(OptControl=4,0,1),0),0)</f>
        <v>0</v>
      </c>
      <c r="BM67" s="324" t="n">
        <f aca="false">IF(AH67,xEURO(BB67,Strike2,AE67,AE67,BG67,O67,IF(OptControl=3,1,0),0),0)</f>
        <v>0</v>
      </c>
      <c r="BN67" s="324" t="n">
        <f aca="false">IF(AH67,xEURO(BB67,Strike2,AE67,AE67,BG67,O67,IF(OptControl=3,1,0),1),0)</f>
        <v>0</v>
      </c>
      <c r="BO67" s="324" t="n">
        <f aca="false">IF(AH67,xEURO(BB67,Strike2,AE67,AE67,BG67,O67,IF(OptControl=3,1,0),2),0)</f>
        <v>0</v>
      </c>
      <c r="BP67" s="324" t="n">
        <f aca="false">IF(AH67,xEURO(BB67,Strike2,AE67,AE67,BG67,O67,IF(OptControl=3,1,0),3)/100,0)</f>
        <v>0</v>
      </c>
      <c r="BQ67" s="327" t="n">
        <f aca="false">IF(AH67,xEURO(BB67,Strike2,AE67,AE67,BG67,O67-DaysForThetaCalculation,IF(OptControl=3,1,0),0)-xEURO(BB67,Strike2,AE67,AE67,BG67,O67,IF(OptControl=3,1,0),0),0)</f>
        <v>0</v>
      </c>
      <c r="BR67" s="343"/>
      <c r="BS67" s="314" t="n">
        <v>27.266</v>
      </c>
      <c r="BT67" s="329" t="n">
        <f aca="false">BS67*100/42</f>
        <v>64.9190476190476</v>
      </c>
      <c r="BU67" s="329" t="n">
        <f aca="false">BS68-$U67</f>
        <v>8.09399999999987</v>
      </c>
      <c r="BV67" s="224"/>
      <c r="BW67" s="329" t="n">
        <f aca="false">BW55+VLOOKUP(1900+$L67,ProductSpreadTable,2)</f>
        <v>19.19</v>
      </c>
      <c r="BX67" s="329" t="n">
        <f aca="false">($V66+BW66)*100/42</f>
        <v>94.8240165631472</v>
      </c>
      <c r="BY67" s="332" t="n">
        <f aca="false">BX68</f>
        <v>90.0000000000002</v>
      </c>
      <c r="BZ67" s="314" t="n">
        <v>24.814</v>
      </c>
      <c r="CA67" s="329" t="n">
        <f aca="false">BZ67*100/42</f>
        <v>59.0809523809524</v>
      </c>
      <c r="CB67" s="329" t="n">
        <f aca="false">BZ67-$U67</f>
        <v>6.20399999999987</v>
      </c>
      <c r="CC67" s="329" t="n">
        <f aca="false">CC55+VLOOKUP(1900+$L67,ProductSpreadTable,3)</f>
        <v>16.565</v>
      </c>
      <c r="CD67" s="329" t="n">
        <f aca="false">($V67+CC67)*100/42</f>
        <v>83.7500000000002</v>
      </c>
      <c r="CE67" s="333" t="n">
        <f aca="false">CD67-BY67</f>
        <v>-6.24999999999999</v>
      </c>
      <c r="CF67" s="314" t="n">
        <v>21.353</v>
      </c>
      <c r="CG67" s="329" t="n">
        <f aca="false">CF67*100/42</f>
        <v>50.8404761904762</v>
      </c>
      <c r="CH67" s="329" t="n">
        <f aca="false">CF68-$U67</f>
        <v>2.33999999999987</v>
      </c>
      <c r="CI67" s="224"/>
      <c r="CJ67" s="329" t="n">
        <f aca="false">CJ55+VLOOKUP(1900+$L67,ProductSpreadTable,4)</f>
        <v>8.40552380952372</v>
      </c>
      <c r="CK67" s="329" t="n">
        <f aca="false">($V66+CJ66)*100/42</f>
        <v>65.746132128741</v>
      </c>
      <c r="CL67" s="329" t="n">
        <f aca="false">CK68</f>
        <v>64.3226757369615</v>
      </c>
      <c r="CM67" s="314" t="n">
        <v>20.131</v>
      </c>
      <c r="CN67" s="329" t="n">
        <f aca="false">CM67*100/42</f>
        <v>47.9309523809524</v>
      </c>
      <c r="CO67" s="329" t="n">
        <f aca="false">CM67-$U67</f>
        <v>1.52099999999987</v>
      </c>
      <c r="CP67" s="329" t="n">
        <f aca="false">CP55+VLOOKUP(1900+$L67,ProductSpreadTable,5)</f>
        <v>7.48152380952373</v>
      </c>
      <c r="CQ67" s="329" t="n">
        <f aca="false">($V67+CP67)*100/42</f>
        <v>62.1226757369616</v>
      </c>
      <c r="CR67" s="333" t="n">
        <f aca="false">CQ67-CL67</f>
        <v>-2.2</v>
      </c>
      <c r="CS67" s="314" t="n">
        <v>21.076</v>
      </c>
      <c r="CT67" s="329" t="n">
        <f aca="false">CS67*100/42</f>
        <v>50.1809523809524</v>
      </c>
      <c r="CU67" s="329" t="n">
        <f aca="false">CT67-CG68</f>
        <v>0.299999999999997</v>
      </c>
      <c r="CV67" s="329" t="n">
        <f aca="false">CV55+VLOOKUP(1900+$L67,ProductSpreadTable,6)</f>
        <v>1.20000000000001</v>
      </c>
      <c r="CW67" s="333" t="n">
        <f aca="false">CL67+CV67</f>
        <v>65.5226757369616</v>
      </c>
      <c r="CX67" s="318" t="n">
        <v>0.197</v>
      </c>
      <c r="CY67" s="326" t="n">
        <f aca="false">CX67-$W67</f>
        <v>-0.000182643064425031</v>
      </c>
      <c r="CZ67" s="326" t="n">
        <f aca="false">VLOOKUP(1900+$L67,ProductSpreadTable,7)</f>
        <v>-0.03</v>
      </c>
      <c r="DA67" s="365" t="n">
        <f aca="false">$W67+CZ67</f>
        <v>0.167182643064425</v>
      </c>
      <c r="DB67" s="318" t="n">
        <v>0.197</v>
      </c>
      <c r="DC67" s="326" t="n">
        <f aca="false">DB67-$W67</f>
        <v>-0.000182643064425031</v>
      </c>
      <c r="DD67" s="326" t="n">
        <f aca="false">VLOOKUP(1900+$L67,ProductSpreadTable,8)</f>
        <v>0.03</v>
      </c>
      <c r="DE67" s="365" t="n">
        <f aca="false">$W67+DD67</f>
        <v>0.227182643064425</v>
      </c>
      <c r="DG67" s="336"/>
      <c r="DH67" s="314" t="n">
        <v>16.328</v>
      </c>
      <c r="DI67" s="325" t="n">
        <f aca="false">DH67-$U67</f>
        <v>-2.28200000000013</v>
      </c>
      <c r="DJ67" s="325" t="n">
        <f aca="false">VLOOKUP(1900+$L67,ResidSpreadTable,2)</f>
        <v>-2</v>
      </c>
      <c r="DK67" s="337" t="n">
        <f aca="false">$V67+DJ67</f>
        <v>16.6100000000001</v>
      </c>
      <c r="DL67" s="314" t="n">
        <v>13.728</v>
      </c>
      <c r="DM67" s="325" t="n">
        <f aca="false">DL67-$U67</f>
        <v>-4.88200000000013</v>
      </c>
      <c r="DN67" s="325" t="n">
        <f aca="false">VLOOKUP(1900+$L67,ResidSpreadTable,3)</f>
        <v>-3</v>
      </c>
      <c r="DO67" s="337" t="n">
        <f aca="false">$V67+DN67</f>
        <v>15.6100000000001</v>
      </c>
      <c r="DP67" s="314" t="n">
        <v>12.978</v>
      </c>
      <c r="DQ67" s="325" t="n">
        <f aca="false">DP67-$U67</f>
        <v>-5.63200000000013</v>
      </c>
      <c r="DR67" s="325" t="n">
        <f aca="false">VLOOKUP(1900+$L67,ResidSpreadTable,4)</f>
        <v>-6</v>
      </c>
      <c r="DS67" s="337" t="n">
        <f aca="false">$V67+DR67</f>
        <v>12.6100000000001</v>
      </c>
      <c r="DT67" s="314" t="n">
        <v>15.128</v>
      </c>
      <c r="DU67" s="325" t="n">
        <f aca="false">DT67-$U67</f>
        <v>-3.48200000000013</v>
      </c>
      <c r="DV67" s="325" t="n">
        <f aca="false">VLOOKUP(1900+$L67,ResidSpreadTable,5)</f>
        <v>-5</v>
      </c>
      <c r="DW67" s="337" t="n">
        <f aca="false">$V67+DV67</f>
        <v>13.6100000000001</v>
      </c>
    </row>
    <row r="68" customFormat="false" ht="12.75" hidden="false" customHeight="false" outlineLevel="0" collapsed="false">
      <c r="B68" s="371" t="n">
        <v>37622</v>
      </c>
      <c r="C68" s="391" t="n">
        <v>37609</v>
      </c>
      <c r="I68" s="338" t="n">
        <f aca="false">EOMONTH(I67,0)+1</f>
        <v>47818</v>
      </c>
      <c r="J68" s="389" t="n">
        <f aca="false">VLOOKUP(I68,$B$12:$C$332,2)</f>
        <v>45644</v>
      </c>
      <c r="K68" s="339" t="n">
        <f aca="false">NETWORKDAYS(I68,J69)/N68</f>
        <v>-70.5909090909091</v>
      </c>
      <c r="L68" s="309" t="n">
        <f aca="false">YEAR(I68)-1900</f>
        <v>130</v>
      </c>
      <c r="M68" s="310" t="n">
        <f aca="false">MONTH(I68)</f>
        <v>12</v>
      </c>
      <c r="N68" s="340" t="n">
        <f aca="false">NETWORKDAYS(I68,I69-1)</f>
        <v>22</v>
      </c>
      <c r="O68" s="341" t="n">
        <f aca="false">I68-DateToday-IF(EuroExpDateToggle=1,3+IF(WEEKDAY(I68-1)=7,1,IF(WEEKDAY(I68-1)&lt;5,2,0)),1+IF(WEEKDAY(I68-1)=7,1,IF(WEEKDAY(I68-1)&lt;3,2,0)))</f>
        <v>1888</v>
      </c>
      <c r="P68" s="342" t="n">
        <f aca="false">(I68-DateToday+1)/365.25</f>
        <v>5.18275154004107</v>
      </c>
      <c r="Q68" s="342" t="n">
        <f aca="false">(I69-DateToday)/365.25</f>
        <v>5.26488706365503</v>
      </c>
      <c r="R68" s="314" t="n">
        <v>18.98</v>
      </c>
      <c r="S68" s="347" t="n">
        <v>0</v>
      </c>
      <c r="T68" s="316" t="n">
        <f aca="false">R68+S68/100</f>
        <v>18.98</v>
      </c>
      <c r="U68" s="325" t="n">
        <f aca="false">R69*K68+R70*(1-K68)</f>
        <v>18.6170454545454</v>
      </c>
      <c r="V68" s="337" t="n">
        <f aca="false">T69*K68+T70*(1-K68)</f>
        <v>18.6170454545454</v>
      </c>
      <c r="W68" s="318" t="n">
        <v>0.196759708248039</v>
      </c>
      <c r="X68" s="319" t="str">
        <f aca="false">IF($I68-DateToday+1&gt;=$A$10,"",IF($I68-DateToday+1&lt;$A$5,1,MATCH($I68-DateToday+1,$A$5:$A$10)))</f>
        <v/>
      </c>
      <c r="Y68" s="348" t="n">
        <f aca="false">IF($X68="",Y67^2/Y66,INDEX(B$5:B$10,$X68)^((INDEX($A$5:$A$10,$X68+1)-($I68-DateToday+1))/(INDEX($A$5:$A$10,$X68+1)-INDEX($A$5:$A$10,$X68)))/INDEX(B$5:B$10,$X68+1)^((INDEX($A$5:$A$10,$X68)-($I68-DateToday+1))/(INDEX($A$5:$A$10,$X68+1)-INDEX($A$5:$A$10,$X68))))</f>
        <v>0.00400712462151539</v>
      </c>
      <c r="Z68" s="348" t="n">
        <f aca="false">IF($X68="",Z67^2/Z66,INDEX(C$5:C$10,$X68)^((INDEX($A$5:$A$10,$X68+1)-($I68-DateToday+1))/(INDEX($A$5:$A$10,$X68+1)-INDEX($A$5:$A$10,$X68)))/INDEX(C$5:C$10,$X68+1)^((INDEX($A$5:$A$10,$X68)-($I68-DateToday+1))/(INDEX($A$5:$A$10,$X68+1)-INDEX($A$5:$A$10,$X68))))</f>
        <v>0.00176865662830656</v>
      </c>
      <c r="AA68" s="348" t="n">
        <f aca="false">IF($X68="",AA67^2/AA66,INDEX(D$5:D$10,$X68)^((INDEX($A$5:$A$10,$X68+1)-($I68-DateToday+1))/(INDEX($A$5:$A$10,$X68+1)-INDEX($A$5:$A$10,$X68)))/INDEX(D$5:D$10,$X68+1)^((INDEX($A$5:$A$10,$X68)-($I68-DateToday+1))/(INDEX($A$5:$A$10,$X68+1)-INDEX($A$5:$A$10,$X68))))</f>
        <v>0.000713436017986804</v>
      </c>
      <c r="AB68" s="348" t="n">
        <f aca="false">IF($X68="",AB67^2/AB66,INDEX(E$5:E$10,$X68)^((INDEX($A$5:$A$10,$X68+1)-($I68-DateToday+1))/(INDEX($A$5:$A$10,$X68+1)-INDEX($A$5:$A$10,$X68)))/INDEX(E$5:E$10,$X68+1)^((INDEX($A$5:$A$10,$X68)-($I68-DateToday+1))/(INDEX($A$5:$A$10,$X68+1)-INDEX($A$5:$A$10,$X68))))</f>
        <v>0.00160722866132069</v>
      </c>
      <c r="AC68" s="348" t="n">
        <f aca="false">IF($X68="",AC67^2/AC66,INDEX(F$5:F$10,$X68)^((INDEX($A$5:$A$10,$X68+1)-($I68-DateToday+1))/(INDEX($A$5:$A$10,$X68+1)-INDEX($A$5:$A$10,$X68)))/INDEX(F$5:F$10,$X68+1)^((INDEX($A$5:$A$10,$X68)-($I68-DateToday+1))/(INDEX($A$5:$A$10,$X68+1)-INDEX($A$5:$A$10,$X68))))</f>
        <v>0.00398442965224904</v>
      </c>
      <c r="AD68" s="348" t="n">
        <f aca="false">IF($X68="",AD67^2/AD66,INDEX(G$5:G$10,$X68)^((INDEX($A$5:$A$10,$X68+1)-($I68-DateToday+1))/(INDEX($A$5:$A$10,$X68+1)-INDEX($A$5:$A$10,$X68)))/INDEX(G$5:G$10,$X68+1)^((INDEX($A$5:$A$10,$X68)-($I68-DateToday+1))/(INDEX($A$5:$A$10,$X68+1)-INDEX($A$5:$A$10,$X68))))</f>
        <v>0.00902725034734964</v>
      </c>
      <c r="AE68" s="321" t="n">
        <v>0.07312901355777</v>
      </c>
      <c r="AF68" s="316" t="n">
        <f aca="false">(1+AE68/2)^(-2*(I69-DateToday)/365.25)</f>
        <v>0.685131800553874</v>
      </c>
      <c r="AG68" s="316" t="n">
        <f aca="false">AG67*(1+IF(AND(M68=1,L68&gt;YearStart),Escalation,0))</f>
        <v>1</v>
      </c>
      <c r="AH68" s="322" t="n">
        <f aca="false">IF(OR(DateStart&gt;=I69,DateEnd&lt;I68),0,Volume*AG68)</f>
        <v>0</v>
      </c>
      <c r="AI68" s="322" t="n">
        <f aca="false">AH68*AF68</f>
        <v>0</v>
      </c>
      <c r="AJ68" s="322" t="n">
        <f aca="false">IF(OR(DateStart2&gt;=I69,DateEnd2&lt;I68),0,VolumeSwaption*AG68)</f>
        <v>0</v>
      </c>
      <c r="AK68" s="322" t="n">
        <f aca="false">AJ68*AF68</f>
        <v>0</v>
      </c>
      <c r="AL68" s="316" t="str">
        <f aca="true">IF(AH68,OFFSET(BY68,0,HorizontalPriceOffset)+PriceSpreadAsian,"")</f>
        <v/>
      </c>
      <c r="AM68" s="316" t="str">
        <f aca="false">IF(AH68,Strike1/AL68-1,"")</f>
        <v/>
      </c>
      <c r="AN68" s="316" t="str">
        <f aca="false">IF(AH68,Strike2/AL68-1,"")</f>
        <v/>
      </c>
      <c r="AO68" s="323" t="str">
        <f aca="false">IF(AH68,IF(VolOverrideAsian,VolOverrideAsian,IF(ProductGroup=1,IF(Product&lt;3,DA69,DE69),W69)+VolSpreadAsian),"")</f>
        <v/>
      </c>
      <c r="AP68" s="323" t="str">
        <f aca="false">IF($AH68,$AO68+IF(SkewFlag=1,IF(AM68&gt;0,$AA68*MIN(AM68/10%,1)+($Z68-$AA68)*MAX(0,MIN(AM68/10%-1,1))+($Y68-$Z68)*MAX(0,AM68/10%-2),$AB68*MIN(-AM68/10%,1)+($AC68-$AB68)*MAX(0,MIN(-AM68/10%-1,1))+($AD68-$AC68)*MAX(0,-AM68/10%-2)),0),"")</f>
        <v/>
      </c>
      <c r="AQ68" s="323" t="str">
        <f aca="false">IF($AH68,$AO68+IF(SkewFlag=1,IF(AN68&gt;0,$AA68*MIN(AN68/10%,1)+($Z68-$AA68)*MAX(0,MIN(AN68/10%-1,1))+($Y68-$Z68)*MAX(0,AN68/10%-2),$AB68*MIN(-AN68/10%,1)+($AC68-$AB68)*MAX(0,MIN(-AN68/10%-1,1))+($AD68-$AC68)*MAX(0,-AN68/10%-2)),0),"")</f>
        <v/>
      </c>
      <c r="AR68" s="324" t="n">
        <f aca="false">IF(AH68,xASN(AL68,Strike1,AE68,AP68,0,N68,0,P68,Q68,IF(OptControl=4,0,1),0),0)</f>
        <v>0</v>
      </c>
      <c r="AS68" s="324" t="n">
        <f aca="false">IF(AH68,xASN(AL68,Strike1,AE68,AP68,0,N68,0,P68,Q68,IF(OptControl=4,0,1),1),0)</f>
        <v>0</v>
      </c>
      <c r="AT68" s="324" t="n">
        <f aca="false">IF(AH68,xASN(AL68,Strike1,AE68,AP68,0,N68,0,P68,Q68,IF(OptControl=4,0,1),2),0)</f>
        <v>0</v>
      </c>
      <c r="AU68" s="324" t="n">
        <f aca="false">IF(AH68,xASN(AL68,Strike1,AE68,AP68,0,N68,0,P68,Q68,IF(OptControl=4,0,1),3)/100,0)</f>
        <v>0</v>
      </c>
      <c r="AV68" s="324" t="n">
        <f aca="false">IF(AH68,xASN(AL68,Strike1,AE68,AP68,0,N68,0,P68-DaysForThetaCalculation/365.25,Q68-DaysForThetaCalculation/365.25,IF(OptControl=4,0,1),0)-xASN(AL68,Strike1,AE68,AP68,0,N68,0,P68,Q68,IF(OptControl=4,0,1),0),0)</f>
        <v>0</v>
      </c>
      <c r="AW68" s="324" t="n">
        <f aca="false">IF(AH68,xASN(AL68,Strike2,AE68,AQ68,0,N68,0,P68,Q68,IF(OptControl=3,1,0),0),0)</f>
        <v>0</v>
      </c>
      <c r="AX68" s="324" t="n">
        <f aca="false">IF(AH68,xASN(AL68,Strike2,AE68,AQ68,0,N68,0,P68,Q68,IF(OptControl=3,1,0),1),0)</f>
        <v>0</v>
      </c>
      <c r="AY68" s="324" t="n">
        <f aca="false">IF(AH68,xASN(AL68,Strike2,AE68,AQ68,0,N68,0,P68,Q68,IF(OptControl=3,1,0),2),0)</f>
        <v>0</v>
      </c>
      <c r="AZ68" s="324" t="n">
        <f aca="false">IF(AH68,xASN(AL68,Strike2,AE68,AQ68,0,N68,0,P68,Q68,IF(OptControl=3,1,0),3)/100,0)</f>
        <v>0</v>
      </c>
      <c r="BA68" s="324" t="n">
        <f aca="false">IF(AH68,xASN(AL68,Strike2,AE68,AQ68,0,N68,0,P68-DaysForThetaCalculation/365.25,Q68-DaysForThetaCalculation/365.25,IF(OptControl=3,1,0),0)-xASN(AL68,Strike2,AE68,AQ68,0,N68,0,P68,Q68,IF(OptControl=3,1,0),0),0)</f>
        <v>0</v>
      </c>
      <c r="BB68" s="325" t="str">
        <f aca="false">IF(AH68,IF(ProductGroup=1,IF(Product=1,BX68+PriceSpreadEuro,IF(Product=3,CK68+PriceSpreadEuro,"N/A")),"N/A"),"")</f>
        <v/>
      </c>
      <c r="BC68" s="316" t="str">
        <f aca="false">IF(AH68,Strike1/BB68-1,"")</f>
        <v/>
      </c>
      <c r="BD68" s="316" t="str">
        <f aca="false">IF(AH68,Strike2/BB68-1,"")</f>
        <v/>
      </c>
      <c r="BE68" s="326" t="str">
        <f aca="false">IF(AH68,IF(VolOverrideEuro,VolOverrideEuro,IF(ProductGroup=1,IF(Product&lt;3,DA68,DE68)+VolSpreadEuro,"N/A")),"")</f>
        <v/>
      </c>
      <c r="BF68" s="323" t="str">
        <f aca="false">IF($AH68,$BE68+IF(SkewFlag=1,IF(BC68&gt;0,$AA68*MIN(BC68/10%,1)+($Z68-$AA68)*MAX(0,MIN(BC68/10%-1,1))+($Y68-$Z68)*MAX(0,BC68/10%-2),$AB68*MIN(-BC68/10%,1)+($AC68-$AB68)*MAX(0,MIN(-BC68/10%-1,1))+($AD68-$AC68)*MAX(0,-BC68/10%-2)),0),"")</f>
        <v/>
      </c>
      <c r="BG68" s="323" t="str">
        <f aca="false">IF($AH68,$BE68+IF(SkewFlag=1,IF(BD68&gt;0,$AA68*MIN(BD68/10%,1)+($Z68-$AA68)*MAX(0,MIN(BD68/10%-1,1))+($Y68-$Z68)*MAX(0,BD68/10%-2),$AB68*MIN(-BD68/10%,1)+($AC68-$AB68)*MAX(0,MIN(-BD68/10%-1,1))+($AD68-$AC68)*MAX(0,-BD68/10%-2)),0),"")</f>
        <v/>
      </c>
      <c r="BH68" s="324" t="n">
        <f aca="false">IF(AH68,xEURO(BB68,Strike1,AE68,AE68,BF68,O68,IF(OptControl=4,0,1),0),0)</f>
        <v>0</v>
      </c>
      <c r="BI68" s="324" t="n">
        <f aca="false">IF(AH68,xEURO(BB68,Strike1,AE68,AE68,BF68,O68,IF(OptControl=4,0,1),1),0)</f>
        <v>0</v>
      </c>
      <c r="BJ68" s="324" t="n">
        <f aca="false">IF(AH68,xEURO(BB68,Strike1,AE68,AE68,BF68,O68,IF(OptControl=4,0,1),2),0)</f>
        <v>0</v>
      </c>
      <c r="BK68" s="324" t="n">
        <f aca="false">IF(AH68,xEURO(BB68,Strike1,AE68,AE68,BF68,O68,IF(OptControl=4,0,1),3)/100,0)</f>
        <v>0</v>
      </c>
      <c r="BL68" s="324" t="n">
        <f aca="false">IF(AH68,xEURO(BB68,Strike1,AE68,AE68,BF68,O68-DaysForThetaCalculation,IF(OptControl=4,0,1),0)-xEURO(BB68,Strike1,AE68,AE68,BF68,O68,IF(OptControl=4,0,1),0),0)</f>
        <v>0</v>
      </c>
      <c r="BM68" s="324" t="n">
        <f aca="false">IF(AH68,xEURO(BB68,Strike2,AE68,AE68,BG68,O68,IF(OptControl=3,1,0),0),0)</f>
        <v>0</v>
      </c>
      <c r="BN68" s="324" t="n">
        <f aca="false">IF(AH68,xEURO(BB68,Strike2,AE68,AE68,BG68,O68,IF(OptControl=3,1,0),1),0)</f>
        <v>0</v>
      </c>
      <c r="BO68" s="324" t="n">
        <f aca="false">IF(AH68,xEURO(BB68,Strike2,AE68,AE68,BG68,O68,IF(OptControl=3,1,0),2),0)</f>
        <v>0</v>
      </c>
      <c r="BP68" s="324" t="n">
        <f aca="false">IF(AH68,xEURO(BB68,Strike2,AE68,AE68,BG68,O68,IF(OptControl=3,1,0),3)/100,0)</f>
        <v>0</v>
      </c>
      <c r="BQ68" s="327" t="n">
        <f aca="false">IF(AH68,xEURO(BB68,Strike2,AE68,AE68,BG68,O68-DaysForThetaCalculation,IF(OptControl=3,1,0),0)-xEURO(BB68,Strike2,AE68,AE68,BG68,O68,IF(OptControl=3,1,0),0),0)</f>
        <v>0</v>
      </c>
      <c r="BR68" s="343"/>
      <c r="BS68" s="314" t="n">
        <v>26.704</v>
      </c>
      <c r="BT68" s="329" t="n">
        <f aca="false">BS68*100/42</f>
        <v>63.5809523809524</v>
      </c>
      <c r="BU68" s="329" t="n">
        <f aca="false">BS69-$U68</f>
        <v>7.6499545454546</v>
      </c>
      <c r="BV68" s="224"/>
      <c r="BW68" s="329" t="n">
        <f aca="false">BW56+VLOOKUP(1900+$L68,ProductSpreadTable,2)</f>
        <v>15.2939565217392</v>
      </c>
      <c r="BX68" s="329" t="n">
        <f aca="false">($V67+BW67)*100/42</f>
        <v>90.0000000000002</v>
      </c>
      <c r="BY68" s="332" t="n">
        <f aca="false">BX69</f>
        <v>80.7404808959157</v>
      </c>
      <c r="BZ68" s="314" t="n">
        <v>24.377</v>
      </c>
      <c r="CA68" s="329" t="n">
        <f aca="false">BZ68*100/42</f>
        <v>58.0404761904762</v>
      </c>
      <c r="CB68" s="329" t="n">
        <f aca="false">BZ68-$U68</f>
        <v>5.7599545454546</v>
      </c>
      <c r="CC68" s="329" t="n">
        <f aca="false">CC56+VLOOKUP(1900+$L68,ProductSpreadTable,3)</f>
        <v>12.6689565217392</v>
      </c>
      <c r="CD68" s="329" t="n">
        <f aca="false">($V68+CC68)*100/42</f>
        <v>74.4904808959157</v>
      </c>
      <c r="CE68" s="333" t="n">
        <f aca="false">CD68-BY68</f>
        <v>-6.24999999999997</v>
      </c>
      <c r="CF68" s="314" t="n">
        <v>20.95</v>
      </c>
      <c r="CG68" s="329" t="n">
        <f aca="false">CF68*100/42</f>
        <v>49.8809523809524</v>
      </c>
      <c r="CH68" s="329" t="n">
        <f aca="false">CF69-$U68</f>
        <v>2.4119545454546</v>
      </c>
      <c r="CI68" s="224"/>
      <c r="CJ68" s="329" t="n">
        <f aca="false">CJ56+VLOOKUP(1900+$L68,ProductSpreadTable,4)</f>
        <v>7.75800000000003</v>
      </c>
      <c r="CK68" s="329" t="n">
        <f aca="false">($V67+CJ67)*100/42</f>
        <v>64.3226757369615</v>
      </c>
      <c r="CL68" s="329" t="n">
        <f aca="false">CK69</f>
        <v>62.7977272727272</v>
      </c>
      <c r="CM68" s="314" t="n">
        <v>20.21</v>
      </c>
      <c r="CN68" s="329" t="n">
        <f aca="false">CM68*100/42</f>
        <v>48.1190476190476</v>
      </c>
      <c r="CO68" s="329" t="n">
        <f aca="false">CM68-$U68</f>
        <v>1.5929545454546</v>
      </c>
      <c r="CP68" s="329" t="n">
        <f aca="false">CP56+VLOOKUP(1900+$L68,ProductSpreadTable,5)</f>
        <v>6.83400000000002</v>
      </c>
      <c r="CQ68" s="329" t="n">
        <f aca="false">($V68+CP68)*100/42</f>
        <v>60.5977272727272</v>
      </c>
      <c r="CR68" s="333" t="n">
        <f aca="false">CQ68-CL68</f>
        <v>-2.20000000000001</v>
      </c>
      <c r="CS68" s="314" t="n">
        <v>21.155</v>
      </c>
      <c r="CT68" s="329" t="n">
        <f aca="false">CS68*100/42</f>
        <v>50.3690476190476</v>
      </c>
      <c r="CU68" s="329" t="n">
        <f aca="false">CT68-CG69</f>
        <v>0.299999999999997</v>
      </c>
      <c r="CV68" s="329" t="n">
        <f aca="false">CV56+VLOOKUP(1900+$L68,ProductSpreadTable,6)</f>
        <v>1.19999999999999</v>
      </c>
      <c r="CW68" s="333" t="n">
        <f aca="false">CL68+CV68</f>
        <v>63.9977272727272</v>
      </c>
      <c r="CX68" s="318" t="n">
        <v>0.197</v>
      </c>
      <c r="CY68" s="326" t="n">
        <f aca="false">CX68-$W68</f>
        <v>0.000240291751960969</v>
      </c>
      <c r="CZ68" s="326" t="n">
        <f aca="false">VLOOKUP(1900+$L68,ProductSpreadTable,7)</f>
        <v>-0.03</v>
      </c>
      <c r="DA68" s="365" t="n">
        <f aca="false">$W68+CZ68</f>
        <v>0.166759708248039</v>
      </c>
      <c r="DB68" s="318" t="n">
        <v>0.197</v>
      </c>
      <c r="DC68" s="326" t="n">
        <f aca="false">DB68-$W68</f>
        <v>0.000240291751960969</v>
      </c>
      <c r="DD68" s="326" t="n">
        <f aca="false">VLOOKUP(1900+$L68,ProductSpreadTable,8)</f>
        <v>0.03</v>
      </c>
      <c r="DE68" s="365" t="n">
        <f aca="false">$W68+DD68</f>
        <v>0.226759708248039</v>
      </c>
      <c r="DG68" s="336"/>
      <c r="DH68" s="314" t="n">
        <v>16.323</v>
      </c>
      <c r="DI68" s="325" t="n">
        <f aca="false">DH68-$U68</f>
        <v>-2.2940454545454</v>
      </c>
      <c r="DJ68" s="325" t="n">
        <f aca="false">VLOOKUP(1900+$L68,ResidSpreadTable,2)</f>
        <v>-2</v>
      </c>
      <c r="DK68" s="337" t="n">
        <f aca="false">$V68+DJ68</f>
        <v>16.6170454545454</v>
      </c>
      <c r="DL68" s="314" t="n">
        <v>13.723</v>
      </c>
      <c r="DM68" s="325" t="n">
        <f aca="false">DL68-$U68</f>
        <v>-4.89404545454541</v>
      </c>
      <c r="DN68" s="325" t="n">
        <f aca="false">VLOOKUP(1900+$L68,ResidSpreadTable,3)</f>
        <v>-3</v>
      </c>
      <c r="DO68" s="337" t="n">
        <f aca="false">$V68+DN68</f>
        <v>15.6170454545454</v>
      </c>
      <c r="DP68" s="314" t="n">
        <v>12.973</v>
      </c>
      <c r="DQ68" s="325" t="n">
        <f aca="false">DP68-$U68</f>
        <v>-5.64404545454541</v>
      </c>
      <c r="DR68" s="325" t="n">
        <f aca="false">VLOOKUP(1900+$L68,ResidSpreadTable,4)</f>
        <v>-6</v>
      </c>
      <c r="DS68" s="337" t="n">
        <f aca="false">$V68+DR68</f>
        <v>12.6170454545454</v>
      </c>
      <c r="DT68" s="314" t="n">
        <v>15.123</v>
      </c>
      <c r="DU68" s="325" t="n">
        <f aca="false">DT68-$U68</f>
        <v>-3.49404545454541</v>
      </c>
      <c r="DV68" s="325" t="n">
        <f aca="false">VLOOKUP(1900+$L68,ResidSpreadTable,5)</f>
        <v>-5</v>
      </c>
      <c r="DW68" s="337" t="n">
        <f aca="false">$V68+DV68</f>
        <v>13.6170454545454</v>
      </c>
    </row>
    <row r="69" customFormat="false" ht="12.75" hidden="false" customHeight="false" outlineLevel="0" collapsed="false">
      <c r="B69" s="371" t="n">
        <v>37653</v>
      </c>
      <c r="C69" s="391" t="n">
        <v>37643</v>
      </c>
      <c r="I69" s="338" t="n">
        <f aca="false">EOMONTH(I68,0)+1</f>
        <v>47849</v>
      </c>
      <c r="J69" s="389" t="n">
        <f aca="false">VLOOKUP(I69,$B$12:$C$332,2)</f>
        <v>45644</v>
      </c>
      <c r="K69" s="339" t="n">
        <f aca="false">NETWORKDAYS(I69,J70)/N69</f>
        <v>-68.5217391304348</v>
      </c>
      <c r="L69" s="309" t="n">
        <f aca="false">YEAR(I69)-1900</f>
        <v>131</v>
      </c>
      <c r="M69" s="310" t="n">
        <f aca="false">MONTH(I69)</f>
        <v>1</v>
      </c>
      <c r="N69" s="340" t="n">
        <f aca="false">NETWORKDAYS(I69,I70-1)</f>
        <v>23</v>
      </c>
      <c r="O69" s="341" t="n">
        <f aca="false">I69-DateToday-IF(EuroExpDateToggle=1,3+IF(WEEKDAY(I69-1)=7,1,IF(WEEKDAY(I69-1)&lt;5,2,0)),1+IF(WEEKDAY(I69-1)=7,1,IF(WEEKDAY(I69-1)&lt;3,2,0)))</f>
        <v>1918</v>
      </c>
      <c r="P69" s="342" t="n">
        <f aca="false">(I69-DateToday+1)/365.25</f>
        <v>5.26762491444216</v>
      </c>
      <c r="Q69" s="342" t="n">
        <f aca="false">(I70-DateToday)/365.25</f>
        <v>5.34976043805613</v>
      </c>
      <c r="R69" s="314" t="n">
        <v>18.975</v>
      </c>
      <c r="S69" s="347" t="n">
        <v>0</v>
      </c>
      <c r="T69" s="316" t="n">
        <f aca="false">R69+S69/100</f>
        <v>18.975</v>
      </c>
      <c r="U69" s="325" t="n">
        <f aca="false">R70*K69+R71*(1-K69)</f>
        <v>18.622391304348</v>
      </c>
      <c r="V69" s="337" t="n">
        <f aca="false">T70*K69+T71*(1-K69)</f>
        <v>18.622391304348</v>
      </c>
      <c r="W69" s="318" t="n">
        <v>0.196333172849358</v>
      </c>
      <c r="X69" s="319" t="str">
        <f aca="false">IF($I69-DateToday+1&gt;=$A$10,"",IF($I69-DateToday+1&lt;$A$5,1,MATCH($I69-DateToday+1,$A$5:$A$10)))</f>
        <v/>
      </c>
      <c r="Y69" s="348" t="n">
        <f aca="false">IF($X69="",Y68^2/Y67,INDEX(B$5:B$10,$X69)^((INDEX($A$5:$A$10,$X69+1)-($I69-DateToday+1))/(INDEX($A$5:$A$10,$X69+1)-INDEX($A$5:$A$10,$X69)))/INDEX(B$5:B$10,$X69+1)^((INDEX($A$5:$A$10,$X69)-($I69-DateToday+1))/(INDEX($A$5:$A$10,$X69+1)-INDEX($A$5:$A$10,$X69))))</f>
        <v>0.00392133817791388</v>
      </c>
      <c r="Z69" s="348" t="n">
        <f aca="false">IF($X69="",Z68^2/Z67,INDEX(C$5:C$10,$X69)^((INDEX($A$5:$A$10,$X69+1)-($I69-DateToday+1))/(INDEX($A$5:$A$10,$X69+1)-INDEX($A$5:$A$10,$X69)))/INDEX(C$5:C$10,$X69+1)^((INDEX($A$5:$A$10,$X69)-($I69-DateToday+1))/(INDEX($A$5:$A$10,$X69+1)-INDEX($A$5:$A$10,$X69))))</f>
        <v>0.00172152562758995</v>
      </c>
      <c r="AA69" s="348" t="n">
        <f aca="false">IF($X69="",AA68^2/AA67,INDEX(D$5:D$10,$X69)^((INDEX($A$5:$A$10,$X69+1)-($I69-DateToday+1))/(INDEX($A$5:$A$10,$X69+1)-INDEX($A$5:$A$10,$X69)))/INDEX(D$5:D$10,$X69+1)^((INDEX($A$5:$A$10,$X69)-($I69-DateToday+1))/(INDEX($A$5:$A$10,$X69+1)-INDEX($A$5:$A$10,$X69))))</f>
        <v>0.000692562275131562</v>
      </c>
      <c r="AB69" s="348" t="n">
        <f aca="false">IF($X69="",AB68^2/AB67,INDEX(E$5:E$10,$X69)^((INDEX($A$5:$A$10,$X69+1)-($I69-DateToday+1))/(INDEX($A$5:$A$10,$X69+1)-INDEX($A$5:$A$10,$X69)))/INDEX(E$5:E$10,$X69+1)^((INDEX($A$5:$A$10,$X69)-($I69-DateToday+1))/(INDEX($A$5:$A$10,$X69+1)-INDEX($A$5:$A$10,$X69))))</f>
        <v>0.0015602042934164</v>
      </c>
      <c r="AC69" s="348" t="n">
        <f aca="false">IF($X69="",AC68^2/AC67,INDEX(F$5:F$10,$X69)^((INDEX($A$5:$A$10,$X69+1)-($I69-DateToday+1))/(INDEX($A$5:$A$10,$X69+1)-INDEX($A$5:$A$10,$X69)))/INDEX(F$5:F$10,$X69+1)^((INDEX($A$5:$A$10,$X69)-($I69-DateToday+1))/(INDEX($A$5:$A$10,$X69+1)-INDEX($A$5:$A$10,$X69))))</f>
        <v>0.00387825293383468</v>
      </c>
      <c r="AD69" s="348" t="n">
        <f aca="false">IF($X69="",AD68^2/AD67,INDEX(G$5:G$10,$X69)^((INDEX($A$5:$A$10,$X69+1)-($I69-DateToday+1))/(INDEX($A$5:$A$10,$X69+1)-INDEX($A$5:$A$10,$X69)))/INDEX(G$5:G$10,$X69+1)^((INDEX($A$5:$A$10,$X69)-($I69-DateToday+1))/(INDEX($A$5:$A$10,$X69+1)-INDEX($A$5:$A$10,$X69))))</f>
        <v>0.00883399064720416</v>
      </c>
      <c r="AE69" s="321" t="n">
        <v>0.073146349166104</v>
      </c>
      <c r="AF69" s="316" t="n">
        <f aca="false">(1+AE69/2)^(-2*(I70-DateToday)/365.25)</f>
        <v>0.68090706870561</v>
      </c>
      <c r="AG69" s="316" t="n">
        <f aca="false">AG68*(1+IF(AND(M69=1,L69&gt;YearStart),Escalation,0))</f>
        <v>1</v>
      </c>
      <c r="AH69" s="322" t="n">
        <f aca="false">IF(OR(DateStart&gt;=I70,DateEnd&lt;I69),0,Volume*AG69)</f>
        <v>0</v>
      </c>
      <c r="AI69" s="322" t="n">
        <f aca="false">AH69*AF69</f>
        <v>0</v>
      </c>
      <c r="AJ69" s="322" t="n">
        <f aca="false">IF(OR(DateStart2&gt;=I70,DateEnd2&lt;I69),0,VolumeSwaption*AG69)</f>
        <v>0</v>
      </c>
      <c r="AK69" s="322" t="n">
        <f aca="false">AJ69*AF69</f>
        <v>0</v>
      </c>
      <c r="AL69" s="316" t="str">
        <f aca="true">IF(AH69,OFFSET(BY69,0,HorizontalPriceOffset)+PriceSpreadAsian,"")</f>
        <v/>
      </c>
      <c r="AM69" s="316" t="str">
        <f aca="false">IF(AH69,Strike1/AL69-1,"")</f>
        <v/>
      </c>
      <c r="AN69" s="316" t="str">
        <f aca="false">IF(AH69,Strike2/AL69-1,"")</f>
        <v/>
      </c>
      <c r="AO69" s="323" t="str">
        <f aca="false">IF(AH69,IF(VolOverrideAsian,VolOverrideAsian,IF(ProductGroup=1,IF(Product&lt;3,DA70,DE70),W70)+VolSpreadAsian),"")</f>
        <v/>
      </c>
      <c r="AP69" s="323" t="str">
        <f aca="false">IF($AH69,$AO69+IF(SkewFlag=1,IF(AM69&gt;0,$AA69*MIN(AM69/10%,1)+($Z69-$AA69)*MAX(0,MIN(AM69/10%-1,1))+($Y69-$Z69)*MAX(0,AM69/10%-2),$AB69*MIN(-AM69/10%,1)+($AC69-$AB69)*MAX(0,MIN(-AM69/10%-1,1))+($AD69-$AC69)*MAX(0,-AM69/10%-2)),0),"")</f>
        <v/>
      </c>
      <c r="AQ69" s="323" t="str">
        <f aca="false">IF($AH69,$AO69+IF(SkewFlag=1,IF(AN69&gt;0,$AA69*MIN(AN69/10%,1)+($Z69-$AA69)*MAX(0,MIN(AN69/10%-1,1))+($Y69-$Z69)*MAX(0,AN69/10%-2),$AB69*MIN(-AN69/10%,1)+($AC69-$AB69)*MAX(0,MIN(-AN69/10%-1,1))+($AD69-$AC69)*MAX(0,-AN69/10%-2)),0),"")</f>
        <v/>
      </c>
      <c r="AR69" s="324" t="n">
        <f aca="false">IF(AH69,xASN(AL69,Strike1,AE69,AP69,0,N69,0,P69,Q69,IF(OptControl=4,0,1),0),0)</f>
        <v>0</v>
      </c>
      <c r="AS69" s="324" t="n">
        <f aca="false">IF(AH69,xASN(AL69,Strike1,AE69,AP69,0,N69,0,P69,Q69,IF(OptControl=4,0,1),1),0)</f>
        <v>0</v>
      </c>
      <c r="AT69" s="324" t="n">
        <f aca="false">IF(AH69,xASN(AL69,Strike1,AE69,AP69,0,N69,0,P69,Q69,IF(OptControl=4,0,1),2),0)</f>
        <v>0</v>
      </c>
      <c r="AU69" s="324" t="n">
        <f aca="false">IF(AH69,xASN(AL69,Strike1,AE69,AP69,0,N69,0,P69,Q69,IF(OptControl=4,0,1),3)/100,0)</f>
        <v>0</v>
      </c>
      <c r="AV69" s="324" t="n">
        <f aca="false">IF(AH69,xASN(AL69,Strike1,AE69,AP69,0,N69,0,P69-DaysForThetaCalculation/365.25,Q69-DaysForThetaCalculation/365.25,IF(OptControl=4,0,1),0)-xASN(AL69,Strike1,AE69,AP69,0,N69,0,P69,Q69,IF(OptControl=4,0,1),0),0)</f>
        <v>0</v>
      </c>
      <c r="AW69" s="324" t="n">
        <f aca="false">IF(AH69,xASN(AL69,Strike2,AE69,AQ69,0,N69,0,P69,Q69,IF(OptControl=3,1,0),0),0)</f>
        <v>0</v>
      </c>
      <c r="AX69" s="324" t="n">
        <f aca="false">IF(AH69,xASN(AL69,Strike2,AE69,AQ69,0,N69,0,P69,Q69,IF(OptControl=3,1,0),1),0)</f>
        <v>0</v>
      </c>
      <c r="AY69" s="324" t="n">
        <f aca="false">IF(AH69,xASN(AL69,Strike2,AE69,AQ69,0,N69,0,P69,Q69,IF(OptControl=3,1,0),2),0)</f>
        <v>0</v>
      </c>
      <c r="AZ69" s="324" t="n">
        <f aca="false">IF(AH69,xASN(AL69,Strike2,AE69,AQ69,0,N69,0,P69,Q69,IF(OptControl=3,1,0),3)/100,0)</f>
        <v>0</v>
      </c>
      <c r="BA69" s="324" t="n">
        <f aca="false">IF(AH69,xASN(AL69,Strike2,AE69,AQ69,0,N69,0,P69-DaysForThetaCalculation/365.25,Q69-DaysForThetaCalculation/365.25,IF(OptControl=3,1,0),0)-xASN(AL69,Strike2,AE69,AQ69,0,N69,0,P69,Q69,IF(OptControl=3,1,0),0),0)</f>
        <v>0</v>
      </c>
      <c r="BB69" s="325" t="str">
        <f aca="false">IF(AH69,IF(ProductGroup=1,IF(Product=1,BX69+PriceSpreadEuro,IF(Product=3,CK69+PriceSpreadEuro,"N/A")),"N/A"),"")</f>
        <v/>
      </c>
      <c r="BC69" s="316" t="str">
        <f aca="false">IF(AH69,Strike1/BB69-1,"")</f>
        <v/>
      </c>
      <c r="BD69" s="316" t="str">
        <f aca="false">IF(AH69,Strike2/BB69-1,"")</f>
        <v/>
      </c>
      <c r="BE69" s="326" t="str">
        <f aca="false">IF(AH69,IF(VolOverrideEuro,VolOverrideEuro,IF(ProductGroup=1,IF(Product&lt;3,DA69,DE69)+VolSpreadEuro,"N/A")),"")</f>
        <v/>
      </c>
      <c r="BF69" s="323" t="str">
        <f aca="false">IF($AH69,$BE69+IF(SkewFlag=1,IF(BC69&gt;0,$AA69*MIN(BC69/10%,1)+($Z69-$AA69)*MAX(0,MIN(BC69/10%-1,1))+($Y69-$Z69)*MAX(0,BC69/10%-2),$AB69*MIN(-BC69/10%,1)+($AC69-$AB69)*MAX(0,MIN(-BC69/10%-1,1))+($AD69-$AC69)*MAX(0,-BC69/10%-2)),0),"")</f>
        <v/>
      </c>
      <c r="BG69" s="323" t="str">
        <f aca="false">IF($AH69,$BE69+IF(SkewFlag=1,IF(BD69&gt;0,$AA69*MIN(BD69/10%,1)+($Z69-$AA69)*MAX(0,MIN(BD69/10%-1,1))+($Y69-$Z69)*MAX(0,BD69/10%-2),$AB69*MIN(-BD69/10%,1)+($AC69-$AB69)*MAX(0,MIN(-BD69/10%-1,1))+($AD69-$AC69)*MAX(0,-BD69/10%-2)),0),"")</f>
        <v/>
      </c>
      <c r="BH69" s="324" t="n">
        <f aca="false">IF(AH69,xEURO(BB69,Strike1,AE69,AE69,BF69,O69,IF(OptControl=4,0,1),0),0)</f>
        <v>0</v>
      </c>
      <c r="BI69" s="324" t="n">
        <f aca="false">IF(AH69,xEURO(BB69,Strike1,AE69,AE69,BF69,O69,IF(OptControl=4,0,1),1),0)</f>
        <v>0</v>
      </c>
      <c r="BJ69" s="324" t="n">
        <f aca="false">IF(AH69,xEURO(BB69,Strike1,AE69,AE69,BF69,O69,IF(OptControl=4,0,1),2),0)</f>
        <v>0</v>
      </c>
      <c r="BK69" s="324" t="n">
        <f aca="false">IF(AH69,xEURO(BB69,Strike1,AE69,AE69,BF69,O69,IF(OptControl=4,0,1),3)/100,0)</f>
        <v>0</v>
      </c>
      <c r="BL69" s="324" t="n">
        <f aca="false">IF(AH69,xEURO(BB69,Strike1,AE69,AE69,BF69,O69-DaysForThetaCalculation,IF(OptControl=4,0,1),0)-xEURO(BB69,Strike1,AE69,AE69,BF69,O69,IF(OptControl=4,0,1),0),0)</f>
        <v>0</v>
      </c>
      <c r="BM69" s="324" t="n">
        <f aca="false">IF(AH69,xEURO(BB69,Strike2,AE69,AE69,BG69,O69,IF(OptControl=3,1,0),0),0)</f>
        <v>0</v>
      </c>
      <c r="BN69" s="324" t="n">
        <f aca="false">IF(AH69,xEURO(BB69,Strike2,AE69,AE69,BG69,O69,IF(OptControl=3,1,0),1),0)</f>
        <v>0</v>
      </c>
      <c r="BO69" s="324" t="n">
        <f aca="false">IF(AH69,xEURO(BB69,Strike2,AE69,AE69,BG69,O69,IF(OptControl=3,1,0),2),0)</f>
        <v>0</v>
      </c>
      <c r="BP69" s="324" t="n">
        <f aca="false">IF(AH69,xEURO(BB69,Strike2,AE69,AE69,BG69,O69,IF(OptControl=3,1,0),3)/100,0)</f>
        <v>0</v>
      </c>
      <c r="BQ69" s="327" t="n">
        <f aca="false">IF(AH69,xEURO(BB69,Strike2,AE69,AE69,BG69,O69-DaysForThetaCalculation,IF(OptControl=3,1,0),0)-xEURO(BB69,Strike2,AE69,AE69,BG69,O69,IF(OptControl=3,1,0),0),0)</f>
        <v>0</v>
      </c>
      <c r="BR69" s="343"/>
      <c r="BS69" s="314" t="n">
        <v>26.267</v>
      </c>
      <c r="BT69" s="329" t="n">
        <f aca="false">BS69*100/42</f>
        <v>62.5404761904762</v>
      </c>
      <c r="BU69" s="329" t="n">
        <f aca="false">BS70-$U69</f>
        <v>7.10660869565205</v>
      </c>
      <c r="BV69" s="224"/>
      <c r="BW69" s="329" t="n">
        <f aca="false">BW57+VLOOKUP(1900+$L69,ProductSpreadTable,2)</f>
        <v>14.7192727272728</v>
      </c>
      <c r="BX69" s="329" t="n">
        <f aca="false">($V68+BW68)*100/42</f>
        <v>80.7404808959157</v>
      </c>
      <c r="BY69" s="332" t="n">
        <f aca="false">BX70</f>
        <v>79.3849143610017</v>
      </c>
      <c r="BZ69" s="314" t="n">
        <v>23.839</v>
      </c>
      <c r="CA69" s="329" t="n">
        <f aca="false">BZ69*100/42</f>
        <v>56.7595238095238</v>
      </c>
      <c r="CB69" s="329" t="n">
        <f aca="false">BZ69-$U69</f>
        <v>5.21660869565205</v>
      </c>
      <c r="CC69" s="329" t="n">
        <f aca="false">CC57+VLOOKUP(1900+$L69,ProductSpreadTable,3)</f>
        <v>12.3042727272728</v>
      </c>
      <c r="CD69" s="329" t="n">
        <f aca="false">($V69+CC69)*100/42</f>
        <v>73.6349143610017</v>
      </c>
      <c r="CE69" s="333" t="n">
        <f aca="false">CD69-BY69</f>
        <v>-5.75</v>
      </c>
      <c r="CF69" s="314" t="n">
        <v>21.029</v>
      </c>
      <c r="CG69" s="329" t="n">
        <f aca="false">CF69*100/42</f>
        <v>50.0690476190476</v>
      </c>
      <c r="CH69" s="329" t="n">
        <f aca="false">CF70-$U69</f>
        <v>2.73060869565204</v>
      </c>
      <c r="CI69" s="224"/>
      <c r="CJ69" s="329" t="n">
        <f aca="false">CJ57+VLOOKUP(1900+$L69,ProductSpreadTable,4)</f>
        <v>8.30299999999997</v>
      </c>
      <c r="CK69" s="329" t="n">
        <f aca="false">($V68+CJ68)*100/42</f>
        <v>62.7977272727272</v>
      </c>
      <c r="CL69" s="329" t="n">
        <f aca="false">CK70</f>
        <v>64.1080745341617</v>
      </c>
      <c r="CM69" s="314" t="n">
        <v>20.429</v>
      </c>
      <c r="CN69" s="329" t="n">
        <f aca="false">CM69*100/42</f>
        <v>48.6404761904762</v>
      </c>
      <c r="CO69" s="329" t="n">
        <f aca="false">CM69-$U69</f>
        <v>1.80660869565205</v>
      </c>
      <c r="CP69" s="329" t="n">
        <f aca="false">CP57+VLOOKUP(1900+$L69,ProductSpreadTable,5)</f>
        <v>7.37899999999997</v>
      </c>
      <c r="CQ69" s="329" t="n">
        <f aca="false">($V69+CP69)*100/42</f>
        <v>61.9080745341617</v>
      </c>
      <c r="CR69" s="333" t="n">
        <f aca="false">CQ69-CL69</f>
        <v>-2.20000000000001</v>
      </c>
      <c r="CS69" s="314" t="n">
        <v>21.479</v>
      </c>
      <c r="CT69" s="329" t="n">
        <f aca="false">CS69*100/42</f>
        <v>51.1404761904762</v>
      </c>
      <c r="CU69" s="329" t="n">
        <f aca="false">CT69-CG70</f>
        <v>0.299999999999997</v>
      </c>
      <c r="CV69" s="329" t="n">
        <f aca="false">CV57+VLOOKUP(1900+$L69,ProductSpreadTable,6)</f>
        <v>1.19999999999999</v>
      </c>
      <c r="CW69" s="333" t="n">
        <f aca="false">CL69+CV69</f>
        <v>65.3080745341617</v>
      </c>
      <c r="CX69" s="318" t="n">
        <v>0.196</v>
      </c>
      <c r="CY69" s="326" t="n">
        <f aca="false">CX69-$W69</f>
        <v>-0.000333172849358021</v>
      </c>
      <c r="CZ69" s="326" t="n">
        <f aca="false">VLOOKUP(1900+$L69,ProductSpreadTable,7)</f>
        <v>-0.03</v>
      </c>
      <c r="DA69" s="365" t="n">
        <f aca="false">$W69+CZ69</f>
        <v>0.166333172849358</v>
      </c>
      <c r="DB69" s="318" t="n">
        <v>0.196</v>
      </c>
      <c r="DC69" s="326" t="n">
        <f aca="false">DB69-$W69</f>
        <v>-0.000333172849358021</v>
      </c>
      <c r="DD69" s="326" t="n">
        <f aca="false">VLOOKUP(1900+$L69,ProductSpreadTable,8)</f>
        <v>0.03</v>
      </c>
      <c r="DE69" s="365" t="n">
        <f aca="false">$W69+DD69</f>
        <v>0.226333172849358</v>
      </c>
      <c r="DG69" s="336"/>
      <c r="DH69" s="314" t="n">
        <v>16.318</v>
      </c>
      <c r="DI69" s="325" t="n">
        <f aca="false">DH69-$U69</f>
        <v>-2.30439130434796</v>
      </c>
      <c r="DJ69" s="325" t="n">
        <f aca="false">VLOOKUP(1900+$L69,ResidSpreadTable,2)</f>
        <v>-2</v>
      </c>
      <c r="DK69" s="337" t="n">
        <f aca="false">$V69+DJ69</f>
        <v>16.622391304348</v>
      </c>
      <c r="DL69" s="314" t="n">
        <v>13.718</v>
      </c>
      <c r="DM69" s="325" t="n">
        <f aca="false">DL69-$U69</f>
        <v>-4.90439130434796</v>
      </c>
      <c r="DN69" s="325" t="n">
        <f aca="false">VLOOKUP(1900+$L69,ResidSpreadTable,3)</f>
        <v>-3</v>
      </c>
      <c r="DO69" s="337" t="n">
        <f aca="false">$V69+DN69</f>
        <v>15.622391304348</v>
      </c>
      <c r="DP69" s="314" t="n">
        <v>12.968</v>
      </c>
      <c r="DQ69" s="325" t="n">
        <f aca="false">DP69-$U69</f>
        <v>-5.65439130434796</v>
      </c>
      <c r="DR69" s="325" t="n">
        <f aca="false">VLOOKUP(1900+$L69,ResidSpreadTable,4)</f>
        <v>-6</v>
      </c>
      <c r="DS69" s="337" t="n">
        <f aca="false">$V69+DR69</f>
        <v>12.622391304348</v>
      </c>
      <c r="DT69" s="314" t="n">
        <v>15.268</v>
      </c>
      <c r="DU69" s="325" t="n">
        <f aca="false">DT69-$U69</f>
        <v>-3.35439130434796</v>
      </c>
      <c r="DV69" s="325" t="n">
        <f aca="false">VLOOKUP(1900+$L69,ResidSpreadTable,5)</f>
        <v>-5</v>
      </c>
      <c r="DW69" s="337" t="n">
        <f aca="false">$V69+DV69</f>
        <v>13.622391304348</v>
      </c>
    </row>
    <row r="70" customFormat="false" ht="12.75" hidden="false" customHeight="false" outlineLevel="0" collapsed="false">
      <c r="B70" s="371" t="n">
        <v>37681</v>
      </c>
      <c r="C70" s="391" t="n">
        <v>37672</v>
      </c>
      <c r="I70" s="338" t="n">
        <f aca="false">EOMONTH(I69,0)+1</f>
        <v>47880</v>
      </c>
      <c r="J70" s="389" t="n">
        <f aca="false">VLOOKUP(I70,$B$12:$C$332,2)</f>
        <v>45644</v>
      </c>
      <c r="K70" s="339" t="n">
        <f aca="false">NETWORKDAYS(I70,J71)/N70</f>
        <v>-79.9</v>
      </c>
      <c r="L70" s="309" t="n">
        <f aca="false">YEAR(I70)-1900</f>
        <v>131</v>
      </c>
      <c r="M70" s="310" t="n">
        <f aca="false">MONTH(I70)</f>
        <v>2</v>
      </c>
      <c r="N70" s="340" t="n">
        <f aca="false">NETWORKDAYS(I70,I71-1)</f>
        <v>20</v>
      </c>
      <c r="O70" s="341" t="n">
        <f aca="false">I70-DateToday-IF(EuroExpDateToggle=1,3+IF(WEEKDAY(I70-1)=7,1,IF(WEEKDAY(I70-1)&lt;5,2,0)),1+IF(WEEKDAY(I70-1)=7,1,IF(WEEKDAY(I70-1)&lt;3,2,0)))</f>
        <v>1951</v>
      </c>
      <c r="P70" s="342" t="n">
        <f aca="false">(I70-DateToday+1)/365.25</f>
        <v>5.35249828884326</v>
      </c>
      <c r="Q70" s="342" t="n">
        <f aca="false">(I71-DateToday)/365.25</f>
        <v>5.42642026009583</v>
      </c>
      <c r="R70" s="314" t="n">
        <v>18.97</v>
      </c>
      <c r="S70" s="347" t="n">
        <v>0</v>
      </c>
      <c r="T70" s="316" t="n">
        <f aca="false">R70+S70/100</f>
        <v>18.97</v>
      </c>
      <c r="U70" s="325" t="n">
        <f aca="false">R71*K70+R72*(1-K70)</f>
        <v>18.5605000000003</v>
      </c>
      <c r="V70" s="337" t="n">
        <f aca="false">T71*K70+T72*(1-K70)</f>
        <v>18.5605000000003</v>
      </c>
      <c r="W70" s="318" t="n">
        <v>0.196185198431161</v>
      </c>
      <c r="X70" s="319" t="str">
        <f aca="false">IF($I70-DateToday+1&gt;=$A$10,"",IF($I70-DateToday+1&lt;$A$5,1,MATCH($I70-DateToday+1,$A$5:$A$10)))</f>
        <v/>
      </c>
      <c r="Y70" s="348" t="n">
        <f aca="false">IF($X70="",Y69^2/Y68,INDEX(B$5:B$10,$X70)^((INDEX($A$5:$A$10,$X70+1)-($I70-DateToday+1))/(INDEX($A$5:$A$10,$X70+1)-INDEX($A$5:$A$10,$X70)))/INDEX(B$5:B$10,$X70+1)^((INDEX($A$5:$A$10,$X70)-($I70-DateToday+1))/(INDEX($A$5:$A$10,$X70+1)-INDEX($A$5:$A$10,$X70))))</f>
        <v>0.00383738829159494</v>
      </c>
      <c r="Z70" s="348" t="n">
        <f aca="false">IF($X70="",Z69^2/Z68,INDEX(C$5:C$10,$X70)^((INDEX($A$5:$A$10,$X70+1)-($I70-DateToday+1))/(INDEX($A$5:$A$10,$X70+1)-INDEX($A$5:$A$10,$X70)))/INDEX(C$5:C$10,$X70+1)^((INDEX($A$5:$A$10,$X70)-($I70-DateToday+1))/(INDEX($A$5:$A$10,$X70+1)-INDEX($A$5:$A$10,$X70))))</f>
        <v>0.00167565056948708</v>
      </c>
      <c r="AA70" s="348" t="n">
        <f aca="false">IF($X70="",AA69^2/AA68,INDEX(D$5:D$10,$X70)^((INDEX($A$5:$A$10,$X70+1)-($I70-DateToday+1))/(INDEX($A$5:$A$10,$X70+1)-INDEX($A$5:$A$10,$X70)))/INDEX(D$5:D$10,$X70+1)^((INDEX($A$5:$A$10,$X70)-($I70-DateToday+1))/(INDEX($A$5:$A$10,$X70+1)-INDEX($A$5:$A$10,$X70))))</f>
        <v>0.000672299257176383</v>
      </c>
      <c r="AB70" s="348" t="n">
        <f aca="false">IF($X70="",AB69^2/AB68,INDEX(E$5:E$10,$X70)^((INDEX($A$5:$A$10,$X70+1)-($I70-DateToday+1))/(INDEX($A$5:$A$10,$X70+1)-INDEX($A$5:$A$10,$X70)))/INDEX(E$5:E$10,$X70+1)^((INDEX($A$5:$A$10,$X70)-($I70-DateToday+1))/(INDEX($A$5:$A$10,$X70+1)-INDEX($A$5:$A$10,$X70))))</f>
        <v>0.00151455576656697</v>
      </c>
      <c r="AC70" s="348" t="n">
        <f aca="false">IF($X70="",AC69^2/AC68,INDEX(F$5:F$10,$X70)^((INDEX($A$5:$A$10,$X70+1)-($I70-DateToday+1))/(INDEX($A$5:$A$10,$X70+1)-INDEX($A$5:$A$10,$X70)))/INDEX(F$5:F$10,$X70+1)^((INDEX($A$5:$A$10,$X70)-($I70-DateToday+1))/(INDEX($A$5:$A$10,$X70+1)-INDEX($A$5:$A$10,$X70))))</f>
        <v>0.00377490560294052</v>
      </c>
      <c r="AD70" s="348" t="n">
        <f aca="false">IF($X70="",AD69^2/AD68,INDEX(G$5:G$10,$X70)^((INDEX($A$5:$A$10,$X70+1)-($I70-DateToday+1))/(INDEX($A$5:$A$10,$X70+1)-INDEX($A$5:$A$10,$X70)))/INDEX(G$5:G$10,$X70+1)^((INDEX($A$5:$A$10,$X70)-($I70-DateToday+1))/(INDEX($A$5:$A$10,$X70+1)-INDEX($A$5:$A$10,$X70))))</f>
        <v>0.00864486834330484</v>
      </c>
      <c r="AE70" s="321" t="n">
        <v>0.073164262628154</v>
      </c>
      <c r="AF70" s="316" t="n">
        <f aca="false">(1+AE70/2)^(-2*(I71-DateToday)/365.25)</f>
        <v>0.677103931133772</v>
      </c>
      <c r="AG70" s="316" t="n">
        <f aca="false">AG69*(1+IF(AND(M70=1,L70&gt;YearStart),Escalation,0))</f>
        <v>1</v>
      </c>
      <c r="AH70" s="322" t="n">
        <f aca="false">IF(OR(DateStart&gt;=I71,DateEnd&lt;I70),0,Volume*AG70)</f>
        <v>0</v>
      </c>
      <c r="AI70" s="322" t="n">
        <f aca="false">AH70*AF70</f>
        <v>0</v>
      </c>
      <c r="AJ70" s="322" t="n">
        <f aca="false">IF(OR(DateStart2&gt;=I71,DateEnd2&lt;I70),0,VolumeSwaption*AG70)</f>
        <v>0</v>
      </c>
      <c r="AK70" s="322" t="n">
        <f aca="false">AJ70*AF70</f>
        <v>0</v>
      </c>
      <c r="AL70" s="316" t="str">
        <f aca="true">IF(AH70,OFFSET(BY70,0,HorizontalPriceOffset)+PriceSpreadAsian,"")</f>
        <v/>
      </c>
      <c r="AM70" s="316" t="str">
        <f aca="false">IF(AH70,Strike1/AL70-1,"")</f>
        <v/>
      </c>
      <c r="AN70" s="316" t="str">
        <f aca="false">IF(AH70,Strike2/AL70-1,"")</f>
        <v/>
      </c>
      <c r="AO70" s="323" t="str">
        <f aca="false">IF(AH70,IF(VolOverrideAsian,VolOverrideAsian,IF(ProductGroup=1,IF(Product&lt;3,DA71,DE71),W71)+VolSpreadAsian),"")</f>
        <v/>
      </c>
      <c r="AP70" s="323" t="str">
        <f aca="false">IF($AH70,$AO70+IF(SkewFlag=1,IF(AM70&gt;0,$AA70*MIN(AM70/10%,1)+($Z70-$AA70)*MAX(0,MIN(AM70/10%-1,1))+($Y70-$Z70)*MAX(0,AM70/10%-2),$AB70*MIN(-AM70/10%,1)+($AC70-$AB70)*MAX(0,MIN(-AM70/10%-1,1))+($AD70-$AC70)*MAX(0,-AM70/10%-2)),0),"")</f>
        <v/>
      </c>
      <c r="AQ70" s="323" t="str">
        <f aca="false">IF($AH70,$AO70+IF(SkewFlag=1,IF(AN70&gt;0,$AA70*MIN(AN70/10%,1)+($Z70-$AA70)*MAX(0,MIN(AN70/10%-1,1))+($Y70-$Z70)*MAX(0,AN70/10%-2),$AB70*MIN(-AN70/10%,1)+($AC70-$AB70)*MAX(0,MIN(-AN70/10%-1,1))+($AD70-$AC70)*MAX(0,-AN70/10%-2)),0),"")</f>
        <v/>
      </c>
      <c r="AR70" s="324" t="n">
        <f aca="false">IF(AH70,xASN(AL70,Strike1,AE70,AP70,0,N70,0,P70,Q70,IF(OptControl=4,0,1),0),0)</f>
        <v>0</v>
      </c>
      <c r="AS70" s="324" t="n">
        <f aca="false">IF(AH70,xASN(AL70,Strike1,AE70,AP70,0,N70,0,P70,Q70,IF(OptControl=4,0,1),1),0)</f>
        <v>0</v>
      </c>
      <c r="AT70" s="324" t="n">
        <f aca="false">IF(AH70,xASN(AL70,Strike1,AE70,AP70,0,N70,0,P70,Q70,IF(OptControl=4,0,1),2),0)</f>
        <v>0</v>
      </c>
      <c r="AU70" s="324" t="n">
        <f aca="false">IF(AH70,xASN(AL70,Strike1,AE70,AP70,0,N70,0,P70,Q70,IF(OptControl=4,0,1),3)/100,0)</f>
        <v>0</v>
      </c>
      <c r="AV70" s="324" t="n">
        <f aca="false">IF(AH70,xASN(AL70,Strike1,AE70,AP70,0,N70,0,P70-DaysForThetaCalculation/365.25,Q70-DaysForThetaCalculation/365.25,IF(OptControl=4,0,1),0)-xASN(AL70,Strike1,AE70,AP70,0,N70,0,P70,Q70,IF(OptControl=4,0,1),0),0)</f>
        <v>0</v>
      </c>
      <c r="AW70" s="324" t="n">
        <f aca="false">IF(AH70,xASN(AL70,Strike2,AE70,AQ70,0,N70,0,P70,Q70,IF(OptControl=3,1,0),0),0)</f>
        <v>0</v>
      </c>
      <c r="AX70" s="324" t="n">
        <f aca="false">IF(AH70,xASN(AL70,Strike2,AE70,AQ70,0,N70,0,P70,Q70,IF(OptControl=3,1,0),1),0)</f>
        <v>0</v>
      </c>
      <c r="AY70" s="324" t="n">
        <f aca="false">IF(AH70,xASN(AL70,Strike2,AE70,AQ70,0,N70,0,P70,Q70,IF(OptControl=3,1,0),2),0)</f>
        <v>0</v>
      </c>
      <c r="AZ70" s="324" t="n">
        <f aca="false">IF(AH70,xASN(AL70,Strike2,AE70,AQ70,0,N70,0,P70,Q70,IF(OptControl=3,1,0),3)/100,0)</f>
        <v>0</v>
      </c>
      <c r="BA70" s="324" t="n">
        <f aca="false">IF(AH70,xASN(AL70,Strike2,AE70,AQ70,0,N70,0,P70-DaysForThetaCalculation/365.25,Q70-DaysForThetaCalculation/365.25,IF(OptControl=3,1,0),0)-xASN(AL70,Strike2,AE70,AQ70,0,N70,0,P70,Q70,IF(OptControl=3,1,0),0),0)</f>
        <v>0</v>
      </c>
      <c r="BB70" s="325" t="str">
        <f aca="false">IF(AH70,IF(ProductGroup=1,IF(Product=1,BX70+PriceSpreadEuro,IF(Product=3,CK70+PriceSpreadEuro,"N/A")),"N/A"),"")</f>
        <v/>
      </c>
      <c r="BC70" s="316" t="str">
        <f aca="false">IF(AH70,Strike1/BB70-1,"")</f>
        <v/>
      </c>
      <c r="BD70" s="316" t="str">
        <f aca="false">IF(AH70,Strike2/BB70-1,"")</f>
        <v/>
      </c>
      <c r="BE70" s="326" t="str">
        <f aca="false">IF(AH70,IF(VolOverrideEuro,VolOverrideEuro,IF(ProductGroup=1,IF(Product&lt;3,DA70,DE70)+VolSpreadEuro,"N/A")),"")</f>
        <v/>
      </c>
      <c r="BF70" s="323" t="str">
        <f aca="false">IF($AH70,$BE70+IF(SkewFlag=1,IF(BC70&gt;0,$AA70*MIN(BC70/10%,1)+($Z70-$AA70)*MAX(0,MIN(BC70/10%-1,1))+($Y70-$Z70)*MAX(0,BC70/10%-2),$AB70*MIN(-BC70/10%,1)+($AC70-$AB70)*MAX(0,MIN(-BC70/10%-1,1))+($AD70-$AC70)*MAX(0,-BC70/10%-2)),0),"")</f>
        <v/>
      </c>
      <c r="BG70" s="323" t="str">
        <f aca="false">IF($AH70,$BE70+IF(SkewFlag=1,IF(BD70&gt;0,$AA70*MIN(BD70/10%,1)+($Z70-$AA70)*MAX(0,MIN(BD70/10%-1,1))+($Y70-$Z70)*MAX(0,BD70/10%-2),$AB70*MIN(-BD70/10%,1)+($AC70-$AB70)*MAX(0,MIN(-BD70/10%-1,1))+($AD70-$AC70)*MAX(0,-BD70/10%-2)),0),"")</f>
        <v/>
      </c>
      <c r="BH70" s="324" t="n">
        <f aca="false">IF(AH70,xEURO(BB70,Strike1,AE70,AE70,BF70,O70,IF(OptControl=4,0,1),0),0)</f>
        <v>0</v>
      </c>
      <c r="BI70" s="324" t="n">
        <f aca="false">IF(AH70,xEURO(BB70,Strike1,AE70,AE70,BF70,O70,IF(OptControl=4,0,1),1),0)</f>
        <v>0</v>
      </c>
      <c r="BJ70" s="324" t="n">
        <f aca="false">IF(AH70,xEURO(BB70,Strike1,AE70,AE70,BF70,O70,IF(OptControl=4,0,1),2),0)</f>
        <v>0</v>
      </c>
      <c r="BK70" s="324" t="n">
        <f aca="false">IF(AH70,xEURO(BB70,Strike1,AE70,AE70,BF70,O70,IF(OptControl=4,0,1),3)/100,0)</f>
        <v>0</v>
      </c>
      <c r="BL70" s="324" t="n">
        <f aca="false">IF(AH70,xEURO(BB70,Strike1,AE70,AE70,BF70,O70-DaysForThetaCalculation,IF(OptControl=4,0,1),0)-xEURO(BB70,Strike1,AE70,AE70,BF70,O70,IF(OptControl=4,0,1),0),0)</f>
        <v>0</v>
      </c>
      <c r="BM70" s="324" t="n">
        <f aca="false">IF(AH70,xEURO(BB70,Strike2,AE70,AE70,BG70,O70,IF(OptControl=3,1,0),0),0)</f>
        <v>0</v>
      </c>
      <c r="BN70" s="324" t="n">
        <f aca="false">IF(AH70,xEURO(BB70,Strike2,AE70,AE70,BG70,O70,IF(OptControl=3,1,0),1),0)</f>
        <v>0</v>
      </c>
      <c r="BO70" s="324" t="n">
        <f aca="false">IF(AH70,xEURO(BB70,Strike2,AE70,AE70,BG70,O70,IF(OptControl=3,1,0),2),0)</f>
        <v>0</v>
      </c>
      <c r="BP70" s="324" t="n">
        <f aca="false">IF(AH70,xEURO(BB70,Strike2,AE70,AE70,BG70,O70,IF(OptControl=3,1,0),3)/100,0)</f>
        <v>0</v>
      </c>
      <c r="BQ70" s="327" t="n">
        <f aca="false">IF(AH70,xEURO(BB70,Strike2,AE70,AE70,BG70,O70-DaysForThetaCalculation,IF(OptControl=3,1,0),0)-xEURO(BB70,Strike2,AE70,AE70,BG70,O70,IF(OptControl=3,1,0),0),0)</f>
        <v>0</v>
      </c>
      <c r="BR70" s="343"/>
      <c r="BS70" s="314" t="n">
        <v>25.729</v>
      </c>
      <c r="BT70" s="329" t="n">
        <f aca="false">BS70*100/42</f>
        <v>61.2595238095238</v>
      </c>
      <c r="BU70" s="329" t="n">
        <f aca="false">BS71-$U70</f>
        <v>6.61449999999973</v>
      </c>
      <c r="BV70" s="224"/>
      <c r="BW70" s="329" t="n">
        <f aca="false">BW58+VLOOKUP(1900+$L70,ProductSpreadTable,2)</f>
        <v>14.739</v>
      </c>
      <c r="BX70" s="329" t="n">
        <f aca="false">($V69+BW69)*100/42</f>
        <v>79.3849143610017</v>
      </c>
      <c r="BY70" s="332" t="n">
        <f aca="false">BX71</f>
        <v>79.2845238095244</v>
      </c>
      <c r="BZ70" s="314" t="n">
        <v>23.285</v>
      </c>
      <c r="CA70" s="329" t="n">
        <f aca="false">BZ70*100/42</f>
        <v>55.4404761904762</v>
      </c>
      <c r="CB70" s="329" t="n">
        <f aca="false">BZ70-$U70</f>
        <v>4.72449999999973</v>
      </c>
      <c r="CC70" s="329" t="n">
        <f aca="false">CC58+VLOOKUP(1900+$L70,ProductSpreadTable,3)</f>
        <v>12.324</v>
      </c>
      <c r="CD70" s="329" t="n">
        <f aca="false">($V70+CC70)*100/42</f>
        <v>73.5345238095244</v>
      </c>
      <c r="CE70" s="333" t="n">
        <f aca="false">CD70-BY70</f>
        <v>-5.75</v>
      </c>
      <c r="CF70" s="314" t="n">
        <v>21.353</v>
      </c>
      <c r="CG70" s="329" t="n">
        <f aca="false">CF70*100/42</f>
        <v>50.8404761904762</v>
      </c>
      <c r="CH70" s="329" t="n">
        <f aca="false">CF71-$U70</f>
        <v>3.19949999999973</v>
      </c>
      <c r="CI70" s="224"/>
      <c r="CJ70" s="329" t="n">
        <f aca="false">CJ58+VLOOKUP(1900+$L70,ProductSpreadTable,4)</f>
        <v>8.6359999999999</v>
      </c>
      <c r="CK70" s="329" t="n">
        <f aca="false">($V69+CJ69)*100/42</f>
        <v>64.1080745341617</v>
      </c>
      <c r="CL70" s="329" t="n">
        <f aca="false">CK71</f>
        <v>64.7535714285719</v>
      </c>
      <c r="CM70" s="314" t="n">
        <v>20.836</v>
      </c>
      <c r="CN70" s="329" t="n">
        <f aca="false">CM70*100/42</f>
        <v>49.6095238095238</v>
      </c>
      <c r="CO70" s="329" t="n">
        <f aca="false">CM70-$U70</f>
        <v>2.27549999999972</v>
      </c>
      <c r="CP70" s="329" t="n">
        <f aca="false">CP58+VLOOKUP(1900+$L70,ProductSpreadTable,5)</f>
        <v>7.7119999999999</v>
      </c>
      <c r="CQ70" s="329" t="n">
        <f aca="false">($V70+CP70)*100/42</f>
        <v>62.5535714285718</v>
      </c>
      <c r="CR70" s="333" t="n">
        <f aca="false">CQ70-CL70</f>
        <v>-2.2</v>
      </c>
      <c r="CS70" s="314" t="n">
        <v>21.886</v>
      </c>
      <c r="CT70" s="329" t="n">
        <f aca="false">CS70*100/42</f>
        <v>52.1095238095238</v>
      </c>
      <c r="CU70" s="329" t="n">
        <f aca="false">CT70-CG71</f>
        <v>0.299999999999997</v>
      </c>
      <c r="CV70" s="329" t="n">
        <f aca="false">CV58+VLOOKUP(1900+$L70,ProductSpreadTable,6)</f>
        <v>1.19999999999999</v>
      </c>
      <c r="CW70" s="333" t="n">
        <f aca="false">CL70+CV70</f>
        <v>65.9535714285718</v>
      </c>
      <c r="CX70" s="318" t="n">
        <v>0.196</v>
      </c>
      <c r="CY70" s="326" t="n">
        <f aca="false">CX70-$W70</f>
        <v>-0.000185198431160993</v>
      </c>
      <c r="CZ70" s="326" t="n">
        <f aca="false">VLOOKUP(1900+$L70,ProductSpreadTable,7)</f>
        <v>-0.03</v>
      </c>
      <c r="DA70" s="365" t="n">
        <f aca="false">$W70+CZ70</f>
        <v>0.166185198431161</v>
      </c>
      <c r="DB70" s="318" t="n">
        <v>0.196</v>
      </c>
      <c r="DC70" s="326" t="n">
        <f aca="false">DB70-$W70</f>
        <v>-0.000185198431160993</v>
      </c>
      <c r="DD70" s="326" t="n">
        <f aca="false">VLOOKUP(1900+$L70,ProductSpreadTable,8)</f>
        <v>0.03</v>
      </c>
      <c r="DE70" s="365" t="n">
        <f aca="false">$W70+DD70</f>
        <v>0.226185198431161</v>
      </c>
      <c r="DG70" s="336"/>
      <c r="DH70" s="314" t="n">
        <v>16.313</v>
      </c>
      <c r="DI70" s="325" t="n">
        <f aca="false">DH70-$U70</f>
        <v>-2.24750000000028</v>
      </c>
      <c r="DJ70" s="325" t="n">
        <f aca="false">VLOOKUP(1900+$L70,ResidSpreadTable,2)</f>
        <v>-2</v>
      </c>
      <c r="DK70" s="337" t="n">
        <f aca="false">$V70+DJ70</f>
        <v>16.5605000000003</v>
      </c>
      <c r="DL70" s="314" t="n">
        <v>13.713</v>
      </c>
      <c r="DM70" s="325" t="n">
        <f aca="false">DL70-$U70</f>
        <v>-4.84750000000028</v>
      </c>
      <c r="DN70" s="325" t="n">
        <f aca="false">VLOOKUP(1900+$L70,ResidSpreadTable,3)</f>
        <v>-3</v>
      </c>
      <c r="DO70" s="337" t="n">
        <f aca="false">$V70+DN70</f>
        <v>15.5605000000003</v>
      </c>
      <c r="DP70" s="314" t="n">
        <v>12.963</v>
      </c>
      <c r="DQ70" s="325" t="n">
        <f aca="false">DP70-$U70</f>
        <v>-5.59750000000028</v>
      </c>
      <c r="DR70" s="325" t="n">
        <f aca="false">VLOOKUP(1900+$L70,ResidSpreadTable,4)</f>
        <v>-6</v>
      </c>
      <c r="DS70" s="337" t="n">
        <f aca="false">$V70+DR70</f>
        <v>12.5605000000003</v>
      </c>
      <c r="DT70" s="314" t="n">
        <v>15.263</v>
      </c>
      <c r="DU70" s="325" t="n">
        <f aca="false">DT70-$U70</f>
        <v>-3.29750000000027</v>
      </c>
      <c r="DV70" s="325" t="n">
        <f aca="false">VLOOKUP(1900+$L70,ResidSpreadTable,5)</f>
        <v>-5</v>
      </c>
      <c r="DW70" s="337" t="n">
        <f aca="false">$V70+DV70</f>
        <v>13.5605000000003</v>
      </c>
    </row>
    <row r="71" customFormat="false" ht="12.75" hidden="false" customHeight="false" outlineLevel="0" collapsed="false">
      <c r="B71" s="371" t="n">
        <v>37712</v>
      </c>
      <c r="C71" s="391" t="n">
        <v>37700</v>
      </c>
      <c r="I71" s="338" t="n">
        <f aca="false">EOMONTH(I70,0)+1</f>
        <v>47908</v>
      </c>
      <c r="J71" s="389" t="n">
        <f aca="false">VLOOKUP(I71,$B$12:$C$332,2)</f>
        <v>45644</v>
      </c>
      <c r="K71" s="339" t="n">
        <f aca="false">NETWORKDAYS(I71,J72)/N71</f>
        <v>-77.0476190476191</v>
      </c>
      <c r="L71" s="309" t="n">
        <f aca="false">YEAR(I71)-1900</f>
        <v>131</v>
      </c>
      <c r="M71" s="310" t="n">
        <f aca="false">MONTH(I71)</f>
        <v>3</v>
      </c>
      <c r="N71" s="340" t="n">
        <f aca="false">NETWORKDAYS(I71,I72-1)</f>
        <v>21</v>
      </c>
      <c r="O71" s="341" t="n">
        <f aca="false">I71-DateToday-IF(EuroExpDateToggle=1,3+IF(WEEKDAY(I71-1)=7,1,IF(WEEKDAY(I71-1)&lt;5,2,0)),1+IF(WEEKDAY(I71-1)=7,1,IF(WEEKDAY(I71-1)&lt;3,2,0)))</f>
        <v>1979</v>
      </c>
      <c r="P71" s="342" t="n">
        <f aca="false">(I71-DateToday+1)/365.25</f>
        <v>5.42915811088296</v>
      </c>
      <c r="Q71" s="342" t="n">
        <f aca="false">(I72-DateToday)/365.25</f>
        <v>5.51129363449692</v>
      </c>
      <c r="R71" s="314" t="n">
        <v>18.965</v>
      </c>
      <c r="S71" s="347" t="n">
        <v>0</v>
      </c>
      <c r="T71" s="316" t="n">
        <f aca="false">R71+S71/100</f>
        <v>18.965</v>
      </c>
      <c r="U71" s="325" t="n">
        <f aca="false">R72*K71+R73*(1-K71)</f>
        <v>18.5697619047619</v>
      </c>
      <c r="V71" s="337" t="n">
        <f aca="false">T72*K71+T73*(1-K71)</f>
        <v>18.5697619047619</v>
      </c>
      <c r="W71" s="318" t="n">
        <v>0.195758341017761</v>
      </c>
      <c r="X71" s="319" t="str">
        <f aca="false">IF($I71-DateToday+1&gt;=$A$10,"",IF($I71-DateToday+1&lt;$A$5,1,MATCH($I71-DateToday+1,$A$5:$A$10)))</f>
        <v/>
      </c>
      <c r="Y71" s="348" t="n">
        <f aca="false">IF($X71="",Y70^2/Y69,INDEX(B$5:B$10,$X71)^((INDEX($A$5:$A$10,$X71+1)-($I71-DateToday+1))/(INDEX($A$5:$A$10,$X71+1)-INDEX($A$5:$A$10,$X71)))/INDEX(B$5:B$10,$X71+1)^((INDEX($A$5:$A$10,$X71)-($I71-DateToday+1))/(INDEX($A$5:$A$10,$X71+1)-INDEX($A$5:$A$10,$X71))))</f>
        <v>0.00375523564466042</v>
      </c>
      <c r="Z71" s="348" t="n">
        <f aca="false">IF($X71="",Z70^2/Z69,INDEX(C$5:C$10,$X71)^((INDEX($A$5:$A$10,$X71+1)-($I71-DateToday+1))/(INDEX($A$5:$A$10,$X71+1)-INDEX($A$5:$A$10,$X71)))/INDEX(C$5:C$10,$X71+1)^((INDEX($A$5:$A$10,$X71)-($I71-DateToday+1))/(INDEX($A$5:$A$10,$X71+1)-INDEX($A$5:$A$10,$X71))))</f>
        <v>0.00163099798575358</v>
      </c>
      <c r="AA71" s="348" t="n">
        <f aca="false">IF($X71="",AA70^2/AA69,INDEX(D$5:D$10,$X71)^((INDEX($A$5:$A$10,$X71+1)-($I71-DateToday+1))/(INDEX($A$5:$A$10,$X71+1)-INDEX($A$5:$A$10,$X71)))/INDEX(D$5:D$10,$X71+1)^((INDEX($A$5:$A$10,$X71)-($I71-DateToday+1))/(INDEX($A$5:$A$10,$X71+1)-INDEX($A$5:$A$10,$X71))))</f>
        <v>0.000652629095504885</v>
      </c>
      <c r="AB71" s="348" t="n">
        <f aca="false">IF($X71="",AB70^2/AB69,INDEX(E$5:E$10,$X71)^((INDEX($A$5:$A$10,$X71+1)-($I71-DateToday+1))/(INDEX($A$5:$A$10,$X71+1)-INDEX($A$5:$A$10,$X71)))/INDEX(E$5:E$10,$X71+1)^((INDEX($A$5:$A$10,$X71)-($I71-DateToday+1))/(INDEX($A$5:$A$10,$X71+1)-INDEX($A$5:$A$10,$X71))))</f>
        <v>0.00147024282635342</v>
      </c>
      <c r="AC71" s="348" t="n">
        <f aca="false">IF($X71="",AC70^2/AC69,INDEX(F$5:F$10,$X71)^((INDEX($A$5:$A$10,$X71+1)-($I71-DateToday+1))/(INDEX($A$5:$A$10,$X71+1)-INDEX($A$5:$A$10,$X71)))/INDEX(F$5:F$10,$X71+1)^((INDEX($A$5:$A$10,$X71)-($I71-DateToday+1))/(INDEX($A$5:$A$10,$X71+1)-INDEX($A$5:$A$10,$X71))))</f>
        <v>0.00367431226230569</v>
      </c>
      <c r="AD71" s="348" t="n">
        <f aca="false">IF($X71="",AD70^2/AD69,INDEX(G$5:G$10,$X71)^((INDEX($A$5:$A$10,$X71+1)-($I71-DateToday+1))/(INDEX($A$5:$A$10,$X71+1)-INDEX($A$5:$A$10,$X71)))/INDEX(G$5:G$10,$X71+1)^((INDEX($A$5:$A$10,$X71)-($I71-DateToday+1))/(INDEX($A$5:$A$10,$X71+1)-INDEX($A$5:$A$10,$X71))))</f>
        <v>0.00845979486029073</v>
      </c>
      <c r="AE71" s="321" t="n">
        <v>0.073182176090309</v>
      </c>
      <c r="AF71" s="316" t="n">
        <f aca="false">(1+AE71/2)^(-2*(I72-DateToday)/365.25)</f>
        <v>0.672922875136132</v>
      </c>
      <c r="AG71" s="316" t="n">
        <f aca="false">AG70*(1+IF(AND(M71=1,L71&gt;YearStart),Escalation,0))</f>
        <v>1</v>
      </c>
      <c r="AH71" s="322" t="n">
        <f aca="false">IF(OR(DateStart&gt;=I72,DateEnd&lt;I71),0,Volume*AG71)</f>
        <v>0</v>
      </c>
      <c r="AI71" s="322" t="n">
        <f aca="false">AH71*AF71</f>
        <v>0</v>
      </c>
      <c r="AJ71" s="322" t="n">
        <f aca="false">IF(OR(DateStart2&gt;=I72,DateEnd2&lt;I71),0,VolumeSwaption*AG71)</f>
        <v>0</v>
      </c>
      <c r="AK71" s="322" t="n">
        <f aca="false">AJ71*AF71</f>
        <v>0</v>
      </c>
      <c r="AL71" s="316" t="str">
        <f aca="true">IF(AH71,OFFSET(BY71,0,HorizontalPriceOffset)+PriceSpreadAsian,"")</f>
        <v/>
      </c>
      <c r="AM71" s="316" t="str">
        <f aca="false">IF(AH71,Strike1/AL71-1,"")</f>
        <v/>
      </c>
      <c r="AN71" s="316" t="str">
        <f aca="false">IF(AH71,Strike2/AL71-1,"")</f>
        <v/>
      </c>
      <c r="AO71" s="323" t="str">
        <f aca="false">IF(AH71,IF(VolOverrideAsian,VolOverrideAsian,IF(ProductGroup=1,IF(Product&lt;3,DA72,DE72),W72)+VolSpreadAsian),"")</f>
        <v/>
      </c>
      <c r="AP71" s="323" t="str">
        <f aca="false">IF($AH71,$AO71+IF(SkewFlag=1,IF(AM71&gt;0,$AA71*MIN(AM71/10%,1)+($Z71-$AA71)*MAX(0,MIN(AM71/10%-1,1))+($Y71-$Z71)*MAX(0,AM71/10%-2),$AB71*MIN(-AM71/10%,1)+($AC71-$AB71)*MAX(0,MIN(-AM71/10%-1,1))+($AD71-$AC71)*MAX(0,-AM71/10%-2)),0),"")</f>
        <v/>
      </c>
      <c r="AQ71" s="323" t="str">
        <f aca="false">IF($AH71,$AO71+IF(SkewFlag=1,IF(AN71&gt;0,$AA71*MIN(AN71/10%,1)+($Z71-$AA71)*MAX(0,MIN(AN71/10%-1,1))+($Y71-$Z71)*MAX(0,AN71/10%-2),$AB71*MIN(-AN71/10%,1)+($AC71-$AB71)*MAX(0,MIN(-AN71/10%-1,1))+($AD71-$AC71)*MAX(0,-AN71/10%-2)),0),"")</f>
        <v/>
      </c>
      <c r="AR71" s="324" t="n">
        <f aca="false">IF(AH71,xASN(AL71,Strike1,AE71,AP71,0,N71,0,P71,Q71,IF(OptControl=4,0,1),0),0)</f>
        <v>0</v>
      </c>
      <c r="AS71" s="324" t="n">
        <f aca="false">IF(AH71,xASN(AL71,Strike1,AE71,AP71,0,N71,0,P71,Q71,IF(OptControl=4,0,1),1),0)</f>
        <v>0</v>
      </c>
      <c r="AT71" s="324" t="n">
        <f aca="false">IF(AH71,xASN(AL71,Strike1,AE71,AP71,0,N71,0,P71,Q71,IF(OptControl=4,0,1),2),0)</f>
        <v>0</v>
      </c>
      <c r="AU71" s="324" t="n">
        <f aca="false">IF(AH71,xASN(AL71,Strike1,AE71,AP71,0,N71,0,P71,Q71,IF(OptControl=4,0,1),3)/100,0)</f>
        <v>0</v>
      </c>
      <c r="AV71" s="324" t="n">
        <f aca="false">IF(AH71,xASN(AL71,Strike1,AE71,AP71,0,N71,0,P71-DaysForThetaCalculation/365.25,Q71-DaysForThetaCalculation/365.25,IF(OptControl=4,0,1),0)-xASN(AL71,Strike1,AE71,AP71,0,N71,0,P71,Q71,IF(OptControl=4,0,1),0),0)</f>
        <v>0</v>
      </c>
      <c r="AW71" s="324" t="n">
        <f aca="false">IF(AH71,xASN(AL71,Strike2,AE71,AQ71,0,N71,0,P71,Q71,IF(OptControl=3,1,0),0),0)</f>
        <v>0</v>
      </c>
      <c r="AX71" s="324" t="n">
        <f aca="false">IF(AH71,xASN(AL71,Strike2,AE71,AQ71,0,N71,0,P71,Q71,IF(OptControl=3,1,0),1),0)</f>
        <v>0</v>
      </c>
      <c r="AY71" s="324" t="n">
        <f aca="false">IF(AH71,xASN(AL71,Strike2,AE71,AQ71,0,N71,0,P71,Q71,IF(OptControl=3,1,0),2),0)</f>
        <v>0</v>
      </c>
      <c r="AZ71" s="324" t="n">
        <f aca="false">IF(AH71,xASN(AL71,Strike2,AE71,AQ71,0,N71,0,P71,Q71,IF(OptControl=3,1,0),3)/100,0)</f>
        <v>0</v>
      </c>
      <c r="BA71" s="324" t="n">
        <f aca="false">IF(AH71,xASN(AL71,Strike2,AE71,AQ71,0,N71,0,P71-DaysForThetaCalculation/365.25,Q71-DaysForThetaCalculation/365.25,IF(OptControl=3,1,0),0)-xASN(AL71,Strike2,AE71,AQ71,0,N71,0,P71,Q71,IF(OptControl=3,1,0),0),0)</f>
        <v>0</v>
      </c>
      <c r="BB71" s="325" t="str">
        <f aca="false">IF(AH71,IF(ProductGroup=1,IF(Product=1,BX71+PriceSpreadEuro,IF(Product=3,CK71+PriceSpreadEuro,"N/A")),"N/A"),"")</f>
        <v/>
      </c>
      <c r="BC71" s="316" t="str">
        <f aca="false">IF(AH71,Strike1/BB71-1,"")</f>
        <v/>
      </c>
      <c r="BD71" s="316" t="str">
        <f aca="false">IF(AH71,Strike2/BB71-1,"")</f>
        <v/>
      </c>
      <c r="BE71" s="326" t="str">
        <f aca="false">IF(AH71,IF(VolOverrideEuro,VolOverrideEuro,IF(ProductGroup=1,IF(Product&lt;3,DA71,DE71)+VolSpreadEuro,"N/A")),"")</f>
        <v/>
      </c>
      <c r="BF71" s="323" t="str">
        <f aca="false">IF($AH71,$BE71+IF(SkewFlag=1,IF(BC71&gt;0,$AA71*MIN(BC71/10%,1)+($Z71-$AA71)*MAX(0,MIN(BC71/10%-1,1))+($Y71-$Z71)*MAX(0,BC71/10%-2),$AB71*MIN(-BC71/10%,1)+($AC71-$AB71)*MAX(0,MIN(-BC71/10%-1,1))+($AD71-$AC71)*MAX(0,-BC71/10%-2)),0),"")</f>
        <v/>
      </c>
      <c r="BG71" s="323" t="str">
        <f aca="false">IF($AH71,$BE71+IF(SkewFlag=1,IF(BD71&gt;0,$AA71*MIN(BD71/10%,1)+($Z71-$AA71)*MAX(0,MIN(BD71/10%-1,1))+($Y71-$Z71)*MAX(0,BD71/10%-2),$AB71*MIN(-BD71/10%,1)+($AC71-$AB71)*MAX(0,MIN(-BD71/10%-1,1))+($AD71-$AC71)*MAX(0,-BD71/10%-2)),0),"")</f>
        <v/>
      </c>
      <c r="BH71" s="324" t="n">
        <f aca="false">IF(AH71,xEURO(BB71,Strike1,AE71,AE71,BF71,O71,IF(OptControl=4,0,1),0),0)</f>
        <v>0</v>
      </c>
      <c r="BI71" s="324" t="n">
        <f aca="false">IF(AH71,xEURO(BB71,Strike1,AE71,AE71,BF71,O71,IF(OptControl=4,0,1),1),0)</f>
        <v>0</v>
      </c>
      <c r="BJ71" s="324" t="n">
        <f aca="false">IF(AH71,xEURO(BB71,Strike1,AE71,AE71,BF71,O71,IF(OptControl=4,0,1),2),0)</f>
        <v>0</v>
      </c>
      <c r="BK71" s="324" t="n">
        <f aca="false">IF(AH71,xEURO(BB71,Strike1,AE71,AE71,BF71,O71,IF(OptControl=4,0,1),3)/100,0)</f>
        <v>0</v>
      </c>
      <c r="BL71" s="324" t="n">
        <f aca="false">IF(AH71,xEURO(BB71,Strike1,AE71,AE71,BF71,O71-DaysForThetaCalculation,IF(OptControl=4,0,1),0)-xEURO(BB71,Strike1,AE71,AE71,BF71,O71,IF(OptControl=4,0,1),0),0)</f>
        <v>0</v>
      </c>
      <c r="BM71" s="324" t="n">
        <f aca="false">IF(AH71,xEURO(BB71,Strike2,AE71,AE71,BG71,O71,IF(OptControl=3,1,0),0),0)</f>
        <v>0</v>
      </c>
      <c r="BN71" s="324" t="n">
        <f aca="false">IF(AH71,xEURO(BB71,Strike2,AE71,AE71,BG71,O71,IF(OptControl=3,1,0),1),0)</f>
        <v>0</v>
      </c>
      <c r="BO71" s="324" t="n">
        <f aca="false">IF(AH71,xEURO(BB71,Strike2,AE71,AE71,BG71,O71,IF(OptControl=3,1,0),2),0)</f>
        <v>0</v>
      </c>
      <c r="BP71" s="324" t="n">
        <f aca="false">IF(AH71,xEURO(BB71,Strike2,AE71,AE71,BG71,O71,IF(OptControl=3,1,0),3)/100,0)</f>
        <v>0</v>
      </c>
      <c r="BQ71" s="327" t="n">
        <f aca="false">IF(AH71,xEURO(BB71,Strike2,AE71,AE71,BG71,O71-DaysForThetaCalculation,IF(OptControl=3,1,0),0)-xEURO(BB71,Strike2,AE71,AE71,BG71,O71,IF(OptControl=3,1,0),0),0)</f>
        <v>0</v>
      </c>
      <c r="BR71" s="343"/>
      <c r="BS71" s="314" t="n">
        <v>25.175</v>
      </c>
      <c r="BT71" s="329" t="n">
        <f aca="false">BS71*100/42</f>
        <v>59.9404761904762</v>
      </c>
      <c r="BU71" s="329" t="n">
        <f aca="false">BS72-$U71</f>
        <v>5.55123809523811</v>
      </c>
      <c r="BV71" s="224"/>
      <c r="BW71" s="329" t="n">
        <f aca="false">BW59+VLOOKUP(1900+$L71,ProductSpreadTable,2)</f>
        <v>12.2669999999999</v>
      </c>
      <c r="BX71" s="329" t="n">
        <f aca="false">($V70+BW70)*100/42</f>
        <v>79.2845238095244</v>
      </c>
      <c r="BY71" s="332" t="n">
        <f aca="false">BX72</f>
        <v>73.4208616780043</v>
      </c>
      <c r="BZ71" s="314" t="n">
        <v>22.231</v>
      </c>
      <c r="CA71" s="329" t="n">
        <f aca="false">BZ71*100/42</f>
        <v>52.9309523809524</v>
      </c>
      <c r="CB71" s="329" t="n">
        <f aca="false">BZ71-$U71</f>
        <v>3.66123809523811</v>
      </c>
      <c r="CC71" s="329" t="n">
        <f aca="false">CC59+VLOOKUP(1900+$L71,ProductSpreadTable,3)</f>
        <v>9.85199999999992</v>
      </c>
      <c r="CD71" s="329" t="n">
        <f aca="false">($V71+CC71)*100/42</f>
        <v>67.6708616780043</v>
      </c>
      <c r="CE71" s="333" t="n">
        <f aca="false">CD71-BY71</f>
        <v>-5.75</v>
      </c>
      <c r="CF71" s="314" t="n">
        <v>21.76</v>
      </c>
      <c r="CG71" s="329" t="n">
        <f aca="false">CF71*100/42</f>
        <v>51.8095238095238</v>
      </c>
      <c r="CH71" s="329" t="n">
        <f aca="false">CF72-$U71</f>
        <v>3.64423809523811</v>
      </c>
      <c r="CI71" s="224"/>
      <c r="CJ71" s="329" t="n">
        <f aca="false">CJ59+VLOOKUP(1900+$L71,ProductSpreadTable,4)</f>
        <v>10.1589999999999</v>
      </c>
      <c r="CK71" s="329" t="n">
        <f aca="false">($V70+CJ70)*100/42</f>
        <v>64.7535714285719</v>
      </c>
      <c r="CL71" s="329" t="n">
        <f aca="false">CK72</f>
        <v>68.4018140589567</v>
      </c>
      <c r="CM71" s="314" t="n">
        <v>21.29</v>
      </c>
      <c r="CN71" s="329" t="n">
        <f aca="false">CM71*100/42</f>
        <v>50.6904761904762</v>
      </c>
      <c r="CO71" s="329" t="n">
        <f aca="false">CM71-$U71</f>
        <v>2.72023809523811</v>
      </c>
      <c r="CP71" s="329" t="n">
        <f aca="false">CP59+VLOOKUP(1900+$L71,ProductSpreadTable,5)</f>
        <v>7.65773913043481</v>
      </c>
      <c r="CQ71" s="329" t="n">
        <f aca="false">($V71+CP71)*100/42</f>
        <v>62.4464310361826</v>
      </c>
      <c r="CR71" s="333" t="n">
        <f aca="false">CQ71-CL71</f>
        <v>-5.95538302277407</v>
      </c>
      <c r="CS71" s="314" t="n">
        <v>22.34</v>
      </c>
      <c r="CT71" s="329" t="n">
        <f aca="false">CS71*100/42</f>
        <v>53.1904761904762</v>
      </c>
      <c r="CU71" s="329" t="n">
        <f aca="false">CT71-CG72</f>
        <v>0.299999999999997</v>
      </c>
      <c r="CV71" s="329" t="n">
        <f aca="false">CV59+VLOOKUP(1900+$L71,ProductSpreadTable,6)</f>
        <v>1.20000000000001</v>
      </c>
      <c r="CW71" s="333" t="n">
        <f aca="false">CL71+CV71</f>
        <v>69.6018140589567</v>
      </c>
      <c r="CX71" s="318" t="n">
        <v>0.196</v>
      </c>
      <c r="CY71" s="326" t="n">
        <f aca="false">CX71-$W71</f>
        <v>0.00024165898223899</v>
      </c>
      <c r="CZ71" s="326" t="n">
        <f aca="false">VLOOKUP(1900+$L71,ProductSpreadTable,7)</f>
        <v>-0.03</v>
      </c>
      <c r="DA71" s="365" t="n">
        <f aca="false">$W71+CZ71</f>
        <v>0.165758341017761</v>
      </c>
      <c r="DB71" s="318" t="n">
        <v>0.196</v>
      </c>
      <c r="DC71" s="326" t="n">
        <f aca="false">DB71-$W71</f>
        <v>0.00024165898223899</v>
      </c>
      <c r="DD71" s="326" t="n">
        <f aca="false">VLOOKUP(1900+$L71,ProductSpreadTable,8)</f>
        <v>0.03</v>
      </c>
      <c r="DE71" s="365" t="n">
        <f aca="false">$W71+DD71</f>
        <v>0.225758341017761</v>
      </c>
      <c r="DG71" s="336"/>
      <c r="DH71" s="314" t="n">
        <v>16.308</v>
      </c>
      <c r="DI71" s="325" t="n">
        <f aca="false">DH71-$U71</f>
        <v>-2.26176190476189</v>
      </c>
      <c r="DJ71" s="325" t="n">
        <f aca="false">VLOOKUP(1900+$L71,ResidSpreadTable,2)</f>
        <v>-2</v>
      </c>
      <c r="DK71" s="337" t="n">
        <f aca="false">$V71+DJ71</f>
        <v>16.5697619047619</v>
      </c>
      <c r="DL71" s="314" t="n">
        <v>13.708</v>
      </c>
      <c r="DM71" s="325" t="n">
        <f aca="false">DL71-$U71</f>
        <v>-4.86176190476189</v>
      </c>
      <c r="DN71" s="325" t="n">
        <f aca="false">VLOOKUP(1900+$L71,ResidSpreadTable,3)</f>
        <v>-3</v>
      </c>
      <c r="DO71" s="337" t="n">
        <f aca="false">$V71+DN71</f>
        <v>15.5697619047619</v>
      </c>
      <c r="DP71" s="314" t="n">
        <v>12.958</v>
      </c>
      <c r="DQ71" s="325" t="n">
        <f aca="false">DP71-$U71</f>
        <v>-5.61176190476189</v>
      </c>
      <c r="DR71" s="325" t="n">
        <f aca="false">VLOOKUP(1900+$L71,ResidSpreadTable,4)</f>
        <v>-6</v>
      </c>
      <c r="DS71" s="337" t="n">
        <f aca="false">$V71+DR71</f>
        <v>12.5697619047619</v>
      </c>
      <c r="DT71" s="314" t="n">
        <v>15.258</v>
      </c>
      <c r="DU71" s="325" t="n">
        <f aca="false">DT71-$U71</f>
        <v>-3.31176190476189</v>
      </c>
      <c r="DV71" s="325" t="n">
        <f aca="false">VLOOKUP(1900+$L71,ResidSpreadTable,5)</f>
        <v>-5</v>
      </c>
      <c r="DW71" s="337" t="n">
        <f aca="false">$V71+DV71</f>
        <v>13.5697619047619</v>
      </c>
    </row>
    <row r="72" customFormat="false" ht="12.75" hidden="false" customHeight="false" outlineLevel="0" collapsed="false">
      <c r="B72" s="371" t="n">
        <v>37742</v>
      </c>
      <c r="C72" s="391" t="n">
        <v>37731</v>
      </c>
      <c r="I72" s="338" t="n">
        <f aca="false">EOMONTH(I71,0)+1</f>
        <v>47939</v>
      </c>
      <c r="J72" s="389" t="n">
        <f aca="false">VLOOKUP(I72,$B$12:$C$332,2)</f>
        <v>45644</v>
      </c>
      <c r="K72" s="339" t="n">
        <f aca="false">NETWORKDAYS(I72,J73)/N72</f>
        <v>-74.5454545454546</v>
      </c>
      <c r="L72" s="309" t="n">
        <f aca="false">YEAR(I72)-1900</f>
        <v>131</v>
      </c>
      <c r="M72" s="310" t="n">
        <f aca="false">MONTH(I72)</f>
        <v>4</v>
      </c>
      <c r="N72" s="340" t="n">
        <f aca="false">NETWORKDAYS(I72,I73-1)</f>
        <v>22</v>
      </c>
      <c r="O72" s="341" t="n">
        <f aca="false">I72-DateToday-IF(EuroExpDateToggle=1,3+IF(WEEKDAY(I72-1)=7,1,IF(WEEKDAY(I72-1)&lt;5,2,0)),1+IF(WEEKDAY(I72-1)=7,1,IF(WEEKDAY(I72-1)&lt;3,2,0)))</f>
        <v>2008</v>
      </c>
      <c r="P72" s="342" t="n">
        <f aca="false">(I72-DateToday+1)/365.25</f>
        <v>5.51403148528405</v>
      </c>
      <c r="Q72" s="342" t="n">
        <f aca="false">(I73-DateToday)/365.25</f>
        <v>5.59342915811088</v>
      </c>
      <c r="R72" s="314" t="n">
        <v>18.96</v>
      </c>
      <c r="S72" s="347" t="n">
        <v>0</v>
      </c>
      <c r="T72" s="316" t="n">
        <f aca="false">R72+S72/100</f>
        <v>18.96</v>
      </c>
      <c r="U72" s="325" t="n">
        <f aca="false">R73*K72+R74*(1-K72)</f>
        <v>18.5772727272727</v>
      </c>
      <c r="V72" s="337" t="n">
        <f aca="false">T73*K72+T74*(1-K72)</f>
        <v>18.5772727272727</v>
      </c>
      <c r="W72" s="318" t="n">
        <v>0.195328124318053</v>
      </c>
      <c r="X72" s="319" t="str">
        <f aca="false">IF($I72-DateToday+1&gt;=$A$10,"",IF($I72-DateToday+1&lt;$A$5,1,MATCH($I72-DateToday+1,$A$5:$A$10)))</f>
        <v/>
      </c>
      <c r="Y72" s="348" t="n">
        <f aca="false">IF($X72="",Y71^2/Y70,INDEX(B$5:B$10,$X72)^((INDEX($A$5:$A$10,$X72+1)-($I72-DateToday+1))/(INDEX($A$5:$A$10,$X72+1)-INDEX($A$5:$A$10,$X72)))/INDEX(B$5:B$10,$X72+1)^((INDEX($A$5:$A$10,$X72)-($I72-DateToday+1))/(INDEX($A$5:$A$10,$X72+1)-INDEX($A$5:$A$10,$X72))))</f>
        <v>0.00367484176094856</v>
      </c>
      <c r="Z72" s="348" t="n">
        <f aca="false">IF($X72="",Z71^2/Z70,INDEX(C$5:C$10,$X72)^((INDEX($A$5:$A$10,$X72+1)-($I72-DateToday+1))/(INDEX($A$5:$A$10,$X72+1)-INDEX($A$5:$A$10,$X72)))/INDEX(C$5:C$10,$X72+1)^((INDEX($A$5:$A$10,$X72)-($I72-DateToday+1))/(INDEX($A$5:$A$10,$X72+1)-INDEX($A$5:$A$10,$X72))))</f>
        <v>0.00158753530000381</v>
      </c>
      <c r="AA72" s="348" t="n">
        <f aca="false">IF($X72="",AA71^2/AA70,INDEX(D$5:D$10,$X72)^((INDEX($A$5:$A$10,$X72+1)-($I72-DateToday+1))/(INDEX($A$5:$A$10,$X72+1)-INDEX($A$5:$A$10,$X72)))/INDEX(D$5:D$10,$X72+1)^((INDEX($A$5:$A$10,$X72)-($I72-DateToday+1))/(INDEX($A$5:$A$10,$X72+1)-INDEX($A$5:$A$10,$X72))))</f>
        <v>0.00063353444430146</v>
      </c>
      <c r="AB72" s="348" t="n">
        <f aca="false">IF($X72="",AB71^2/AB70,INDEX(E$5:E$10,$X72)^((INDEX($A$5:$A$10,$X72+1)-($I72-DateToday+1))/(INDEX($A$5:$A$10,$X72+1)-INDEX($A$5:$A$10,$X72)))/INDEX(E$5:E$10,$X72+1)^((INDEX($A$5:$A$10,$X72)-($I72-DateToday+1))/(INDEX($A$5:$A$10,$X72+1)-INDEX($A$5:$A$10,$X72))))</f>
        <v>0.00142722639612235</v>
      </c>
      <c r="AC72" s="348" t="n">
        <f aca="false">IF($X72="",AC71^2/AC70,INDEX(F$5:F$10,$X72)^((INDEX($A$5:$A$10,$X72+1)-($I72-DateToday+1))/(INDEX($A$5:$A$10,$X72+1)-INDEX($A$5:$A$10,$X72)))/INDEX(F$5:F$10,$X72+1)^((INDEX($A$5:$A$10,$X72)-($I72-DateToday+1))/(INDEX($A$5:$A$10,$X72+1)-INDEX($A$5:$A$10,$X72))))</f>
        <v>0.00357639952384861</v>
      </c>
      <c r="AD72" s="348" t="n">
        <f aca="false">IF($X72="",AD71^2/AD70,INDEX(G$5:G$10,$X72)^((INDEX($A$5:$A$10,$X72+1)-($I72-DateToday+1))/(INDEX($A$5:$A$10,$X72+1)-INDEX($A$5:$A$10,$X72)))/INDEX(G$5:G$10,$X72+1)^((INDEX($A$5:$A$10,$X72)-($I72-DateToday+1))/(INDEX($A$5:$A$10,$X72+1)-INDEX($A$5:$A$10,$X72))))</f>
        <v>0.00827868351906465</v>
      </c>
      <c r="AE72" s="321" t="n">
        <v>0.073199511698947</v>
      </c>
      <c r="AF72" s="316" t="n">
        <f aca="false">(1+AE72/2)^(-2*(I73-DateToday)/365.25)</f>
        <v>0.668899407668219</v>
      </c>
      <c r="AG72" s="316" t="n">
        <f aca="false">AG71*(1+IF(AND(M72=1,L72&gt;YearStart),Escalation,0))</f>
        <v>1</v>
      </c>
      <c r="AH72" s="322" t="n">
        <f aca="false">IF(OR(DateStart&gt;=I73,DateEnd&lt;I72),0,Volume*AG72)</f>
        <v>0</v>
      </c>
      <c r="AI72" s="322" t="n">
        <f aca="false">AH72*AF72</f>
        <v>0</v>
      </c>
      <c r="AJ72" s="322" t="n">
        <f aca="false">IF(OR(DateStart2&gt;=I73,DateEnd2&lt;I72),0,VolumeSwaption*AG72)</f>
        <v>0</v>
      </c>
      <c r="AK72" s="322" t="n">
        <f aca="false">AJ72*AF72</f>
        <v>0</v>
      </c>
      <c r="AL72" s="316" t="str">
        <f aca="true">IF(AH72,OFFSET(BY72,0,HorizontalPriceOffset)+PriceSpreadAsian,"")</f>
        <v/>
      </c>
      <c r="AM72" s="316" t="str">
        <f aca="false">IF(AH72,Strike1/AL72-1,"")</f>
        <v/>
      </c>
      <c r="AN72" s="316" t="str">
        <f aca="false">IF(AH72,Strike2/AL72-1,"")</f>
        <v/>
      </c>
      <c r="AO72" s="323" t="str">
        <f aca="false">IF(AH72,IF(VolOverrideAsian,VolOverrideAsian,IF(ProductGroup=1,IF(Product&lt;3,DA73,DE73),W73)+VolSpreadAsian),"")</f>
        <v/>
      </c>
      <c r="AP72" s="323" t="str">
        <f aca="false">IF($AH72,$AO72+IF(SkewFlag=1,IF(AM72&gt;0,$AA72*MIN(AM72/10%,1)+($Z72-$AA72)*MAX(0,MIN(AM72/10%-1,1))+($Y72-$Z72)*MAX(0,AM72/10%-2),$AB72*MIN(-AM72/10%,1)+($AC72-$AB72)*MAX(0,MIN(-AM72/10%-1,1))+($AD72-$AC72)*MAX(0,-AM72/10%-2)),0),"")</f>
        <v/>
      </c>
      <c r="AQ72" s="323" t="str">
        <f aca="false">IF($AH72,$AO72+IF(SkewFlag=1,IF(AN72&gt;0,$AA72*MIN(AN72/10%,1)+($Z72-$AA72)*MAX(0,MIN(AN72/10%-1,1))+($Y72-$Z72)*MAX(0,AN72/10%-2),$AB72*MIN(-AN72/10%,1)+($AC72-$AB72)*MAX(0,MIN(-AN72/10%-1,1))+($AD72-$AC72)*MAX(0,-AN72/10%-2)),0),"")</f>
        <v/>
      </c>
      <c r="AR72" s="324" t="n">
        <f aca="false">IF(AH72,xASN(AL72,Strike1,AE72,AP72,0,N72,0,P72,Q72,IF(OptControl=4,0,1),0),0)</f>
        <v>0</v>
      </c>
      <c r="AS72" s="324" t="n">
        <f aca="false">IF(AH72,xASN(AL72,Strike1,AE72,AP72,0,N72,0,P72,Q72,IF(OptControl=4,0,1),1),0)</f>
        <v>0</v>
      </c>
      <c r="AT72" s="324" t="n">
        <f aca="false">IF(AH72,xASN(AL72,Strike1,AE72,AP72,0,N72,0,P72,Q72,IF(OptControl=4,0,1),2),0)</f>
        <v>0</v>
      </c>
      <c r="AU72" s="324" t="n">
        <f aca="false">IF(AH72,xASN(AL72,Strike1,AE72,AP72,0,N72,0,P72,Q72,IF(OptControl=4,0,1),3)/100,0)</f>
        <v>0</v>
      </c>
      <c r="AV72" s="324" t="n">
        <f aca="false">IF(AH72,xASN(AL72,Strike1,AE72,AP72,0,N72,0,P72-DaysForThetaCalculation/365.25,Q72-DaysForThetaCalculation/365.25,IF(OptControl=4,0,1),0)-xASN(AL72,Strike1,AE72,AP72,0,N72,0,P72,Q72,IF(OptControl=4,0,1),0),0)</f>
        <v>0</v>
      </c>
      <c r="AW72" s="324" t="n">
        <f aca="false">IF(AH72,xASN(AL72,Strike2,AE72,AQ72,0,N72,0,P72,Q72,IF(OptControl=3,1,0),0),0)</f>
        <v>0</v>
      </c>
      <c r="AX72" s="324" t="n">
        <f aca="false">IF(AH72,xASN(AL72,Strike2,AE72,AQ72,0,N72,0,P72,Q72,IF(OptControl=3,1,0),1),0)</f>
        <v>0</v>
      </c>
      <c r="AY72" s="324" t="n">
        <f aca="false">IF(AH72,xASN(AL72,Strike2,AE72,AQ72,0,N72,0,P72,Q72,IF(OptControl=3,1,0),2),0)</f>
        <v>0</v>
      </c>
      <c r="AZ72" s="324" t="n">
        <f aca="false">IF(AH72,xASN(AL72,Strike2,AE72,AQ72,0,N72,0,P72,Q72,IF(OptControl=3,1,0),3)/100,0)</f>
        <v>0</v>
      </c>
      <c r="BA72" s="324" t="n">
        <f aca="false">IF(AH72,xASN(AL72,Strike2,AE72,AQ72,0,N72,0,P72-DaysForThetaCalculation/365.25,Q72-DaysForThetaCalculation/365.25,IF(OptControl=3,1,0),0)-xASN(AL72,Strike2,AE72,AQ72,0,N72,0,P72,Q72,IF(OptControl=3,1,0),0),0)</f>
        <v>0</v>
      </c>
      <c r="BB72" s="325" t="str">
        <f aca="false">IF(AH72,IF(ProductGroup=1,IF(Product=1,BX72+PriceSpreadEuro,IF(Product=3,CK72+PriceSpreadEuro,"N/A")),"N/A"),"")</f>
        <v/>
      </c>
      <c r="BC72" s="316" t="str">
        <f aca="false">IF(AH72,Strike1/BB72-1,"")</f>
        <v/>
      </c>
      <c r="BD72" s="316" t="str">
        <f aca="false">IF(AH72,Strike2/BB72-1,"")</f>
        <v/>
      </c>
      <c r="BE72" s="326" t="str">
        <f aca="false">IF(AH72,IF(VolOverrideEuro,VolOverrideEuro,IF(ProductGroup=1,IF(Product&lt;3,DA72,DE72)+VolSpreadEuro,"N/A")),"")</f>
        <v/>
      </c>
      <c r="BF72" s="323" t="str">
        <f aca="false">IF($AH72,$BE72+IF(SkewFlag=1,IF(BC72&gt;0,$AA72*MIN(BC72/10%,1)+($Z72-$AA72)*MAX(0,MIN(BC72/10%-1,1))+($Y72-$Z72)*MAX(0,BC72/10%-2),$AB72*MIN(-BC72/10%,1)+($AC72-$AB72)*MAX(0,MIN(-BC72/10%-1,1))+($AD72-$AC72)*MAX(0,-BC72/10%-2)),0),"")</f>
        <v/>
      </c>
      <c r="BG72" s="323" t="str">
        <f aca="false">IF($AH72,$BE72+IF(SkewFlag=1,IF(BD72&gt;0,$AA72*MIN(BD72/10%,1)+($Z72-$AA72)*MAX(0,MIN(BD72/10%-1,1))+($Y72-$Z72)*MAX(0,BD72/10%-2),$AB72*MIN(-BD72/10%,1)+($AC72-$AB72)*MAX(0,MIN(-BD72/10%-1,1))+($AD72-$AC72)*MAX(0,-BD72/10%-2)),0),"")</f>
        <v/>
      </c>
      <c r="BH72" s="324" t="n">
        <f aca="false">IF(AH72,xEURO(BB72,Strike1,AE72,AE72,BF72,O72,IF(OptControl=4,0,1),0),0)</f>
        <v>0</v>
      </c>
      <c r="BI72" s="324" t="n">
        <f aca="false">IF(AH72,xEURO(BB72,Strike1,AE72,AE72,BF72,O72,IF(OptControl=4,0,1),1),0)</f>
        <v>0</v>
      </c>
      <c r="BJ72" s="324" t="n">
        <f aca="false">IF(AH72,xEURO(BB72,Strike1,AE72,AE72,BF72,O72,IF(OptControl=4,0,1),2),0)</f>
        <v>0</v>
      </c>
      <c r="BK72" s="324" t="n">
        <f aca="false">IF(AH72,xEURO(BB72,Strike1,AE72,AE72,BF72,O72,IF(OptControl=4,0,1),3)/100,0)</f>
        <v>0</v>
      </c>
      <c r="BL72" s="324" t="n">
        <f aca="false">IF(AH72,xEURO(BB72,Strike1,AE72,AE72,BF72,O72-DaysForThetaCalculation,IF(OptControl=4,0,1),0)-xEURO(BB72,Strike1,AE72,AE72,BF72,O72,IF(OptControl=4,0,1),0),0)</f>
        <v>0</v>
      </c>
      <c r="BM72" s="324" t="n">
        <f aca="false">IF(AH72,xEURO(BB72,Strike2,AE72,AE72,BG72,O72,IF(OptControl=3,1,0),0),0)</f>
        <v>0</v>
      </c>
      <c r="BN72" s="324" t="n">
        <f aca="false">IF(AH72,xEURO(BB72,Strike2,AE72,AE72,BG72,O72,IF(OptControl=3,1,0),1),0)</f>
        <v>0</v>
      </c>
      <c r="BO72" s="324" t="n">
        <f aca="false">IF(AH72,xEURO(BB72,Strike2,AE72,AE72,BG72,O72,IF(OptControl=3,1,0),2),0)</f>
        <v>0</v>
      </c>
      <c r="BP72" s="324" t="n">
        <f aca="false">IF(AH72,xEURO(BB72,Strike2,AE72,AE72,BG72,O72,IF(OptControl=3,1,0),3)/100,0)</f>
        <v>0</v>
      </c>
      <c r="BQ72" s="327" t="n">
        <f aca="false">IF(AH72,xEURO(BB72,Strike2,AE72,AE72,BG72,O72-DaysForThetaCalculation,IF(OptControl=3,1,0),0)-xEURO(BB72,Strike2,AE72,AE72,BG72,O72,IF(OptControl=3,1,0),0),0)</f>
        <v>0</v>
      </c>
      <c r="BR72" s="343"/>
      <c r="BS72" s="314" t="n">
        <v>24.121</v>
      </c>
      <c r="BT72" s="329" t="n">
        <f aca="false">BS72*100/42</f>
        <v>57.4309523809524</v>
      </c>
      <c r="BU72" s="329" t="n">
        <f aca="false">BS73-$U72</f>
        <v>5.12372727272734</v>
      </c>
      <c r="BV72" s="224"/>
      <c r="BW72" s="329" t="n">
        <f aca="false">BW60+VLOOKUP(1900+$L72,ProductSpreadTable,2)</f>
        <v>11.8388181818182</v>
      </c>
      <c r="BX72" s="329" t="n">
        <f aca="false">($V71+BW71)*100/42</f>
        <v>73.4208616780043</v>
      </c>
      <c r="BY72" s="332" t="n">
        <f aca="false">BX73</f>
        <v>72.4192640692639</v>
      </c>
      <c r="BZ72" s="314" t="n">
        <v>21.391</v>
      </c>
      <c r="CA72" s="329" t="n">
        <f aca="false">BZ72*100/42</f>
        <v>50.9309523809524</v>
      </c>
      <c r="CB72" s="329" t="n">
        <f aca="false">BZ72-$U72</f>
        <v>2.81372727272734</v>
      </c>
      <c r="CC72" s="329" t="n">
        <f aca="false">CC60+VLOOKUP(1900+$L72,ProductSpreadTable,3)</f>
        <v>9.52881818181819</v>
      </c>
      <c r="CD72" s="329" t="n">
        <f aca="false">($V72+CC72)*100/42</f>
        <v>66.9192640692639</v>
      </c>
      <c r="CE72" s="333" t="n">
        <f aca="false">CD72-BY72</f>
        <v>-5.49999999999999</v>
      </c>
      <c r="CF72" s="314" t="n">
        <v>22.214</v>
      </c>
      <c r="CG72" s="329" t="n">
        <f aca="false">CF72*100/42</f>
        <v>52.8904761904762</v>
      </c>
      <c r="CH72" s="329" t="n">
        <f aca="false">CF73-$U72</f>
        <v>4.18272727272735</v>
      </c>
      <c r="CI72" s="224"/>
      <c r="CJ72" s="329" t="n">
        <f aca="false">CJ60+VLOOKUP(1900+$L72,ProductSpreadTable,4)</f>
        <v>10.6968181818182</v>
      </c>
      <c r="CK72" s="329" t="n">
        <f aca="false">($V71+CJ71)*100/42</f>
        <v>68.4018140589567</v>
      </c>
      <c r="CL72" s="329" t="n">
        <f aca="false">CK73</f>
        <v>69.7002164502163</v>
      </c>
      <c r="CM72" s="314" t="n">
        <v>21.521</v>
      </c>
      <c r="CN72" s="329" t="n">
        <f aca="false">CM72*100/42</f>
        <v>51.2404761904762</v>
      </c>
      <c r="CO72" s="329" t="n">
        <f aca="false">CM72-$U72</f>
        <v>2.94372727272734</v>
      </c>
      <c r="CP72" s="329" t="n">
        <f aca="false">CP60+VLOOKUP(1900+$L72,ProductSpreadTable,5)</f>
        <v>9.49981818181818</v>
      </c>
      <c r="CQ72" s="329" t="n">
        <f aca="false">($V72+CP72)*100/42</f>
        <v>66.8502164502163</v>
      </c>
      <c r="CR72" s="333" t="n">
        <f aca="false">CQ72-CL72</f>
        <v>-2.84999999999998</v>
      </c>
      <c r="CS72" s="314" t="n">
        <v>22.886</v>
      </c>
      <c r="CT72" s="329" t="n">
        <f aca="false">CS72*100/42</f>
        <v>54.4904761904762</v>
      </c>
      <c r="CU72" s="329" t="n">
        <f aca="false">CT72-CG73</f>
        <v>0.299999999999997</v>
      </c>
      <c r="CV72" s="329" t="n">
        <f aca="false">CV60+VLOOKUP(1900+$L72,ProductSpreadTable,6)</f>
        <v>1.35000000000001</v>
      </c>
      <c r="CW72" s="333" t="n">
        <f aca="false">CL72+CV72</f>
        <v>71.0502164502163</v>
      </c>
      <c r="CX72" s="318" t="n">
        <v>0.195</v>
      </c>
      <c r="CY72" s="326" t="n">
        <f aca="false">CX72-$W72</f>
        <v>-0.000328124318053041</v>
      </c>
      <c r="CZ72" s="326" t="n">
        <f aca="false">VLOOKUP(1900+$L72,ProductSpreadTable,7)</f>
        <v>-0.03</v>
      </c>
      <c r="DA72" s="365" t="n">
        <f aca="false">$W72+CZ72</f>
        <v>0.165328124318053</v>
      </c>
      <c r="DB72" s="318" t="n">
        <v>0.195</v>
      </c>
      <c r="DC72" s="326" t="n">
        <f aca="false">DB72-$W72</f>
        <v>-0.000328124318053041</v>
      </c>
      <c r="DD72" s="326" t="n">
        <f aca="false">VLOOKUP(1900+$L72,ProductSpreadTable,8)</f>
        <v>0.03</v>
      </c>
      <c r="DE72" s="365" t="n">
        <f aca="false">$W72+DD72</f>
        <v>0.225328124318053</v>
      </c>
      <c r="DG72" s="336"/>
      <c r="DH72" s="314" t="n">
        <v>16.303</v>
      </c>
      <c r="DI72" s="325" t="n">
        <f aca="false">DH72-$U72</f>
        <v>-2.27427272727266</v>
      </c>
      <c r="DJ72" s="325" t="n">
        <f aca="false">VLOOKUP(1900+$L72,ResidSpreadTable,2)</f>
        <v>-2</v>
      </c>
      <c r="DK72" s="337" t="n">
        <f aca="false">$V72+DJ72</f>
        <v>16.5772727272727</v>
      </c>
      <c r="DL72" s="314" t="n">
        <v>13.703</v>
      </c>
      <c r="DM72" s="325" t="n">
        <f aca="false">DL72-$U72</f>
        <v>-4.87427272727266</v>
      </c>
      <c r="DN72" s="325" t="n">
        <f aca="false">VLOOKUP(1900+$L72,ResidSpreadTable,3)</f>
        <v>-3</v>
      </c>
      <c r="DO72" s="337" t="n">
        <f aca="false">$V72+DN72</f>
        <v>15.5772727272727</v>
      </c>
      <c r="DP72" s="314" t="n">
        <v>12.953</v>
      </c>
      <c r="DQ72" s="325" t="n">
        <f aca="false">DP72-$U72</f>
        <v>-5.62427272727266</v>
      </c>
      <c r="DR72" s="325" t="n">
        <f aca="false">VLOOKUP(1900+$L72,ResidSpreadTable,4)</f>
        <v>-6</v>
      </c>
      <c r="DS72" s="337" t="n">
        <f aca="false">$V72+DR72</f>
        <v>12.5772727272727</v>
      </c>
      <c r="DT72" s="314" t="n">
        <v>15.253</v>
      </c>
      <c r="DU72" s="325" t="n">
        <f aca="false">DT72-$U72</f>
        <v>-3.32427272727266</v>
      </c>
      <c r="DV72" s="325" t="n">
        <f aca="false">VLOOKUP(1900+$L72,ResidSpreadTable,5)</f>
        <v>-5</v>
      </c>
      <c r="DW72" s="337" t="n">
        <f aca="false">$V72+DV72</f>
        <v>13.5772727272727</v>
      </c>
    </row>
    <row r="73" customFormat="false" ht="12.75" hidden="false" customHeight="false" outlineLevel="0" collapsed="false">
      <c r="B73" s="371" t="n">
        <v>37773</v>
      </c>
      <c r="C73" s="391" t="n">
        <v>37763</v>
      </c>
      <c r="I73" s="338" t="n">
        <f aca="false">EOMONTH(I72,0)+1</f>
        <v>47969</v>
      </c>
      <c r="J73" s="389" t="n">
        <f aca="false">VLOOKUP(I73,$B$12:$C$332,2)</f>
        <v>45644</v>
      </c>
      <c r="K73" s="339" t="n">
        <f aca="false">NETWORKDAYS(I73,J74)/N73</f>
        <v>-75.5454545454546</v>
      </c>
      <c r="L73" s="309" t="n">
        <f aca="false">YEAR(I73)-1900</f>
        <v>131</v>
      </c>
      <c r="M73" s="310" t="n">
        <f aca="false">MONTH(I73)</f>
        <v>5</v>
      </c>
      <c r="N73" s="340" t="n">
        <f aca="false">NETWORKDAYS(I73,I74-1)</f>
        <v>22</v>
      </c>
      <c r="O73" s="341" t="n">
        <f aca="false">I73-DateToday-IF(EuroExpDateToggle=1,3+IF(WEEKDAY(I73-1)=7,1,IF(WEEKDAY(I73-1)&lt;5,2,0)),1+IF(WEEKDAY(I73-1)=7,1,IF(WEEKDAY(I73-1)&lt;3,2,0)))</f>
        <v>2038</v>
      </c>
      <c r="P73" s="342" t="n">
        <f aca="false">(I73-DateToday+1)/365.25</f>
        <v>5.59616700889802</v>
      </c>
      <c r="Q73" s="342" t="n">
        <f aca="false">(I74-DateToday)/365.25</f>
        <v>5.67830253251198</v>
      </c>
      <c r="R73" s="314" t="n">
        <v>18.955</v>
      </c>
      <c r="S73" s="347" t="n">
        <v>0</v>
      </c>
      <c r="T73" s="316" t="n">
        <f aca="false">R73+S73/100</f>
        <v>18.955</v>
      </c>
      <c r="U73" s="325" t="n">
        <f aca="false">R74*K73+R75*(1-K73)</f>
        <v>18.95</v>
      </c>
      <c r="V73" s="337" t="n">
        <f aca="false">T74*K73+T75*(1-K73)</f>
        <v>18.95</v>
      </c>
      <c r="W73" s="318" t="n">
        <v>0.1947</v>
      </c>
      <c r="X73" s="319" t="str">
        <f aca="false">IF($I73-DateToday+1&gt;=$A$10,"",IF($I73-DateToday+1&lt;$A$5,1,MATCH($I73-DateToday+1,$A$5:$A$10)))</f>
        <v/>
      </c>
      <c r="Y73" s="348" t="n">
        <f aca="false">IF($X73="",Y72^2/Y71,INDEX(B$5:B$10,$X73)^((INDEX($A$5:$A$10,$X73+1)-($I73-DateToday+1))/(INDEX($A$5:$A$10,$X73+1)-INDEX($A$5:$A$10,$X73)))/INDEX(B$5:B$10,$X73+1)^((INDEX($A$5:$A$10,$X73)-($I73-DateToday+1))/(INDEX($A$5:$A$10,$X73+1)-INDEX($A$5:$A$10,$X73))))</f>
        <v>0.00359616898801372</v>
      </c>
      <c r="Z73" s="348" t="n">
        <f aca="false">IF($X73="",Z72^2/Z71,INDEX(C$5:C$10,$X73)^((INDEX($A$5:$A$10,$X73+1)-($I73-DateToday+1))/(INDEX($A$5:$A$10,$X73+1)-INDEX($A$5:$A$10,$X73)))/INDEX(C$5:C$10,$X73+1)^((INDEX($A$5:$A$10,$X73)-($I73-DateToday+1))/(INDEX($A$5:$A$10,$X73+1)-INDEX($A$5:$A$10,$X73))))</f>
        <v>0.0015452308039447</v>
      </c>
      <c r="AA73" s="348" t="n">
        <f aca="false">IF($X73="",AA72^2/AA71,INDEX(D$5:D$10,$X73)^((INDEX($A$5:$A$10,$X73+1)-($I73-DateToday+1))/(INDEX($A$5:$A$10,$X73+1)-INDEX($A$5:$A$10,$X73)))/INDEX(D$5:D$10,$X73+1)^((INDEX($A$5:$A$10,$X73)-($I73-DateToday+1))/(INDEX($A$5:$A$10,$X73+1)-INDEX($A$5:$A$10,$X73))))</f>
        <v>0.000614998465255148</v>
      </c>
      <c r="AB73" s="348" t="n">
        <f aca="false">IF($X73="",AB72^2/AB71,INDEX(E$5:E$10,$X73)^((INDEX($A$5:$A$10,$X73+1)-($I73-DateToday+1))/(INDEX($A$5:$A$10,$X73+1)-INDEX($A$5:$A$10,$X73)))/INDEX(E$5:E$10,$X73+1)^((INDEX($A$5:$A$10,$X73)-($I73-DateToday+1))/(INDEX($A$5:$A$10,$X73+1)-INDEX($A$5:$A$10,$X73))))</f>
        <v>0.00138546854252682</v>
      </c>
      <c r="AC73" s="348" t="n">
        <f aca="false">IF($X73="",AC72^2/AC71,INDEX(F$5:F$10,$X73)^((INDEX($A$5:$A$10,$X73+1)-($I73-DateToday+1))/(INDEX($A$5:$A$10,$X73+1)-INDEX($A$5:$A$10,$X73)))/INDEX(F$5:F$10,$X73+1)^((INDEX($A$5:$A$10,$X73)-($I73-DateToday+1))/(INDEX($A$5:$A$10,$X73+1)-INDEX($A$5:$A$10,$X73))))</f>
        <v>0.00348109595512664</v>
      </c>
      <c r="AD73" s="348" t="n">
        <f aca="false">IF($X73="",AD72^2/AD71,INDEX(G$5:G$10,$X73)^((INDEX($A$5:$A$10,$X73+1)-($I73-DateToday+1))/(INDEX($A$5:$A$10,$X73+1)-INDEX($A$5:$A$10,$X73)))/INDEX(G$5:G$10,$X73+1)^((INDEX($A$5:$A$10,$X73)-($I73-DateToday+1))/(INDEX($A$5:$A$10,$X73+1)-INDEX($A$5:$A$10,$X73))))</f>
        <v>0.00810144949619705</v>
      </c>
      <c r="AE73" s="321" t="n">
        <v>0.07321742516131</v>
      </c>
      <c r="AF73" s="316" t="n">
        <f aca="false">(1+AE73/2)^(-2*(I74-DateToday)/365.25)</f>
        <v>0.664765177795068</v>
      </c>
      <c r="AG73" s="316" t="n">
        <f aca="false">AG72*(1+IF(AND(M73=1,L73&gt;YearStart),Escalation,0))</f>
        <v>1</v>
      </c>
      <c r="AH73" s="322" t="n">
        <f aca="false">IF(OR(DateStart&gt;=I74,DateEnd&lt;I73),0,Volume*AG73)</f>
        <v>0</v>
      </c>
      <c r="AI73" s="322" t="n">
        <f aca="false">AH73*AF73</f>
        <v>0</v>
      </c>
      <c r="AJ73" s="322" t="n">
        <f aca="false">IF(OR(DateStart2&gt;=I74,DateEnd2&lt;I73),0,VolumeSwaption*AG73)</f>
        <v>0</v>
      </c>
      <c r="AK73" s="322" t="n">
        <f aca="false">AJ73*AF73</f>
        <v>0</v>
      </c>
      <c r="AL73" s="316" t="str">
        <f aca="true">IF(AH73,OFFSET(BY73,0,HorizontalPriceOffset)+PriceSpreadAsian,"")</f>
        <v/>
      </c>
      <c r="AM73" s="316" t="str">
        <f aca="false">IF(AH73,Strike1/AL73-1,"")</f>
        <v/>
      </c>
      <c r="AN73" s="316" t="str">
        <f aca="false">IF(AH73,Strike2/AL73-1,"")</f>
        <v/>
      </c>
      <c r="AO73" s="323" t="str">
        <f aca="false">IF(AH73,IF(VolOverrideAsian,VolOverrideAsian,IF(ProductGroup=1,IF(Product&lt;3,DA74,DE74),W74)+VolSpreadAsian),"")</f>
        <v/>
      </c>
      <c r="AP73" s="323" t="str">
        <f aca="false">IF($AH73,$AO73+IF(SkewFlag=1,IF(AM73&gt;0,$AA73*MIN(AM73/10%,1)+($Z73-$AA73)*MAX(0,MIN(AM73/10%-1,1))+($Y73-$Z73)*MAX(0,AM73/10%-2),$AB73*MIN(-AM73/10%,1)+($AC73-$AB73)*MAX(0,MIN(-AM73/10%-1,1))+($AD73-$AC73)*MAX(0,-AM73/10%-2)),0),"")</f>
        <v/>
      </c>
      <c r="AQ73" s="323" t="str">
        <f aca="false">IF($AH73,$AO73+IF(SkewFlag=1,IF(AN73&gt;0,$AA73*MIN(AN73/10%,1)+($Z73-$AA73)*MAX(0,MIN(AN73/10%-1,1))+($Y73-$Z73)*MAX(0,AN73/10%-2),$AB73*MIN(-AN73/10%,1)+($AC73-$AB73)*MAX(0,MIN(-AN73/10%-1,1))+($AD73-$AC73)*MAX(0,-AN73/10%-2)),0),"")</f>
        <v/>
      </c>
      <c r="AR73" s="324" t="n">
        <f aca="false">IF(AH73,xASN(AL73,Strike1,AE73,AP73,0,N73,0,P73,Q73,IF(OptControl=4,0,1),0),0)</f>
        <v>0</v>
      </c>
      <c r="AS73" s="324" t="n">
        <f aca="false">IF(AH73,xASN(AL73,Strike1,AE73,AP73,0,N73,0,P73,Q73,IF(OptControl=4,0,1),1),0)</f>
        <v>0</v>
      </c>
      <c r="AT73" s="324" t="n">
        <f aca="false">IF(AH73,xASN(AL73,Strike1,AE73,AP73,0,N73,0,P73,Q73,IF(OptControl=4,0,1),2),0)</f>
        <v>0</v>
      </c>
      <c r="AU73" s="324" t="n">
        <f aca="false">IF(AH73,xASN(AL73,Strike1,AE73,AP73,0,N73,0,P73,Q73,IF(OptControl=4,0,1),3)/100,0)</f>
        <v>0</v>
      </c>
      <c r="AV73" s="324" t="n">
        <f aca="false">IF(AH73,xASN(AL73,Strike1,AE73,AP73,0,N73,0,P73-DaysForThetaCalculation/365.25,Q73-DaysForThetaCalculation/365.25,IF(OptControl=4,0,1),0)-xASN(AL73,Strike1,AE73,AP73,0,N73,0,P73,Q73,IF(OptControl=4,0,1),0),0)</f>
        <v>0</v>
      </c>
      <c r="AW73" s="324" t="n">
        <f aca="false">IF(AH73,xASN(AL73,Strike2,AE73,AQ73,0,N73,0,P73,Q73,IF(OptControl=3,1,0),0),0)</f>
        <v>0</v>
      </c>
      <c r="AX73" s="324" t="n">
        <f aca="false">IF(AH73,xASN(AL73,Strike2,AE73,AQ73,0,N73,0,P73,Q73,IF(OptControl=3,1,0),1),0)</f>
        <v>0</v>
      </c>
      <c r="AY73" s="324" t="n">
        <f aca="false">IF(AH73,xASN(AL73,Strike2,AE73,AQ73,0,N73,0,P73,Q73,IF(OptControl=3,1,0),2),0)</f>
        <v>0</v>
      </c>
      <c r="AZ73" s="324" t="n">
        <f aca="false">IF(AH73,xASN(AL73,Strike2,AE73,AQ73,0,N73,0,P73,Q73,IF(OptControl=3,1,0),3)/100,0)</f>
        <v>0</v>
      </c>
      <c r="BA73" s="324" t="n">
        <f aca="false">IF(AH73,xASN(AL73,Strike2,AE73,AQ73,0,N73,0,P73-DaysForThetaCalculation/365.25,Q73-DaysForThetaCalculation/365.25,IF(OptControl=3,1,0),0)-xASN(AL73,Strike2,AE73,AQ73,0,N73,0,P73,Q73,IF(OptControl=3,1,0),0),0)</f>
        <v>0</v>
      </c>
      <c r="BB73" s="325" t="str">
        <f aca="false">IF(AH73,IF(ProductGroup=1,IF(Product=1,BX73+PriceSpreadEuro,IF(Product=3,CK73+PriceSpreadEuro,"N/A")),"N/A"),"")</f>
        <v/>
      </c>
      <c r="BC73" s="316" t="str">
        <f aca="false">IF(AH73,Strike1/BB73-1,"")</f>
        <v/>
      </c>
      <c r="BD73" s="316" t="str">
        <f aca="false">IF(AH73,Strike2/BB73-1,"")</f>
        <v/>
      </c>
      <c r="BE73" s="326" t="str">
        <f aca="false">IF(AH73,IF(VolOverrideEuro,VolOverrideEuro,IF(ProductGroup=1,IF(Product&lt;3,DA73,DE73)+VolSpreadEuro,"N/A")),"")</f>
        <v/>
      </c>
      <c r="BF73" s="323" t="str">
        <f aca="false">IF($AH73,$BE73+IF(SkewFlag=1,IF(BC73&gt;0,$AA73*MIN(BC73/10%,1)+($Z73-$AA73)*MAX(0,MIN(BC73/10%-1,1))+($Y73-$Z73)*MAX(0,BC73/10%-2),$AB73*MIN(-BC73/10%,1)+($AC73-$AB73)*MAX(0,MIN(-BC73/10%-1,1))+($AD73-$AC73)*MAX(0,-BC73/10%-2)),0),"")</f>
        <v/>
      </c>
      <c r="BG73" s="323" t="str">
        <f aca="false">IF($AH73,$BE73+IF(SkewFlag=1,IF(BD73&gt;0,$AA73*MIN(BD73/10%,1)+($Z73-$AA73)*MAX(0,MIN(BD73/10%-1,1))+($Y73-$Z73)*MAX(0,BD73/10%-2),$AB73*MIN(-BD73/10%,1)+($AC73-$AB73)*MAX(0,MIN(-BD73/10%-1,1))+($AD73-$AC73)*MAX(0,-BD73/10%-2)),0),"")</f>
        <v/>
      </c>
      <c r="BH73" s="324" t="n">
        <f aca="false">IF(AH73,xEURO(BB73,Strike1,AE73,AE73,BF73,O73,IF(OptControl=4,0,1),0),0)</f>
        <v>0</v>
      </c>
      <c r="BI73" s="324" t="n">
        <f aca="false">IF(AH73,xEURO(BB73,Strike1,AE73,AE73,BF73,O73,IF(OptControl=4,0,1),1),0)</f>
        <v>0</v>
      </c>
      <c r="BJ73" s="324" t="n">
        <f aca="false">IF(AH73,xEURO(BB73,Strike1,AE73,AE73,BF73,O73,IF(OptControl=4,0,1),2),0)</f>
        <v>0</v>
      </c>
      <c r="BK73" s="324" t="n">
        <f aca="false">IF(AH73,xEURO(BB73,Strike1,AE73,AE73,BF73,O73,IF(OptControl=4,0,1),3)/100,0)</f>
        <v>0</v>
      </c>
      <c r="BL73" s="324" t="n">
        <f aca="false">IF(AH73,xEURO(BB73,Strike1,AE73,AE73,BF73,O73-DaysForThetaCalculation,IF(OptControl=4,0,1),0)-xEURO(BB73,Strike1,AE73,AE73,BF73,O73,IF(OptControl=4,0,1),0),0)</f>
        <v>0</v>
      </c>
      <c r="BM73" s="324" t="n">
        <f aca="false">IF(AH73,xEURO(BB73,Strike2,AE73,AE73,BG73,O73,IF(OptControl=3,1,0),0),0)</f>
        <v>0</v>
      </c>
      <c r="BN73" s="324" t="n">
        <f aca="false">IF(AH73,xEURO(BB73,Strike2,AE73,AE73,BG73,O73,IF(OptControl=3,1,0),1),0)</f>
        <v>0</v>
      </c>
      <c r="BO73" s="324" t="n">
        <f aca="false">IF(AH73,xEURO(BB73,Strike2,AE73,AE73,BG73,O73,IF(OptControl=3,1,0),2),0)</f>
        <v>0</v>
      </c>
      <c r="BP73" s="324" t="n">
        <f aca="false">IF(AH73,xEURO(BB73,Strike2,AE73,AE73,BG73,O73,IF(OptControl=3,1,0),3)/100,0)</f>
        <v>0</v>
      </c>
      <c r="BQ73" s="327" t="n">
        <f aca="false">IF(AH73,xEURO(BB73,Strike2,AE73,AE73,BG73,O73-DaysForThetaCalculation,IF(OptControl=3,1,0),0)-xEURO(BB73,Strike2,AE73,AE73,BG73,O73,IF(OptControl=3,1,0),0),0)</f>
        <v>0</v>
      </c>
      <c r="BR73" s="343"/>
      <c r="BS73" s="314" t="n">
        <v>23.701</v>
      </c>
      <c r="BT73" s="329" t="n">
        <f aca="false">BS73*100/42</f>
        <v>56.4309523809524</v>
      </c>
      <c r="BU73" s="329" t="n">
        <f aca="false">BS74-$U73</f>
        <v>4.59499999999996</v>
      </c>
      <c r="BV73" s="224"/>
      <c r="BW73" s="329" t="n">
        <f aca="false">BW61+VLOOKUP(1900+$L73,ProductSpreadTable,2)</f>
        <v>11.8470952380953</v>
      </c>
      <c r="BX73" s="329" t="n">
        <f aca="false">($V72+BW72)*100/42</f>
        <v>72.4192640692639</v>
      </c>
      <c r="BY73" s="332" t="n">
        <f aca="false">BX74</f>
        <v>73.3264172335604</v>
      </c>
      <c r="BZ73" s="314" t="n">
        <v>21.235</v>
      </c>
      <c r="CA73" s="329" t="n">
        <f aca="false">BZ73*100/42</f>
        <v>50.5595238095238</v>
      </c>
      <c r="CB73" s="329" t="n">
        <f aca="false">BZ73-$U73</f>
        <v>2.28499999999995</v>
      </c>
      <c r="CC73" s="329" t="n">
        <f aca="false">CC61+VLOOKUP(1900+$L73,ProductSpreadTable,3)</f>
        <v>9.53709523809531</v>
      </c>
      <c r="CD73" s="329" t="n">
        <f aca="false">($V73+CC73)*100/42</f>
        <v>67.8264172335604</v>
      </c>
      <c r="CE73" s="333" t="n">
        <f aca="false">CD73-BY73</f>
        <v>-5.5</v>
      </c>
      <c r="CF73" s="314" t="n">
        <v>22.76</v>
      </c>
      <c r="CG73" s="329" t="n">
        <f aca="false">CF73*100/42</f>
        <v>54.1904761904762</v>
      </c>
      <c r="CH73" s="329" t="n">
        <f aca="false">CF74-$U73</f>
        <v>4.36399999999996</v>
      </c>
      <c r="CI73" s="224"/>
      <c r="CJ73" s="329" t="n">
        <f aca="false">CJ61+VLOOKUP(1900+$L73,ProductSpreadTable,4)</f>
        <v>11.4190952380953</v>
      </c>
      <c r="CK73" s="329" t="n">
        <f aca="false">($V72+CJ72)*100/42</f>
        <v>69.7002164502163</v>
      </c>
      <c r="CL73" s="329" t="n">
        <f aca="false">CK74</f>
        <v>72.3073696145128</v>
      </c>
      <c r="CM73" s="314" t="n">
        <v>22.075</v>
      </c>
      <c r="CN73" s="329" t="n">
        <f aca="false">CM73*100/42</f>
        <v>52.5595238095238</v>
      </c>
      <c r="CO73" s="329" t="n">
        <f aca="false">CM73-$U73</f>
        <v>3.12499999999995</v>
      </c>
      <c r="CP73" s="329" t="n">
        <f aca="false">CP61+VLOOKUP(1900+$L73,ProductSpreadTable,5)</f>
        <v>10.2220952380953</v>
      </c>
      <c r="CQ73" s="329" t="n">
        <f aca="false">($V73+CP73)*100/42</f>
        <v>69.4573696145128</v>
      </c>
      <c r="CR73" s="333" t="n">
        <f aca="false">CQ73-CL73</f>
        <v>-2.84999999999999</v>
      </c>
      <c r="CS73" s="314" t="n">
        <v>23.44</v>
      </c>
      <c r="CT73" s="329" t="n">
        <f aca="false">CS73*100/42</f>
        <v>55.8095238095238</v>
      </c>
      <c r="CU73" s="329" t="n">
        <f aca="false">CT73-CG74</f>
        <v>0.299999999999997</v>
      </c>
      <c r="CV73" s="329" t="n">
        <f aca="false">CV61+VLOOKUP(1900+$L73,ProductSpreadTable,6)</f>
        <v>1.35000000000001</v>
      </c>
      <c r="CW73" s="333" t="n">
        <f aca="false">CL73+CV73</f>
        <v>73.6573696145128</v>
      </c>
      <c r="CX73" s="318" t="n">
        <v>0.195</v>
      </c>
      <c r="CY73" s="326" t="n">
        <f aca="false">CX73-$W73</f>
        <v>0.000300000000000022</v>
      </c>
      <c r="CZ73" s="326" t="n">
        <f aca="false">VLOOKUP(1900+$L73,ProductSpreadTable,7)</f>
        <v>-0.03</v>
      </c>
      <c r="DA73" s="365" t="n">
        <f aca="false">$W73+CZ73</f>
        <v>0.1647</v>
      </c>
      <c r="DB73" s="318" t="n">
        <v>0.195</v>
      </c>
      <c r="DC73" s="326" t="n">
        <f aca="false">DB73-$W73</f>
        <v>0.000300000000000022</v>
      </c>
      <c r="DD73" s="326" t="n">
        <f aca="false">VLOOKUP(1900+$L73,ProductSpreadTable,8)</f>
        <v>0.03</v>
      </c>
      <c r="DE73" s="365" t="n">
        <f aca="false">$W73+DD73</f>
        <v>0.2247</v>
      </c>
      <c r="DG73" s="336"/>
      <c r="DH73" s="314" t="n">
        <v>16.3</v>
      </c>
      <c r="DI73" s="325" t="n">
        <f aca="false">DH73-$U73</f>
        <v>-2.65000000000004</v>
      </c>
      <c r="DJ73" s="325" t="n">
        <f aca="false">VLOOKUP(1900+$L73,ResidSpreadTable,2)</f>
        <v>-2</v>
      </c>
      <c r="DK73" s="337" t="n">
        <f aca="false">$V73+DJ73</f>
        <v>16.95</v>
      </c>
      <c r="DL73" s="314" t="n">
        <v>13.7</v>
      </c>
      <c r="DM73" s="325" t="n">
        <f aca="false">DL73-$U73</f>
        <v>-5.25000000000005</v>
      </c>
      <c r="DN73" s="325" t="n">
        <f aca="false">VLOOKUP(1900+$L73,ResidSpreadTable,3)</f>
        <v>-3</v>
      </c>
      <c r="DO73" s="337" t="n">
        <f aca="false">$V73+DN73</f>
        <v>15.95</v>
      </c>
      <c r="DP73" s="314" t="n">
        <v>12.95</v>
      </c>
      <c r="DQ73" s="325" t="n">
        <f aca="false">DP73-$U73</f>
        <v>-6.00000000000005</v>
      </c>
      <c r="DR73" s="325" t="n">
        <f aca="false">VLOOKUP(1900+$L73,ResidSpreadTable,4)</f>
        <v>-6</v>
      </c>
      <c r="DS73" s="337" t="n">
        <f aca="false">$V73+DR73</f>
        <v>12.95</v>
      </c>
      <c r="DT73" s="314" t="n">
        <v>15.25</v>
      </c>
      <c r="DU73" s="325" t="n">
        <f aca="false">DT73-$U73</f>
        <v>-3.70000000000005</v>
      </c>
      <c r="DV73" s="325" t="n">
        <f aca="false">VLOOKUP(1900+$L73,ResidSpreadTable,5)</f>
        <v>-5</v>
      </c>
      <c r="DW73" s="337" t="n">
        <f aca="false">$V73+DV73</f>
        <v>13.95</v>
      </c>
    </row>
    <row r="74" customFormat="false" ht="12.75" hidden="false" customHeight="false" outlineLevel="0" collapsed="false">
      <c r="B74" s="371" t="n">
        <v>37803</v>
      </c>
      <c r="C74" s="391" t="n">
        <v>37792</v>
      </c>
      <c r="I74" s="338" t="n">
        <f aca="false">EOMONTH(I73,0)+1</f>
        <v>48000</v>
      </c>
      <c r="J74" s="389" t="n">
        <f aca="false">VLOOKUP(I74,$B$12:$C$332,2)</f>
        <v>45644</v>
      </c>
      <c r="K74" s="339" t="n">
        <f aca="false">NETWORKDAYS(I74,J75)/N74</f>
        <v>-80.1428571428571</v>
      </c>
      <c r="L74" s="309" t="n">
        <f aca="false">YEAR(I74)-1900</f>
        <v>131</v>
      </c>
      <c r="M74" s="310" t="n">
        <f aca="false">MONTH(I74)</f>
        <v>6</v>
      </c>
      <c r="N74" s="340" t="n">
        <f aca="false">NETWORKDAYS(I74,I75-1)</f>
        <v>21</v>
      </c>
      <c r="O74" s="341" t="n">
        <f aca="false">I74-DateToday-IF(EuroExpDateToggle=1,3+IF(WEEKDAY(I74-1)=7,1,IF(WEEKDAY(I74-1)&lt;5,2,0)),1+IF(WEEKDAY(I74-1)=7,1,IF(WEEKDAY(I74-1)&lt;3,2,0)))</f>
        <v>2070</v>
      </c>
      <c r="P74" s="342" t="n">
        <f aca="false">(I74-DateToday+1)/365.25</f>
        <v>5.68104038329911</v>
      </c>
      <c r="Q74" s="342" t="n">
        <f aca="false">(I75-DateToday)/365.25</f>
        <v>5.76043805612594</v>
      </c>
      <c r="R74" s="314" t="n">
        <v>18.95</v>
      </c>
      <c r="S74" s="347" t="n">
        <v>0</v>
      </c>
      <c r="T74" s="316" t="n">
        <f aca="false">R74+S74/100</f>
        <v>18.95</v>
      </c>
      <c r="U74" s="325" t="n">
        <f aca="false">R75*K74+R76*(1-K74)</f>
        <v>18.9499999999998</v>
      </c>
      <c r="V74" s="337" t="n">
        <f aca="false">T75*K74+T76*(1-K74)</f>
        <v>18.9499999999998</v>
      </c>
      <c r="W74" s="318" t="n">
        <v>0.1941</v>
      </c>
      <c r="X74" s="319" t="str">
        <f aca="false">IF($I74-DateToday+1&gt;=$A$10,"",IF($I74-DateToday+1&lt;$A$5,1,MATCH($I74-DateToday+1,$A$5:$A$10)))</f>
        <v/>
      </c>
      <c r="Y74" s="348" t="n">
        <f aca="false">IF($X74="",Y73^2/Y72,INDEX(B$5:B$10,$X74)^((INDEX($A$5:$A$10,$X74+1)-($I74-DateToday+1))/(INDEX($A$5:$A$10,$X74+1)-INDEX($A$5:$A$10,$X74)))/INDEX(B$5:B$10,$X74+1)^((INDEX($A$5:$A$10,$X74)-($I74-DateToday+1))/(INDEX($A$5:$A$10,$X74+1)-INDEX($A$5:$A$10,$X74))))</f>
        <v>0.00351918047949185</v>
      </c>
      <c r="Z74" s="348" t="n">
        <f aca="false">IF($X74="",Z73^2/Z72,INDEX(C$5:C$10,$X74)^((INDEX($A$5:$A$10,$X74+1)-($I74-DateToday+1))/(INDEX($A$5:$A$10,$X74+1)-INDEX($A$5:$A$10,$X74)))/INDEX(C$5:C$10,$X74+1)^((INDEX($A$5:$A$10,$X74)-($I74-DateToday+1))/(INDEX($A$5:$A$10,$X74+1)-INDEX($A$5:$A$10,$X74))))</f>
        <v>0.00150405363424287</v>
      </c>
      <c r="AA74" s="348" t="n">
        <f aca="false">IF($X74="",AA73^2/AA72,INDEX(D$5:D$10,$X74)^((INDEX($A$5:$A$10,$X74+1)-($I74-DateToday+1))/(INDEX($A$5:$A$10,$X74+1)-INDEX($A$5:$A$10,$X74)))/INDEX(D$5:D$10,$X74+1)^((INDEX($A$5:$A$10,$X74)-($I74-DateToday+1))/(INDEX($A$5:$A$10,$X74+1)-INDEX($A$5:$A$10,$X74))))</f>
        <v>0.000597004812711043</v>
      </c>
      <c r="AB74" s="348" t="n">
        <f aca="false">IF($X74="",AB73^2/AB72,INDEX(E$5:E$10,$X74)^((INDEX($A$5:$A$10,$X74+1)-($I74-DateToday+1))/(INDEX($A$5:$A$10,$X74+1)-INDEX($A$5:$A$10,$X74)))/INDEX(E$5:E$10,$X74+1)^((INDEX($A$5:$A$10,$X74)-($I74-DateToday+1))/(INDEX($A$5:$A$10,$X74+1)-INDEX($A$5:$A$10,$X74))))</f>
        <v>0.00134493244207546</v>
      </c>
      <c r="AC74" s="348" t="n">
        <f aca="false">IF($X74="",AC73^2/AC72,INDEX(F$5:F$10,$X74)^((INDEX($A$5:$A$10,$X74+1)-($I74-DateToday+1))/(INDEX($A$5:$A$10,$X74+1)-INDEX($A$5:$A$10,$X74)))/INDEX(F$5:F$10,$X74+1)^((INDEX($A$5:$A$10,$X74)-($I74-DateToday+1))/(INDEX($A$5:$A$10,$X74+1)-INDEX($A$5:$A$10,$X74))))</f>
        <v>0.00338833202722237</v>
      </c>
      <c r="AD74" s="348" t="n">
        <f aca="false">IF($X74="",AD73^2/AD72,INDEX(G$5:G$10,$X74)^((INDEX($A$5:$A$10,$X74+1)-($I74-DateToday+1))/(INDEX($A$5:$A$10,$X74+1)-INDEX($A$5:$A$10,$X74)))/INDEX(G$5:G$10,$X74+1)^((INDEX($A$5:$A$10,$X74)-($I74-DateToday+1))/(INDEX($A$5:$A$10,$X74+1)-INDEX($A$5:$A$10,$X74))))</f>
        <v>0.00792800978419898</v>
      </c>
      <c r="AE74" s="321" t="n">
        <v>0.07323476077015</v>
      </c>
      <c r="AF74" s="316" t="n">
        <f aca="false">(1+AE74/2)^(-2*(I75-DateToday)/365.25)</f>
        <v>0.660786795883371</v>
      </c>
      <c r="AG74" s="316" t="n">
        <f aca="false">AG73*(1+IF(AND(M74=1,L74&gt;YearStart),Escalation,0))</f>
        <v>1</v>
      </c>
      <c r="AH74" s="322" t="n">
        <f aca="false">IF(OR(DateStart&gt;=I75,DateEnd&lt;I74),0,Volume*AG74)</f>
        <v>0</v>
      </c>
      <c r="AI74" s="322" t="n">
        <f aca="false">AH74*AF74</f>
        <v>0</v>
      </c>
      <c r="AJ74" s="322" t="n">
        <f aca="false">IF(OR(DateStart2&gt;=I75,DateEnd2&lt;I74),0,VolumeSwaption*AG74)</f>
        <v>0</v>
      </c>
      <c r="AK74" s="322" t="n">
        <f aca="false">AJ74*AF74</f>
        <v>0</v>
      </c>
      <c r="AL74" s="316" t="str">
        <f aca="true">IF(AH74,OFFSET(BY74,0,HorizontalPriceOffset)+PriceSpreadAsian,"")</f>
        <v/>
      </c>
      <c r="AM74" s="316" t="str">
        <f aca="false">IF(AH74,Strike1/AL74-1,"")</f>
        <v/>
      </c>
      <c r="AN74" s="316" t="str">
        <f aca="false">IF(AH74,Strike2/AL74-1,"")</f>
        <v/>
      </c>
      <c r="AO74" s="323" t="str">
        <f aca="false">IF(AH74,IF(VolOverrideAsian,VolOverrideAsian,IF(ProductGroup=1,IF(Product&lt;3,DA75,DE75),W75)+VolSpreadAsian),"")</f>
        <v/>
      </c>
      <c r="AP74" s="323" t="str">
        <f aca="false">IF($AH74,$AO74+IF(SkewFlag=1,IF(AM74&gt;0,$AA74*MIN(AM74/10%,1)+($Z74-$AA74)*MAX(0,MIN(AM74/10%-1,1))+($Y74-$Z74)*MAX(0,AM74/10%-2),$AB74*MIN(-AM74/10%,1)+($AC74-$AB74)*MAX(0,MIN(-AM74/10%-1,1))+($AD74-$AC74)*MAX(0,-AM74/10%-2)),0),"")</f>
        <v/>
      </c>
      <c r="AQ74" s="323" t="str">
        <f aca="false">IF($AH74,$AO74+IF(SkewFlag=1,IF(AN74&gt;0,$AA74*MIN(AN74/10%,1)+($Z74-$AA74)*MAX(0,MIN(AN74/10%-1,1))+($Y74-$Z74)*MAX(0,AN74/10%-2),$AB74*MIN(-AN74/10%,1)+($AC74-$AB74)*MAX(0,MIN(-AN74/10%-1,1))+($AD74-$AC74)*MAX(0,-AN74/10%-2)),0),"")</f>
        <v/>
      </c>
      <c r="AR74" s="324" t="n">
        <f aca="false">IF(AH74,xASN(AL74,Strike1,AE74,AP74,0,N74,0,P74,Q74,IF(OptControl=4,0,1),0),0)</f>
        <v>0</v>
      </c>
      <c r="AS74" s="324" t="n">
        <f aca="false">IF(AH74,xASN(AL74,Strike1,AE74,AP74,0,N74,0,P74,Q74,IF(OptControl=4,0,1),1),0)</f>
        <v>0</v>
      </c>
      <c r="AT74" s="324" t="n">
        <f aca="false">IF(AH74,xASN(AL74,Strike1,AE74,AP74,0,N74,0,P74,Q74,IF(OptControl=4,0,1),2),0)</f>
        <v>0</v>
      </c>
      <c r="AU74" s="324" t="n">
        <f aca="false">IF(AH74,xASN(AL74,Strike1,AE74,AP74,0,N74,0,P74,Q74,IF(OptControl=4,0,1),3)/100,0)</f>
        <v>0</v>
      </c>
      <c r="AV74" s="324" t="n">
        <f aca="false">IF(AH74,xASN(AL74,Strike1,AE74,AP74,0,N74,0,P74-DaysForThetaCalculation/365.25,Q74-DaysForThetaCalculation/365.25,IF(OptControl=4,0,1),0)-xASN(AL74,Strike1,AE74,AP74,0,N74,0,P74,Q74,IF(OptControl=4,0,1),0),0)</f>
        <v>0</v>
      </c>
      <c r="AW74" s="324" t="n">
        <f aca="false">IF(AH74,xASN(AL74,Strike2,AE74,AQ74,0,N74,0,P74,Q74,IF(OptControl=3,1,0),0),0)</f>
        <v>0</v>
      </c>
      <c r="AX74" s="324" t="n">
        <f aca="false">IF(AH74,xASN(AL74,Strike2,AE74,AQ74,0,N74,0,P74,Q74,IF(OptControl=3,1,0),1),0)</f>
        <v>0</v>
      </c>
      <c r="AY74" s="324" t="n">
        <f aca="false">IF(AH74,xASN(AL74,Strike2,AE74,AQ74,0,N74,0,P74,Q74,IF(OptControl=3,1,0),2),0)</f>
        <v>0</v>
      </c>
      <c r="AZ74" s="324" t="n">
        <f aca="false">IF(AH74,xASN(AL74,Strike2,AE74,AQ74,0,N74,0,P74,Q74,IF(OptControl=3,1,0),3)/100,0)</f>
        <v>0</v>
      </c>
      <c r="BA74" s="324" t="n">
        <f aca="false">IF(AH74,xASN(AL74,Strike2,AE74,AQ74,0,N74,0,P74-DaysForThetaCalculation/365.25,Q74-DaysForThetaCalculation/365.25,IF(OptControl=3,1,0),0)-xASN(AL74,Strike2,AE74,AQ74,0,N74,0,P74,Q74,IF(OptControl=3,1,0),0),0)</f>
        <v>0</v>
      </c>
      <c r="BB74" s="325" t="str">
        <f aca="false">IF(AH74,IF(ProductGroup=1,IF(Product=1,BX74+PriceSpreadEuro,IF(Product=3,CK74+PriceSpreadEuro,"N/A")),"N/A"),"")</f>
        <v/>
      </c>
      <c r="BC74" s="316" t="str">
        <f aca="false">IF(AH74,Strike1/BB74-1,"")</f>
        <v/>
      </c>
      <c r="BD74" s="316" t="str">
        <f aca="false">IF(AH74,Strike2/BB74-1,"")</f>
        <v/>
      </c>
      <c r="BE74" s="326" t="str">
        <f aca="false">IF(AH74,IF(VolOverrideEuro,VolOverrideEuro,IF(ProductGroup=1,IF(Product&lt;3,DA74,DE74)+VolSpreadEuro,"N/A")),"")</f>
        <v/>
      </c>
      <c r="BF74" s="323" t="str">
        <f aca="false">IF($AH74,$BE74+IF(SkewFlag=1,IF(BC74&gt;0,$AA74*MIN(BC74/10%,1)+($Z74-$AA74)*MAX(0,MIN(BC74/10%-1,1))+($Y74-$Z74)*MAX(0,BC74/10%-2),$AB74*MIN(-BC74/10%,1)+($AC74-$AB74)*MAX(0,MIN(-BC74/10%-1,1))+($AD74-$AC74)*MAX(0,-BC74/10%-2)),0),"")</f>
        <v/>
      </c>
      <c r="BG74" s="323" t="str">
        <f aca="false">IF($AH74,$BE74+IF(SkewFlag=1,IF(BD74&gt;0,$AA74*MIN(BD74/10%,1)+($Z74-$AA74)*MAX(0,MIN(BD74/10%-1,1))+($Y74-$Z74)*MAX(0,BD74/10%-2),$AB74*MIN(-BD74/10%,1)+($AC74-$AB74)*MAX(0,MIN(-BD74/10%-1,1))+($AD74-$AC74)*MAX(0,-BD74/10%-2)),0),"")</f>
        <v/>
      </c>
      <c r="BH74" s="324" t="n">
        <f aca="false">IF(AH74,xEURO(BB74,Strike1,AE74,AE74,BF74,O74,IF(OptControl=4,0,1),0),0)</f>
        <v>0</v>
      </c>
      <c r="BI74" s="324" t="n">
        <f aca="false">IF(AH74,xEURO(BB74,Strike1,AE74,AE74,BF74,O74,IF(OptControl=4,0,1),1),0)</f>
        <v>0</v>
      </c>
      <c r="BJ74" s="324" t="n">
        <f aca="false">IF(AH74,xEURO(BB74,Strike1,AE74,AE74,BF74,O74,IF(OptControl=4,0,1),2),0)</f>
        <v>0</v>
      </c>
      <c r="BK74" s="324" t="n">
        <f aca="false">IF(AH74,xEURO(BB74,Strike1,AE74,AE74,BF74,O74,IF(OptControl=4,0,1),3)/100,0)</f>
        <v>0</v>
      </c>
      <c r="BL74" s="324" t="n">
        <f aca="false">IF(AH74,xEURO(BB74,Strike1,AE74,AE74,BF74,O74-DaysForThetaCalculation,IF(OptControl=4,0,1),0)-xEURO(BB74,Strike1,AE74,AE74,BF74,O74,IF(OptControl=4,0,1),0),0)</f>
        <v>0</v>
      </c>
      <c r="BM74" s="324" t="n">
        <f aca="false">IF(AH74,xEURO(BB74,Strike2,AE74,AE74,BG74,O74,IF(OptControl=3,1,0),0),0)</f>
        <v>0</v>
      </c>
      <c r="BN74" s="324" t="n">
        <f aca="false">IF(AH74,xEURO(BB74,Strike2,AE74,AE74,BG74,O74,IF(OptControl=3,1,0),1),0)</f>
        <v>0</v>
      </c>
      <c r="BO74" s="324" t="n">
        <f aca="false">IF(AH74,xEURO(BB74,Strike2,AE74,AE74,BG74,O74,IF(OptControl=3,1,0),2),0)</f>
        <v>0</v>
      </c>
      <c r="BP74" s="324" t="n">
        <f aca="false">IF(AH74,xEURO(BB74,Strike2,AE74,AE74,BG74,O74,IF(OptControl=3,1,0),3)/100,0)</f>
        <v>0</v>
      </c>
      <c r="BQ74" s="327" t="n">
        <f aca="false">IF(AH74,xEURO(BB74,Strike2,AE74,AE74,BG74,O74-DaysForThetaCalculation,IF(OptControl=3,1,0),0)-xEURO(BB74,Strike2,AE74,AE74,BG74,O74,IF(OptControl=3,1,0),0),0)</f>
        <v>0</v>
      </c>
      <c r="BR74" s="343"/>
      <c r="BS74" s="314" t="n">
        <v>23.545</v>
      </c>
      <c r="BT74" s="329" t="n">
        <f aca="false">BS74*100/42</f>
        <v>56.0595238095238</v>
      </c>
      <c r="BU74" s="329" t="n">
        <f aca="false">BS75-$U74</f>
        <v>4.75500000000018</v>
      </c>
      <c r="BV74" s="224"/>
      <c r="BW74" s="329" t="n">
        <f aca="false">BW62+VLOOKUP(1900+$L74,ProductSpreadTable,2)</f>
        <v>11.7418181818182</v>
      </c>
      <c r="BX74" s="329" t="n">
        <f aca="false">($V73+BW73)*100/42</f>
        <v>73.3264172335604</v>
      </c>
      <c r="BY74" s="332" t="n">
        <f aca="false">BX75</f>
        <v>73.0757575757572</v>
      </c>
      <c r="BZ74" s="314" t="n">
        <v>21.395</v>
      </c>
      <c r="CA74" s="329" t="n">
        <f aca="false">BZ74*100/42</f>
        <v>50.9404761904762</v>
      </c>
      <c r="CB74" s="329" t="n">
        <f aca="false">BZ74-$U74</f>
        <v>2.44500000000018</v>
      </c>
      <c r="CC74" s="329" t="n">
        <f aca="false">CC62+VLOOKUP(1900+$L74,ProductSpreadTable,3)</f>
        <v>9.43181818181819</v>
      </c>
      <c r="CD74" s="329" t="n">
        <f aca="false">($V74+CC74)*100/42</f>
        <v>67.5757575757572</v>
      </c>
      <c r="CE74" s="333" t="n">
        <f aca="false">CD74-BY74</f>
        <v>-5.5</v>
      </c>
      <c r="CF74" s="314" t="n">
        <v>23.314</v>
      </c>
      <c r="CG74" s="329" t="n">
        <f aca="false">CF74*100/42</f>
        <v>55.5095238095238</v>
      </c>
      <c r="CH74" s="329" t="n">
        <f aca="false">CF75-$U74</f>
        <v>4.71700000000018</v>
      </c>
      <c r="CI74" s="224"/>
      <c r="CJ74" s="329" t="n">
        <f aca="false">CJ62+VLOOKUP(1900+$L74,ProductSpreadTable,4)</f>
        <v>11.5028181818182</v>
      </c>
      <c r="CK74" s="329" t="n">
        <f aca="false">($V73+CJ73)*100/42</f>
        <v>72.3073696145128</v>
      </c>
      <c r="CL74" s="329" t="n">
        <f aca="false">CK75</f>
        <v>72.5067099567095</v>
      </c>
      <c r="CM74" s="314" t="n">
        <v>22.428</v>
      </c>
      <c r="CN74" s="329" t="n">
        <f aca="false">CM74*100/42</f>
        <v>53.4</v>
      </c>
      <c r="CO74" s="329" t="n">
        <f aca="false">CM74-$U74</f>
        <v>3.47800000000018</v>
      </c>
      <c r="CP74" s="329" t="n">
        <f aca="false">CP62+VLOOKUP(1900+$L74,ProductSpreadTable,5)</f>
        <v>10.3058181818182</v>
      </c>
      <c r="CQ74" s="329" t="n">
        <f aca="false">($V74+CP74)*100/42</f>
        <v>69.6567099567096</v>
      </c>
      <c r="CR74" s="333" t="n">
        <f aca="false">CQ74-CL74</f>
        <v>-2.84999999999998</v>
      </c>
      <c r="CS74" s="314" t="n">
        <v>23.793</v>
      </c>
      <c r="CT74" s="329" t="n">
        <f aca="false">CS74*100/42</f>
        <v>56.65</v>
      </c>
      <c r="CU74" s="329" t="n">
        <f aca="false">CT74-CG75</f>
        <v>0.299999999999997</v>
      </c>
      <c r="CV74" s="329" t="n">
        <f aca="false">CV62+VLOOKUP(1900+$L74,ProductSpreadTable,6)</f>
        <v>1.35000000000001</v>
      </c>
      <c r="CW74" s="333" t="n">
        <f aca="false">CL74+CV74</f>
        <v>73.8567099567095</v>
      </c>
      <c r="CX74" s="318" t="n">
        <v>0.194</v>
      </c>
      <c r="CY74" s="326" t="n">
        <f aca="false">CX74-$W74</f>
        <v>-9.99999999999612E-005</v>
      </c>
      <c r="CZ74" s="326" t="n">
        <f aca="false">VLOOKUP(1900+$L74,ProductSpreadTable,7)</f>
        <v>-0.03</v>
      </c>
      <c r="DA74" s="365" t="n">
        <f aca="false">$W74+CZ74</f>
        <v>0.1641</v>
      </c>
      <c r="DB74" s="318" t="n">
        <v>0.194</v>
      </c>
      <c r="DC74" s="326" t="n">
        <f aca="false">DB74-$W74</f>
        <v>-9.99999999999612E-005</v>
      </c>
      <c r="DD74" s="326" t="n">
        <f aca="false">VLOOKUP(1900+$L74,ProductSpreadTable,8)</f>
        <v>0.03</v>
      </c>
      <c r="DE74" s="365" t="n">
        <f aca="false">$W74+DD74</f>
        <v>0.2241</v>
      </c>
      <c r="DG74" s="336"/>
      <c r="DH74" s="314" t="n">
        <v>16.3</v>
      </c>
      <c r="DI74" s="325" t="n">
        <f aca="false">DH74-$U74</f>
        <v>-2.64999999999982</v>
      </c>
      <c r="DJ74" s="325" t="n">
        <f aca="false">VLOOKUP(1900+$L74,ResidSpreadTable,2)</f>
        <v>-2</v>
      </c>
      <c r="DK74" s="337" t="n">
        <f aca="false">$V74+DJ74</f>
        <v>16.9499999999998</v>
      </c>
      <c r="DL74" s="314" t="n">
        <v>13.7</v>
      </c>
      <c r="DM74" s="325" t="n">
        <f aca="false">DL74-$U74</f>
        <v>-5.24999999999982</v>
      </c>
      <c r="DN74" s="325" t="n">
        <f aca="false">VLOOKUP(1900+$L74,ResidSpreadTable,3)</f>
        <v>-3</v>
      </c>
      <c r="DO74" s="337" t="n">
        <f aca="false">$V74+DN74</f>
        <v>15.9499999999998</v>
      </c>
      <c r="DP74" s="314" t="n">
        <v>12.95</v>
      </c>
      <c r="DQ74" s="325" t="n">
        <f aca="false">DP74-$U74</f>
        <v>-5.99999999999982</v>
      </c>
      <c r="DR74" s="325" t="n">
        <f aca="false">VLOOKUP(1900+$L74,ResidSpreadTable,4)</f>
        <v>-6</v>
      </c>
      <c r="DS74" s="337" t="n">
        <f aca="false">$V74+DR74</f>
        <v>12.9499999999998</v>
      </c>
      <c r="DT74" s="314" t="n">
        <v>15.25</v>
      </c>
      <c r="DU74" s="325" t="n">
        <f aca="false">DT74-$U74</f>
        <v>-3.69999999999982</v>
      </c>
      <c r="DV74" s="325" t="n">
        <f aca="false">VLOOKUP(1900+$L74,ResidSpreadTable,5)</f>
        <v>-5</v>
      </c>
      <c r="DW74" s="337" t="n">
        <f aca="false">$V74+DV74</f>
        <v>13.9499999999998</v>
      </c>
    </row>
    <row r="75" customFormat="false" ht="12.75" hidden="false" customHeight="false" outlineLevel="0" collapsed="false">
      <c r="B75" s="371" t="n">
        <v>37834</v>
      </c>
      <c r="C75" s="391" t="n">
        <v>37822</v>
      </c>
      <c r="I75" s="338" t="n">
        <f aca="false">EOMONTH(I74,0)+1</f>
        <v>48030</v>
      </c>
      <c r="J75" s="389" t="n">
        <f aca="false">VLOOKUP(I75,$B$12:$C$332,2)</f>
        <v>45644</v>
      </c>
      <c r="K75" s="339" t="n">
        <f aca="false">NETWORKDAYS(I75,J76)/N75</f>
        <v>-74.1304347826087</v>
      </c>
      <c r="L75" s="309" t="n">
        <f aca="false">YEAR(I75)-1900</f>
        <v>131</v>
      </c>
      <c r="M75" s="310" t="n">
        <f aca="false">MONTH(I75)</f>
        <v>7</v>
      </c>
      <c r="N75" s="340" t="n">
        <f aca="false">NETWORKDAYS(I75,I76-1)</f>
        <v>23</v>
      </c>
      <c r="O75" s="341" t="n">
        <f aca="false">I75-DateToday-IF(EuroExpDateToggle=1,3+IF(WEEKDAY(I75-1)=7,1,IF(WEEKDAY(I75-1)&lt;5,2,0)),1+IF(WEEKDAY(I75-1)=7,1,IF(WEEKDAY(I75-1)&lt;3,2,0)))</f>
        <v>2099</v>
      </c>
      <c r="P75" s="342" t="n">
        <f aca="false">(I75-DateToday+1)/365.25</f>
        <v>5.76317590691307</v>
      </c>
      <c r="Q75" s="342" t="n">
        <f aca="false">(I76-DateToday)/365.25</f>
        <v>5.84531143052704</v>
      </c>
      <c r="R75" s="314" t="n">
        <v>18.95</v>
      </c>
      <c r="S75" s="347" t="n">
        <v>0</v>
      </c>
      <c r="T75" s="316" t="n">
        <f aca="false">R75+S75/100</f>
        <v>18.95</v>
      </c>
      <c r="U75" s="325" t="n">
        <f aca="false">R76*K75+R77*(1-K75)</f>
        <v>18.95</v>
      </c>
      <c r="V75" s="337" t="n">
        <f aca="false">T76*K75+T77*(1-K75)</f>
        <v>18.95</v>
      </c>
      <c r="W75" s="318" t="n">
        <v>0.194</v>
      </c>
      <c r="X75" s="319" t="str">
        <f aca="false">IF($I75-DateToday+1&gt;=$A$10,"",IF($I75-DateToday+1&lt;$A$5,1,MATCH($I75-DateToday+1,$A$5:$A$10)))</f>
        <v/>
      </c>
      <c r="Y75" s="348" t="n">
        <f aca="false">IF($X75="",Y74^2/Y73,INDEX(B$5:B$10,$X75)^((INDEX($A$5:$A$10,$X75+1)-($I75-DateToday+1))/(INDEX($A$5:$A$10,$X75+1)-INDEX($A$5:$A$10,$X75)))/INDEX(B$5:B$10,$X75+1)^((INDEX($A$5:$A$10,$X75)-($I75-DateToday+1))/(INDEX($A$5:$A$10,$X75+1)-INDEX($A$5:$A$10,$X75))))</f>
        <v>0.00344384017784351</v>
      </c>
      <c r="Z75" s="348" t="n">
        <f aca="false">IF($X75="",Z74^2/Z73,INDEX(C$5:C$10,$X75)^((INDEX($A$5:$A$10,$X75+1)-($I75-DateToday+1))/(INDEX($A$5:$A$10,$X75+1)-INDEX($A$5:$A$10,$X75)))/INDEX(C$5:C$10,$X75+1)^((INDEX($A$5:$A$10,$X75)-($I75-DateToday+1))/(INDEX($A$5:$A$10,$X75+1)-INDEX($A$5:$A$10,$X75))))</f>
        <v>0.00146397375000826</v>
      </c>
      <c r="AA75" s="348" t="n">
        <f aca="false">IF($X75="",AA74^2/AA73,INDEX(D$5:D$10,$X75)^((INDEX($A$5:$A$10,$X75+1)-($I75-DateToday+1))/(INDEX($A$5:$A$10,$X75+1)-INDEX($A$5:$A$10,$X75)))/INDEX(D$5:D$10,$X75+1)^((INDEX($A$5:$A$10,$X75)-($I75-DateToday+1))/(INDEX($A$5:$A$10,$X75+1)-INDEX($A$5:$A$10,$X75))))</f>
        <v>0.000579537619256138</v>
      </c>
      <c r="AB75" s="348" t="n">
        <f aca="false">IF($X75="",AB74^2/AB73,INDEX(E$5:E$10,$X75)^((INDEX($A$5:$A$10,$X75+1)-($I75-DateToday+1))/(INDEX($A$5:$A$10,$X75+1)-INDEX($A$5:$A$10,$X75)))/INDEX(E$5:E$10,$X75+1)^((INDEX($A$5:$A$10,$X75)-($I75-DateToday+1))/(INDEX($A$5:$A$10,$X75+1)-INDEX($A$5:$A$10,$X75))))</f>
        <v>0.00130558234866025</v>
      </c>
      <c r="AC75" s="348" t="n">
        <f aca="false">IF($X75="",AC74^2/AC73,INDEX(F$5:F$10,$X75)^((INDEX($A$5:$A$10,$X75+1)-($I75-DateToday+1))/(INDEX($A$5:$A$10,$X75+1)-INDEX($A$5:$A$10,$X75)))/INDEX(F$5:F$10,$X75+1)^((INDEX($A$5:$A$10,$X75)-($I75-DateToday+1))/(INDEX($A$5:$A$10,$X75+1)-INDEX($A$5:$A$10,$X75))))</f>
        <v>0.00329804006401863</v>
      </c>
      <c r="AD75" s="348" t="n">
        <f aca="false">IF($X75="",AD74^2/AD73,INDEX(G$5:G$10,$X75)^((INDEX($A$5:$A$10,$X75+1)-($I75-DateToday+1))/(INDEX($A$5:$A$10,$X75+1)-INDEX($A$5:$A$10,$X75)))/INDEX(G$5:G$10,$X75+1)^((INDEX($A$5:$A$10,$X75)-($I75-DateToday+1))/(INDEX($A$5:$A$10,$X75+1)-INDEX($A$5:$A$10,$X75))))</f>
        <v>0.0077582831526456</v>
      </c>
      <c r="AE75" s="321" t="n">
        <v>0.073252674232722</v>
      </c>
      <c r="AF75" s="316" t="n">
        <f aca="false">(1+AE75/2)^(-2*(I76-DateToday)/365.25)</f>
        <v>0.656698917756802</v>
      </c>
      <c r="AG75" s="316" t="n">
        <f aca="false">AG74*(1+IF(AND(M75=1,L75&gt;YearStart),Escalation,0))</f>
        <v>1</v>
      </c>
      <c r="AH75" s="322" t="n">
        <f aca="false">IF(OR(DateStart&gt;=I76,DateEnd&lt;I75),0,Volume*AG75)</f>
        <v>0</v>
      </c>
      <c r="AI75" s="322" t="n">
        <f aca="false">AH75*AF75</f>
        <v>0</v>
      </c>
      <c r="AJ75" s="322" t="n">
        <f aca="false">IF(OR(DateStart2&gt;=I76,DateEnd2&lt;I75),0,VolumeSwaption*AG75)</f>
        <v>0</v>
      </c>
      <c r="AK75" s="322" t="n">
        <f aca="false">AJ75*AF75</f>
        <v>0</v>
      </c>
      <c r="AL75" s="316" t="str">
        <f aca="true">IF(AH75,OFFSET(BY75,0,HorizontalPriceOffset)+PriceSpreadAsian,"")</f>
        <v/>
      </c>
      <c r="AM75" s="316" t="str">
        <f aca="false">IF(AH75,Strike1/AL75-1,"")</f>
        <v/>
      </c>
      <c r="AN75" s="316" t="str">
        <f aca="false">IF(AH75,Strike2/AL75-1,"")</f>
        <v/>
      </c>
      <c r="AO75" s="323" t="str">
        <f aca="false">IF(AH75,IF(VolOverrideAsian,VolOverrideAsian,IF(ProductGroup=1,IF(Product&lt;3,DA76,DE76),W76)+VolSpreadAsian),"")</f>
        <v/>
      </c>
      <c r="AP75" s="323" t="str">
        <f aca="false">IF($AH75,$AO75+IF(SkewFlag=1,IF(AM75&gt;0,$AA75*MIN(AM75/10%,1)+($Z75-$AA75)*MAX(0,MIN(AM75/10%-1,1))+($Y75-$Z75)*MAX(0,AM75/10%-2),$AB75*MIN(-AM75/10%,1)+($AC75-$AB75)*MAX(0,MIN(-AM75/10%-1,1))+($AD75-$AC75)*MAX(0,-AM75/10%-2)),0),"")</f>
        <v/>
      </c>
      <c r="AQ75" s="323" t="str">
        <f aca="false">IF($AH75,$AO75+IF(SkewFlag=1,IF(AN75&gt;0,$AA75*MIN(AN75/10%,1)+($Z75-$AA75)*MAX(0,MIN(AN75/10%-1,1))+($Y75-$Z75)*MAX(0,AN75/10%-2),$AB75*MIN(-AN75/10%,1)+($AC75-$AB75)*MAX(0,MIN(-AN75/10%-1,1))+($AD75-$AC75)*MAX(0,-AN75/10%-2)),0),"")</f>
        <v/>
      </c>
      <c r="AR75" s="324" t="n">
        <f aca="false">IF(AH75,xASN(AL75,Strike1,AE75,AP75,0,N75,0,P75,Q75,IF(OptControl=4,0,1),0),0)</f>
        <v>0</v>
      </c>
      <c r="AS75" s="324" t="n">
        <f aca="false">IF(AH75,xASN(AL75,Strike1,AE75,AP75,0,N75,0,P75,Q75,IF(OptControl=4,0,1),1),0)</f>
        <v>0</v>
      </c>
      <c r="AT75" s="324" t="n">
        <f aca="false">IF(AH75,xASN(AL75,Strike1,AE75,AP75,0,N75,0,P75,Q75,IF(OptControl=4,0,1),2),0)</f>
        <v>0</v>
      </c>
      <c r="AU75" s="324" t="n">
        <f aca="false">IF(AH75,xASN(AL75,Strike1,AE75,AP75,0,N75,0,P75,Q75,IF(OptControl=4,0,1),3)/100,0)</f>
        <v>0</v>
      </c>
      <c r="AV75" s="324" t="n">
        <f aca="false">IF(AH75,xASN(AL75,Strike1,AE75,AP75,0,N75,0,P75-DaysForThetaCalculation/365.25,Q75-DaysForThetaCalculation/365.25,IF(OptControl=4,0,1),0)-xASN(AL75,Strike1,AE75,AP75,0,N75,0,P75,Q75,IF(OptControl=4,0,1),0),0)</f>
        <v>0</v>
      </c>
      <c r="AW75" s="324" t="n">
        <f aca="false">IF(AH75,xASN(AL75,Strike2,AE75,AQ75,0,N75,0,P75,Q75,IF(OptControl=3,1,0),0),0)</f>
        <v>0</v>
      </c>
      <c r="AX75" s="324" t="n">
        <f aca="false">IF(AH75,xASN(AL75,Strike2,AE75,AQ75,0,N75,0,P75,Q75,IF(OptControl=3,1,0),1),0)</f>
        <v>0</v>
      </c>
      <c r="AY75" s="324" t="n">
        <f aca="false">IF(AH75,xASN(AL75,Strike2,AE75,AQ75,0,N75,0,P75,Q75,IF(OptControl=3,1,0),2),0)</f>
        <v>0</v>
      </c>
      <c r="AZ75" s="324" t="n">
        <f aca="false">IF(AH75,xASN(AL75,Strike2,AE75,AQ75,0,N75,0,P75,Q75,IF(OptControl=3,1,0),3)/100,0)</f>
        <v>0</v>
      </c>
      <c r="BA75" s="324" t="n">
        <f aca="false">IF(AH75,xASN(AL75,Strike2,AE75,AQ75,0,N75,0,P75-DaysForThetaCalculation/365.25,Q75-DaysForThetaCalculation/365.25,IF(OptControl=3,1,0),0)-xASN(AL75,Strike2,AE75,AQ75,0,N75,0,P75,Q75,IF(OptControl=3,1,0),0),0)</f>
        <v>0</v>
      </c>
      <c r="BB75" s="325" t="str">
        <f aca="false">IF(AH75,IF(ProductGroup=1,IF(Product=1,BX75+PriceSpreadEuro,IF(Product=3,CK75+PriceSpreadEuro,"N/A")),"N/A"),"")</f>
        <v/>
      </c>
      <c r="BC75" s="316" t="str">
        <f aca="false">IF(AH75,Strike1/BB75-1,"")</f>
        <v/>
      </c>
      <c r="BD75" s="316" t="str">
        <f aca="false">IF(AH75,Strike2/BB75-1,"")</f>
        <v/>
      </c>
      <c r="BE75" s="326" t="str">
        <f aca="false">IF(AH75,IF(VolOverrideEuro,VolOverrideEuro,IF(ProductGroup=1,IF(Product&lt;3,DA75,DE75)+VolSpreadEuro,"N/A")),"")</f>
        <v/>
      </c>
      <c r="BF75" s="323" t="str">
        <f aca="false">IF($AH75,$BE75+IF(SkewFlag=1,IF(BC75&gt;0,$AA75*MIN(BC75/10%,1)+($Z75-$AA75)*MAX(0,MIN(BC75/10%-1,1))+($Y75-$Z75)*MAX(0,BC75/10%-2),$AB75*MIN(-BC75/10%,1)+($AC75-$AB75)*MAX(0,MIN(-BC75/10%-1,1))+($AD75-$AC75)*MAX(0,-BC75/10%-2)),0),"")</f>
        <v/>
      </c>
      <c r="BG75" s="323" t="str">
        <f aca="false">IF($AH75,$BE75+IF(SkewFlag=1,IF(BD75&gt;0,$AA75*MIN(BD75/10%,1)+($Z75-$AA75)*MAX(0,MIN(BD75/10%-1,1))+($Y75-$Z75)*MAX(0,BD75/10%-2),$AB75*MIN(-BD75/10%,1)+($AC75-$AB75)*MAX(0,MIN(-BD75/10%-1,1))+($AD75-$AC75)*MAX(0,-BD75/10%-2)),0),"")</f>
        <v/>
      </c>
      <c r="BH75" s="324" t="n">
        <f aca="false">IF(AH75,xEURO(BB75,Strike1,AE75,AE75,BF75,O75,IF(OptControl=4,0,1),0),0)</f>
        <v>0</v>
      </c>
      <c r="BI75" s="324" t="n">
        <f aca="false">IF(AH75,xEURO(BB75,Strike1,AE75,AE75,BF75,O75,IF(OptControl=4,0,1),1),0)</f>
        <v>0</v>
      </c>
      <c r="BJ75" s="324" t="n">
        <f aca="false">IF(AH75,xEURO(BB75,Strike1,AE75,AE75,BF75,O75,IF(OptControl=4,0,1),2),0)</f>
        <v>0</v>
      </c>
      <c r="BK75" s="324" t="n">
        <f aca="false">IF(AH75,xEURO(BB75,Strike1,AE75,AE75,BF75,O75,IF(OptControl=4,0,1),3)/100,0)</f>
        <v>0</v>
      </c>
      <c r="BL75" s="324" t="n">
        <f aca="false">IF(AH75,xEURO(BB75,Strike1,AE75,AE75,BF75,O75-DaysForThetaCalculation,IF(OptControl=4,0,1),0)-xEURO(BB75,Strike1,AE75,AE75,BF75,O75,IF(OptControl=4,0,1),0),0)</f>
        <v>0</v>
      </c>
      <c r="BM75" s="324" t="n">
        <f aca="false">IF(AH75,xEURO(BB75,Strike2,AE75,AE75,BG75,O75,IF(OptControl=3,1,0),0),0)</f>
        <v>0</v>
      </c>
      <c r="BN75" s="324" t="n">
        <f aca="false">IF(AH75,xEURO(BB75,Strike2,AE75,AE75,BG75,O75,IF(OptControl=3,1,0),1),0)</f>
        <v>0</v>
      </c>
      <c r="BO75" s="324" t="n">
        <f aca="false">IF(AH75,xEURO(BB75,Strike2,AE75,AE75,BG75,O75,IF(OptControl=3,1,0),2),0)</f>
        <v>0</v>
      </c>
      <c r="BP75" s="324" t="n">
        <f aca="false">IF(AH75,xEURO(BB75,Strike2,AE75,AE75,BG75,O75,IF(OptControl=3,1,0),3)/100,0)</f>
        <v>0</v>
      </c>
      <c r="BQ75" s="327" t="n">
        <f aca="false">IF(AH75,xEURO(BB75,Strike2,AE75,AE75,BG75,O75-DaysForThetaCalculation,IF(OptControl=3,1,0),0)-xEURO(BB75,Strike2,AE75,AE75,BG75,O75,IF(OptControl=3,1,0),0),0)</f>
        <v>0</v>
      </c>
      <c r="BR75" s="343"/>
      <c r="BS75" s="314" t="n">
        <v>23.705</v>
      </c>
      <c r="BT75" s="329" t="n">
        <f aca="false">BS75*100/42</f>
        <v>56.4404761904762</v>
      </c>
      <c r="BU75" s="329" t="n">
        <f aca="false">BS76-$U75</f>
        <v>5.70399999999995</v>
      </c>
      <c r="BV75" s="224"/>
      <c r="BW75" s="329" t="n">
        <f aca="false">BW63+VLOOKUP(1900+$L75,ProductSpreadTable,2)</f>
        <v>11.7238260869565</v>
      </c>
      <c r="BX75" s="329" t="n">
        <f aca="false">($V74+BW74)*100/42</f>
        <v>73.0757575757572</v>
      </c>
      <c r="BY75" s="332" t="n">
        <f aca="false">BX76</f>
        <v>73.0329192546585</v>
      </c>
      <c r="BZ75" s="314" t="n">
        <v>22.449</v>
      </c>
      <c r="CA75" s="329" t="n">
        <f aca="false">BZ75*100/42</f>
        <v>53.45</v>
      </c>
      <c r="CB75" s="329" t="n">
        <f aca="false">BZ75-$U75</f>
        <v>3.49899999999996</v>
      </c>
      <c r="CC75" s="329" t="n">
        <f aca="false">CC63+VLOOKUP(1900+$L75,ProductSpreadTable,3)</f>
        <v>10.2118260869565</v>
      </c>
      <c r="CD75" s="329" t="n">
        <f aca="false">($V75+CC75)*100/42</f>
        <v>69.4329192546585</v>
      </c>
      <c r="CE75" s="333" t="n">
        <f aca="false">CD75-BY75</f>
        <v>-3.59999999999998</v>
      </c>
      <c r="CF75" s="314" t="n">
        <v>23.667</v>
      </c>
      <c r="CG75" s="329" t="n">
        <f aca="false">CF75*100/42</f>
        <v>56.35</v>
      </c>
      <c r="CH75" s="329" t="n">
        <f aca="false">CF76-$U75</f>
        <v>4.28399999999996</v>
      </c>
      <c r="CI75" s="224"/>
      <c r="CJ75" s="329" t="n">
        <f aca="false">CJ63+VLOOKUP(1900+$L75,ProductSpreadTable,4)</f>
        <v>11.0438260869565</v>
      </c>
      <c r="CK75" s="329" t="n">
        <f aca="false">($V74+CJ74)*100/42</f>
        <v>72.5067099567095</v>
      </c>
      <c r="CL75" s="329" t="n">
        <f aca="false">CK76</f>
        <v>71.4138716356109</v>
      </c>
      <c r="CM75" s="314" t="n">
        <v>22.1</v>
      </c>
      <c r="CN75" s="329" t="n">
        <f aca="false">CM75*100/42</f>
        <v>52.6190476190476</v>
      </c>
      <c r="CO75" s="329" t="n">
        <f aca="false">CM75-$U75</f>
        <v>3.14999999999996</v>
      </c>
      <c r="CP75" s="329" t="n">
        <f aca="false">CP63+VLOOKUP(1900+$L75,ProductSpreadTable,5)</f>
        <v>9.93082608695654</v>
      </c>
      <c r="CQ75" s="329" t="n">
        <f aca="false">($V75+CP75)*100/42</f>
        <v>68.7638716356109</v>
      </c>
      <c r="CR75" s="333" t="n">
        <f aca="false">CQ75-CL75</f>
        <v>-2.64999999999999</v>
      </c>
      <c r="CS75" s="314" t="n">
        <v>23.36</v>
      </c>
      <c r="CT75" s="329" t="n">
        <f aca="false">CS75*100/42</f>
        <v>55.6190476190476</v>
      </c>
      <c r="CU75" s="329" t="n">
        <f aca="false">CT75-CG76</f>
        <v>0.299999999999997</v>
      </c>
      <c r="CV75" s="329" t="n">
        <f aca="false">CV63+VLOOKUP(1900+$L75,ProductSpreadTable,6)</f>
        <v>1.35000000000001</v>
      </c>
      <c r="CW75" s="333" t="n">
        <f aca="false">CL75+CV75</f>
        <v>72.7638716356109</v>
      </c>
      <c r="CX75" s="318" t="n">
        <v>0.194</v>
      </c>
      <c r="CY75" s="326" t="n">
        <f aca="false">CX75-$W75</f>
        <v>0</v>
      </c>
      <c r="CZ75" s="326" t="n">
        <f aca="false">VLOOKUP(1900+$L75,ProductSpreadTable,7)</f>
        <v>-0.03</v>
      </c>
      <c r="DA75" s="365" t="n">
        <f aca="false">$W75+CZ75</f>
        <v>0.164</v>
      </c>
      <c r="DB75" s="318" t="n">
        <v>0.194</v>
      </c>
      <c r="DC75" s="326" t="n">
        <f aca="false">DB75-$W75</f>
        <v>0</v>
      </c>
      <c r="DD75" s="326" t="n">
        <f aca="false">VLOOKUP(1900+$L75,ProductSpreadTable,8)</f>
        <v>0.03</v>
      </c>
      <c r="DE75" s="365" t="n">
        <f aca="false">$W75+DD75</f>
        <v>0.224</v>
      </c>
      <c r="DG75" s="336"/>
      <c r="DH75" s="314" t="n">
        <v>16.3</v>
      </c>
      <c r="DI75" s="325" t="n">
        <f aca="false">DH75-$U75</f>
        <v>-2.65000000000004</v>
      </c>
      <c r="DJ75" s="325" t="n">
        <f aca="false">VLOOKUP(1900+$L75,ResidSpreadTable,2)</f>
        <v>-2</v>
      </c>
      <c r="DK75" s="337" t="n">
        <f aca="false">$V75+DJ75</f>
        <v>16.95</v>
      </c>
      <c r="DL75" s="314" t="n">
        <v>13.7</v>
      </c>
      <c r="DM75" s="325" t="n">
        <f aca="false">DL75-$U75</f>
        <v>-5.25000000000005</v>
      </c>
      <c r="DN75" s="325" t="n">
        <f aca="false">VLOOKUP(1900+$L75,ResidSpreadTable,3)</f>
        <v>-3</v>
      </c>
      <c r="DO75" s="337" t="n">
        <f aca="false">$V75+DN75</f>
        <v>15.95</v>
      </c>
      <c r="DP75" s="314" t="n">
        <v>14.35</v>
      </c>
      <c r="DQ75" s="325" t="n">
        <f aca="false">DP75-$U75</f>
        <v>-4.60000000000005</v>
      </c>
      <c r="DR75" s="325" t="n">
        <f aca="false">VLOOKUP(1900+$L75,ResidSpreadTable,4)</f>
        <v>-6</v>
      </c>
      <c r="DS75" s="337" t="n">
        <f aca="false">$V75+DR75</f>
        <v>12.95</v>
      </c>
      <c r="DT75" s="314" t="n">
        <v>15</v>
      </c>
      <c r="DU75" s="325" t="n">
        <f aca="false">DT75-$U75</f>
        <v>-3.95000000000005</v>
      </c>
      <c r="DV75" s="325" t="n">
        <f aca="false">VLOOKUP(1900+$L75,ResidSpreadTable,5)</f>
        <v>-5</v>
      </c>
      <c r="DW75" s="337" t="n">
        <f aca="false">$V75+DV75</f>
        <v>13.95</v>
      </c>
    </row>
    <row r="76" customFormat="false" ht="12.75" hidden="false" customHeight="false" outlineLevel="0" collapsed="false">
      <c r="B76" s="371" t="n">
        <v>37865</v>
      </c>
      <c r="C76" s="391" t="n">
        <v>37854</v>
      </c>
      <c r="I76" s="338" t="n">
        <f aca="false">EOMONTH(I75,0)+1</f>
        <v>48061</v>
      </c>
      <c r="J76" s="389" t="n">
        <f aca="false">VLOOKUP(I76,$B$12:$C$332,2)</f>
        <v>45644</v>
      </c>
      <c r="K76" s="339" t="n">
        <f aca="false">NETWORKDAYS(I76,J77)/N76</f>
        <v>-82.2857142857143</v>
      </c>
      <c r="L76" s="309" t="n">
        <f aca="false">YEAR(I76)-1900</f>
        <v>131</v>
      </c>
      <c r="M76" s="310" t="n">
        <f aca="false">MONTH(I76)</f>
        <v>8</v>
      </c>
      <c r="N76" s="340" t="n">
        <f aca="false">NETWORKDAYS(I76,I77-1)</f>
        <v>21</v>
      </c>
      <c r="O76" s="341" t="n">
        <f aca="false">I76-DateToday-IF(EuroExpDateToggle=1,3+IF(WEEKDAY(I76-1)=7,1,IF(WEEKDAY(I76-1)&lt;5,2,0)),1+IF(WEEKDAY(I76-1)=7,1,IF(WEEKDAY(I76-1)&lt;3,2,0)))</f>
        <v>2132</v>
      </c>
      <c r="P76" s="342" t="n">
        <f aca="false">(I76-DateToday+1)/365.25</f>
        <v>5.84804928131417</v>
      </c>
      <c r="Q76" s="342" t="n">
        <f aca="false">(I77-DateToday)/365.25</f>
        <v>5.93018480492813</v>
      </c>
      <c r="R76" s="314" t="n">
        <v>18.95</v>
      </c>
      <c r="S76" s="347" t="n">
        <v>0</v>
      </c>
      <c r="T76" s="316" t="n">
        <f aca="false">R76+S76/100</f>
        <v>18.95</v>
      </c>
      <c r="U76" s="325" t="n">
        <f aca="false">R77*K76+R78*(1-K76)</f>
        <v>18.95</v>
      </c>
      <c r="V76" s="337" t="n">
        <f aca="false">T77*K76+T78*(1-K76)</f>
        <v>18.95</v>
      </c>
      <c r="W76" s="318" t="n">
        <v>0.1934</v>
      </c>
      <c r="X76" s="319" t="str">
        <f aca="false">IF($I76-DateToday+1&gt;=$A$10,"",IF($I76-DateToday+1&lt;$A$5,1,MATCH($I76-DateToday+1,$A$5:$A$10)))</f>
        <v/>
      </c>
      <c r="Y76" s="348" t="n">
        <f aca="false">IF($X76="",Y75^2/Y74,INDEX(B$5:B$10,$X76)^((INDEX($A$5:$A$10,$X76+1)-($I76-DateToday+1))/(INDEX($A$5:$A$10,$X76+1)-INDEX($A$5:$A$10,$X76)))/INDEX(B$5:B$10,$X76+1)^((INDEX($A$5:$A$10,$X76)-($I76-DateToday+1))/(INDEX($A$5:$A$10,$X76+1)-INDEX($A$5:$A$10,$X76))))</f>
        <v>0.00337011279746634</v>
      </c>
      <c r="Z76" s="348" t="n">
        <f aca="false">IF($X76="",Z75^2/Z74,INDEX(C$5:C$10,$X76)^((INDEX($A$5:$A$10,$X76+1)-($I76-DateToday+1))/(INDEX($A$5:$A$10,$X76+1)-INDEX($A$5:$A$10,$X76)))/INDEX(C$5:C$10,$X76+1)^((INDEX($A$5:$A$10,$X76)-($I76-DateToday+1))/(INDEX($A$5:$A$10,$X76+1)-INDEX($A$5:$A$10,$X76))))</f>
        <v>0.00142496191087768</v>
      </c>
      <c r="AA76" s="348" t="n">
        <f aca="false">IF($X76="",AA75^2/AA74,INDEX(D$5:D$10,$X76)^((INDEX($A$5:$A$10,$X76+1)-($I76-DateToday+1))/(INDEX($A$5:$A$10,$X76+1)-INDEX($A$5:$A$10,$X76)))/INDEX(D$5:D$10,$X76+1)^((INDEX($A$5:$A$10,$X76)-($I76-DateToday+1))/(INDEX($A$5:$A$10,$X76+1)-INDEX($A$5:$A$10,$X76))))</f>
        <v>0.000562581481726906</v>
      </c>
      <c r="AB76" s="348" t="n">
        <f aca="false">IF($X76="",AB75^2/AB74,INDEX(E$5:E$10,$X76)^((INDEX($A$5:$A$10,$X76+1)-($I76-DateToday+1))/(INDEX($A$5:$A$10,$X76+1)-INDEX($A$5:$A$10,$X76)))/INDEX(E$5:E$10,$X76+1)^((INDEX($A$5:$A$10,$X76)-($I76-DateToday+1))/(INDEX($A$5:$A$10,$X76+1)-INDEX($A$5:$A$10,$X76))))</f>
        <v>0.00126738356203439</v>
      </c>
      <c r="AC76" s="348" t="n">
        <f aca="false">IF($X76="",AC75^2/AC74,INDEX(F$5:F$10,$X76)^((INDEX($A$5:$A$10,$X76+1)-($I76-DateToday+1))/(INDEX($A$5:$A$10,$X76+1)-INDEX($A$5:$A$10,$X76)))/INDEX(F$5:F$10,$X76+1)^((INDEX($A$5:$A$10,$X76)-($I76-DateToday+1))/(INDEX($A$5:$A$10,$X76+1)-INDEX($A$5:$A$10,$X76))))</f>
        <v>0.00321015419282526</v>
      </c>
      <c r="AD76" s="348" t="n">
        <f aca="false">IF($X76="",AD75^2/AD74,INDEX(G$5:G$10,$X76)^((INDEX($A$5:$A$10,$X76+1)-($I76-DateToday+1))/(INDEX($A$5:$A$10,$X76+1)-INDEX($A$5:$A$10,$X76)))/INDEX(G$5:G$10,$X76+1)^((INDEX($A$5:$A$10,$X76)-($I76-DateToday+1))/(INDEX($A$5:$A$10,$X76+1)-INDEX($A$5:$A$10,$X76))))</f>
        <v>0.00759219011013191</v>
      </c>
      <c r="AE76" s="321" t="n">
        <v>0.0732705876954</v>
      </c>
      <c r="AF76" s="316" t="n">
        <f aca="false">(1+AE76/2)^(-2*(I77-DateToday)/365.25)</f>
        <v>0.652634414980939</v>
      </c>
      <c r="AG76" s="316" t="n">
        <f aca="false">AG75*(1+IF(AND(M76=1,L76&gt;YearStart),Escalation,0))</f>
        <v>1</v>
      </c>
      <c r="AH76" s="322" t="n">
        <f aca="false">IF(OR(DateStart&gt;=I77,DateEnd&lt;I76),0,Volume*AG76)</f>
        <v>0</v>
      </c>
      <c r="AI76" s="322" t="n">
        <f aca="false">AH76*AF76</f>
        <v>0</v>
      </c>
      <c r="AJ76" s="322" t="n">
        <f aca="false">IF(OR(DateStart2&gt;=I77,DateEnd2&lt;I76),0,VolumeSwaption*AG76)</f>
        <v>0</v>
      </c>
      <c r="AK76" s="322" t="n">
        <f aca="false">AJ76*AF76</f>
        <v>0</v>
      </c>
      <c r="AL76" s="316" t="str">
        <f aca="true">IF(AH76,OFFSET(BY76,0,HorizontalPriceOffset)+PriceSpreadAsian,"")</f>
        <v/>
      </c>
      <c r="AM76" s="316" t="str">
        <f aca="false">IF(AH76,Strike1/AL76-1,"")</f>
        <v/>
      </c>
      <c r="AN76" s="316" t="str">
        <f aca="false">IF(AH76,Strike2/AL76-1,"")</f>
        <v/>
      </c>
      <c r="AO76" s="323" t="str">
        <f aca="false">IF(AH76,IF(VolOverrideAsian,VolOverrideAsian,IF(ProductGroup=1,IF(Product&lt;3,DA77,DE77),W77)+VolSpreadAsian),"")</f>
        <v/>
      </c>
      <c r="AP76" s="323" t="str">
        <f aca="false">IF($AH76,$AO76+IF(SkewFlag=1,IF(AM76&gt;0,$AA76*MIN(AM76/10%,1)+($Z76-$AA76)*MAX(0,MIN(AM76/10%-1,1))+($Y76-$Z76)*MAX(0,AM76/10%-2),$AB76*MIN(-AM76/10%,1)+($AC76-$AB76)*MAX(0,MIN(-AM76/10%-1,1))+($AD76-$AC76)*MAX(0,-AM76/10%-2)),0),"")</f>
        <v/>
      </c>
      <c r="AQ76" s="323" t="str">
        <f aca="false">IF($AH76,$AO76+IF(SkewFlag=1,IF(AN76&gt;0,$AA76*MIN(AN76/10%,1)+($Z76-$AA76)*MAX(0,MIN(AN76/10%-1,1))+($Y76-$Z76)*MAX(0,AN76/10%-2),$AB76*MIN(-AN76/10%,1)+($AC76-$AB76)*MAX(0,MIN(-AN76/10%-1,1))+($AD76-$AC76)*MAX(0,-AN76/10%-2)),0),"")</f>
        <v/>
      </c>
      <c r="AR76" s="324" t="n">
        <f aca="false">IF(AH76,xASN(AL76,Strike1,AE76,AP76,0,N76,0,P76,Q76,IF(OptControl=4,0,1),0),0)</f>
        <v>0</v>
      </c>
      <c r="AS76" s="324" t="n">
        <f aca="false">IF(AH76,xASN(AL76,Strike1,AE76,AP76,0,N76,0,P76,Q76,IF(OptControl=4,0,1),1),0)</f>
        <v>0</v>
      </c>
      <c r="AT76" s="324" t="n">
        <f aca="false">IF(AH76,xASN(AL76,Strike1,AE76,AP76,0,N76,0,P76,Q76,IF(OptControl=4,0,1),2),0)</f>
        <v>0</v>
      </c>
      <c r="AU76" s="324" t="n">
        <f aca="false">IF(AH76,xASN(AL76,Strike1,AE76,AP76,0,N76,0,P76,Q76,IF(OptControl=4,0,1),3)/100,0)</f>
        <v>0</v>
      </c>
      <c r="AV76" s="324" t="n">
        <f aca="false">IF(AH76,xASN(AL76,Strike1,AE76,AP76,0,N76,0,P76-DaysForThetaCalculation/365.25,Q76-DaysForThetaCalculation/365.25,IF(OptControl=4,0,1),0)-xASN(AL76,Strike1,AE76,AP76,0,N76,0,P76,Q76,IF(OptControl=4,0,1),0),0)</f>
        <v>0</v>
      </c>
      <c r="AW76" s="324" t="n">
        <f aca="false">IF(AH76,xASN(AL76,Strike2,AE76,AQ76,0,N76,0,P76,Q76,IF(OptControl=3,1,0),0),0)</f>
        <v>0</v>
      </c>
      <c r="AX76" s="324" t="n">
        <f aca="false">IF(AH76,xASN(AL76,Strike2,AE76,AQ76,0,N76,0,P76,Q76,IF(OptControl=3,1,0),1),0)</f>
        <v>0</v>
      </c>
      <c r="AY76" s="324" t="n">
        <f aca="false">IF(AH76,xASN(AL76,Strike2,AE76,AQ76,0,N76,0,P76,Q76,IF(OptControl=3,1,0),2),0)</f>
        <v>0</v>
      </c>
      <c r="AZ76" s="324" t="n">
        <f aca="false">IF(AH76,xASN(AL76,Strike2,AE76,AQ76,0,N76,0,P76,Q76,IF(OptControl=3,1,0),3)/100,0)</f>
        <v>0</v>
      </c>
      <c r="BA76" s="324" t="n">
        <f aca="false">IF(AH76,xASN(AL76,Strike2,AE76,AQ76,0,N76,0,P76-DaysForThetaCalculation/365.25,Q76-DaysForThetaCalculation/365.25,IF(OptControl=3,1,0),0)-xASN(AL76,Strike2,AE76,AQ76,0,N76,0,P76,Q76,IF(OptControl=3,1,0),0),0)</f>
        <v>0</v>
      </c>
      <c r="BB76" s="325" t="str">
        <f aca="false">IF(AH76,IF(ProductGroup=1,IF(Product=1,BX76+PriceSpreadEuro,IF(Product=3,CK76+PriceSpreadEuro,"N/A")),"N/A"),"")</f>
        <v/>
      </c>
      <c r="BC76" s="316" t="str">
        <f aca="false">IF(AH76,Strike1/BB76-1,"")</f>
        <v/>
      </c>
      <c r="BD76" s="316" t="str">
        <f aca="false">IF(AH76,Strike2/BB76-1,"")</f>
        <v/>
      </c>
      <c r="BE76" s="326" t="str">
        <f aca="false">IF(AH76,IF(VolOverrideEuro,VolOverrideEuro,IF(ProductGroup=1,IF(Product&lt;3,DA76,DE76)+VolSpreadEuro,"N/A")),"")</f>
        <v/>
      </c>
      <c r="BF76" s="323" t="str">
        <f aca="false">IF($AH76,$BE76+IF(SkewFlag=1,IF(BC76&gt;0,$AA76*MIN(BC76/10%,1)+($Z76-$AA76)*MAX(0,MIN(BC76/10%-1,1))+($Y76-$Z76)*MAX(0,BC76/10%-2),$AB76*MIN(-BC76/10%,1)+($AC76-$AB76)*MAX(0,MIN(-BC76/10%-1,1))+($AD76-$AC76)*MAX(0,-BC76/10%-2)),0),"")</f>
        <v/>
      </c>
      <c r="BG76" s="323" t="str">
        <f aca="false">IF($AH76,$BE76+IF(SkewFlag=1,IF(BD76&gt;0,$AA76*MIN(BD76/10%,1)+($Z76-$AA76)*MAX(0,MIN(BD76/10%-1,1))+($Y76-$Z76)*MAX(0,BD76/10%-2),$AB76*MIN(-BD76/10%,1)+($AC76-$AB76)*MAX(0,MIN(-BD76/10%-1,1))+($AD76-$AC76)*MAX(0,-BD76/10%-2)),0),"")</f>
        <v/>
      </c>
      <c r="BH76" s="324" t="n">
        <f aca="false">IF(AH76,xEURO(BB76,Strike1,AE76,AE76,BF76,O76,IF(OptControl=4,0,1),0),0)</f>
        <v>0</v>
      </c>
      <c r="BI76" s="324" t="n">
        <f aca="false">IF(AH76,xEURO(BB76,Strike1,AE76,AE76,BF76,O76,IF(OptControl=4,0,1),1),0)</f>
        <v>0</v>
      </c>
      <c r="BJ76" s="324" t="n">
        <f aca="false">IF(AH76,xEURO(BB76,Strike1,AE76,AE76,BF76,O76,IF(OptControl=4,0,1),2),0)</f>
        <v>0</v>
      </c>
      <c r="BK76" s="324" t="n">
        <f aca="false">IF(AH76,xEURO(BB76,Strike1,AE76,AE76,BF76,O76,IF(OptControl=4,0,1),3)/100,0)</f>
        <v>0</v>
      </c>
      <c r="BL76" s="324" t="n">
        <f aca="false">IF(AH76,xEURO(BB76,Strike1,AE76,AE76,BF76,O76-DaysForThetaCalculation,IF(OptControl=4,0,1),0)-xEURO(BB76,Strike1,AE76,AE76,BF76,O76,IF(OptControl=4,0,1),0),0)</f>
        <v>0</v>
      </c>
      <c r="BM76" s="324" t="n">
        <f aca="false">IF(AH76,xEURO(BB76,Strike2,AE76,AE76,BG76,O76,IF(OptControl=3,1,0),0),0)</f>
        <v>0</v>
      </c>
      <c r="BN76" s="324" t="n">
        <f aca="false">IF(AH76,xEURO(BB76,Strike2,AE76,AE76,BG76,O76,IF(OptControl=3,1,0),1),0)</f>
        <v>0</v>
      </c>
      <c r="BO76" s="324" t="n">
        <f aca="false">IF(AH76,xEURO(BB76,Strike2,AE76,AE76,BG76,O76,IF(OptControl=3,1,0),2),0)</f>
        <v>0</v>
      </c>
      <c r="BP76" s="324" t="n">
        <f aca="false">IF(AH76,xEURO(BB76,Strike2,AE76,AE76,BG76,O76,IF(OptControl=3,1,0),3)/100,0)</f>
        <v>0</v>
      </c>
      <c r="BQ76" s="327" t="n">
        <f aca="false">IF(AH76,xEURO(BB76,Strike2,AE76,AE76,BG76,O76-DaysForThetaCalculation,IF(OptControl=3,1,0),0)-xEURO(BB76,Strike2,AE76,AE76,BG76,O76,IF(OptControl=3,1,0),0),0)</f>
        <v>0</v>
      </c>
      <c r="BR76" s="343"/>
      <c r="BS76" s="314" t="n">
        <v>24.654</v>
      </c>
      <c r="BT76" s="329" t="n">
        <f aca="false">BS76*100/42</f>
        <v>58.7</v>
      </c>
      <c r="BU76" s="329" t="n">
        <f aca="false">BS77-$U76</f>
        <v>6.03999999999995</v>
      </c>
      <c r="BV76" s="224"/>
      <c r="BW76" s="329" t="n">
        <f aca="false">BW64+VLOOKUP(1900+$L76,ProductSpreadTable,2)</f>
        <v>13.0265714285714</v>
      </c>
      <c r="BX76" s="329" t="n">
        <f aca="false">($V75+BW75)*100/42</f>
        <v>73.0329192546585</v>
      </c>
      <c r="BY76" s="332" t="n">
        <f aca="false">BX77</f>
        <v>76.1346938775511</v>
      </c>
      <c r="BZ76" s="314" t="n">
        <v>22.785</v>
      </c>
      <c r="CA76" s="329" t="n">
        <f aca="false">BZ76*100/42</f>
        <v>54.25</v>
      </c>
      <c r="CB76" s="329" t="n">
        <f aca="false">BZ76-$U76</f>
        <v>3.83499999999995</v>
      </c>
      <c r="CC76" s="329" t="n">
        <f aca="false">CC64+VLOOKUP(1900+$L76,ProductSpreadTable,3)</f>
        <v>11.4685714285714</v>
      </c>
      <c r="CD76" s="329" t="n">
        <f aca="false">($V76+CC76)*100/42</f>
        <v>72.4251700680273</v>
      </c>
      <c r="CE76" s="333" t="n">
        <f aca="false">CD76-BY76</f>
        <v>-3.7095238095238</v>
      </c>
      <c r="CF76" s="314" t="n">
        <v>23.234</v>
      </c>
      <c r="CG76" s="329" t="n">
        <f aca="false">CF76*100/42</f>
        <v>55.3190476190476</v>
      </c>
      <c r="CH76" s="329" t="n">
        <f aca="false">CF77-$U76</f>
        <v>3.56599999999995</v>
      </c>
      <c r="CI76" s="224"/>
      <c r="CJ76" s="329" t="n">
        <f aca="false">CJ64+VLOOKUP(1900+$L76,ProductSpreadTable,4)</f>
        <v>11.2545714285714</v>
      </c>
      <c r="CK76" s="329" t="n">
        <f aca="false">($V75+CJ75)*100/42</f>
        <v>71.4138716356109</v>
      </c>
      <c r="CL76" s="329" t="n">
        <f aca="false">CK77</f>
        <v>71.9156462585035</v>
      </c>
      <c r="CM76" s="314" t="n">
        <v>21.382</v>
      </c>
      <c r="CN76" s="329" t="n">
        <f aca="false">CM76*100/42</f>
        <v>50.9095238095238</v>
      </c>
      <c r="CO76" s="329" t="n">
        <f aca="false">CM76-$U76</f>
        <v>2.43199999999995</v>
      </c>
      <c r="CP76" s="329" t="n">
        <f aca="false">CP64+VLOOKUP(1900+$L76,ProductSpreadTable,5)</f>
        <v>10.1415714285714</v>
      </c>
      <c r="CQ76" s="329" t="n">
        <f aca="false">($V76+CP76)*100/42</f>
        <v>69.2656462585035</v>
      </c>
      <c r="CR76" s="333" t="n">
        <f aca="false">CQ76-CL76</f>
        <v>-2.64999999999999</v>
      </c>
      <c r="CS76" s="314" t="n">
        <v>22.642</v>
      </c>
      <c r="CT76" s="329" t="n">
        <f aca="false">CS76*100/42</f>
        <v>53.9095238095238</v>
      </c>
      <c r="CU76" s="329" t="n">
        <f aca="false">CT76-CG77</f>
        <v>0.300000000000011</v>
      </c>
      <c r="CV76" s="329" t="n">
        <f aca="false">CV64+VLOOKUP(1900+$L76,ProductSpreadTable,6)</f>
        <v>1.35000000000001</v>
      </c>
      <c r="CW76" s="333" t="n">
        <f aca="false">CL76+CV76</f>
        <v>73.2656462585035</v>
      </c>
      <c r="CX76" s="318" t="n">
        <v>0.193</v>
      </c>
      <c r="CY76" s="326" t="n">
        <f aca="false">CX76-$W76</f>
        <v>-0.000400000000000011</v>
      </c>
      <c r="CZ76" s="326" t="n">
        <f aca="false">VLOOKUP(1900+$L76,ProductSpreadTable,7)</f>
        <v>-0.03</v>
      </c>
      <c r="DA76" s="365" t="n">
        <f aca="false">$W76+CZ76</f>
        <v>0.1634</v>
      </c>
      <c r="DB76" s="318" t="n">
        <v>0.193</v>
      </c>
      <c r="DC76" s="326" t="n">
        <f aca="false">DB76-$W76</f>
        <v>-0.000400000000000011</v>
      </c>
      <c r="DD76" s="326" t="n">
        <f aca="false">VLOOKUP(1900+$L76,ProductSpreadTable,8)</f>
        <v>0.03</v>
      </c>
      <c r="DE76" s="365" t="n">
        <f aca="false">$W76+DD76</f>
        <v>0.2234</v>
      </c>
      <c r="DG76" s="336"/>
      <c r="DH76" s="314" t="n">
        <v>16.3</v>
      </c>
      <c r="DI76" s="325" t="n">
        <f aca="false">DH76-$U76</f>
        <v>-2.65000000000004</v>
      </c>
      <c r="DJ76" s="325" t="n">
        <f aca="false">VLOOKUP(1900+$L76,ResidSpreadTable,2)</f>
        <v>-2</v>
      </c>
      <c r="DK76" s="337" t="n">
        <f aca="false">$V76+DJ76</f>
        <v>16.95</v>
      </c>
      <c r="DL76" s="314" t="n">
        <v>13.7</v>
      </c>
      <c r="DM76" s="325" t="n">
        <f aca="false">DL76-$U76</f>
        <v>-5.25000000000005</v>
      </c>
      <c r="DN76" s="325" t="n">
        <f aca="false">VLOOKUP(1900+$L76,ResidSpreadTable,3)</f>
        <v>-3</v>
      </c>
      <c r="DO76" s="337" t="n">
        <f aca="false">$V76+DN76</f>
        <v>15.95</v>
      </c>
      <c r="DP76" s="314" t="n">
        <v>14.35</v>
      </c>
      <c r="DQ76" s="325" t="n">
        <f aca="false">DP76-$U76</f>
        <v>-4.60000000000005</v>
      </c>
      <c r="DR76" s="325" t="n">
        <f aca="false">VLOOKUP(1900+$L76,ResidSpreadTable,4)</f>
        <v>-6</v>
      </c>
      <c r="DS76" s="337" t="n">
        <f aca="false">$V76+DR76</f>
        <v>12.95</v>
      </c>
      <c r="DT76" s="314" t="n">
        <v>15</v>
      </c>
      <c r="DU76" s="325" t="n">
        <f aca="false">DT76-$U76</f>
        <v>-3.95000000000005</v>
      </c>
      <c r="DV76" s="325" t="n">
        <f aca="false">VLOOKUP(1900+$L76,ResidSpreadTable,5)</f>
        <v>-5</v>
      </c>
      <c r="DW76" s="337" t="n">
        <f aca="false">$V76+DV76</f>
        <v>13.95</v>
      </c>
    </row>
    <row r="77" customFormat="false" ht="12.75" hidden="false" customHeight="false" outlineLevel="0" collapsed="false">
      <c r="B77" s="371" t="n">
        <v>37895</v>
      </c>
      <c r="C77" s="391" t="n">
        <v>37884</v>
      </c>
      <c r="I77" s="338" t="n">
        <f aca="false">EOMONTH(I76,0)+1</f>
        <v>48092</v>
      </c>
      <c r="J77" s="389" t="n">
        <f aca="false">VLOOKUP(I77,$B$12:$C$332,2)</f>
        <v>45644</v>
      </c>
      <c r="K77" s="339" t="n">
        <f aca="false">NETWORKDAYS(I77,J78)/N77</f>
        <v>-79.5</v>
      </c>
      <c r="L77" s="309" t="n">
        <f aca="false">YEAR(I77)-1900</f>
        <v>131</v>
      </c>
      <c r="M77" s="310" t="n">
        <f aca="false">MONTH(I77)</f>
        <v>9</v>
      </c>
      <c r="N77" s="340" t="n">
        <f aca="false">NETWORKDAYS(I77,I78-1)</f>
        <v>22</v>
      </c>
      <c r="O77" s="341" t="n">
        <f aca="false">I77-DateToday-IF(EuroExpDateToggle=1,3+IF(WEEKDAY(I77-1)=7,1,IF(WEEKDAY(I77-1)&lt;5,2,0)),1+IF(WEEKDAY(I77-1)=7,1,IF(WEEKDAY(I77-1)&lt;3,2,0)))</f>
        <v>2161</v>
      </c>
      <c r="P77" s="342" t="n">
        <f aca="false">(I77-DateToday+1)/365.25</f>
        <v>5.93292265571526</v>
      </c>
      <c r="Q77" s="342" t="n">
        <f aca="false">(I78-DateToday)/365.25</f>
        <v>6.0123203285421</v>
      </c>
      <c r="R77" s="314" t="n">
        <v>18.95</v>
      </c>
      <c r="S77" s="347" t="n">
        <v>0</v>
      </c>
      <c r="T77" s="316" t="n">
        <f aca="false">R77+S77/100</f>
        <v>18.95</v>
      </c>
      <c r="U77" s="325" t="n">
        <f aca="false">R78*K77+R79*(1-K77)</f>
        <v>18.95</v>
      </c>
      <c r="V77" s="337" t="n">
        <f aca="false">T78*K77+T79*(1-K77)</f>
        <v>18.95</v>
      </c>
      <c r="W77" s="318" t="n">
        <v>0.1888</v>
      </c>
      <c r="X77" s="319" t="str">
        <f aca="false">IF($I77-DateToday+1&gt;=$A$10,"",IF($I77-DateToday+1&lt;$A$5,1,MATCH($I77-DateToday+1,$A$5:$A$10)))</f>
        <v/>
      </c>
      <c r="Y77" s="348" t="n">
        <f aca="false">IF($X77="",Y76^2/Y75,INDEX(B$5:B$10,$X77)^((INDEX($A$5:$A$10,$X77+1)-($I77-DateToday+1))/(INDEX($A$5:$A$10,$X77+1)-INDEX($A$5:$A$10,$X77)))/INDEX(B$5:B$10,$X77+1)^((INDEX($A$5:$A$10,$X77)-($I77-DateToday+1))/(INDEX($A$5:$A$10,$X77+1)-INDEX($A$5:$A$10,$X77))))</f>
        <v>0.00329796380816906</v>
      </c>
      <c r="Z77" s="348" t="n">
        <f aca="false">IF($X77="",Z76^2/Z75,INDEX(C$5:C$10,$X77)^((INDEX($A$5:$A$10,$X77+1)-($I77-DateToday+1))/(INDEX($A$5:$A$10,$X77+1)-INDEX($A$5:$A$10,$X77)))/INDEX(C$5:C$10,$X77+1)^((INDEX($A$5:$A$10,$X77)-($I77-DateToday+1))/(INDEX($A$5:$A$10,$X77+1)-INDEX($A$5:$A$10,$X77))))</f>
        <v>0.00138698965568249</v>
      </c>
      <c r="AA77" s="348" t="n">
        <f aca="false">IF($X77="",AA76^2/AA75,INDEX(D$5:D$10,$X77)^((INDEX($A$5:$A$10,$X77+1)-($I77-DateToday+1))/(INDEX($A$5:$A$10,$X77+1)-INDEX($A$5:$A$10,$X77)))/INDEX(D$5:D$10,$X77+1)^((INDEX($A$5:$A$10,$X77)-($I77-DateToday+1))/(INDEX($A$5:$A$10,$X77+1)-INDEX($A$5:$A$10,$X77))))</f>
        <v>0.000546121447626264</v>
      </c>
      <c r="AB77" s="348" t="n">
        <f aca="false">IF($X77="",AB76^2/AB75,INDEX(E$5:E$10,$X77)^((INDEX($A$5:$A$10,$X77+1)-($I77-DateToday+1))/(INDEX($A$5:$A$10,$X77+1)-INDEX($A$5:$A$10,$X77)))/INDEX(E$5:E$10,$X77+1)^((INDEX($A$5:$A$10,$X77)-($I77-DateToday+1))/(INDEX($A$5:$A$10,$X77+1)-INDEX($A$5:$A$10,$X77))))</f>
        <v>0.00123030239721247</v>
      </c>
      <c r="AC77" s="348" t="n">
        <f aca="false">IF($X77="",AC76^2/AC75,INDEX(F$5:F$10,$X77)^((INDEX($A$5:$A$10,$X77+1)-($I77-DateToday+1))/(INDEX($A$5:$A$10,$X77+1)-INDEX($A$5:$A$10,$X77)))/INDEX(F$5:F$10,$X77+1)^((INDEX($A$5:$A$10,$X77)-($I77-DateToday+1))/(INDEX($A$5:$A$10,$X77+1)-INDEX($A$5:$A$10,$X77))))</f>
        <v>0.00312461029632155</v>
      </c>
      <c r="AD77" s="348" t="n">
        <f aca="false">IF($X77="",AD76^2/AD75,INDEX(G$5:G$10,$X77)^((INDEX($A$5:$A$10,$X77+1)-($I77-DateToday+1))/(INDEX($A$5:$A$10,$X77+1)-INDEX($A$5:$A$10,$X77)))/INDEX(G$5:G$10,$X77+1)^((INDEX($A$5:$A$10,$X77)-($I77-DateToday+1))/(INDEX($A$5:$A$10,$X77+1)-INDEX($A$5:$A$10,$X77))))</f>
        <v>0.00742965286704301</v>
      </c>
      <c r="AE77" s="321" t="n">
        <v>0.073286767597264</v>
      </c>
      <c r="AF77" s="316" t="n">
        <f aca="false">(1+AE77/2)^(-2*(I78-DateToday)/365.25)</f>
        <v>0.648727516095242</v>
      </c>
      <c r="AG77" s="316" t="n">
        <f aca="false">AG76*(1+IF(AND(M77=1,L77&gt;YearStart),Escalation,0))</f>
        <v>1</v>
      </c>
      <c r="AH77" s="322" t="n">
        <f aca="false">IF(OR(DateStart&gt;=I78,DateEnd&lt;I77),0,Volume*AG77)</f>
        <v>0</v>
      </c>
      <c r="AI77" s="322" t="n">
        <f aca="false">AH77*AF77</f>
        <v>0</v>
      </c>
      <c r="AJ77" s="322" t="n">
        <f aca="false">IF(OR(DateStart2&gt;=I78,DateEnd2&lt;I77),0,VolumeSwaption*AG77)</f>
        <v>0</v>
      </c>
      <c r="AK77" s="322" t="n">
        <f aca="false">AJ77*AF77</f>
        <v>0</v>
      </c>
      <c r="AL77" s="316" t="str">
        <f aca="true">IF(AH77,OFFSET(BY77,0,HorizontalPriceOffset)+PriceSpreadAsian,"")</f>
        <v/>
      </c>
      <c r="AM77" s="316" t="str">
        <f aca="false">IF(AH77,Strike1/AL77-1,"")</f>
        <v/>
      </c>
      <c r="AN77" s="316" t="str">
        <f aca="false">IF(AH77,Strike2/AL77-1,"")</f>
        <v/>
      </c>
      <c r="AO77" s="323" t="str">
        <f aca="false">IF(AH77,IF(VolOverrideAsian,VolOverrideAsian,IF(ProductGroup=1,IF(Product&lt;3,DA78,DE78),W78)+VolSpreadAsian),"")</f>
        <v/>
      </c>
      <c r="AP77" s="323" t="str">
        <f aca="false">IF($AH77,$AO77+IF(SkewFlag=1,IF(AM77&gt;0,$AA77*MIN(AM77/10%,1)+($Z77-$AA77)*MAX(0,MIN(AM77/10%-1,1))+($Y77-$Z77)*MAX(0,AM77/10%-2),$AB77*MIN(-AM77/10%,1)+($AC77-$AB77)*MAX(0,MIN(-AM77/10%-1,1))+($AD77-$AC77)*MAX(0,-AM77/10%-2)),0),"")</f>
        <v/>
      </c>
      <c r="AQ77" s="323" t="str">
        <f aca="false">IF($AH77,$AO77+IF(SkewFlag=1,IF(AN77&gt;0,$AA77*MIN(AN77/10%,1)+($Z77-$AA77)*MAX(0,MIN(AN77/10%-1,1))+($Y77-$Z77)*MAX(0,AN77/10%-2),$AB77*MIN(-AN77/10%,1)+($AC77-$AB77)*MAX(0,MIN(-AN77/10%-1,1))+($AD77-$AC77)*MAX(0,-AN77/10%-2)),0),"")</f>
        <v/>
      </c>
      <c r="AR77" s="324" t="n">
        <f aca="false">IF(AH77,xASN(AL77,Strike1,AE77,AP77,0,N77,0,P77,Q77,IF(OptControl=4,0,1),0),0)</f>
        <v>0</v>
      </c>
      <c r="AS77" s="324" t="n">
        <f aca="false">IF(AH77,xASN(AL77,Strike1,AE77,AP77,0,N77,0,P77,Q77,IF(OptControl=4,0,1),1),0)</f>
        <v>0</v>
      </c>
      <c r="AT77" s="324" t="n">
        <f aca="false">IF(AH77,xASN(AL77,Strike1,AE77,AP77,0,N77,0,P77,Q77,IF(OptControl=4,0,1),2),0)</f>
        <v>0</v>
      </c>
      <c r="AU77" s="324" t="n">
        <f aca="false">IF(AH77,xASN(AL77,Strike1,AE77,AP77,0,N77,0,P77,Q77,IF(OptControl=4,0,1),3)/100,0)</f>
        <v>0</v>
      </c>
      <c r="AV77" s="324" t="n">
        <f aca="false">IF(AH77,xASN(AL77,Strike1,AE77,AP77,0,N77,0,P77-DaysForThetaCalculation/365.25,Q77-DaysForThetaCalculation/365.25,IF(OptControl=4,0,1),0)-xASN(AL77,Strike1,AE77,AP77,0,N77,0,P77,Q77,IF(OptControl=4,0,1),0),0)</f>
        <v>0</v>
      </c>
      <c r="AW77" s="324" t="n">
        <f aca="false">IF(AH77,xASN(AL77,Strike2,AE77,AQ77,0,N77,0,P77,Q77,IF(OptControl=3,1,0),0),0)</f>
        <v>0</v>
      </c>
      <c r="AX77" s="324" t="n">
        <f aca="false">IF(AH77,xASN(AL77,Strike2,AE77,AQ77,0,N77,0,P77,Q77,IF(OptControl=3,1,0),1),0)</f>
        <v>0</v>
      </c>
      <c r="AY77" s="324" t="n">
        <f aca="false">IF(AH77,xASN(AL77,Strike2,AE77,AQ77,0,N77,0,P77,Q77,IF(OptControl=3,1,0),2),0)</f>
        <v>0</v>
      </c>
      <c r="AZ77" s="324" t="n">
        <f aca="false">IF(AH77,xASN(AL77,Strike2,AE77,AQ77,0,N77,0,P77,Q77,IF(OptControl=3,1,0),3)/100,0)</f>
        <v>0</v>
      </c>
      <c r="BA77" s="324" t="n">
        <f aca="false">IF(AH77,xASN(AL77,Strike2,AE77,AQ77,0,N77,0,P77-DaysForThetaCalculation/365.25,Q77-DaysForThetaCalculation/365.25,IF(OptControl=3,1,0),0)-xASN(AL77,Strike2,AE77,AQ77,0,N77,0,P77,Q77,IF(OptControl=3,1,0),0),0)</f>
        <v>0</v>
      </c>
      <c r="BB77" s="325" t="str">
        <f aca="false">IF(AH77,IF(ProductGroup=1,IF(Product=1,BX77+PriceSpreadEuro,IF(Product=3,CK77+PriceSpreadEuro,"N/A")),"N/A"),"")</f>
        <v/>
      </c>
      <c r="BC77" s="316" t="str">
        <f aca="false">IF(AH77,Strike1/BB77-1,"")</f>
        <v/>
      </c>
      <c r="BD77" s="316" t="str">
        <f aca="false">IF(AH77,Strike2/BB77-1,"")</f>
        <v/>
      </c>
      <c r="BE77" s="326" t="str">
        <f aca="false">IF(AH77,IF(VolOverrideEuro,VolOverrideEuro,IF(ProductGroup=1,IF(Product&lt;3,DA77,DE77)+VolSpreadEuro,"N/A")),"")</f>
        <v/>
      </c>
      <c r="BF77" s="323" t="str">
        <f aca="false">IF($AH77,$BE77+IF(SkewFlag=1,IF(BC77&gt;0,$AA77*MIN(BC77/10%,1)+($Z77-$AA77)*MAX(0,MIN(BC77/10%-1,1))+($Y77-$Z77)*MAX(0,BC77/10%-2),$AB77*MIN(-BC77/10%,1)+($AC77-$AB77)*MAX(0,MIN(-BC77/10%-1,1))+($AD77-$AC77)*MAX(0,-BC77/10%-2)),0),"")</f>
        <v/>
      </c>
      <c r="BG77" s="323" t="str">
        <f aca="false">IF($AH77,$BE77+IF(SkewFlag=1,IF(BD77&gt;0,$AA77*MIN(BD77/10%,1)+($Z77-$AA77)*MAX(0,MIN(BD77/10%-1,1))+($Y77-$Z77)*MAX(0,BD77/10%-2),$AB77*MIN(-BD77/10%,1)+($AC77-$AB77)*MAX(0,MIN(-BD77/10%-1,1))+($AD77-$AC77)*MAX(0,-BD77/10%-2)),0),"")</f>
        <v/>
      </c>
      <c r="BH77" s="324" t="n">
        <f aca="false">IF(AH77,xEURO(BB77,Strike1,AE77,AE77,BF77,O77,IF(OptControl=4,0,1),0),0)</f>
        <v>0</v>
      </c>
      <c r="BI77" s="324" t="n">
        <f aca="false">IF(AH77,xEURO(BB77,Strike1,AE77,AE77,BF77,O77,IF(OptControl=4,0,1),1),0)</f>
        <v>0</v>
      </c>
      <c r="BJ77" s="324" t="n">
        <f aca="false">IF(AH77,xEURO(BB77,Strike1,AE77,AE77,BF77,O77,IF(OptControl=4,0,1),2),0)</f>
        <v>0</v>
      </c>
      <c r="BK77" s="324" t="n">
        <f aca="false">IF(AH77,xEURO(BB77,Strike1,AE77,AE77,BF77,O77,IF(OptControl=4,0,1),3)/100,0)</f>
        <v>0</v>
      </c>
      <c r="BL77" s="324" t="n">
        <f aca="false">IF(AH77,xEURO(BB77,Strike1,AE77,AE77,BF77,O77-DaysForThetaCalculation,IF(OptControl=4,0,1),0)-xEURO(BB77,Strike1,AE77,AE77,BF77,O77,IF(OptControl=4,0,1),0),0)</f>
        <v>0</v>
      </c>
      <c r="BM77" s="324" t="n">
        <f aca="false">IF(AH77,xEURO(BB77,Strike2,AE77,AE77,BG77,O77,IF(OptControl=3,1,0),0),0)</f>
        <v>0</v>
      </c>
      <c r="BN77" s="324" t="n">
        <f aca="false">IF(AH77,xEURO(BB77,Strike2,AE77,AE77,BG77,O77,IF(OptControl=3,1,0),1),0)</f>
        <v>0</v>
      </c>
      <c r="BO77" s="324" t="n">
        <f aca="false">IF(AH77,xEURO(BB77,Strike2,AE77,AE77,BG77,O77,IF(OptControl=3,1,0),2),0)</f>
        <v>0</v>
      </c>
      <c r="BP77" s="324" t="n">
        <f aca="false">IF(AH77,xEURO(BB77,Strike2,AE77,AE77,BG77,O77,IF(OptControl=3,1,0),3)/100,0)</f>
        <v>0</v>
      </c>
      <c r="BQ77" s="327" t="n">
        <f aca="false">IF(AH77,xEURO(BB77,Strike2,AE77,AE77,BG77,O77-DaysForThetaCalculation,IF(OptControl=3,1,0),0)-xEURO(BB77,Strike2,AE77,AE77,BG77,O77,IF(OptControl=3,1,0),0),0)</f>
        <v>0</v>
      </c>
      <c r="BR77" s="343"/>
      <c r="BS77" s="314" t="n">
        <v>24.99</v>
      </c>
      <c r="BT77" s="329" t="n">
        <f aca="false">BS77*100/42</f>
        <v>59.5</v>
      </c>
      <c r="BU77" s="329" t="n">
        <f aca="false">BS78-$U77</f>
        <v>9.79099999999995</v>
      </c>
      <c r="BV77" s="224"/>
      <c r="BW77" s="329" t="n">
        <f aca="false">BW65+VLOOKUP(1900+$L77,ProductSpreadTable,2)</f>
        <v>11.092</v>
      </c>
      <c r="BX77" s="329" t="n">
        <f aca="false">($V76+BW76)*100/42</f>
        <v>76.1346938775511</v>
      </c>
      <c r="BY77" s="332" t="n">
        <f aca="false">BX78</f>
        <v>71.5285714285715</v>
      </c>
      <c r="BZ77" s="314" t="n">
        <v>24.961</v>
      </c>
      <c r="CA77" s="329" t="n">
        <f aca="false">BZ77*100/42</f>
        <v>59.4309523809524</v>
      </c>
      <c r="CB77" s="329" t="n">
        <f aca="false">BZ77-$U77</f>
        <v>6.01099999999995</v>
      </c>
      <c r="CC77" s="329" t="n">
        <f aca="false">CC65+VLOOKUP(1900+$L77,ProductSpreadTable,3)</f>
        <v>13.443</v>
      </c>
      <c r="CD77" s="329" t="n">
        <f aca="false">($V77+CC77)*100/42</f>
        <v>77.1261904761905</v>
      </c>
      <c r="CE77" s="333" t="n">
        <f aca="false">CD77-BY77</f>
        <v>5.59761904761898</v>
      </c>
      <c r="CF77" s="314" t="n">
        <v>22.516</v>
      </c>
      <c r="CG77" s="329" t="n">
        <f aca="false">CF77*100/42</f>
        <v>53.6095238095238</v>
      </c>
      <c r="CH77" s="329" t="n">
        <f aca="false">CF78-$U77</f>
        <v>2.93999999999996</v>
      </c>
      <c r="CI77" s="224"/>
      <c r="CJ77" s="329" t="n">
        <f aca="false">CJ65+VLOOKUP(1900+$L77,ProductSpreadTable,4)</f>
        <v>10.424</v>
      </c>
      <c r="CK77" s="329" t="n">
        <f aca="false">($V76+CJ76)*100/42</f>
        <v>71.9156462585035</v>
      </c>
      <c r="CL77" s="329" t="n">
        <f aca="false">CK78</f>
        <v>69.9380952380953</v>
      </c>
      <c r="CM77" s="314" t="n">
        <v>20.756</v>
      </c>
      <c r="CN77" s="329" t="n">
        <f aca="false">CM77*100/42</f>
        <v>49.4190476190476</v>
      </c>
      <c r="CO77" s="329" t="n">
        <f aca="false">CM77-$U77</f>
        <v>1.80599999999995</v>
      </c>
      <c r="CP77" s="329" t="n">
        <f aca="false">CP65+VLOOKUP(1900+$L77,ProductSpreadTable,5)</f>
        <v>9.31099999999997</v>
      </c>
      <c r="CQ77" s="329" t="n">
        <f aca="false">($V77+CP77)*100/42</f>
        <v>67.2880952380953</v>
      </c>
      <c r="CR77" s="333" t="n">
        <f aca="false">CQ77-CL77</f>
        <v>-2.65000000000001</v>
      </c>
      <c r="CS77" s="314" t="n">
        <v>22.016</v>
      </c>
      <c r="CT77" s="329" t="n">
        <f aca="false">CS77*100/42</f>
        <v>52.4190476190476</v>
      </c>
      <c r="CU77" s="329" t="n">
        <f aca="false">CT77-CG78</f>
        <v>0.299999999999997</v>
      </c>
      <c r="CV77" s="329" t="n">
        <f aca="false">CV65+VLOOKUP(1900+$L77,ProductSpreadTable,6)</f>
        <v>1.34999999999999</v>
      </c>
      <c r="CW77" s="333" t="n">
        <f aca="false">CL77+CV77</f>
        <v>71.2880952380953</v>
      </c>
      <c r="CX77" s="318" t="n">
        <v>0.189</v>
      </c>
      <c r="CY77" s="326" t="n">
        <f aca="false">CX77-$W77</f>
        <v>0.000200000000000033</v>
      </c>
      <c r="CZ77" s="326" t="n">
        <f aca="false">VLOOKUP(1900+$L77,ProductSpreadTable,7)</f>
        <v>-0.03</v>
      </c>
      <c r="DA77" s="365" t="n">
        <f aca="false">$W77+CZ77</f>
        <v>0.1588</v>
      </c>
      <c r="DB77" s="318" t="n">
        <v>0.189</v>
      </c>
      <c r="DC77" s="326" t="n">
        <f aca="false">DB77-$W77</f>
        <v>0.000200000000000033</v>
      </c>
      <c r="DD77" s="326" t="n">
        <f aca="false">VLOOKUP(1900+$L77,ProductSpreadTable,8)</f>
        <v>0.03</v>
      </c>
      <c r="DE77" s="365" t="n">
        <f aca="false">$W77+DD77</f>
        <v>0.2188</v>
      </c>
      <c r="DG77" s="336"/>
      <c r="DH77" s="314" t="n">
        <v>16.3</v>
      </c>
      <c r="DI77" s="325" t="n">
        <f aca="false">DH77-$U77</f>
        <v>-2.65000000000004</v>
      </c>
      <c r="DJ77" s="325" t="n">
        <f aca="false">VLOOKUP(1900+$L77,ResidSpreadTable,2)</f>
        <v>-2</v>
      </c>
      <c r="DK77" s="337" t="n">
        <f aca="false">$V77+DJ77</f>
        <v>16.95</v>
      </c>
      <c r="DL77" s="314" t="n">
        <v>13.7</v>
      </c>
      <c r="DM77" s="325" t="n">
        <f aca="false">DL77-$U77</f>
        <v>-5.25000000000005</v>
      </c>
      <c r="DN77" s="325" t="n">
        <f aca="false">VLOOKUP(1900+$L77,ResidSpreadTable,3)</f>
        <v>-3</v>
      </c>
      <c r="DO77" s="337" t="n">
        <f aca="false">$V77+DN77</f>
        <v>15.95</v>
      </c>
      <c r="DP77" s="314" t="n">
        <v>14.35</v>
      </c>
      <c r="DQ77" s="325" t="n">
        <f aca="false">DP77-$U77</f>
        <v>-4.60000000000005</v>
      </c>
      <c r="DR77" s="325" t="n">
        <f aca="false">VLOOKUP(1900+$L77,ResidSpreadTable,4)</f>
        <v>-6</v>
      </c>
      <c r="DS77" s="337" t="n">
        <f aca="false">$V77+DR77</f>
        <v>12.95</v>
      </c>
      <c r="DT77" s="314" t="n">
        <v>15</v>
      </c>
      <c r="DU77" s="325" t="n">
        <f aca="false">DT77-$U77</f>
        <v>-3.95000000000005</v>
      </c>
      <c r="DV77" s="325" t="n">
        <f aca="false">VLOOKUP(1900+$L77,ResidSpreadTable,5)</f>
        <v>-5</v>
      </c>
      <c r="DW77" s="337" t="n">
        <f aca="false">$V77+DV77</f>
        <v>13.95</v>
      </c>
    </row>
    <row r="78" customFormat="false" ht="12.75" hidden="false" customHeight="false" outlineLevel="0" collapsed="false">
      <c r="B78" s="371" t="n">
        <v>37926</v>
      </c>
      <c r="C78" s="391" t="n">
        <v>37916</v>
      </c>
      <c r="I78" s="338" t="n">
        <f aca="false">EOMONTH(I77,0)+1</f>
        <v>48122</v>
      </c>
      <c r="J78" s="389" t="n">
        <f aca="false">VLOOKUP(I78,$B$12:$C$332,2)</f>
        <v>45644</v>
      </c>
      <c r="K78" s="339" t="n">
        <f aca="false">NETWORKDAYS(I78,J79)/N78</f>
        <v>-77</v>
      </c>
      <c r="L78" s="309" t="n">
        <f aca="false">YEAR(I78)-1900</f>
        <v>131</v>
      </c>
      <c r="M78" s="310" t="n">
        <f aca="false">MONTH(I78)</f>
        <v>10</v>
      </c>
      <c r="N78" s="340" t="n">
        <f aca="false">NETWORKDAYS(I78,I79-1)</f>
        <v>23</v>
      </c>
      <c r="O78" s="341" t="n">
        <f aca="false">I78-DateToday-IF(EuroExpDateToggle=1,3+IF(WEEKDAY(I78-1)=7,1,IF(WEEKDAY(I78-1)&lt;5,2,0)),1+IF(WEEKDAY(I78-1)=7,1,IF(WEEKDAY(I78-1)&lt;3,2,0)))</f>
        <v>2191</v>
      </c>
      <c r="P78" s="342" t="n">
        <f aca="false">(I78-DateToday+1)/365.25</f>
        <v>6.01505817932923</v>
      </c>
      <c r="Q78" s="342" t="n">
        <f aca="false">(I79-DateToday)/365.25</f>
        <v>6.09719370294319</v>
      </c>
      <c r="R78" s="314" t="n">
        <v>18.95</v>
      </c>
      <c r="S78" s="347" t="n">
        <v>0</v>
      </c>
      <c r="T78" s="316" t="n">
        <f aca="false">R78+S78/100</f>
        <v>18.95</v>
      </c>
      <c r="U78" s="325" t="n">
        <f aca="false">R79*K78+R80*(1-K78)</f>
        <v>18.95</v>
      </c>
      <c r="V78" s="337" t="n">
        <f aca="false">T79*K78+T80*(1-K78)</f>
        <v>18.95</v>
      </c>
      <c r="W78" s="318" t="n">
        <v>0.1882</v>
      </c>
      <c r="X78" s="319" t="str">
        <f aca="false">IF($I78-DateToday+1&gt;=$A$10,"",IF($I78-DateToday+1&lt;$A$5,1,MATCH($I78-DateToday+1,$A$5:$A$10)))</f>
        <v/>
      </c>
      <c r="Y78" s="348" t="n">
        <f aca="false">IF($X78="",Y77^2/Y76,INDEX(B$5:B$10,$X78)^((INDEX($A$5:$A$10,$X78+1)-($I78-DateToday+1))/(INDEX($A$5:$A$10,$X78+1)-INDEX($A$5:$A$10,$X78)))/INDEX(B$5:B$10,$X78+1)^((INDEX($A$5:$A$10,$X78)-($I78-DateToday+1))/(INDEX($A$5:$A$10,$X78+1)-INDEX($A$5:$A$10,$X78))))</f>
        <v>0.00322735941899928</v>
      </c>
      <c r="Z78" s="348" t="n">
        <f aca="false">IF($X78="",Z77^2/Z76,INDEX(C$5:C$10,$X78)^((INDEX($A$5:$A$10,$X78+1)-($I78-DateToday+1))/(INDEX($A$5:$A$10,$X78+1)-INDEX($A$5:$A$10,$X78)))/INDEX(C$5:C$10,$X78+1)^((INDEX($A$5:$A$10,$X78)-($I78-DateToday+1))/(INDEX($A$5:$A$10,$X78+1)-INDEX($A$5:$A$10,$X78))))</f>
        <v>0.0013500292816847</v>
      </c>
      <c r="AA78" s="348" t="n">
        <f aca="false">IF($X78="",AA77^2/AA76,INDEX(D$5:D$10,$X78)^((INDEX($A$5:$A$10,$X78+1)-($I78-DateToday+1))/(INDEX($A$5:$A$10,$X78+1)-INDEX($A$5:$A$10,$X78)))/INDEX(D$5:D$10,$X78+1)^((INDEX($A$5:$A$10,$X78)-($I78-DateToday+1))/(INDEX($A$5:$A$10,$X78+1)-INDEX($A$5:$A$10,$X78))))</f>
        <v>0.000530143001937958</v>
      </c>
      <c r="AB78" s="348" t="n">
        <f aca="false">IF($X78="",AB77^2/AB76,INDEX(E$5:E$10,$X78)^((INDEX($A$5:$A$10,$X78+1)-($I78-DateToday+1))/(INDEX($A$5:$A$10,$X78+1)-INDEX($A$5:$A$10,$X78)))/INDEX(E$5:E$10,$X78+1)^((INDEX($A$5:$A$10,$X78)-($I78-DateToday+1))/(INDEX($A$5:$A$10,$X78+1)-INDEX($A$5:$A$10,$X78))))</f>
        <v>0.00119430615476585</v>
      </c>
      <c r="AC78" s="348" t="n">
        <f aca="false">IF($X78="",AC77^2/AC76,INDEX(F$5:F$10,$X78)^((INDEX($A$5:$A$10,$X78+1)-($I78-DateToday+1))/(INDEX($A$5:$A$10,$X78+1)-INDEX($A$5:$A$10,$X78)))/INDEX(F$5:F$10,$X78+1)^((INDEX($A$5:$A$10,$X78)-($I78-DateToday+1))/(INDEX($A$5:$A$10,$X78+1)-INDEX($A$5:$A$10,$X78))))</f>
        <v>0.00304134596577931</v>
      </c>
      <c r="AD78" s="348" t="n">
        <f aca="false">IF($X78="",AD77^2/AD76,INDEX(G$5:G$10,$X78)^((INDEX($A$5:$A$10,$X78+1)-($I78-DateToday+1))/(INDEX($A$5:$A$10,$X78+1)-INDEX($A$5:$A$10,$X78)))/INDEX(G$5:G$10,$X78+1)^((INDEX($A$5:$A$10,$X78)-($I78-DateToday+1))/(INDEX($A$5:$A$10,$X78+1)-INDEX($A$5:$A$10,$X78))))</f>
        <v>0.00727059529912131</v>
      </c>
      <c r="AE78" s="321" t="n">
        <v>0.073304681060144</v>
      </c>
      <c r="AF78" s="316" t="n">
        <f aca="false">(1+AE78/2)^(-2*(I79-DateToday)/365.25)</f>
        <v>0.644708691538525</v>
      </c>
      <c r="AG78" s="316" t="n">
        <f aca="false">AG77*(1+IF(AND(M78=1,L78&gt;YearStart),Escalation,0))</f>
        <v>1</v>
      </c>
      <c r="AH78" s="322" t="n">
        <f aca="false">IF(OR(DateStart&gt;=I79,DateEnd&lt;I78),0,Volume*AG78)</f>
        <v>0</v>
      </c>
      <c r="AI78" s="322" t="n">
        <f aca="false">AH78*AF78</f>
        <v>0</v>
      </c>
      <c r="AJ78" s="322" t="n">
        <f aca="false">IF(OR(DateStart2&gt;=I79,DateEnd2&lt;I78),0,VolumeSwaption*AG78)</f>
        <v>0</v>
      </c>
      <c r="AK78" s="322" t="n">
        <f aca="false">AJ78*AF78</f>
        <v>0</v>
      </c>
      <c r="AL78" s="316" t="str">
        <f aca="true">IF(AH78,OFFSET(BY78,0,HorizontalPriceOffset)+PriceSpreadAsian,"")</f>
        <v/>
      </c>
      <c r="AM78" s="316" t="str">
        <f aca="false">IF(AH78,Strike1/AL78-1,"")</f>
        <v/>
      </c>
      <c r="AN78" s="316" t="str">
        <f aca="false">IF(AH78,Strike2/AL78-1,"")</f>
        <v/>
      </c>
      <c r="AO78" s="323" t="str">
        <f aca="false">IF(AH78,IF(VolOverrideAsian,VolOverrideAsian,IF(ProductGroup=1,IF(Product&lt;3,DA79,DE79),W79)+VolSpreadAsian),"")</f>
        <v/>
      </c>
      <c r="AP78" s="323" t="str">
        <f aca="false">IF($AH78,$AO78+IF(SkewFlag=1,IF(AM78&gt;0,$AA78*MIN(AM78/10%,1)+($Z78-$AA78)*MAX(0,MIN(AM78/10%-1,1))+($Y78-$Z78)*MAX(0,AM78/10%-2),$AB78*MIN(-AM78/10%,1)+($AC78-$AB78)*MAX(0,MIN(-AM78/10%-1,1))+($AD78-$AC78)*MAX(0,-AM78/10%-2)),0),"")</f>
        <v/>
      </c>
      <c r="AQ78" s="323" t="str">
        <f aca="false">IF($AH78,$AO78+IF(SkewFlag=1,IF(AN78&gt;0,$AA78*MIN(AN78/10%,1)+($Z78-$AA78)*MAX(0,MIN(AN78/10%-1,1))+($Y78-$Z78)*MAX(0,AN78/10%-2),$AB78*MIN(-AN78/10%,1)+($AC78-$AB78)*MAX(0,MIN(-AN78/10%-1,1))+($AD78-$AC78)*MAX(0,-AN78/10%-2)),0),"")</f>
        <v/>
      </c>
      <c r="AR78" s="324" t="n">
        <f aca="false">IF(AH78,xASN(AL78,Strike1,AE78,AP78,0,N78,0,P78,Q78,IF(OptControl=4,0,1),0),0)</f>
        <v>0</v>
      </c>
      <c r="AS78" s="324" t="n">
        <f aca="false">IF(AH78,xASN(AL78,Strike1,AE78,AP78,0,N78,0,P78,Q78,IF(OptControl=4,0,1),1),0)</f>
        <v>0</v>
      </c>
      <c r="AT78" s="324" t="n">
        <f aca="false">IF(AH78,xASN(AL78,Strike1,AE78,AP78,0,N78,0,P78,Q78,IF(OptControl=4,0,1),2),0)</f>
        <v>0</v>
      </c>
      <c r="AU78" s="324" t="n">
        <f aca="false">IF(AH78,xASN(AL78,Strike1,AE78,AP78,0,N78,0,P78,Q78,IF(OptControl=4,0,1),3)/100,0)</f>
        <v>0</v>
      </c>
      <c r="AV78" s="324" t="n">
        <f aca="false">IF(AH78,xASN(AL78,Strike1,AE78,AP78,0,N78,0,P78-DaysForThetaCalculation/365.25,Q78-DaysForThetaCalculation/365.25,IF(OptControl=4,0,1),0)-xASN(AL78,Strike1,AE78,AP78,0,N78,0,P78,Q78,IF(OptControl=4,0,1),0),0)</f>
        <v>0</v>
      </c>
      <c r="AW78" s="324" t="n">
        <f aca="false">IF(AH78,xASN(AL78,Strike2,AE78,AQ78,0,N78,0,P78,Q78,IF(OptControl=3,1,0),0),0)</f>
        <v>0</v>
      </c>
      <c r="AX78" s="324" t="n">
        <f aca="false">IF(AH78,xASN(AL78,Strike2,AE78,AQ78,0,N78,0,P78,Q78,IF(OptControl=3,1,0),1),0)</f>
        <v>0</v>
      </c>
      <c r="AY78" s="324" t="n">
        <f aca="false">IF(AH78,xASN(AL78,Strike2,AE78,AQ78,0,N78,0,P78,Q78,IF(OptControl=3,1,0),2),0)</f>
        <v>0</v>
      </c>
      <c r="AZ78" s="324" t="n">
        <f aca="false">IF(AH78,xASN(AL78,Strike2,AE78,AQ78,0,N78,0,P78,Q78,IF(OptControl=3,1,0),3)/100,0)</f>
        <v>0</v>
      </c>
      <c r="BA78" s="324" t="n">
        <f aca="false">IF(AH78,xASN(AL78,Strike2,AE78,AQ78,0,N78,0,P78-DaysForThetaCalculation/365.25,Q78-DaysForThetaCalculation/365.25,IF(OptControl=3,1,0),0)-xASN(AL78,Strike2,AE78,AQ78,0,N78,0,P78,Q78,IF(OptControl=3,1,0),0),0)</f>
        <v>0</v>
      </c>
      <c r="BB78" s="325" t="str">
        <f aca="false">IF(AH78,IF(ProductGroup=1,IF(Product=1,BX78+PriceSpreadEuro,IF(Product=3,CK78+PriceSpreadEuro,"N/A")),"N/A"),"")</f>
        <v/>
      </c>
      <c r="BC78" s="316" t="str">
        <f aca="false">IF(AH78,Strike1/BB78-1,"")</f>
        <v/>
      </c>
      <c r="BD78" s="316" t="str">
        <f aca="false">IF(AH78,Strike2/BB78-1,"")</f>
        <v/>
      </c>
      <c r="BE78" s="326" t="str">
        <f aca="false">IF(AH78,IF(VolOverrideEuro,VolOverrideEuro,IF(ProductGroup=1,IF(Product&lt;3,DA78,DE78)+VolSpreadEuro,"N/A")),"")</f>
        <v/>
      </c>
      <c r="BF78" s="323" t="str">
        <f aca="false">IF($AH78,$BE78+IF(SkewFlag=1,IF(BC78&gt;0,$AA78*MIN(BC78/10%,1)+($Z78-$AA78)*MAX(0,MIN(BC78/10%-1,1))+($Y78-$Z78)*MAX(0,BC78/10%-2),$AB78*MIN(-BC78/10%,1)+($AC78-$AB78)*MAX(0,MIN(-BC78/10%-1,1))+($AD78-$AC78)*MAX(0,-BC78/10%-2)),0),"")</f>
        <v/>
      </c>
      <c r="BG78" s="323" t="str">
        <f aca="false">IF($AH78,$BE78+IF(SkewFlag=1,IF(BD78&gt;0,$AA78*MIN(BD78/10%,1)+($Z78-$AA78)*MAX(0,MIN(BD78/10%-1,1))+($Y78-$Z78)*MAX(0,BD78/10%-2),$AB78*MIN(-BD78/10%,1)+($AC78-$AB78)*MAX(0,MIN(-BD78/10%-1,1))+($AD78-$AC78)*MAX(0,-BD78/10%-2)),0),"")</f>
        <v/>
      </c>
      <c r="BH78" s="324" t="n">
        <f aca="false">IF(AH78,xEURO(BB78,Strike1,AE78,AE78,BF78,O78,IF(OptControl=4,0,1),0),0)</f>
        <v>0</v>
      </c>
      <c r="BI78" s="324" t="n">
        <f aca="false">IF(AH78,xEURO(BB78,Strike1,AE78,AE78,BF78,O78,IF(OptControl=4,0,1),1),0)</f>
        <v>0</v>
      </c>
      <c r="BJ78" s="324" t="n">
        <f aca="false">IF(AH78,xEURO(BB78,Strike1,AE78,AE78,BF78,O78,IF(OptControl=4,0,1),2),0)</f>
        <v>0</v>
      </c>
      <c r="BK78" s="324" t="n">
        <f aca="false">IF(AH78,xEURO(BB78,Strike1,AE78,AE78,BF78,O78,IF(OptControl=4,0,1),3)/100,0)</f>
        <v>0</v>
      </c>
      <c r="BL78" s="324" t="n">
        <f aca="false">IF(AH78,xEURO(BB78,Strike1,AE78,AE78,BF78,O78-DaysForThetaCalculation,IF(OptControl=4,0,1),0)-xEURO(BB78,Strike1,AE78,AE78,BF78,O78,IF(OptControl=4,0,1),0),0)</f>
        <v>0</v>
      </c>
      <c r="BM78" s="324" t="n">
        <f aca="false">IF(AH78,xEURO(BB78,Strike2,AE78,AE78,BG78,O78,IF(OptControl=3,1,0),0),0)</f>
        <v>0</v>
      </c>
      <c r="BN78" s="324" t="n">
        <f aca="false">IF(AH78,xEURO(BB78,Strike2,AE78,AE78,BG78,O78,IF(OptControl=3,1,0),1),0)</f>
        <v>0</v>
      </c>
      <c r="BO78" s="324" t="n">
        <f aca="false">IF(AH78,xEURO(BB78,Strike2,AE78,AE78,BG78,O78,IF(OptControl=3,1,0),2),0)</f>
        <v>0</v>
      </c>
      <c r="BP78" s="324" t="n">
        <f aca="false">IF(AH78,xEURO(BB78,Strike2,AE78,AE78,BG78,O78,IF(OptControl=3,1,0),3)/100,0)</f>
        <v>0</v>
      </c>
      <c r="BQ78" s="327" t="n">
        <f aca="false">IF(AH78,xEURO(BB78,Strike2,AE78,AE78,BG78,O78-DaysForThetaCalculation,IF(OptControl=3,1,0),0)-xEURO(BB78,Strike2,AE78,AE78,BG78,O78,IF(OptControl=3,1,0),0),0)</f>
        <v>0</v>
      </c>
      <c r="BR78" s="343"/>
      <c r="BS78" s="314" t="n">
        <v>28.741</v>
      </c>
      <c r="BT78" s="329" t="n">
        <f aca="false">BS78*100/42</f>
        <v>68.4309523809524</v>
      </c>
      <c r="BU78" s="329" t="n">
        <f aca="false">BS79-$U78</f>
        <v>8.28299999999996</v>
      </c>
      <c r="BV78" s="224"/>
      <c r="BW78" s="329" t="n">
        <f aca="false">BW66+VLOOKUP(1900+$L78,ProductSpreadTable,2)</f>
        <v>21.324347826087</v>
      </c>
      <c r="BX78" s="329" t="n">
        <f aca="false">($V77+BW77)*100/42</f>
        <v>71.5285714285715</v>
      </c>
      <c r="BY78" s="332" t="n">
        <f aca="false">BX79</f>
        <v>95.8913043478262</v>
      </c>
      <c r="BZ78" s="314" t="n">
        <v>25.343</v>
      </c>
      <c r="CA78" s="329" t="n">
        <f aca="false">BZ78*100/42</f>
        <v>60.3404761904762</v>
      </c>
      <c r="CB78" s="329" t="n">
        <f aca="false">BZ78-$U78</f>
        <v>6.39299999999996</v>
      </c>
      <c r="CC78" s="329" t="n">
        <f aca="false">CC66+VLOOKUP(1900+$L78,ProductSpreadTable,3)</f>
        <v>18.699347826087</v>
      </c>
      <c r="CD78" s="329" t="n">
        <f aca="false">($V78+CC78)*100/42</f>
        <v>89.6413043478262</v>
      </c>
      <c r="CE78" s="333" t="n">
        <f aca="false">CD78-BY78</f>
        <v>-6.25</v>
      </c>
      <c r="CF78" s="314" t="n">
        <v>21.89</v>
      </c>
      <c r="CG78" s="329" t="n">
        <f aca="false">CF78*100/42</f>
        <v>52.1190476190476</v>
      </c>
      <c r="CH78" s="329" t="n">
        <f aca="false">CF79-$U78</f>
        <v>2.36899999999996</v>
      </c>
      <c r="CI78" s="224"/>
      <c r="CJ78" s="329" t="n">
        <f aca="false">CJ66+VLOOKUP(1900+$L78,ProductSpreadTable,4)</f>
        <v>9.11163636363635</v>
      </c>
      <c r="CK78" s="329" t="n">
        <f aca="false">($V77+CJ77)*100/42</f>
        <v>69.9380952380953</v>
      </c>
      <c r="CL78" s="329" t="n">
        <f aca="false">CK79</f>
        <v>66.81341991342</v>
      </c>
      <c r="CM78" s="314" t="n">
        <v>20.5</v>
      </c>
      <c r="CN78" s="329" t="n">
        <f aca="false">CM78*100/42</f>
        <v>48.8095238095238</v>
      </c>
      <c r="CO78" s="329" t="n">
        <f aca="false">CM78-$U78</f>
        <v>1.54999999999995</v>
      </c>
      <c r="CP78" s="329" t="n">
        <f aca="false">CP66+VLOOKUP(1900+$L78,ProductSpreadTable,5)</f>
        <v>8.18763636363634</v>
      </c>
      <c r="CQ78" s="329" t="n">
        <f aca="false">($V78+CP78)*100/42</f>
        <v>64.61341991342</v>
      </c>
      <c r="CR78" s="333" t="n">
        <f aca="false">CQ78-CL78</f>
        <v>-2.2</v>
      </c>
      <c r="CS78" s="314" t="n">
        <v>21.445</v>
      </c>
      <c r="CT78" s="329" t="n">
        <f aca="false">CS78*100/42</f>
        <v>51.0595238095238</v>
      </c>
      <c r="CU78" s="329" t="n">
        <f aca="false">CT78-CG79</f>
        <v>0.299999999999997</v>
      </c>
      <c r="CV78" s="329" t="n">
        <f aca="false">CV66+VLOOKUP(1900+$L78,ProductSpreadTable,6)</f>
        <v>1.34999999999999</v>
      </c>
      <c r="CW78" s="333" t="n">
        <f aca="false">CL78+CV78</f>
        <v>68.16341991342</v>
      </c>
      <c r="CX78" s="318" t="n">
        <v>0.188</v>
      </c>
      <c r="CY78" s="326" t="n">
        <f aca="false">CX78-$W78</f>
        <v>-0.000200000000000006</v>
      </c>
      <c r="CZ78" s="326" t="n">
        <f aca="false">VLOOKUP(1900+$L78,ProductSpreadTable,7)</f>
        <v>-0.03</v>
      </c>
      <c r="DA78" s="365" t="n">
        <f aca="false">$W78+CZ78</f>
        <v>0.1582</v>
      </c>
      <c r="DB78" s="318" t="n">
        <v>0.188</v>
      </c>
      <c r="DC78" s="326" t="n">
        <f aca="false">DB78-$W78</f>
        <v>-0.000200000000000006</v>
      </c>
      <c r="DD78" s="326" t="n">
        <f aca="false">VLOOKUP(1900+$L78,ProductSpreadTable,8)</f>
        <v>0.03</v>
      </c>
      <c r="DE78" s="365" t="n">
        <f aca="false">$W78+DD78</f>
        <v>0.2182</v>
      </c>
      <c r="DG78" s="336"/>
      <c r="DH78" s="314" t="n">
        <v>16.3</v>
      </c>
      <c r="DI78" s="325" t="n">
        <f aca="false">DH78-$U78</f>
        <v>-2.65000000000004</v>
      </c>
      <c r="DJ78" s="325" t="n">
        <f aca="false">VLOOKUP(1900+$L78,ResidSpreadTable,2)</f>
        <v>-2</v>
      </c>
      <c r="DK78" s="337" t="n">
        <f aca="false">$V78+DJ78</f>
        <v>16.95</v>
      </c>
      <c r="DL78" s="314" t="n">
        <v>13.7</v>
      </c>
      <c r="DM78" s="325" t="n">
        <f aca="false">DL78-$U78</f>
        <v>-5.25000000000005</v>
      </c>
      <c r="DN78" s="325" t="n">
        <f aca="false">VLOOKUP(1900+$L78,ResidSpreadTable,3)</f>
        <v>-3</v>
      </c>
      <c r="DO78" s="337" t="n">
        <f aca="false">$V78+DN78</f>
        <v>15.95</v>
      </c>
      <c r="DP78" s="314" t="n">
        <v>14.35</v>
      </c>
      <c r="DQ78" s="325" t="n">
        <f aca="false">DP78-$U78</f>
        <v>-4.60000000000005</v>
      </c>
      <c r="DR78" s="325" t="n">
        <f aca="false">VLOOKUP(1900+$L78,ResidSpreadTable,4)</f>
        <v>-6</v>
      </c>
      <c r="DS78" s="337" t="n">
        <f aca="false">$V78+DR78</f>
        <v>12.95</v>
      </c>
      <c r="DT78" s="314" t="n">
        <v>15.1</v>
      </c>
      <c r="DU78" s="325" t="n">
        <f aca="false">DT78-$U78</f>
        <v>-3.85000000000005</v>
      </c>
      <c r="DV78" s="325" t="n">
        <f aca="false">VLOOKUP(1900+$L78,ResidSpreadTable,5)</f>
        <v>-5</v>
      </c>
      <c r="DW78" s="337" t="n">
        <f aca="false">$V78+DV78</f>
        <v>13.95</v>
      </c>
    </row>
    <row r="79" customFormat="false" ht="12.75" hidden="false" customHeight="false" outlineLevel="0" collapsed="false">
      <c r="B79" s="371" t="n">
        <v>37956</v>
      </c>
      <c r="C79" s="391" t="n">
        <v>37944</v>
      </c>
      <c r="I79" s="338" t="n">
        <f aca="false">EOMONTH(I78,0)+1</f>
        <v>48153</v>
      </c>
      <c r="J79" s="389" t="n">
        <f aca="false">VLOOKUP(I79,$B$12:$C$332,2)</f>
        <v>45644</v>
      </c>
      <c r="K79" s="339" t="n">
        <f aca="false">NETWORKDAYS(I79,J80)/N79</f>
        <v>-89.65</v>
      </c>
      <c r="L79" s="309" t="n">
        <f aca="false">YEAR(I79)-1900</f>
        <v>131</v>
      </c>
      <c r="M79" s="310" t="n">
        <f aca="false">MONTH(I79)</f>
        <v>11</v>
      </c>
      <c r="N79" s="340" t="n">
        <f aca="false">NETWORKDAYS(I79,I80-1)</f>
        <v>20</v>
      </c>
      <c r="O79" s="341" t="n">
        <f aca="false">I79-DateToday-IF(EuroExpDateToggle=1,3+IF(WEEKDAY(I79-1)=7,1,IF(WEEKDAY(I79-1)&lt;5,2,0)),1+IF(WEEKDAY(I79-1)=7,1,IF(WEEKDAY(I79-1)&lt;3,2,0)))</f>
        <v>2224</v>
      </c>
      <c r="P79" s="342" t="n">
        <f aca="false">(I79-DateToday+1)/365.25</f>
        <v>6.09993155373032</v>
      </c>
      <c r="Q79" s="342" t="n">
        <f aca="false">(I80-DateToday)/365.25</f>
        <v>6.17932922655715</v>
      </c>
      <c r="R79" s="314" t="n">
        <v>18.95</v>
      </c>
      <c r="S79" s="347" t="n">
        <v>0</v>
      </c>
      <c r="T79" s="316" t="n">
        <f aca="false">R79+S79/100</f>
        <v>18.95</v>
      </c>
      <c r="U79" s="325" t="n">
        <f aca="false">R80*K79+R81*(1-K79)</f>
        <v>18.95</v>
      </c>
      <c r="V79" s="337" t="n">
        <f aca="false">T80*K79+T81*(1-K79)</f>
        <v>18.95</v>
      </c>
      <c r="W79" s="318" t="n">
        <v>0.1896</v>
      </c>
      <c r="X79" s="319" t="str">
        <f aca="false">IF($I79-DateToday+1&gt;=$A$10,"",IF($I79-DateToday+1&lt;$A$5,1,MATCH($I79-DateToday+1,$A$5:$A$10)))</f>
        <v/>
      </c>
      <c r="Y79" s="348" t="n">
        <f aca="false">IF($X79="",Y78^2/Y77,INDEX(B$5:B$10,$X79)^((INDEX($A$5:$A$10,$X79+1)-($I79-DateToday+1))/(INDEX($A$5:$A$10,$X79+1)-INDEX($A$5:$A$10,$X79)))/INDEX(B$5:B$10,$X79+1)^((INDEX($A$5:$A$10,$X79)-($I79-DateToday+1))/(INDEX($A$5:$A$10,$X79+1)-INDEX($A$5:$A$10,$X79))))</f>
        <v>0.00315826656241747</v>
      </c>
      <c r="Z79" s="348" t="n">
        <f aca="false">IF($X79="",Z78^2/Z77,INDEX(C$5:C$10,$X79)^((INDEX($A$5:$A$10,$X79+1)-($I79-DateToday+1))/(INDEX($A$5:$A$10,$X79+1)-INDEX($A$5:$A$10,$X79)))/INDEX(C$5:C$10,$X79+1)^((INDEX($A$5:$A$10,$X79)-($I79-DateToday+1))/(INDEX($A$5:$A$10,$X79+1)-INDEX($A$5:$A$10,$X79))))</f>
        <v>0.00131405382436631</v>
      </c>
      <c r="AA79" s="348" t="n">
        <f aca="false">IF($X79="",AA78^2/AA77,INDEX(D$5:D$10,$X79)^((INDEX($A$5:$A$10,$X79+1)-($I79-DateToday+1))/(INDEX($A$5:$A$10,$X79+1)-INDEX($A$5:$A$10,$X79)))/INDEX(D$5:D$10,$X79+1)^((INDEX($A$5:$A$10,$X79)-($I79-DateToday+1))/(INDEX($A$5:$A$10,$X79+1)-INDEX($A$5:$A$10,$X79))))</f>
        <v>0.000514632054326727</v>
      </c>
      <c r="AB79" s="348" t="n">
        <f aca="false">IF($X79="",AB78^2/AB77,INDEX(E$5:E$10,$X79)^((INDEX($A$5:$A$10,$X79+1)-($I79-DateToday+1))/(INDEX($A$5:$A$10,$X79+1)-INDEX($A$5:$A$10,$X79)))/INDEX(E$5:E$10,$X79+1)^((INDEX($A$5:$A$10,$X79)-($I79-DateToday+1))/(INDEX($A$5:$A$10,$X79+1)-INDEX($A$5:$A$10,$X79))))</f>
        <v>0.00115936309198727</v>
      </c>
      <c r="AC79" s="348" t="n">
        <f aca="false">IF($X79="",AC78^2/AC77,INDEX(F$5:F$10,$X79)^((INDEX($A$5:$A$10,$X79+1)-($I79-DateToday+1))/(INDEX($A$5:$A$10,$X79+1)-INDEX($A$5:$A$10,$X79)))/INDEX(F$5:F$10,$X79+1)^((INDEX($A$5:$A$10,$X79)-($I79-DateToday+1))/(INDEX($A$5:$A$10,$X79+1)-INDEX($A$5:$A$10,$X79))))</f>
        <v>0.00296030045553245</v>
      </c>
      <c r="AD79" s="348" t="n">
        <f aca="false">IF($X79="",AD78^2/AD77,INDEX(G$5:G$10,$X79)^((INDEX($A$5:$A$10,$X79+1)-($I79-DateToday+1))/(INDEX($A$5:$A$10,$X79+1)-INDEX($A$5:$A$10,$X79)))/INDEX(G$5:G$10,$X79+1)^((INDEX($A$5:$A$10,$X79)-($I79-DateToday+1))/(INDEX($A$5:$A$10,$X79+1)-INDEX($A$5:$A$10,$X79))))</f>
        <v>0.00711494291181382</v>
      </c>
      <c r="AE79" s="321" t="n">
        <v>0.073322016669484</v>
      </c>
      <c r="AF79" s="316" t="n">
        <f aca="false">(1+AE79/2)^(-2*(I80-DateToday)/365.25)</f>
        <v>0.640841423498299</v>
      </c>
      <c r="AG79" s="316" t="n">
        <f aca="false">AG78*(1+IF(AND(M79=1,L79&gt;YearStart),Escalation,0))</f>
        <v>1</v>
      </c>
      <c r="AH79" s="322" t="n">
        <f aca="false">IF(OR(DateStart&gt;=I80,DateEnd&lt;I79),0,Volume*AG79)</f>
        <v>0</v>
      </c>
      <c r="AI79" s="322" t="n">
        <f aca="false">AH79*AF79</f>
        <v>0</v>
      </c>
      <c r="AJ79" s="322" t="n">
        <f aca="false">IF(OR(DateStart2&gt;=I80,DateEnd2&lt;I79),0,VolumeSwaption*AG79)</f>
        <v>0</v>
      </c>
      <c r="AK79" s="322" t="n">
        <f aca="false">AJ79*AF79</f>
        <v>0</v>
      </c>
      <c r="AL79" s="316" t="str">
        <f aca="true">IF(AH79,OFFSET(BY79,0,HorizontalPriceOffset)+PriceSpreadAsian,"")</f>
        <v/>
      </c>
      <c r="AM79" s="316" t="str">
        <f aca="false">IF(AH79,Strike1/AL79-1,"")</f>
        <v/>
      </c>
      <c r="AN79" s="316" t="str">
        <f aca="false">IF(AH79,Strike2/AL79-1,"")</f>
        <v/>
      </c>
      <c r="AO79" s="323" t="str">
        <f aca="false">IF(AH79,IF(VolOverrideAsian,VolOverrideAsian,IF(ProductGroup=1,IF(Product&lt;3,DA80,DE80),W80)+VolSpreadAsian),"")</f>
        <v/>
      </c>
      <c r="AP79" s="323" t="str">
        <f aca="false">IF($AH79,$AO79+IF(SkewFlag=1,IF(AM79&gt;0,$AA79*MIN(AM79/10%,1)+($Z79-$AA79)*MAX(0,MIN(AM79/10%-1,1))+($Y79-$Z79)*MAX(0,AM79/10%-2),$AB79*MIN(-AM79/10%,1)+($AC79-$AB79)*MAX(0,MIN(-AM79/10%-1,1))+($AD79-$AC79)*MAX(0,-AM79/10%-2)),0),"")</f>
        <v/>
      </c>
      <c r="AQ79" s="323" t="str">
        <f aca="false">IF($AH79,$AO79+IF(SkewFlag=1,IF(AN79&gt;0,$AA79*MIN(AN79/10%,1)+($Z79-$AA79)*MAX(0,MIN(AN79/10%-1,1))+($Y79-$Z79)*MAX(0,AN79/10%-2),$AB79*MIN(-AN79/10%,1)+($AC79-$AB79)*MAX(0,MIN(-AN79/10%-1,1))+($AD79-$AC79)*MAX(0,-AN79/10%-2)),0),"")</f>
        <v/>
      </c>
      <c r="AR79" s="324" t="n">
        <f aca="false">IF(AH79,xASN(AL79,Strike1,AE79,AP79,0,N79,0,P79,Q79,IF(OptControl=4,0,1),0),0)</f>
        <v>0</v>
      </c>
      <c r="AS79" s="324" t="n">
        <f aca="false">IF(AH79,xASN(AL79,Strike1,AE79,AP79,0,N79,0,P79,Q79,IF(OptControl=4,0,1),1),0)</f>
        <v>0</v>
      </c>
      <c r="AT79" s="324" t="n">
        <f aca="false">IF(AH79,xASN(AL79,Strike1,AE79,AP79,0,N79,0,P79,Q79,IF(OptControl=4,0,1),2),0)</f>
        <v>0</v>
      </c>
      <c r="AU79" s="324" t="n">
        <f aca="false">IF(AH79,xASN(AL79,Strike1,AE79,AP79,0,N79,0,P79,Q79,IF(OptControl=4,0,1),3)/100,0)</f>
        <v>0</v>
      </c>
      <c r="AV79" s="324" t="n">
        <f aca="false">IF(AH79,xASN(AL79,Strike1,AE79,AP79,0,N79,0,P79-DaysForThetaCalculation/365.25,Q79-DaysForThetaCalculation/365.25,IF(OptControl=4,0,1),0)-xASN(AL79,Strike1,AE79,AP79,0,N79,0,P79,Q79,IF(OptControl=4,0,1),0),0)</f>
        <v>0</v>
      </c>
      <c r="AW79" s="324" t="n">
        <f aca="false">IF(AH79,xASN(AL79,Strike2,AE79,AQ79,0,N79,0,P79,Q79,IF(OptControl=3,1,0),0),0)</f>
        <v>0</v>
      </c>
      <c r="AX79" s="324" t="n">
        <f aca="false">IF(AH79,xASN(AL79,Strike2,AE79,AQ79,0,N79,0,P79,Q79,IF(OptControl=3,1,0),1),0)</f>
        <v>0</v>
      </c>
      <c r="AY79" s="324" t="n">
        <f aca="false">IF(AH79,xASN(AL79,Strike2,AE79,AQ79,0,N79,0,P79,Q79,IF(OptControl=3,1,0),2),0)</f>
        <v>0</v>
      </c>
      <c r="AZ79" s="324" t="n">
        <f aca="false">IF(AH79,xASN(AL79,Strike2,AE79,AQ79,0,N79,0,P79,Q79,IF(OptControl=3,1,0),3)/100,0)</f>
        <v>0</v>
      </c>
      <c r="BA79" s="324" t="n">
        <f aca="false">IF(AH79,xASN(AL79,Strike2,AE79,AQ79,0,N79,0,P79-DaysForThetaCalculation/365.25,Q79-DaysForThetaCalculation/365.25,IF(OptControl=3,1,0),0)-xASN(AL79,Strike2,AE79,AQ79,0,N79,0,P79,Q79,IF(OptControl=3,1,0),0),0)</f>
        <v>0</v>
      </c>
      <c r="BB79" s="325" t="str">
        <f aca="false">IF(AH79,IF(ProductGroup=1,IF(Product=1,BX79+PriceSpreadEuro,IF(Product=3,CK79+PriceSpreadEuro,"N/A")),"N/A"),"")</f>
        <v/>
      </c>
      <c r="BC79" s="316" t="str">
        <f aca="false">IF(AH79,Strike1/BB79-1,"")</f>
        <v/>
      </c>
      <c r="BD79" s="316" t="str">
        <f aca="false">IF(AH79,Strike2/BB79-1,"")</f>
        <v/>
      </c>
      <c r="BE79" s="326" t="str">
        <f aca="false">IF(AH79,IF(VolOverrideEuro,VolOverrideEuro,IF(ProductGroup=1,IF(Product&lt;3,DA79,DE79)+VolSpreadEuro,"N/A")),"")</f>
        <v/>
      </c>
      <c r="BF79" s="323" t="str">
        <f aca="false">IF($AH79,$BE79+IF(SkewFlag=1,IF(BC79&gt;0,$AA79*MIN(BC79/10%,1)+($Z79-$AA79)*MAX(0,MIN(BC79/10%-1,1))+($Y79-$Z79)*MAX(0,BC79/10%-2),$AB79*MIN(-BC79/10%,1)+($AC79-$AB79)*MAX(0,MIN(-BC79/10%-1,1))+($AD79-$AC79)*MAX(0,-BC79/10%-2)),0),"")</f>
        <v/>
      </c>
      <c r="BG79" s="323" t="str">
        <f aca="false">IF($AH79,$BE79+IF(SkewFlag=1,IF(BD79&gt;0,$AA79*MIN(BD79/10%,1)+($Z79-$AA79)*MAX(0,MIN(BD79/10%-1,1))+($Y79-$Z79)*MAX(0,BD79/10%-2),$AB79*MIN(-BD79/10%,1)+($AC79-$AB79)*MAX(0,MIN(-BD79/10%-1,1))+($AD79-$AC79)*MAX(0,-BD79/10%-2)),0),"")</f>
        <v/>
      </c>
      <c r="BH79" s="324" t="n">
        <f aca="false">IF(AH79,xEURO(BB79,Strike1,AE79,AE79,BF79,O79,IF(OptControl=4,0,1),0),0)</f>
        <v>0</v>
      </c>
      <c r="BI79" s="324" t="n">
        <f aca="false">IF(AH79,xEURO(BB79,Strike1,AE79,AE79,BF79,O79,IF(OptControl=4,0,1),1),0)</f>
        <v>0</v>
      </c>
      <c r="BJ79" s="324" t="n">
        <f aca="false">IF(AH79,xEURO(BB79,Strike1,AE79,AE79,BF79,O79,IF(OptControl=4,0,1),2),0)</f>
        <v>0</v>
      </c>
      <c r="BK79" s="324" t="n">
        <f aca="false">IF(AH79,xEURO(BB79,Strike1,AE79,AE79,BF79,O79,IF(OptControl=4,0,1),3)/100,0)</f>
        <v>0</v>
      </c>
      <c r="BL79" s="324" t="n">
        <f aca="false">IF(AH79,xEURO(BB79,Strike1,AE79,AE79,BF79,O79-DaysForThetaCalculation,IF(OptControl=4,0,1),0)-xEURO(BB79,Strike1,AE79,AE79,BF79,O79,IF(OptControl=4,0,1),0),0)</f>
        <v>0</v>
      </c>
      <c r="BM79" s="324" t="n">
        <f aca="false">IF(AH79,xEURO(BB79,Strike2,AE79,AE79,BG79,O79,IF(OptControl=3,1,0),0),0)</f>
        <v>0</v>
      </c>
      <c r="BN79" s="324" t="n">
        <f aca="false">IF(AH79,xEURO(BB79,Strike2,AE79,AE79,BG79,O79,IF(OptControl=3,1,0),1),0)</f>
        <v>0</v>
      </c>
      <c r="BO79" s="324" t="n">
        <f aca="false">IF(AH79,xEURO(BB79,Strike2,AE79,AE79,BG79,O79,IF(OptControl=3,1,0),2),0)</f>
        <v>0</v>
      </c>
      <c r="BP79" s="324" t="n">
        <f aca="false">IF(AH79,xEURO(BB79,Strike2,AE79,AE79,BG79,O79,IF(OptControl=3,1,0),3)/100,0)</f>
        <v>0</v>
      </c>
      <c r="BQ79" s="327" t="n">
        <f aca="false">IF(AH79,xEURO(BB79,Strike2,AE79,AE79,BG79,O79-DaysForThetaCalculation,IF(OptControl=3,1,0),0)-xEURO(BB79,Strike2,AE79,AE79,BG79,O79,IF(OptControl=3,1,0),0),0)</f>
        <v>0</v>
      </c>
      <c r="BR79" s="343"/>
      <c r="BS79" s="314" t="n">
        <v>27.233</v>
      </c>
      <c r="BT79" s="329" t="n">
        <f aca="false">BS79*100/42</f>
        <v>64.8404761904762</v>
      </c>
      <c r="BU79" s="329" t="n">
        <f aca="false">BS80-$U79</f>
        <v>7.72399999999996</v>
      </c>
      <c r="BV79" s="224"/>
      <c r="BW79" s="329" t="n">
        <f aca="false">BW67+VLOOKUP(1900+$L79,ProductSpreadTable,2)</f>
        <v>19.34</v>
      </c>
      <c r="BX79" s="329" t="n">
        <f aca="false">($V78+BW78)*100/42</f>
        <v>95.8913043478262</v>
      </c>
      <c r="BY79" s="332" t="n">
        <f aca="false">BX80</f>
        <v>91.1666666666667</v>
      </c>
      <c r="BZ79" s="314" t="n">
        <v>24.784</v>
      </c>
      <c r="CA79" s="329" t="n">
        <f aca="false">BZ79*100/42</f>
        <v>59.0095238095238</v>
      </c>
      <c r="CB79" s="329" t="n">
        <f aca="false">BZ79-$U79</f>
        <v>5.83399999999996</v>
      </c>
      <c r="CC79" s="329" t="n">
        <f aca="false">CC67+VLOOKUP(1900+$L79,ProductSpreadTable,3)</f>
        <v>16.715</v>
      </c>
      <c r="CD79" s="329" t="n">
        <f aca="false">($V79+CC79)*100/42</f>
        <v>84.9166666666667</v>
      </c>
      <c r="CE79" s="333" t="n">
        <f aca="false">CD79-BY79</f>
        <v>-6.25</v>
      </c>
      <c r="CF79" s="314" t="n">
        <v>21.319</v>
      </c>
      <c r="CG79" s="329" t="n">
        <f aca="false">CF79*100/42</f>
        <v>50.7595238095238</v>
      </c>
      <c r="CH79" s="329" t="n">
        <f aca="false">CF80-$U79</f>
        <v>1.96999999999996</v>
      </c>
      <c r="CI79" s="224"/>
      <c r="CJ79" s="329" t="n">
        <f aca="false">CJ67+VLOOKUP(1900+$L79,ProductSpreadTable,4)</f>
        <v>8.55552380952372</v>
      </c>
      <c r="CK79" s="329" t="n">
        <f aca="false">($V78+CJ78)*100/42</f>
        <v>66.81341991342</v>
      </c>
      <c r="CL79" s="329" t="n">
        <f aca="false">CK80</f>
        <v>65.489342403628</v>
      </c>
      <c r="CM79" s="314" t="n">
        <v>20.101</v>
      </c>
      <c r="CN79" s="329" t="n">
        <f aca="false">CM79*100/42</f>
        <v>47.8595238095238</v>
      </c>
      <c r="CO79" s="329" t="n">
        <f aca="false">CM79-$U79</f>
        <v>1.15099999999996</v>
      </c>
      <c r="CP79" s="329" t="n">
        <f aca="false">CP67+VLOOKUP(1900+$L79,ProductSpreadTable,5)</f>
        <v>7.63152380952373</v>
      </c>
      <c r="CQ79" s="329" t="n">
        <f aca="false">($V79+CP79)*100/42</f>
        <v>63.289342403628</v>
      </c>
      <c r="CR79" s="333" t="n">
        <f aca="false">CQ79-CL79</f>
        <v>-2.19999999999998</v>
      </c>
      <c r="CS79" s="314" t="n">
        <v>21.046</v>
      </c>
      <c r="CT79" s="329" t="n">
        <f aca="false">CS79*100/42</f>
        <v>50.1095238095238</v>
      </c>
      <c r="CU79" s="329" t="n">
        <f aca="false">CT79-CG80</f>
        <v>0.299999999999997</v>
      </c>
      <c r="CV79" s="329" t="n">
        <f aca="false">CV67+VLOOKUP(1900+$L79,ProductSpreadTable,6)</f>
        <v>1.35000000000001</v>
      </c>
      <c r="CW79" s="333" t="n">
        <f aca="false">CL79+CV79</f>
        <v>66.839342403628</v>
      </c>
      <c r="CX79" s="318" t="n">
        <v>0.19</v>
      </c>
      <c r="CY79" s="326" t="n">
        <f aca="false">CX79-$W79</f>
        <v>0.000399999999999984</v>
      </c>
      <c r="CZ79" s="326" t="n">
        <f aca="false">VLOOKUP(1900+$L79,ProductSpreadTable,7)</f>
        <v>-0.03</v>
      </c>
      <c r="DA79" s="365" t="n">
        <f aca="false">$W79+CZ79</f>
        <v>0.1596</v>
      </c>
      <c r="DB79" s="318" t="n">
        <v>0.19</v>
      </c>
      <c r="DC79" s="326" t="n">
        <f aca="false">DB79-$W79</f>
        <v>0.000399999999999984</v>
      </c>
      <c r="DD79" s="326" t="n">
        <f aca="false">VLOOKUP(1900+$L79,ProductSpreadTable,8)</f>
        <v>0.03</v>
      </c>
      <c r="DE79" s="365" t="n">
        <f aca="false">$W79+DD79</f>
        <v>0.2196</v>
      </c>
      <c r="DG79" s="336"/>
      <c r="DH79" s="314" t="n">
        <v>16.3</v>
      </c>
      <c r="DI79" s="325" t="n">
        <f aca="false">DH79-$U79</f>
        <v>-2.65000000000004</v>
      </c>
      <c r="DJ79" s="325" t="n">
        <f aca="false">VLOOKUP(1900+$L79,ResidSpreadTable,2)</f>
        <v>-2</v>
      </c>
      <c r="DK79" s="337" t="n">
        <f aca="false">$V79+DJ79</f>
        <v>16.95</v>
      </c>
      <c r="DL79" s="314" t="n">
        <v>13.7</v>
      </c>
      <c r="DM79" s="325" t="n">
        <f aca="false">DL79-$U79</f>
        <v>-5.25000000000005</v>
      </c>
      <c r="DN79" s="325" t="n">
        <f aca="false">VLOOKUP(1900+$L79,ResidSpreadTable,3)</f>
        <v>-3</v>
      </c>
      <c r="DO79" s="337" t="n">
        <f aca="false">$V79+DN79</f>
        <v>15.95</v>
      </c>
      <c r="DP79" s="314" t="n">
        <v>14.35</v>
      </c>
      <c r="DQ79" s="325" t="n">
        <f aca="false">DP79-$U79</f>
        <v>-4.60000000000005</v>
      </c>
      <c r="DR79" s="325" t="n">
        <f aca="false">VLOOKUP(1900+$L79,ResidSpreadTable,4)</f>
        <v>-6</v>
      </c>
      <c r="DS79" s="337" t="n">
        <f aca="false">$V79+DR79</f>
        <v>12.95</v>
      </c>
      <c r="DT79" s="314" t="n">
        <v>15.1</v>
      </c>
      <c r="DU79" s="325" t="n">
        <f aca="false">DT79-$U79</f>
        <v>-3.85000000000005</v>
      </c>
      <c r="DV79" s="325" t="n">
        <f aca="false">VLOOKUP(1900+$L79,ResidSpreadTable,5)</f>
        <v>-5</v>
      </c>
      <c r="DW79" s="337" t="n">
        <f aca="false">$V79+DV79</f>
        <v>13.95</v>
      </c>
    </row>
    <row r="80" customFormat="false" ht="12.75" hidden="false" customHeight="false" outlineLevel="0" collapsed="false">
      <c r="B80" s="371" t="n">
        <v>37987</v>
      </c>
      <c r="C80" s="391" t="n">
        <v>37974</v>
      </c>
      <c r="I80" s="338" t="n">
        <f aca="false">EOMONTH(I79,0)+1</f>
        <v>48183</v>
      </c>
      <c r="J80" s="389" t="n">
        <f aca="false">VLOOKUP(I80,$B$12:$C$332,2)</f>
        <v>45644</v>
      </c>
      <c r="K80" s="339" t="n">
        <f aca="false">NETWORKDAYS(I80,J81)/N80</f>
        <v>-78.8695652173913</v>
      </c>
      <c r="L80" s="309" t="n">
        <f aca="false">YEAR(I80)-1900</f>
        <v>131</v>
      </c>
      <c r="M80" s="310" t="n">
        <f aca="false">MONTH(I80)</f>
        <v>12</v>
      </c>
      <c r="N80" s="340" t="n">
        <f aca="false">NETWORKDAYS(I80,I81-1)</f>
        <v>23</v>
      </c>
      <c r="O80" s="341" t="n">
        <f aca="false">I80-DateToday-IF(EuroExpDateToggle=1,3+IF(WEEKDAY(I80-1)=7,1,IF(WEEKDAY(I80-1)&lt;5,2,0)),1+IF(WEEKDAY(I80-1)=7,1,IF(WEEKDAY(I80-1)&lt;3,2,0)))</f>
        <v>2252</v>
      </c>
      <c r="P80" s="342" t="n">
        <f aca="false">(I80-DateToday+1)/365.25</f>
        <v>6.18206707734429</v>
      </c>
      <c r="Q80" s="342" t="n">
        <f aca="false">(I81-DateToday)/365.25</f>
        <v>6.26420260095825</v>
      </c>
      <c r="R80" s="314" t="n">
        <v>18.95</v>
      </c>
      <c r="S80" s="347" t="n">
        <v>0</v>
      </c>
      <c r="T80" s="316" t="n">
        <f aca="false">R80+S80/100</f>
        <v>18.95</v>
      </c>
      <c r="U80" s="325" t="n">
        <f aca="false">R81*K80+R82*(1-K80)</f>
        <v>18.95</v>
      </c>
      <c r="V80" s="337" t="n">
        <f aca="false">T81*K80+T82*(1-K80)</f>
        <v>18.95</v>
      </c>
      <c r="W80" s="318" t="n">
        <v>0.189</v>
      </c>
      <c r="X80" s="319" t="str">
        <f aca="false">IF($I80-DateToday+1&gt;=$A$10,"",IF($I80-DateToday+1&lt;$A$5,1,MATCH($I80-DateToday+1,$A$5:$A$10)))</f>
        <v/>
      </c>
      <c r="Y80" s="348" t="n">
        <f aca="false">IF($X80="",Y79^2/Y78,INDEX(B$5:B$10,$X80)^((INDEX($A$5:$A$10,$X80+1)-($I80-DateToday+1))/(INDEX($A$5:$A$10,$X80+1)-INDEX($A$5:$A$10,$X80)))/INDEX(B$5:B$10,$X80+1)^((INDEX($A$5:$A$10,$X80)-($I80-DateToday+1))/(INDEX($A$5:$A$10,$X80+1)-INDEX($A$5:$A$10,$X80))))</f>
        <v>0.00309065287880987</v>
      </c>
      <c r="Z80" s="348" t="n">
        <f aca="false">IF($X80="",Z79^2/Z78,INDEX(C$5:C$10,$X80)^((INDEX($A$5:$A$10,$X80+1)-($I80-DateToday+1))/(INDEX($A$5:$A$10,$X80+1)-INDEX($A$5:$A$10,$X80)))/INDEX(C$5:C$10,$X80+1)^((INDEX($A$5:$A$10,$X80)-($I80-DateToday+1))/(INDEX($A$5:$A$10,$X80+1)-INDEX($A$5:$A$10,$X80))))</f>
        <v>0.00127903703775739</v>
      </c>
      <c r="AA80" s="348" t="n">
        <f aca="false">IF($X80="",AA79^2/AA78,INDEX(D$5:D$10,$X80)^((INDEX($A$5:$A$10,$X80+1)-($I80-DateToday+1))/(INDEX($A$5:$A$10,$X80+1)-INDEX($A$5:$A$10,$X80)))/INDEX(D$5:D$10,$X80+1)^((INDEX($A$5:$A$10,$X80)-($I80-DateToday+1))/(INDEX($A$5:$A$10,$X80+1)-INDEX($A$5:$A$10,$X80))))</f>
        <v>0.000499574926712965</v>
      </c>
      <c r="AB80" s="348" t="n">
        <f aca="false">IF($X80="",AB79^2/AB78,INDEX(E$5:E$10,$X80)^((INDEX($A$5:$A$10,$X80+1)-($I80-DateToday+1))/(INDEX($A$5:$A$10,$X80+1)-INDEX($A$5:$A$10,$X80)))/INDEX(E$5:E$10,$X80+1)^((INDEX($A$5:$A$10,$X80)-($I80-DateToday+1))/(INDEX($A$5:$A$10,$X80+1)-INDEX($A$5:$A$10,$X80))))</f>
        <v>0.00112544239489899</v>
      </c>
      <c r="AC80" s="348" t="n">
        <f aca="false">IF($X80="",AC79^2/AC78,INDEX(F$5:F$10,$X80)^((INDEX($A$5:$A$10,$X80+1)-($I80-DateToday+1))/(INDEX($A$5:$A$10,$X80+1)-INDEX($A$5:$A$10,$X80)))/INDEX(F$5:F$10,$X80+1)^((INDEX($A$5:$A$10,$X80)-($I80-DateToday+1))/(INDEX($A$5:$A$10,$X80+1)-INDEX($A$5:$A$10,$X80))))</f>
        <v>0.00288141463865987</v>
      </c>
      <c r="AD80" s="348" t="n">
        <f aca="false">IF($X80="",AD79^2/AD78,INDEX(G$5:G$10,$X80)^((INDEX($A$5:$A$10,$X80+1)-($I80-DateToday+1))/(INDEX($A$5:$A$10,$X80+1)-INDEX($A$5:$A$10,$X80)))/INDEX(G$5:G$10,$X80+1)^((INDEX($A$5:$A$10,$X80)-($I80-DateToday+1))/(INDEX($A$5:$A$10,$X80+1)-INDEX($A$5:$A$10,$X80))))</f>
        <v>0.00696262280538262</v>
      </c>
      <c r="AE80" s="321" t="n">
        <v>0.073339930132571</v>
      </c>
      <c r="AF80" s="316" t="n">
        <f aca="false">(1+AE80/2)^(-2*(I81-DateToday)/365.25)</f>
        <v>0.636867778008542</v>
      </c>
      <c r="AG80" s="316" t="n">
        <f aca="false">AG79*(1+IF(AND(M80=1,L80&gt;YearStart),Escalation,0))</f>
        <v>1</v>
      </c>
      <c r="AH80" s="322" t="n">
        <f aca="false">IF(OR(DateStart&gt;=I81,DateEnd&lt;I80),0,Volume*AG80)</f>
        <v>0</v>
      </c>
      <c r="AI80" s="322" t="n">
        <f aca="false">AH80*AF80</f>
        <v>0</v>
      </c>
      <c r="AJ80" s="322" t="n">
        <f aca="false">IF(OR(DateStart2&gt;=I81,DateEnd2&lt;I80),0,VolumeSwaption*AG80)</f>
        <v>0</v>
      </c>
      <c r="AK80" s="322" t="n">
        <f aca="false">AJ80*AF80</f>
        <v>0</v>
      </c>
      <c r="AL80" s="316" t="str">
        <f aca="true">IF(AH80,OFFSET(BY80,0,HorizontalPriceOffset)+PriceSpreadAsian,"")</f>
        <v/>
      </c>
      <c r="AM80" s="316" t="str">
        <f aca="false">IF(AH80,Strike1/AL80-1,"")</f>
        <v/>
      </c>
      <c r="AN80" s="316" t="str">
        <f aca="false">IF(AH80,Strike2/AL80-1,"")</f>
        <v/>
      </c>
      <c r="AO80" s="323" t="str">
        <f aca="false">IF(AH80,IF(VolOverrideAsian,VolOverrideAsian,IF(ProductGroup=1,IF(Product&lt;3,DA81,DE81),W81)+VolSpreadAsian),"")</f>
        <v/>
      </c>
      <c r="AP80" s="323" t="str">
        <f aca="false">IF($AH80,$AO80+IF(SkewFlag=1,IF(AM80&gt;0,$AA80*MIN(AM80/10%,1)+($Z80-$AA80)*MAX(0,MIN(AM80/10%-1,1))+($Y80-$Z80)*MAX(0,AM80/10%-2),$AB80*MIN(-AM80/10%,1)+($AC80-$AB80)*MAX(0,MIN(-AM80/10%-1,1))+($AD80-$AC80)*MAX(0,-AM80/10%-2)),0),"")</f>
        <v/>
      </c>
      <c r="AQ80" s="323" t="str">
        <f aca="false">IF($AH80,$AO80+IF(SkewFlag=1,IF(AN80&gt;0,$AA80*MIN(AN80/10%,1)+($Z80-$AA80)*MAX(0,MIN(AN80/10%-1,1))+($Y80-$Z80)*MAX(0,AN80/10%-2),$AB80*MIN(-AN80/10%,1)+($AC80-$AB80)*MAX(0,MIN(-AN80/10%-1,1))+($AD80-$AC80)*MAX(0,-AN80/10%-2)),0),"")</f>
        <v/>
      </c>
      <c r="AR80" s="324" t="n">
        <f aca="false">IF(AH80,xASN(AL80,Strike1,AE80,AP80,0,N80,0,P80,Q80,IF(OptControl=4,0,1),0),0)</f>
        <v>0</v>
      </c>
      <c r="AS80" s="324" t="n">
        <f aca="false">IF(AH80,xASN(AL80,Strike1,AE80,AP80,0,N80,0,P80,Q80,IF(OptControl=4,0,1),1),0)</f>
        <v>0</v>
      </c>
      <c r="AT80" s="324" t="n">
        <f aca="false">IF(AH80,xASN(AL80,Strike1,AE80,AP80,0,N80,0,P80,Q80,IF(OptControl=4,0,1),2),0)</f>
        <v>0</v>
      </c>
      <c r="AU80" s="324" t="n">
        <f aca="false">IF(AH80,xASN(AL80,Strike1,AE80,AP80,0,N80,0,P80,Q80,IF(OptControl=4,0,1),3)/100,0)</f>
        <v>0</v>
      </c>
      <c r="AV80" s="324" t="n">
        <f aca="false">IF(AH80,xASN(AL80,Strike1,AE80,AP80,0,N80,0,P80-DaysForThetaCalculation/365.25,Q80-DaysForThetaCalculation/365.25,IF(OptControl=4,0,1),0)-xASN(AL80,Strike1,AE80,AP80,0,N80,0,P80,Q80,IF(OptControl=4,0,1),0),0)</f>
        <v>0</v>
      </c>
      <c r="AW80" s="324" t="n">
        <f aca="false">IF(AH80,xASN(AL80,Strike2,AE80,AQ80,0,N80,0,P80,Q80,IF(OptControl=3,1,0),0),0)</f>
        <v>0</v>
      </c>
      <c r="AX80" s="324" t="n">
        <f aca="false">IF(AH80,xASN(AL80,Strike2,AE80,AQ80,0,N80,0,P80,Q80,IF(OptControl=3,1,0),1),0)</f>
        <v>0</v>
      </c>
      <c r="AY80" s="324" t="n">
        <f aca="false">IF(AH80,xASN(AL80,Strike2,AE80,AQ80,0,N80,0,P80,Q80,IF(OptControl=3,1,0),2),0)</f>
        <v>0</v>
      </c>
      <c r="AZ80" s="324" t="n">
        <f aca="false">IF(AH80,xASN(AL80,Strike2,AE80,AQ80,0,N80,0,P80,Q80,IF(OptControl=3,1,0),3)/100,0)</f>
        <v>0</v>
      </c>
      <c r="BA80" s="324" t="n">
        <f aca="false">IF(AH80,xASN(AL80,Strike2,AE80,AQ80,0,N80,0,P80-DaysForThetaCalculation/365.25,Q80-DaysForThetaCalculation/365.25,IF(OptControl=3,1,0),0)-xASN(AL80,Strike2,AE80,AQ80,0,N80,0,P80,Q80,IF(OptControl=3,1,0),0),0)</f>
        <v>0</v>
      </c>
      <c r="BB80" s="325" t="str">
        <f aca="false">IF(AH80,IF(ProductGroup=1,IF(Product=1,BX80+PriceSpreadEuro,IF(Product=3,CK80+PriceSpreadEuro,"N/A")),"N/A"),"")</f>
        <v/>
      </c>
      <c r="BC80" s="316" t="str">
        <f aca="false">IF(AH80,Strike1/BB80-1,"")</f>
        <v/>
      </c>
      <c r="BD80" s="316" t="str">
        <f aca="false">IF(AH80,Strike2/BB80-1,"")</f>
        <v/>
      </c>
      <c r="BE80" s="326" t="str">
        <f aca="false">IF(AH80,IF(VolOverrideEuro,VolOverrideEuro,IF(ProductGroup=1,IF(Product&lt;3,DA80,DE80)+VolSpreadEuro,"N/A")),"")</f>
        <v/>
      </c>
      <c r="BF80" s="323" t="str">
        <f aca="false">IF($AH80,$BE80+IF(SkewFlag=1,IF(BC80&gt;0,$AA80*MIN(BC80/10%,1)+($Z80-$AA80)*MAX(0,MIN(BC80/10%-1,1))+($Y80-$Z80)*MAX(0,BC80/10%-2),$AB80*MIN(-BC80/10%,1)+($AC80-$AB80)*MAX(0,MIN(-BC80/10%-1,1))+($AD80-$AC80)*MAX(0,-BC80/10%-2)),0),"")</f>
        <v/>
      </c>
      <c r="BG80" s="323" t="str">
        <f aca="false">IF($AH80,$BE80+IF(SkewFlag=1,IF(BD80&gt;0,$AA80*MIN(BD80/10%,1)+($Z80-$AA80)*MAX(0,MIN(BD80/10%-1,1))+($Y80-$Z80)*MAX(0,BD80/10%-2),$AB80*MIN(-BD80/10%,1)+($AC80-$AB80)*MAX(0,MIN(-BD80/10%-1,1))+($AD80-$AC80)*MAX(0,-BD80/10%-2)),0),"")</f>
        <v/>
      </c>
      <c r="BH80" s="324" t="n">
        <f aca="false">IF(AH80,xEURO(BB80,Strike1,AE80,AE80,BF80,O80,IF(OptControl=4,0,1),0),0)</f>
        <v>0</v>
      </c>
      <c r="BI80" s="324" t="n">
        <f aca="false">IF(AH80,xEURO(BB80,Strike1,AE80,AE80,BF80,O80,IF(OptControl=4,0,1),1),0)</f>
        <v>0</v>
      </c>
      <c r="BJ80" s="324" t="n">
        <f aca="false">IF(AH80,xEURO(BB80,Strike1,AE80,AE80,BF80,O80,IF(OptControl=4,0,1),2),0)</f>
        <v>0</v>
      </c>
      <c r="BK80" s="324" t="n">
        <f aca="false">IF(AH80,xEURO(BB80,Strike1,AE80,AE80,BF80,O80,IF(OptControl=4,0,1),3)/100,0)</f>
        <v>0</v>
      </c>
      <c r="BL80" s="324" t="n">
        <f aca="false">IF(AH80,xEURO(BB80,Strike1,AE80,AE80,BF80,O80-DaysForThetaCalculation,IF(OptControl=4,0,1),0)-xEURO(BB80,Strike1,AE80,AE80,BF80,O80,IF(OptControl=4,0,1),0),0)</f>
        <v>0</v>
      </c>
      <c r="BM80" s="324" t="n">
        <f aca="false">IF(AH80,xEURO(BB80,Strike2,AE80,AE80,BG80,O80,IF(OptControl=3,1,0),0),0)</f>
        <v>0</v>
      </c>
      <c r="BN80" s="324" t="n">
        <f aca="false">IF(AH80,xEURO(BB80,Strike2,AE80,AE80,BG80,O80,IF(OptControl=3,1,0),1),0)</f>
        <v>0</v>
      </c>
      <c r="BO80" s="324" t="n">
        <f aca="false">IF(AH80,xEURO(BB80,Strike2,AE80,AE80,BG80,O80,IF(OptControl=3,1,0),2),0)</f>
        <v>0</v>
      </c>
      <c r="BP80" s="324" t="n">
        <f aca="false">IF(AH80,xEURO(BB80,Strike2,AE80,AE80,BG80,O80,IF(OptControl=3,1,0),3)/100,0)</f>
        <v>0</v>
      </c>
      <c r="BQ80" s="327" t="n">
        <f aca="false">IF(AH80,xEURO(BB80,Strike2,AE80,AE80,BG80,O80-DaysForThetaCalculation,IF(OptControl=3,1,0),0)-xEURO(BB80,Strike2,AE80,AE80,BG80,O80,IF(OptControl=3,1,0),0),0)</f>
        <v>0</v>
      </c>
      <c r="BR80" s="343"/>
      <c r="BS80" s="314" t="n">
        <v>26.674</v>
      </c>
      <c r="BT80" s="329" t="n">
        <f aca="false">BS80*100/42</f>
        <v>63.5095238095238</v>
      </c>
      <c r="BU80" s="329" t="n">
        <f aca="false">BS81-$U80</f>
        <v>7.29599999999995</v>
      </c>
      <c r="BV80" s="224"/>
      <c r="BW80" s="329" t="n">
        <f aca="false">BW68+VLOOKUP(1900+$L80,ProductSpreadTable,2)</f>
        <v>15.4439565217392</v>
      </c>
      <c r="BX80" s="329" t="n">
        <f aca="false">($V79+BW79)*100/42</f>
        <v>91.1666666666667</v>
      </c>
      <c r="BY80" s="332" t="n">
        <f aca="false">BX81</f>
        <v>81.8903726708077</v>
      </c>
      <c r="BZ80" s="314" t="n">
        <v>24.356</v>
      </c>
      <c r="CA80" s="329" t="n">
        <f aca="false">BZ80*100/42</f>
        <v>57.9904761904762</v>
      </c>
      <c r="CB80" s="329" t="n">
        <f aca="false">BZ80-$U80</f>
        <v>5.40599999999995</v>
      </c>
      <c r="CC80" s="329" t="n">
        <f aca="false">CC68+VLOOKUP(1900+$L80,ProductSpreadTable,3)</f>
        <v>12.8189565217392</v>
      </c>
      <c r="CD80" s="329" t="n">
        <f aca="false">($V80+CC80)*100/42</f>
        <v>75.6403726708077</v>
      </c>
      <c r="CE80" s="333" t="n">
        <f aca="false">CD80-BY80</f>
        <v>-6.25</v>
      </c>
      <c r="CF80" s="314" t="n">
        <v>20.92</v>
      </c>
      <c r="CG80" s="329" t="n">
        <f aca="false">CF80*100/42</f>
        <v>49.8095238095238</v>
      </c>
      <c r="CH80" s="329" t="n">
        <f aca="false">CF81-$U80</f>
        <v>2.05399999999996</v>
      </c>
      <c r="CI80" s="224"/>
      <c r="CJ80" s="329" t="n">
        <f aca="false">CJ68+VLOOKUP(1900+$L80,ProductSpreadTable,4)</f>
        <v>7.90800000000003</v>
      </c>
      <c r="CK80" s="329" t="n">
        <f aca="false">($V79+CJ79)*100/42</f>
        <v>65.489342403628</v>
      </c>
      <c r="CL80" s="329" t="n">
        <f aca="false">CK81</f>
        <v>63.9476190476192</v>
      </c>
      <c r="CM80" s="314" t="n">
        <v>20.185</v>
      </c>
      <c r="CN80" s="329" t="n">
        <f aca="false">CM80*100/42</f>
        <v>48.0595238095238</v>
      </c>
      <c r="CO80" s="329" t="n">
        <f aca="false">CM80-$U80</f>
        <v>1.23499999999995</v>
      </c>
      <c r="CP80" s="329" t="n">
        <f aca="false">CP68+VLOOKUP(1900+$L80,ProductSpreadTable,5)</f>
        <v>6.98400000000003</v>
      </c>
      <c r="CQ80" s="329" t="n">
        <f aca="false">($V80+CP80)*100/42</f>
        <v>61.7476190476192</v>
      </c>
      <c r="CR80" s="333" t="n">
        <f aca="false">CQ80-CL80</f>
        <v>-2.20000000000002</v>
      </c>
      <c r="CS80" s="314" t="n">
        <v>21.13</v>
      </c>
      <c r="CT80" s="329" t="n">
        <f aca="false">CS80*100/42</f>
        <v>50.3095238095238</v>
      </c>
      <c r="CU80" s="329" t="n">
        <f aca="false">CT80-CG81</f>
        <v>0.299999999999997</v>
      </c>
      <c r="CV80" s="329" t="n">
        <f aca="false">CV68+VLOOKUP(1900+$L80,ProductSpreadTable,6)</f>
        <v>1.34999999999999</v>
      </c>
      <c r="CW80" s="333" t="n">
        <f aca="false">CL80+CV80</f>
        <v>65.2976190476192</v>
      </c>
      <c r="CX80" s="318" t="n">
        <v>0.189</v>
      </c>
      <c r="CY80" s="326" t="n">
        <f aca="false">CX80-$W80</f>
        <v>0</v>
      </c>
      <c r="CZ80" s="326" t="n">
        <f aca="false">VLOOKUP(1900+$L80,ProductSpreadTable,7)</f>
        <v>-0.03</v>
      </c>
      <c r="DA80" s="365" t="n">
        <f aca="false">$W80+CZ80</f>
        <v>0.159</v>
      </c>
      <c r="DB80" s="318" t="n">
        <v>0.189</v>
      </c>
      <c r="DC80" s="326" t="n">
        <f aca="false">DB80-$W80</f>
        <v>0</v>
      </c>
      <c r="DD80" s="326" t="n">
        <f aca="false">VLOOKUP(1900+$L80,ProductSpreadTable,8)</f>
        <v>0.03</v>
      </c>
      <c r="DE80" s="365" t="n">
        <f aca="false">$W80+DD80</f>
        <v>0.219</v>
      </c>
      <c r="DG80" s="336"/>
      <c r="DH80" s="314" t="n">
        <v>16.3</v>
      </c>
      <c r="DI80" s="325" t="n">
        <f aca="false">DH80-$U80</f>
        <v>-2.65000000000004</v>
      </c>
      <c r="DJ80" s="325" t="n">
        <f aca="false">VLOOKUP(1900+$L80,ResidSpreadTable,2)</f>
        <v>-2</v>
      </c>
      <c r="DK80" s="337" t="n">
        <f aca="false">$V80+DJ80</f>
        <v>16.95</v>
      </c>
      <c r="DL80" s="314" t="n">
        <v>13.7</v>
      </c>
      <c r="DM80" s="325" t="n">
        <f aca="false">DL80-$U80</f>
        <v>-5.25000000000005</v>
      </c>
      <c r="DN80" s="325" t="n">
        <f aca="false">VLOOKUP(1900+$L80,ResidSpreadTable,3)</f>
        <v>-3</v>
      </c>
      <c r="DO80" s="337" t="n">
        <f aca="false">$V80+DN80</f>
        <v>15.95</v>
      </c>
      <c r="DP80" s="314" t="n">
        <v>14.35</v>
      </c>
      <c r="DQ80" s="325" t="n">
        <f aca="false">DP80-$U80</f>
        <v>-4.60000000000005</v>
      </c>
      <c r="DR80" s="325" t="n">
        <f aca="false">VLOOKUP(1900+$L80,ResidSpreadTable,4)</f>
        <v>-6</v>
      </c>
      <c r="DS80" s="337" t="n">
        <f aca="false">$V80+DR80</f>
        <v>12.95</v>
      </c>
      <c r="DT80" s="314" t="n">
        <v>15.1</v>
      </c>
      <c r="DU80" s="325" t="n">
        <f aca="false">DT80-$U80</f>
        <v>-3.85000000000005</v>
      </c>
      <c r="DV80" s="325" t="n">
        <f aca="false">VLOOKUP(1900+$L80,ResidSpreadTable,5)</f>
        <v>-5</v>
      </c>
      <c r="DW80" s="337" t="n">
        <f aca="false">$V80+DV80</f>
        <v>13.95</v>
      </c>
    </row>
    <row r="81" customFormat="false" ht="12.75" hidden="false" customHeight="false" outlineLevel="0" collapsed="false">
      <c r="B81" s="371" t="n">
        <v>38018</v>
      </c>
      <c r="C81" s="391" t="n">
        <v>38008</v>
      </c>
      <c r="I81" s="338" t="n">
        <f aca="false">EOMONTH(I80,0)+1</f>
        <v>48214</v>
      </c>
      <c r="J81" s="389" t="n">
        <f aca="false">VLOOKUP(I81,$B$12:$C$332,2)</f>
        <v>45644</v>
      </c>
      <c r="K81" s="339" t="n">
        <f aca="false">NETWORKDAYS(I81,J82)/N81</f>
        <v>-83.5</v>
      </c>
      <c r="L81" s="309" t="n">
        <f aca="false">YEAR(I81)-1900</f>
        <v>132</v>
      </c>
      <c r="M81" s="310" t="n">
        <f aca="false">MONTH(I81)</f>
        <v>1</v>
      </c>
      <c r="N81" s="340" t="n">
        <f aca="false">NETWORKDAYS(I81,I82-1)</f>
        <v>22</v>
      </c>
      <c r="O81" s="341" t="n">
        <f aca="false">I81-DateToday-IF(EuroExpDateToggle=1,3+IF(WEEKDAY(I81-1)=7,1,IF(WEEKDAY(I81-1)&lt;5,2,0)),1+IF(WEEKDAY(I81-1)=7,1,IF(WEEKDAY(I81-1)&lt;3,2,0)))</f>
        <v>2283</v>
      </c>
      <c r="P81" s="342" t="n">
        <f aca="false">(I81-DateToday+1)/365.25</f>
        <v>6.26694045174538</v>
      </c>
      <c r="Q81" s="342" t="n">
        <f aca="false">(I82-DateToday)/365.25</f>
        <v>6.34907597535934</v>
      </c>
      <c r="R81" s="314" t="n">
        <v>18.95</v>
      </c>
      <c r="S81" s="347" t="n">
        <v>0</v>
      </c>
      <c r="T81" s="316" t="n">
        <f aca="false">R81+S81/100</f>
        <v>18.95</v>
      </c>
      <c r="U81" s="325" t="n">
        <f aca="false">R82*K81+R83*(1-K81)</f>
        <v>18.9499999999998</v>
      </c>
      <c r="V81" s="337" t="n">
        <f aca="false">T82*K81+T83*(1-K81)</f>
        <v>18.9499999999998</v>
      </c>
      <c r="W81" s="318" t="n">
        <v>0.1884</v>
      </c>
      <c r="X81" s="319" t="str">
        <f aca="false">IF($I81-DateToday+1&gt;=$A$10,"",IF($I81-DateToday+1&lt;$A$5,1,MATCH($I81-DateToday+1,$A$5:$A$10)))</f>
        <v/>
      </c>
      <c r="Y81" s="348" t="n">
        <f aca="false">IF($X81="",Y80^2/Y79,INDEX(B$5:B$10,$X81)^((INDEX($A$5:$A$10,$X81+1)-($I81-DateToday+1))/(INDEX($A$5:$A$10,$X81+1)-INDEX($A$5:$A$10,$X81)))/INDEX(B$5:B$10,$X81+1)^((INDEX($A$5:$A$10,$X81)-($I81-DateToday+1))/(INDEX($A$5:$A$10,$X81+1)-INDEX($A$5:$A$10,$X81))))</f>
        <v>0.00302448670133282</v>
      </c>
      <c r="Z81" s="348" t="n">
        <f aca="false">IF($X81="",Z80^2/Z79,INDEX(C$5:C$10,$X81)^((INDEX($A$5:$A$10,$X81+1)-($I81-DateToday+1))/(INDEX($A$5:$A$10,$X81+1)-INDEX($A$5:$A$10,$X81)))/INDEX(C$5:C$10,$X81+1)^((INDEX($A$5:$A$10,$X81)-($I81-DateToday+1))/(INDEX($A$5:$A$10,$X81+1)-INDEX($A$5:$A$10,$X81))))</f>
        <v>0.0012449533752882</v>
      </c>
      <c r="AA81" s="348" t="n">
        <f aca="false">IF($X81="",AA80^2/AA79,INDEX(D$5:D$10,$X81)^((INDEX($A$5:$A$10,$X81+1)-($I81-DateToday+1))/(INDEX($A$5:$A$10,$X81+1)-INDEX($A$5:$A$10,$X81)))/INDEX(D$5:D$10,$X81+1)^((INDEX($A$5:$A$10,$X81)-($I81-DateToday+1))/(INDEX($A$5:$A$10,$X81+1)-INDEX($A$5:$A$10,$X81))))</f>
        <v>0.000484958341210934</v>
      </c>
      <c r="AB81" s="348" t="n">
        <f aca="false">IF($X81="",AB80^2/AB79,INDEX(E$5:E$10,$X81)^((INDEX($A$5:$A$10,$X81+1)-($I81-DateToday+1))/(INDEX($A$5:$A$10,$X81+1)-INDEX($A$5:$A$10,$X81)))/INDEX(E$5:E$10,$X81+1)^((INDEX($A$5:$A$10,$X81)-($I81-DateToday+1))/(INDEX($A$5:$A$10,$X81+1)-INDEX($A$5:$A$10,$X81))))</f>
        <v>0.00109251415108001</v>
      </c>
      <c r="AC81" s="348" t="n">
        <f aca="false">IF($X81="",AC80^2/AC79,INDEX(F$5:F$10,$X81)^((INDEX($A$5:$A$10,$X81+1)-($I81-DateToday+1))/(INDEX($A$5:$A$10,$X81+1)-INDEX($A$5:$A$10,$X81)))/INDEX(F$5:F$10,$X81+1)^((INDEX($A$5:$A$10,$X81)-($I81-DateToday+1))/(INDEX($A$5:$A$10,$X81+1)-INDEX($A$5:$A$10,$X81))))</f>
        <v>0.00280463096384927</v>
      </c>
      <c r="AD81" s="348" t="n">
        <f aca="false">IF($X81="",AD80^2/AD79,INDEX(G$5:G$10,$X81)^((INDEX($A$5:$A$10,$X81+1)-($I81-DateToday+1))/(INDEX($A$5:$A$10,$X81+1)-INDEX($A$5:$A$10,$X81)))/INDEX(G$5:G$10,$X81+1)^((INDEX($A$5:$A$10,$X81)-($I81-DateToday+1))/(INDEX($A$5:$A$10,$X81+1)-INDEX($A$5:$A$10,$X81))))</f>
        <v>0.00681356364076231</v>
      </c>
      <c r="AE81" s="321" t="n">
        <v>0.073357265742112</v>
      </c>
      <c r="AF81" s="316" t="n">
        <f aca="false">(1+AE81/2)^(-2*(I82-DateToday)/365.25)</f>
        <v>0.632919155816311</v>
      </c>
      <c r="AG81" s="316" t="n">
        <f aca="false">AG80*(1+IF(AND(M81=1,L81&gt;YearStart),Escalation,0))</f>
        <v>1</v>
      </c>
      <c r="AH81" s="322" t="n">
        <f aca="false">IF(OR(DateStart&gt;=I82,DateEnd&lt;I81),0,Volume*AG81)</f>
        <v>0</v>
      </c>
      <c r="AI81" s="322" t="n">
        <f aca="false">AH81*AF81</f>
        <v>0</v>
      </c>
      <c r="AJ81" s="322" t="n">
        <f aca="false">IF(OR(DateStart2&gt;=I82,DateEnd2&lt;I81),0,VolumeSwaption*AG81)</f>
        <v>0</v>
      </c>
      <c r="AK81" s="322" t="n">
        <f aca="false">AJ81*AF81</f>
        <v>0</v>
      </c>
      <c r="AL81" s="316" t="str">
        <f aca="true">IF(AH81,OFFSET(BY81,0,HorizontalPriceOffset)+PriceSpreadAsian,"")</f>
        <v/>
      </c>
      <c r="AM81" s="316" t="str">
        <f aca="false">IF(AH81,Strike1/AL81-1,"")</f>
        <v/>
      </c>
      <c r="AN81" s="316" t="str">
        <f aca="false">IF(AH81,Strike2/AL81-1,"")</f>
        <v/>
      </c>
      <c r="AO81" s="323" t="str">
        <f aca="false">IF(AH81,IF(VolOverrideAsian,VolOverrideAsian,IF(ProductGroup=1,IF(Product&lt;3,DA82,DE82),W82)+VolSpreadAsian),"")</f>
        <v/>
      </c>
      <c r="AP81" s="323" t="str">
        <f aca="false">IF($AH81,$AO81+IF(SkewFlag=1,IF(AM81&gt;0,$AA81*MIN(AM81/10%,1)+($Z81-$AA81)*MAX(0,MIN(AM81/10%-1,1))+($Y81-$Z81)*MAX(0,AM81/10%-2),$AB81*MIN(-AM81/10%,1)+($AC81-$AB81)*MAX(0,MIN(-AM81/10%-1,1))+($AD81-$AC81)*MAX(0,-AM81/10%-2)),0),"")</f>
        <v/>
      </c>
      <c r="AQ81" s="323" t="str">
        <f aca="false">IF($AH81,$AO81+IF(SkewFlag=1,IF(AN81&gt;0,$AA81*MIN(AN81/10%,1)+($Z81-$AA81)*MAX(0,MIN(AN81/10%-1,1))+($Y81-$Z81)*MAX(0,AN81/10%-2),$AB81*MIN(-AN81/10%,1)+($AC81-$AB81)*MAX(0,MIN(-AN81/10%-1,1))+($AD81-$AC81)*MAX(0,-AN81/10%-2)),0),"")</f>
        <v/>
      </c>
      <c r="AR81" s="324" t="n">
        <f aca="false">IF(AH81,xASN(AL81,Strike1,AE81,AP81,0,N81,0,P81,Q81,IF(OptControl=4,0,1),0),0)</f>
        <v>0</v>
      </c>
      <c r="AS81" s="324" t="n">
        <f aca="false">IF(AH81,xASN(AL81,Strike1,AE81,AP81,0,N81,0,P81,Q81,IF(OptControl=4,0,1),1),0)</f>
        <v>0</v>
      </c>
      <c r="AT81" s="324" t="n">
        <f aca="false">IF(AH81,xASN(AL81,Strike1,AE81,AP81,0,N81,0,P81,Q81,IF(OptControl=4,0,1),2),0)</f>
        <v>0</v>
      </c>
      <c r="AU81" s="324" t="n">
        <f aca="false">IF(AH81,xASN(AL81,Strike1,AE81,AP81,0,N81,0,P81,Q81,IF(OptControl=4,0,1),3)/100,0)</f>
        <v>0</v>
      </c>
      <c r="AV81" s="324" t="n">
        <f aca="false">IF(AH81,xASN(AL81,Strike1,AE81,AP81,0,N81,0,P81-DaysForThetaCalculation/365.25,Q81-DaysForThetaCalculation/365.25,IF(OptControl=4,0,1),0)-xASN(AL81,Strike1,AE81,AP81,0,N81,0,P81,Q81,IF(OptControl=4,0,1),0),0)</f>
        <v>0</v>
      </c>
      <c r="AW81" s="324" t="n">
        <f aca="false">IF(AH81,xASN(AL81,Strike2,AE81,AQ81,0,N81,0,P81,Q81,IF(OptControl=3,1,0),0),0)</f>
        <v>0</v>
      </c>
      <c r="AX81" s="324" t="n">
        <f aca="false">IF(AH81,xASN(AL81,Strike2,AE81,AQ81,0,N81,0,P81,Q81,IF(OptControl=3,1,0),1),0)</f>
        <v>0</v>
      </c>
      <c r="AY81" s="324" t="n">
        <f aca="false">IF(AH81,xASN(AL81,Strike2,AE81,AQ81,0,N81,0,P81,Q81,IF(OptControl=3,1,0),2),0)</f>
        <v>0</v>
      </c>
      <c r="AZ81" s="324" t="n">
        <f aca="false">IF(AH81,xASN(AL81,Strike2,AE81,AQ81,0,N81,0,P81,Q81,IF(OptControl=3,1,0),3)/100,0)</f>
        <v>0</v>
      </c>
      <c r="BA81" s="324" t="n">
        <f aca="false">IF(AH81,xASN(AL81,Strike2,AE81,AQ81,0,N81,0,P81-DaysForThetaCalculation/365.25,Q81-DaysForThetaCalculation/365.25,IF(OptControl=3,1,0),0)-xASN(AL81,Strike2,AE81,AQ81,0,N81,0,P81,Q81,IF(OptControl=3,1,0),0),0)</f>
        <v>0</v>
      </c>
      <c r="BB81" s="325" t="str">
        <f aca="false">IF(AH81,IF(ProductGroup=1,IF(Product=1,BX81+PriceSpreadEuro,IF(Product=3,CK81+PriceSpreadEuro,"N/A")),"N/A"),"")</f>
        <v/>
      </c>
      <c r="BC81" s="316" t="str">
        <f aca="false">IF(AH81,Strike1/BB81-1,"")</f>
        <v/>
      </c>
      <c r="BD81" s="316" t="str">
        <f aca="false">IF(AH81,Strike2/BB81-1,"")</f>
        <v/>
      </c>
      <c r="BE81" s="326" t="str">
        <f aca="false">IF(AH81,IF(VolOverrideEuro,VolOverrideEuro,IF(ProductGroup=1,IF(Product&lt;3,DA81,DE81)+VolSpreadEuro,"N/A")),"")</f>
        <v/>
      </c>
      <c r="BF81" s="323" t="str">
        <f aca="false">IF($AH81,$BE81+IF(SkewFlag=1,IF(BC81&gt;0,$AA81*MIN(BC81/10%,1)+($Z81-$AA81)*MAX(0,MIN(BC81/10%-1,1))+($Y81-$Z81)*MAX(0,BC81/10%-2),$AB81*MIN(-BC81/10%,1)+($AC81-$AB81)*MAX(0,MIN(-BC81/10%-1,1))+($AD81-$AC81)*MAX(0,-BC81/10%-2)),0),"")</f>
        <v/>
      </c>
      <c r="BG81" s="323" t="str">
        <f aca="false">IF($AH81,$BE81+IF(SkewFlag=1,IF(BD81&gt;0,$AA81*MIN(BD81/10%,1)+($Z81-$AA81)*MAX(0,MIN(BD81/10%-1,1))+($Y81-$Z81)*MAX(0,BD81/10%-2),$AB81*MIN(-BD81/10%,1)+($AC81-$AB81)*MAX(0,MIN(-BD81/10%-1,1))+($AD81-$AC81)*MAX(0,-BD81/10%-2)),0),"")</f>
        <v/>
      </c>
      <c r="BH81" s="324" t="n">
        <f aca="false">IF(AH81,xEURO(BB81,Strike1,AE81,AE81,BF81,O81,IF(OptControl=4,0,1),0),0)</f>
        <v>0</v>
      </c>
      <c r="BI81" s="324" t="n">
        <f aca="false">IF(AH81,xEURO(BB81,Strike1,AE81,AE81,BF81,O81,IF(OptControl=4,0,1),1),0)</f>
        <v>0</v>
      </c>
      <c r="BJ81" s="324" t="n">
        <f aca="false">IF(AH81,xEURO(BB81,Strike1,AE81,AE81,BF81,O81,IF(OptControl=4,0,1),2),0)</f>
        <v>0</v>
      </c>
      <c r="BK81" s="324" t="n">
        <f aca="false">IF(AH81,xEURO(BB81,Strike1,AE81,AE81,BF81,O81,IF(OptControl=4,0,1),3)/100,0)</f>
        <v>0</v>
      </c>
      <c r="BL81" s="324" t="n">
        <f aca="false">IF(AH81,xEURO(BB81,Strike1,AE81,AE81,BF81,O81-DaysForThetaCalculation,IF(OptControl=4,0,1),0)-xEURO(BB81,Strike1,AE81,AE81,BF81,O81,IF(OptControl=4,0,1),0),0)</f>
        <v>0</v>
      </c>
      <c r="BM81" s="324" t="n">
        <f aca="false">IF(AH81,xEURO(BB81,Strike2,AE81,AE81,BG81,O81,IF(OptControl=3,1,0),0),0)</f>
        <v>0</v>
      </c>
      <c r="BN81" s="324" t="n">
        <f aca="false">IF(AH81,xEURO(BB81,Strike2,AE81,AE81,BG81,O81,IF(OptControl=3,1,0),1),0)</f>
        <v>0</v>
      </c>
      <c r="BO81" s="324" t="n">
        <f aca="false">IF(AH81,xEURO(BB81,Strike2,AE81,AE81,BG81,O81,IF(OptControl=3,1,0),2),0)</f>
        <v>0</v>
      </c>
      <c r="BP81" s="324" t="n">
        <f aca="false">IF(AH81,xEURO(BB81,Strike2,AE81,AE81,BG81,O81,IF(OptControl=3,1,0),3)/100,0)</f>
        <v>0</v>
      </c>
      <c r="BQ81" s="327" t="n">
        <f aca="false">IF(AH81,xEURO(BB81,Strike2,AE81,AE81,BG81,O81-DaysForThetaCalculation,IF(OptControl=3,1,0),0)-xEURO(BB81,Strike2,AE81,AE81,BG81,O81,IF(OptControl=3,1,0),0),0)</f>
        <v>0</v>
      </c>
      <c r="BR81" s="343"/>
      <c r="BS81" s="314" t="n">
        <v>26.246</v>
      </c>
      <c r="BT81" s="329" t="n">
        <f aca="false">BS81*100/42</f>
        <v>62.4904761904762</v>
      </c>
      <c r="BU81" s="329" t="n">
        <f aca="false">BS82-$U81</f>
        <v>6.76200000000019</v>
      </c>
      <c r="BV81" s="224"/>
      <c r="BW81" s="329" t="n">
        <f aca="false">BW69+VLOOKUP(1900+$L81,ProductSpreadTable,2)</f>
        <v>14.8692727272728</v>
      </c>
      <c r="BX81" s="329" t="n">
        <f aca="false">($V80+BW80)*100/42</f>
        <v>81.8903726708077</v>
      </c>
      <c r="BY81" s="332" t="n">
        <f aca="false">BX82</f>
        <v>80.5220779220776</v>
      </c>
      <c r="BZ81" s="314" t="n">
        <v>23.822</v>
      </c>
      <c r="CA81" s="329" t="n">
        <f aca="false">BZ81*100/42</f>
        <v>56.7190476190476</v>
      </c>
      <c r="CB81" s="329" t="n">
        <f aca="false">BZ81-$U81</f>
        <v>4.87200000000019</v>
      </c>
      <c r="CC81" s="329" t="n">
        <f aca="false">CC69+VLOOKUP(1900+$L81,ProductSpreadTable,3)</f>
        <v>12.4542727272728</v>
      </c>
      <c r="CD81" s="329" t="n">
        <f aca="false">($V81+CC81)*100/42</f>
        <v>74.7720779220775</v>
      </c>
      <c r="CE81" s="333" t="n">
        <f aca="false">CD81-BY81</f>
        <v>-5.75000000000003</v>
      </c>
      <c r="CF81" s="314" t="n">
        <v>21.004</v>
      </c>
      <c r="CG81" s="329" t="n">
        <f aca="false">CF81*100/42</f>
        <v>50.0095238095238</v>
      </c>
      <c r="CH81" s="329" t="n">
        <f aca="false">CF82-$U81</f>
        <v>2.38200000000018</v>
      </c>
      <c r="CI81" s="224"/>
      <c r="CJ81" s="329" t="n">
        <f aca="false">CJ69+VLOOKUP(1900+$L81,ProductSpreadTable,4)</f>
        <v>8.45299999999997</v>
      </c>
      <c r="CK81" s="329" t="n">
        <f aca="false">($V80+CJ80)*100/42</f>
        <v>63.9476190476192</v>
      </c>
      <c r="CL81" s="329" t="n">
        <f aca="false">CK82</f>
        <v>65.2452380952376</v>
      </c>
      <c r="CM81" s="314" t="n">
        <v>20.408</v>
      </c>
      <c r="CN81" s="329" t="n">
        <f aca="false">CM81*100/42</f>
        <v>48.5904761904762</v>
      </c>
      <c r="CO81" s="329" t="n">
        <f aca="false">CM81-$U81</f>
        <v>1.45800000000018</v>
      </c>
      <c r="CP81" s="329" t="n">
        <f aca="false">CP69+VLOOKUP(1900+$L81,ProductSpreadTable,5)</f>
        <v>7.52899999999997</v>
      </c>
      <c r="CQ81" s="329" t="n">
        <f aca="false">($V81+CP81)*100/42</f>
        <v>63.0452380952376</v>
      </c>
      <c r="CR81" s="333" t="n">
        <f aca="false">CQ81-CL81</f>
        <v>-2.2</v>
      </c>
      <c r="CS81" s="314" t="n">
        <v>21.458</v>
      </c>
      <c r="CT81" s="329" t="n">
        <f aca="false">CS81*100/42</f>
        <v>51.0904761904762</v>
      </c>
      <c r="CU81" s="329" t="n">
        <f aca="false">CT81-CG82</f>
        <v>0.300000000000011</v>
      </c>
      <c r="CV81" s="329" t="n">
        <f aca="false">CV69+VLOOKUP(1900+$L81,ProductSpreadTable,6)</f>
        <v>1.34999999999999</v>
      </c>
      <c r="CW81" s="333" t="n">
        <f aca="false">CL81+CV81</f>
        <v>66.5952380952376</v>
      </c>
      <c r="CX81" s="318" t="n">
        <v>0.188</v>
      </c>
      <c r="CY81" s="326" t="n">
        <f aca="false">CX81-$W81</f>
        <v>-0.000400000000000011</v>
      </c>
      <c r="CZ81" s="326" t="n">
        <f aca="false">VLOOKUP(1900+$L81,ProductSpreadTable,7)</f>
        <v>-0.03</v>
      </c>
      <c r="DA81" s="365" t="n">
        <f aca="false">$W81+CZ81</f>
        <v>0.1584</v>
      </c>
      <c r="DB81" s="318" t="n">
        <v>0.188</v>
      </c>
      <c r="DC81" s="326" t="n">
        <f aca="false">DB81-$W81</f>
        <v>-0.000400000000000011</v>
      </c>
      <c r="DD81" s="326" t="n">
        <f aca="false">VLOOKUP(1900+$L81,ProductSpreadTable,8)</f>
        <v>0.03</v>
      </c>
      <c r="DE81" s="365" t="n">
        <f aca="false">$W81+DD81</f>
        <v>0.2184</v>
      </c>
      <c r="DG81" s="336"/>
      <c r="DH81" s="314" t="n">
        <v>16.3</v>
      </c>
      <c r="DI81" s="325" t="n">
        <f aca="false">DH81-$U81</f>
        <v>-2.64999999999982</v>
      </c>
      <c r="DJ81" s="325" t="n">
        <f aca="false">VLOOKUP(1900+$L81,ResidSpreadTable,2)</f>
        <v>-2</v>
      </c>
      <c r="DK81" s="337" t="n">
        <f aca="false">$V81+DJ81</f>
        <v>16.9499999999998</v>
      </c>
      <c r="DL81" s="314" t="n">
        <v>13.7</v>
      </c>
      <c r="DM81" s="325" t="n">
        <f aca="false">DL81-$U81</f>
        <v>-5.24999999999982</v>
      </c>
      <c r="DN81" s="325" t="n">
        <f aca="false">VLOOKUP(1900+$L81,ResidSpreadTable,3)</f>
        <v>-3</v>
      </c>
      <c r="DO81" s="337" t="n">
        <f aca="false">$V81+DN81</f>
        <v>15.9499999999998</v>
      </c>
      <c r="DP81" s="314" t="n">
        <v>14.35</v>
      </c>
      <c r="DQ81" s="325" t="n">
        <f aca="false">DP81-$U81</f>
        <v>-4.59999999999982</v>
      </c>
      <c r="DR81" s="325" t="n">
        <f aca="false">VLOOKUP(1900+$L81,ResidSpreadTable,4)</f>
        <v>-6</v>
      </c>
      <c r="DS81" s="337" t="n">
        <f aca="false">$V81+DR81</f>
        <v>12.9499999999998</v>
      </c>
      <c r="DT81" s="314" t="n">
        <v>15.25</v>
      </c>
      <c r="DU81" s="325" t="n">
        <f aca="false">DT81-$U81</f>
        <v>-3.69999999999982</v>
      </c>
      <c r="DV81" s="325" t="n">
        <f aca="false">VLOOKUP(1900+$L81,ResidSpreadTable,5)</f>
        <v>-5</v>
      </c>
      <c r="DW81" s="337" t="n">
        <f aca="false">$V81+DV81</f>
        <v>13.9499999999998</v>
      </c>
    </row>
    <row r="82" customFormat="false" ht="12.75" hidden="false" customHeight="false" outlineLevel="0" collapsed="false">
      <c r="B82" s="371" t="n">
        <v>38047</v>
      </c>
      <c r="C82" s="391" t="n">
        <v>38037</v>
      </c>
      <c r="I82" s="338" t="n">
        <f aca="false">EOMONTH(I81,0)+1</f>
        <v>48245</v>
      </c>
      <c r="J82" s="389" t="n">
        <f aca="false">VLOOKUP(I82,$B$12:$C$332,2)</f>
        <v>45644</v>
      </c>
      <c r="K82" s="339" t="n">
        <f aca="false">NETWORKDAYS(I82,J83)/N82</f>
        <v>-92.9</v>
      </c>
      <c r="L82" s="309" t="n">
        <f aca="false">YEAR(I82)-1900</f>
        <v>132</v>
      </c>
      <c r="M82" s="310" t="n">
        <f aca="false">MONTH(I82)</f>
        <v>2</v>
      </c>
      <c r="N82" s="340" t="n">
        <f aca="false">NETWORKDAYS(I82,I83-1)</f>
        <v>20</v>
      </c>
      <c r="O82" s="341" t="n">
        <f aca="false">I82-DateToday-IF(EuroExpDateToggle=1,3+IF(WEEKDAY(I82-1)=7,1,IF(WEEKDAY(I82-1)&lt;5,2,0)),1+IF(WEEKDAY(I82-1)=7,1,IF(WEEKDAY(I82-1)&lt;3,2,0)))</f>
        <v>2315</v>
      </c>
      <c r="P82" s="342" t="n">
        <f aca="false">(I82-DateToday+1)/365.25</f>
        <v>6.35181382614648</v>
      </c>
      <c r="Q82" s="342" t="n">
        <f aca="false">(I83-DateToday)/365.25</f>
        <v>6.42847364818617</v>
      </c>
      <c r="R82" s="314" t="n">
        <v>18.95</v>
      </c>
      <c r="S82" s="347" t="n">
        <v>0</v>
      </c>
      <c r="T82" s="316" t="n">
        <f aca="false">R82+S82/100</f>
        <v>18.95</v>
      </c>
      <c r="U82" s="325" t="n">
        <f aca="false">R83*K82+R84*(1-K82)</f>
        <v>18.9499999999998</v>
      </c>
      <c r="V82" s="337" t="n">
        <f aca="false">T83*K82+T84*(1-K82)</f>
        <v>18.9499999999998</v>
      </c>
      <c r="W82" s="318" t="n">
        <v>0.1858</v>
      </c>
      <c r="X82" s="319" t="str">
        <f aca="false">IF($I82-DateToday+1&gt;=$A$10,"",IF($I82-DateToday+1&lt;$A$5,1,MATCH($I82-DateToday+1,$A$5:$A$10)))</f>
        <v/>
      </c>
      <c r="Y82" s="348" t="n">
        <f aca="false">IF($X82="",Y81^2/Y80,INDEX(B$5:B$10,$X82)^((INDEX($A$5:$A$10,$X82+1)-($I82-DateToday+1))/(INDEX($A$5:$A$10,$X82+1)-INDEX($A$5:$A$10,$X82)))/INDEX(B$5:B$10,$X82+1)^((INDEX($A$5:$A$10,$X82)-($I82-DateToday+1))/(INDEX($A$5:$A$10,$X82+1)-INDEX($A$5:$A$10,$X82))))</f>
        <v>0.0029597370410816</v>
      </c>
      <c r="Z82" s="348" t="n">
        <f aca="false">IF($X82="",Z81^2/Z80,INDEX(C$5:C$10,$X82)^((INDEX($A$5:$A$10,$X82+1)-($I82-DateToday+1))/(INDEX($A$5:$A$10,$X82+1)-INDEX($A$5:$A$10,$X82)))/INDEX(C$5:C$10,$X82+1)^((INDEX($A$5:$A$10,$X82)-($I82-DateToday+1))/(INDEX($A$5:$A$10,$X82+1)-INDEX($A$5:$A$10,$X82))))</f>
        <v>0.00121177797115165</v>
      </c>
      <c r="AA82" s="348" t="n">
        <f aca="false">IF($X82="",AA81^2/AA80,INDEX(D$5:D$10,$X82)^((INDEX($A$5:$A$10,$X82+1)-($I82-DateToday+1))/(INDEX($A$5:$A$10,$X82+1)-INDEX($A$5:$A$10,$X82)))/INDEX(D$5:D$10,$X82+1)^((INDEX($A$5:$A$10,$X82)-($I82-DateToday+1))/(INDEX($A$5:$A$10,$X82+1)-INDEX($A$5:$A$10,$X82))))</f>
        <v>0.000470769408419866</v>
      </c>
      <c r="AB82" s="348" t="n">
        <f aca="false">IF($X82="",AB81^2/AB80,INDEX(E$5:E$10,$X82)^((INDEX($A$5:$A$10,$X82+1)-($I82-DateToday+1))/(INDEX($A$5:$A$10,$X82+1)-INDEX($A$5:$A$10,$X82)))/INDEX(E$5:E$10,$X82+1)^((INDEX($A$5:$A$10,$X82)-($I82-DateToday+1))/(INDEX($A$5:$A$10,$X82+1)-INDEX($A$5:$A$10,$X82))))</f>
        <v>0.00106054932328829</v>
      </c>
      <c r="AC82" s="348" t="n">
        <f aca="false">IF($X82="",AC81^2/AC80,INDEX(F$5:F$10,$X82)^((INDEX($A$5:$A$10,$X82+1)-($I82-DateToday+1))/(INDEX($A$5:$A$10,$X82+1)-INDEX($A$5:$A$10,$X82)))/INDEX(F$5:F$10,$X82+1)^((INDEX($A$5:$A$10,$X82)-($I82-DateToday+1))/(INDEX($A$5:$A$10,$X82+1)-INDEX($A$5:$A$10,$X82))))</f>
        <v>0.00272989341341046</v>
      </c>
      <c r="AD82" s="348" t="n">
        <f aca="false">IF($X82="",AD81^2/AD80,INDEX(G$5:G$10,$X82)^((INDEX($A$5:$A$10,$X82+1)-($I82-DateToday+1))/(INDEX($A$5:$A$10,$X82+1)-INDEX($A$5:$A$10,$X82)))/INDEX(G$5:G$10,$X82+1)^((INDEX($A$5:$A$10,$X82)-($I82-DateToday+1))/(INDEX($A$5:$A$10,$X82+1)-INDEX($A$5:$A$10,$X82))))</f>
        <v>0.00666769560614838</v>
      </c>
      <c r="AE82" s="321" t="n">
        <v>0.073375179205409</v>
      </c>
      <c r="AF82" s="316" t="n">
        <f aca="false">(1+AE82/2)^(-2*(I83-DateToday)/365.25)</f>
        <v>0.629239214618928</v>
      </c>
      <c r="AG82" s="316" t="n">
        <f aca="false">AG81*(1+IF(AND(M82=1,L82&gt;YearStart),Escalation,0))</f>
        <v>1</v>
      </c>
      <c r="AH82" s="322" t="n">
        <f aca="false">IF(OR(DateStart&gt;=I83,DateEnd&lt;I82),0,Volume*AG82)</f>
        <v>0</v>
      </c>
      <c r="AI82" s="322" t="n">
        <f aca="false">AH82*AF82</f>
        <v>0</v>
      </c>
      <c r="AJ82" s="322" t="n">
        <f aca="false">IF(OR(DateStart2&gt;=I83,DateEnd2&lt;I82),0,VolumeSwaption*AG82)</f>
        <v>0</v>
      </c>
      <c r="AK82" s="322" t="n">
        <f aca="false">AJ82*AF82</f>
        <v>0</v>
      </c>
      <c r="AL82" s="316" t="str">
        <f aca="true">IF(AH82,OFFSET(BY82,0,HorizontalPriceOffset)+PriceSpreadAsian,"")</f>
        <v/>
      </c>
      <c r="AM82" s="316" t="str">
        <f aca="false">IF(AH82,Strike1/AL82-1,"")</f>
        <v/>
      </c>
      <c r="AN82" s="316" t="str">
        <f aca="false">IF(AH82,Strike2/AL82-1,"")</f>
        <v/>
      </c>
      <c r="AO82" s="323" t="str">
        <f aca="false">IF(AH82,IF(VolOverrideAsian,VolOverrideAsian,IF(ProductGroup=1,IF(Product&lt;3,DA83,DE83),W83)+VolSpreadAsian),"")</f>
        <v/>
      </c>
      <c r="AP82" s="323" t="str">
        <f aca="false">IF($AH82,$AO82+IF(SkewFlag=1,IF(AM82&gt;0,$AA82*MIN(AM82/10%,1)+($Z82-$AA82)*MAX(0,MIN(AM82/10%-1,1))+($Y82-$Z82)*MAX(0,AM82/10%-2),$AB82*MIN(-AM82/10%,1)+($AC82-$AB82)*MAX(0,MIN(-AM82/10%-1,1))+($AD82-$AC82)*MAX(0,-AM82/10%-2)),0),"")</f>
        <v/>
      </c>
      <c r="AQ82" s="323" t="str">
        <f aca="false">IF($AH82,$AO82+IF(SkewFlag=1,IF(AN82&gt;0,$AA82*MIN(AN82/10%,1)+($Z82-$AA82)*MAX(0,MIN(AN82/10%-1,1))+($Y82-$Z82)*MAX(0,AN82/10%-2),$AB82*MIN(-AN82/10%,1)+($AC82-$AB82)*MAX(0,MIN(-AN82/10%-1,1))+($AD82-$AC82)*MAX(0,-AN82/10%-2)),0),"")</f>
        <v/>
      </c>
      <c r="AR82" s="324" t="n">
        <f aca="false">IF(AH82,xASN(AL82,Strike1,AE82,AP82,0,N82,0,P82,Q82,IF(OptControl=4,0,1),0),0)</f>
        <v>0</v>
      </c>
      <c r="AS82" s="324" t="n">
        <f aca="false">IF(AH82,xASN(AL82,Strike1,AE82,AP82,0,N82,0,P82,Q82,IF(OptControl=4,0,1),1),0)</f>
        <v>0</v>
      </c>
      <c r="AT82" s="324" t="n">
        <f aca="false">IF(AH82,xASN(AL82,Strike1,AE82,AP82,0,N82,0,P82,Q82,IF(OptControl=4,0,1),2),0)</f>
        <v>0</v>
      </c>
      <c r="AU82" s="324" t="n">
        <f aca="false">IF(AH82,xASN(AL82,Strike1,AE82,AP82,0,N82,0,P82,Q82,IF(OptControl=4,0,1),3)/100,0)</f>
        <v>0</v>
      </c>
      <c r="AV82" s="324" t="n">
        <f aca="false">IF(AH82,xASN(AL82,Strike1,AE82,AP82,0,N82,0,P82-DaysForThetaCalculation/365.25,Q82-DaysForThetaCalculation/365.25,IF(OptControl=4,0,1),0)-xASN(AL82,Strike1,AE82,AP82,0,N82,0,P82,Q82,IF(OptControl=4,0,1),0),0)</f>
        <v>0</v>
      </c>
      <c r="AW82" s="324" t="n">
        <f aca="false">IF(AH82,xASN(AL82,Strike2,AE82,AQ82,0,N82,0,P82,Q82,IF(OptControl=3,1,0),0),0)</f>
        <v>0</v>
      </c>
      <c r="AX82" s="324" t="n">
        <f aca="false">IF(AH82,xASN(AL82,Strike2,AE82,AQ82,0,N82,0,P82,Q82,IF(OptControl=3,1,0),1),0)</f>
        <v>0</v>
      </c>
      <c r="AY82" s="324" t="n">
        <f aca="false">IF(AH82,xASN(AL82,Strike2,AE82,AQ82,0,N82,0,P82,Q82,IF(OptControl=3,1,0),2),0)</f>
        <v>0</v>
      </c>
      <c r="AZ82" s="324" t="n">
        <f aca="false">IF(AH82,xASN(AL82,Strike2,AE82,AQ82,0,N82,0,P82,Q82,IF(OptControl=3,1,0),3)/100,0)</f>
        <v>0</v>
      </c>
      <c r="BA82" s="324" t="n">
        <f aca="false">IF(AH82,xASN(AL82,Strike2,AE82,AQ82,0,N82,0,P82-DaysForThetaCalculation/365.25,Q82-DaysForThetaCalculation/365.25,IF(OptControl=3,1,0),0)-xASN(AL82,Strike2,AE82,AQ82,0,N82,0,P82,Q82,IF(OptControl=3,1,0),0),0)</f>
        <v>0</v>
      </c>
      <c r="BB82" s="325" t="str">
        <f aca="false">IF(AH82,IF(ProductGroup=1,IF(Product=1,BX82+PriceSpreadEuro,IF(Product=3,CK82+PriceSpreadEuro,"N/A")),"N/A"),"")</f>
        <v/>
      </c>
      <c r="BC82" s="316" t="str">
        <f aca="false">IF(AH82,Strike1/BB82-1,"")</f>
        <v/>
      </c>
      <c r="BD82" s="316" t="str">
        <f aca="false">IF(AH82,Strike2/BB82-1,"")</f>
        <v/>
      </c>
      <c r="BE82" s="326" t="str">
        <f aca="false">IF(AH82,IF(VolOverrideEuro,VolOverrideEuro,IF(ProductGroup=1,IF(Product&lt;3,DA82,DE82)+VolSpreadEuro,"N/A")),"")</f>
        <v/>
      </c>
      <c r="BF82" s="323" t="str">
        <f aca="false">IF($AH82,$BE82+IF(SkewFlag=1,IF(BC82&gt;0,$AA82*MIN(BC82/10%,1)+($Z82-$AA82)*MAX(0,MIN(BC82/10%-1,1))+($Y82-$Z82)*MAX(0,BC82/10%-2),$AB82*MIN(-BC82/10%,1)+($AC82-$AB82)*MAX(0,MIN(-BC82/10%-1,1))+($AD82-$AC82)*MAX(0,-BC82/10%-2)),0),"")</f>
        <v/>
      </c>
      <c r="BG82" s="323" t="str">
        <f aca="false">IF($AH82,$BE82+IF(SkewFlag=1,IF(BD82&gt;0,$AA82*MIN(BD82/10%,1)+($Z82-$AA82)*MAX(0,MIN(BD82/10%-1,1))+($Y82-$Z82)*MAX(0,BD82/10%-2),$AB82*MIN(-BD82/10%,1)+($AC82-$AB82)*MAX(0,MIN(-BD82/10%-1,1))+($AD82-$AC82)*MAX(0,-BD82/10%-2)),0),"")</f>
        <v/>
      </c>
      <c r="BH82" s="324" t="n">
        <f aca="false">IF(AH82,xEURO(BB82,Strike1,AE82,AE82,BF82,O82,IF(OptControl=4,0,1),0),0)</f>
        <v>0</v>
      </c>
      <c r="BI82" s="324" t="n">
        <f aca="false">IF(AH82,xEURO(BB82,Strike1,AE82,AE82,BF82,O82,IF(OptControl=4,0,1),1),0)</f>
        <v>0</v>
      </c>
      <c r="BJ82" s="324" t="n">
        <f aca="false">IF(AH82,xEURO(BB82,Strike1,AE82,AE82,BF82,O82,IF(OptControl=4,0,1),2),0)</f>
        <v>0</v>
      </c>
      <c r="BK82" s="324" t="n">
        <f aca="false">IF(AH82,xEURO(BB82,Strike1,AE82,AE82,BF82,O82,IF(OptControl=4,0,1),3)/100,0)</f>
        <v>0</v>
      </c>
      <c r="BL82" s="324" t="n">
        <f aca="false">IF(AH82,xEURO(BB82,Strike1,AE82,AE82,BF82,O82-DaysForThetaCalculation,IF(OptControl=4,0,1),0)-xEURO(BB82,Strike1,AE82,AE82,BF82,O82,IF(OptControl=4,0,1),0),0)</f>
        <v>0</v>
      </c>
      <c r="BM82" s="324" t="n">
        <f aca="false">IF(AH82,xEURO(BB82,Strike2,AE82,AE82,BG82,O82,IF(OptControl=3,1,0),0),0)</f>
        <v>0</v>
      </c>
      <c r="BN82" s="324" t="n">
        <f aca="false">IF(AH82,xEURO(BB82,Strike2,AE82,AE82,BG82,O82,IF(OptControl=3,1,0),1),0)</f>
        <v>0</v>
      </c>
      <c r="BO82" s="324" t="n">
        <f aca="false">IF(AH82,xEURO(BB82,Strike2,AE82,AE82,BG82,O82,IF(OptControl=3,1,0),2),0)</f>
        <v>0</v>
      </c>
      <c r="BP82" s="324" t="n">
        <f aca="false">IF(AH82,xEURO(BB82,Strike2,AE82,AE82,BG82,O82,IF(OptControl=3,1,0),3)/100,0)</f>
        <v>0</v>
      </c>
      <c r="BQ82" s="327" t="n">
        <f aca="false">IF(AH82,xEURO(BB82,Strike2,AE82,AE82,BG82,O82-DaysForThetaCalculation,IF(OptControl=3,1,0),0)-xEURO(BB82,Strike2,AE82,AE82,BG82,O82,IF(OptControl=3,1,0),0),0)</f>
        <v>0</v>
      </c>
      <c r="BR82" s="343"/>
      <c r="BS82" s="314" t="n">
        <v>25.712</v>
      </c>
      <c r="BT82" s="329" t="n">
        <f aca="false">BS82*100/42</f>
        <v>61.2190476190476</v>
      </c>
      <c r="BU82" s="329" t="n">
        <f aca="false">BS83-$U82</f>
        <v>6.20800000000018</v>
      </c>
      <c r="BV82" s="224"/>
      <c r="BW82" s="329" t="n">
        <f aca="false">BW70+VLOOKUP(1900+$L82,ProductSpreadTable,2)</f>
        <v>14.889</v>
      </c>
      <c r="BX82" s="329" t="n">
        <f aca="false">($V81+BW81)*100/42</f>
        <v>80.5220779220776</v>
      </c>
      <c r="BY82" s="332" t="n">
        <f aca="false">BX83</f>
        <v>80.5690476190471</v>
      </c>
      <c r="BZ82" s="314" t="n">
        <v>23.268</v>
      </c>
      <c r="CA82" s="329" t="n">
        <f aca="false">BZ82*100/42</f>
        <v>55.4</v>
      </c>
      <c r="CB82" s="329" t="n">
        <f aca="false">BZ82-$U82</f>
        <v>4.31800000000018</v>
      </c>
      <c r="CC82" s="329" t="n">
        <f aca="false">CC70+VLOOKUP(1900+$L82,ProductSpreadTable,3)</f>
        <v>12.474</v>
      </c>
      <c r="CD82" s="329" t="n">
        <f aca="false">($V82+CC82)*100/42</f>
        <v>74.8190476190471</v>
      </c>
      <c r="CE82" s="333" t="n">
        <f aca="false">CD82-BY82</f>
        <v>-5.75</v>
      </c>
      <c r="CF82" s="314" t="n">
        <v>21.332</v>
      </c>
      <c r="CG82" s="329" t="n">
        <f aca="false">CF82*100/42</f>
        <v>50.7904761904762</v>
      </c>
      <c r="CH82" s="329" t="n">
        <f aca="false">CF83-$U82</f>
        <v>2.79800000000018</v>
      </c>
      <c r="CI82" s="224"/>
      <c r="CJ82" s="329" t="n">
        <f aca="false">CJ70+VLOOKUP(1900+$L82,ProductSpreadTable,4)</f>
        <v>8.7859999999999</v>
      </c>
      <c r="CK82" s="329" t="n">
        <f aca="false">($V81+CJ81)*100/42</f>
        <v>65.2452380952376</v>
      </c>
      <c r="CL82" s="329" t="n">
        <f aca="false">CK83</f>
        <v>66.0380952380946</v>
      </c>
      <c r="CM82" s="314" t="n">
        <v>20.824</v>
      </c>
      <c r="CN82" s="329" t="n">
        <f aca="false">CM82*100/42</f>
        <v>49.5809523809524</v>
      </c>
      <c r="CO82" s="329" t="n">
        <f aca="false">CM82-$U82</f>
        <v>1.87400000000018</v>
      </c>
      <c r="CP82" s="329" t="n">
        <f aca="false">CP70+VLOOKUP(1900+$L82,ProductSpreadTable,5)</f>
        <v>7.8619999999999</v>
      </c>
      <c r="CQ82" s="329" t="n">
        <f aca="false">($V82+CP82)*100/42</f>
        <v>63.8380952380946</v>
      </c>
      <c r="CR82" s="333" t="n">
        <f aca="false">CQ82-CL82</f>
        <v>-2.2</v>
      </c>
      <c r="CS82" s="314" t="n">
        <v>21.874</v>
      </c>
      <c r="CT82" s="329" t="n">
        <f aca="false">CS82*100/42</f>
        <v>52.0809523809524</v>
      </c>
      <c r="CU82" s="329" t="n">
        <f aca="false">CT82-CG83</f>
        <v>0.299999999999997</v>
      </c>
      <c r="CV82" s="329" t="n">
        <f aca="false">CV70+VLOOKUP(1900+$L82,ProductSpreadTable,6)</f>
        <v>1.34999999999999</v>
      </c>
      <c r="CW82" s="333" t="n">
        <f aca="false">CL82+CV82</f>
        <v>67.3880952380946</v>
      </c>
      <c r="CX82" s="318" t="n">
        <v>0.186</v>
      </c>
      <c r="CY82" s="326" t="n">
        <f aca="false">CX82-$W82</f>
        <v>0.000200000000000006</v>
      </c>
      <c r="CZ82" s="326" t="n">
        <f aca="false">VLOOKUP(1900+$L82,ProductSpreadTable,7)</f>
        <v>-0.03</v>
      </c>
      <c r="DA82" s="365" t="n">
        <f aca="false">$W82+CZ82</f>
        <v>0.1558</v>
      </c>
      <c r="DB82" s="318" t="n">
        <v>0.186</v>
      </c>
      <c r="DC82" s="326" t="n">
        <f aca="false">DB82-$W82</f>
        <v>0.000200000000000006</v>
      </c>
      <c r="DD82" s="326" t="n">
        <f aca="false">VLOOKUP(1900+$L82,ProductSpreadTable,8)</f>
        <v>0.03</v>
      </c>
      <c r="DE82" s="365" t="n">
        <f aca="false">$W82+DD82</f>
        <v>0.2158</v>
      </c>
      <c r="DG82" s="336"/>
      <c r="DH82" s="314" t="n">
        <v>16.3</v>
      </c>
      <c r="DI82" s="325" t="n">
        <f aca="false">DH82-$U82</f>
        <v>-2.64999999999982</v>
      </c>
      <c r="DJ82" s="325" t="n">
        <f aca="false">VLOOKUP(1900+$L82,ResidSpreadTable,2)</f>
        <v>-2</v>
      </c>
      <c r="DK82" s="337" t="n">
        <f aca="false">$V82+DJ82</f>
        <v>16.9499999999998</v>
      </c>
      <c r="DL82" s="314" t="n">
        <v>13.7</v>
      </c>
      <c r="DM82" s="325" t="n">
        <f aca="false">DL82-$U82</f>
        <v>-5.24999999999982</v>
      </c>
      <c r="DN82" s="325" t="n">
        <f aca="false">VLOOKUP(1900+$L82,ResidSpreadTable,3)</f>
        <v>-3</v>
      </c>
      <c r="DO82" s="337" t="n">
        <f aca="false">$V82+DN82</f>
        <v>15.9499999999998</v>
      </c>
      <c r="DP82" s="314" t="n">
        <v>14.35</v>
      </c>
      <c r="DQ82" s="325" t="n">
        <f aca="false">DP82-$U82</f>
        <v>-4.59999999999982</v>
      </c>
      <c r="DR82" s="325" t="n">
        <f aca="false">VLOOKUP(1900+$L82,ResidSpreadTable,4)</f>
        <v>-6</v>
      </c>
      <c r="DS82" s="337" t="n">
        <f aca="false">$V82+DR82</f>
        <v>12.9499999999998</v>
      </c>
      <c r="DT82" s="314" t="n">
        <v>15.25</v>
      </c>
      <c r="DU82" s="325" t="n">
        <f aca="false">DT82-$U82</f>
        <v>-3.69999999999982</v>
      </c>
      <c r="DV82" s="325" t="n">
        <f aca="false">VLOOKUP(1900+$L82,ResidSpreadTable,5)</f>
        <v>-5</v>
      </c>
      <c r="DW82" s="337" t="n">
        <f aca="false">$V82+DV82</f>
        <v>13.9499999999998</v>
      </c>
    </row>
    <row r="83" customFormat="false" ht="12.75" hidden="false" customHeight="false" outlineLevel="0" collapsed="false">
      <c r="B83" s="371" t="n">
        <v>38078</v>
      </c>
      <c r="C83" s="391" t="n">
        <v>38066</v>
      </c>
      <c r="I83" s="338" t="n">
        <f aca="false">EOMONTH(I82,0)+1</f>
        <v>48274</v>
      </c>
      <c r="J83" s="389" t="n">
        <f aca="false">VLOOKUP(I83,$B$12:$C$332,2)</f>
        <v>45644</v>
      </c>
      <c r="K83" s="339" t="n">
        <f aca="false">NETWORKDAYS(I83,J84)/N83</f>
        <v>-81.6956521739131</v>
      </c>
      <c r="L83" s="309" t="n">
        <f aca="false">YEAR(I83)-1900</f>
        <v>132</v>
      </c>
      <c r="M83" s="310" t="n">
        <f aca="false">MONTH(I83)</f>
        <v>3</v>
      </c>
      <c r="N83" s="340" t="n">
        <f aca="false">NETWORKDAYS(I83,I84-1)</f>
        <v>23</v>
      </c>
      <c r="O83" s="341" t="n">
        <f aca="false">I83-DateToday-IF(EuroExpDateToggle=1,3+IF(WEEKDAY(I83-1)=7,1,IF(WEEKDAY(I83-1)&lt;5,2,0)),1+IF(WEEKDAY(I83-1)=7,1,IF(WEEKDAY(I83-1)&lt;3,2,0)))</f>
        <v>2343</v>
      </c>
      <c r="P83" s="342" t="n">
        <f aca="false">(I83-DateToday+1)/365.25</f>
        <v>6.43121149897331</v>
      </c>
      <c r="Q83" s="342" t="n">
        <f aca="false">(I84-DateToday)/365.25</f>
        <v>6.51334702258727</v>
      </c>
      <c r="R83" s="314" t="n">
        <v>18.95</v>
      </c>
      <c r="S83" s="347" t="n">
        <v>0</v>
      </c>
      <c r="T83" s="316" t="n">
        <f aca="false">R83+S83/100</f>
        <v>18.95</v>
      </c>
      <c r="U83" s="325" t="n">
        <f aca="false">R84*K83+R85*(1-K83)</f>
        <v>18.95</v>
      </c>
      <c r="V83" s="337" t="n">
        <f aca="false">T84*K83+T85*(1-K83)</f>
        <v>18.95</v>
      </c>
      <c r="W83" s="318" t="n">
        <v>0.1852</v>
      </c>
      <c r="X83" s="319" t="str">
        <f aca="false">IF($I83-DateToday+1&gt;=$A$10,"",IF($I83-DateToday+1&lt;$A$5,1,MATCH($I83-DateToday+1,$A$5:$A$10)))</f>
        <v/>
      </c>
      <c r="Y83" s="348" t="n">
        <f aca="false">IF($X83="",Y82^2/Y81,INDEX(B$5:B$10,$X83)^((INDEX($A$5:$A$10,$X83+1)-($I83-DateToday+1))/(INDEX($A$5:$A$10,$X83+1)-INDEX($A$5:$A$10,$X83)))/INDEX(B$5:B$10,$X83+1)^((INDEX($A$5:$A$10,$X83)-($I83-DateToday+1))/(INDEX($A$5:$A$10,$X83+1)-INDEX($A$5:$A$10,$X83))))</f>
        <v>0.00289637357257684</v>
      </c>
      <c r="Z83" s="348" t="n">
        <f aca="false">IF($X83="",Z82^2/Z81,INDEX(C$5:C$10,$X83)^((INDEX($A$5:$A$10,$X83+1)-($I83-DateToday+1))/(INDEX($A$5:$A$10,$X83+1)-INDEX($A$5:$A$10,$X83)))/INDEX(C$5:C$10,$X83+1)^((INDEX($A$5:$A$10,$X83)-($I83-DateToday+1))/(INDEX($A$5:$A$10,$X83+1)-INDEX($A$5:$A$10,$X83))))</f>
        <v>0.00117948662216245</v>
      </c>
      <c r="AA83" s="348" t="n">
        <f aca="false">IF($X83="",AA82^2/AA81,INDEX(D$5:D$10,$X83)^((INDEX($A$5:$A$10,$X83+1)-($I83-DateToday+1))/(INDEX($A$5:$A$10,$X83+1)-INDEX($A$5:$A$10,$X83)))/INDEX(D$5:D$10,$X83+1)^((INDEX($A$5:$A$10,$X83)-($I83-DateToday+1))/(INDEX($A$5:$A$10,$X83+1)-INDEX($A$5:$A$10,$X83))))</f>
        <v>0.000456995616057658</v>
      </c>
      <c r="AB83" s="348" t="n">
        <f aca="false">IF($X83="",AB82^2/AB81,INDEX(E$5:E$10,$X83)^((INDEX($A$5:$A$10,$X83+1)-($I83-DateToday+1))/(INDEX($A$5:$A$10,$X83+1)-INDEX($A$5:$A$10,$X83)))/INDEX(E$5:E$10,$X83+1)^((INDEX($A$5:$A$10,$X83)-($I83-DateToday+1))/(INDEX($A$5:$A$10,$X83+1)-INDEX($A$5:$A$10,$X83))))</f>
        <v>0.00102951972385471</v>
      </c>
      <c r="AC83" s="348" t="n">
        <f aca="false">IF($X83="",AC82^2/AC81,INDEX(F$5:F$10,$X83)^((INDEX($A$5:$A$10,$X83+1)-($I83-DateToday+1))/(INDEX($A$5:$A$10,$X83+1)-INDEX($A$5:$A$10,$X83)))/INDEX(F$5:F$10,$X83+1)^((INDEX($A$5:$A$10,$X83)-($I83-DateToday+1))/(INDEX($A$5:$A$10,$X83+1)-INDEX($A$5:$A$10,$X83))))</f>
        <v>0.00265714746240758</v>
      </c>
      <c r="AD83" s="348" t="n">
        <f aca="false">IF($X83="",AD82^2/AD81,INDEX(G$5:G$10,$X83)^((INDEX($A$5:$A$10,$X83+1)-($I83-DateToday+1))/(INDEX($A$5:$A$10,$X83+1)-INDEX($A$5:$A$10,$X83)))/INDEX(G$5:G$10,$X83+1)^((INDEX($A$5:$A$10,$X83)-($I83-DateToday+1))/(INDEX($A$5:$A$10,$X83+1)-INDEX($A$5:$A$10,$X83))))</f>
        <v>0.00652495038430085</v>
      </c>
      <c r="AE83" s="321" t="n">
        <v>0.073393092668811</v>
      </c>
      <c r="AF83" s="316" t="n">
        <f aca="false">(1+AE83/2)^(-2*(I84-DateToday)/365.25)</f>
        <v>0.625332098459799</v>
      </c>
      <c r="AG83" s="316" t="n">
        <f aca="false">AG82*(1+IF(AND(M83=1,L83&gt;YearStart),Escalation,0))</f>
        <v>1</v>
      </c>
      <c r="AH83" s="322" t="n">
        <f aca="false">IF(OR(DateStart&gt;=I84,DateEnd&lt;I83),0,Volume*AG83)</f>
        <v>0</v>
      </c>
      <c r="AI83" s="322" t="n">
        <f aca="false">AH83*AF83</f>
        <v>0</v>
      </c>
      <c r="AJ83" s="322" t="n">
        <f aca="false">IF(OR(DateStart2&gt;=I84,DateEnd2&lt;I83),0,VolumeSwaption*AG83)</f>
        <v>0</v>
      </c>
      <c r="AK83" s="322" t="n">
        <f aca="false">AJ83*AF83</f>
        <v>0</v>
      </c>
      <c r="AL83" s="316" t="str">
        <f aca="true">IF(AH83,OFFSET(BY83,0,HorizontalPriceOffset)+PriceSpreadAsian,"")</f>
        <v/>
      </c>
      <c r="AM83" s="316" t="str">
        <f aca="false">IF(AH83,Strike1/AL83-1,"")</f>
        <v/>
      </c>
      <c r="AN83" s="316" t="str">
        <f aca="false">IF(AH83,Strike2/AL83-1,"")</f>
        <v/>
      </c>
      <c r="AO83" s="323" t="str">
        <f aca="false">IF(AH83,IF(VolOverrideAsian,VolOverrideAsian,IF(ProductGroup=1,IF(Product&lt;3,DA84,DE84),W84)+VolSpreadAsian),"")</f>
        <v/>
      </c>
      <c r="AP83" s="323" t="str">
        <f aca="false">IF($AH83,$AO83+IF(SkewFlag=1,IF(AM83&gt;0,$AA83*MIN(AM83/10%,1)+($Z83-$AA83)*MAX(0,MIN(AM83/10%-1,1))+($Y83-$Z83)*MAX(0,AM83/10%-2),$AB83*MIN(-AM83/10%,1)+($AC83-$AB83)*MAX(0,MIN(-AM83/10%-1,1))+($AD83-$AC83)*MAX(0,-AM83/10%-2)),0),"")</f>
        <v/>
      </c>
      <c r="AQ83" s="323" t="str">
        <f aca="false">IF($AH83,$AO83+IF(SkewFlag=1,IF(AN83&gt;0,$AA83*MIN(AN83/10%,1)+($Z83-$AA83)*MAX(0,MIN(AN83/10%-1,1))+($Y83-$Z83)*MAX(0,AN83/10%-2),$AB83*MIN(-AN83/10%,1)+($AC83-$AB83)*MAX(0,MIN(-AN83/10%-1,1))+($AD83-$AC83)*MAX(0,-AN83/10%-2)),0),"")</f>
        <v/>
      </c>
      <c r="AR83" s="324" t="n">
        <f aca="false">IF(AH83,xASN(AL83,Strike1,AE83,AP83,0,N83,0,P83,Q83,IF(OptControl=4,0,1),0),0)</f>
        <v>0</v>
      </c>
      <c r="AS83" s="324" t="n">
        <f aca="false">IF(AH83,xASN(AL83,Strike1,AE83,AP83,0,N83,0,P83,Q83,IF(OptControl=4,0,1),1),0)</f>
        <v>0</v>
      </c>
      <c r="AT83" s="324" t="n">
        <f aca="false">IF(AH83,xASN(AL83,Strike1,AE83,AP83,0,N83,0,P83,Q83,IF(OptControl=4,0,1),2),0)</f>
        <v>0</v>
      </c>
      <c r="AU83" s="324" t="n">
        <f aca="false">IF(AH83,xASN(AL83,Strike1,AE83,AP83,0,N83,0,P83,Q83,IF(OptControl=4,0,1),3)/100,0)</f>
        <v>0</v>
      </c>
      <c r="AV83" s="324" t="n">
        <f aca="false">IF(AH83,xASN(AL83,Strike1,AE83,AP83,0,N83,0,P83-DaysForThetaCalculation/365.25,Q83-DaysForThetaCalculation/365.25,IF(OptControl=4,0,1),0)-xASN(AL83,Strike1,AE83,AP83,0,N83,0,P83,Q83,IF(OptControl=4,0,1),0),0)</f>
        <v>0</v>
      </c>
      <c r="AW83" s="324" t="n">
        <f aca="false">IF(AH83,xASN(AL83,Strike2,AE83,AQ83,0,N83,0,P83,Q83,IF(OptControl=3,1,0),0),0)</f>
        <v>0</v>
      </c>
      <c r="AX83" s="324" t="n">
        <f aca="false">IF(AH83,xASN(AL83,Strike2,AE83,AQ83,0,N83,0,P83,Q83,IF(OptControl=3,1,0),1),0)</f>
        <v>0</v>
      </c>
      <c r="AY83" s="324" t="n">
        <f aca="false">IF(AH83,xASN(AL83,Strike2,AE83,AQ83,0,N83,0,P83,Q83,IF(OptControl=3,1,0),2),0)</f>
        <v>0</v>
      </c>
      <c r="AZ83" s="324" t="n">
        <f aca="false">IF(AH83,xASN(AL83,Strike2,AE83,AQ83,0,N83,0,P83,Q83,IF(OptControl=3,1,0),3)/100,0)</f>
        <v>0</v>
      </c>
      <c r="BA83" s="324" t="n">
        <f aca="false">IF(AH83,xASN(AL83,Strike2,AE83,AQ83,0,N83,0,P83-DaysForThetaCalculation/365.25,Q83-DaysForThetaCalculation/365.25,IF(OptControl=3,1,0),0)-xASN(AL83,Strike2,AE83,AQ83,0,N83,0,P83,Q83,IF(OptControl=3,1,0),0),0)</f>
        <v>0</v>
      </c>
      <c r="BB83" s="325" t="str">
        <f aca="false">IF(AH83,IF(ProductGroup=1,IF(Product=1,BX83+PriceSpreadEuro,IF(Product=3,CK83+PriceSpreadEuro,"N/A")),"N/A"),"")</f>
        <v/>
      </c>
      <c r="BC83" s="316" t="str">
        <f aca="false">IF(AH83,Strike1/BB83-1,"")</f>
        <v/>
      </c>
      <c r="BD83" s="316" t="str">
        <f aca="false">IF(AH83,Strike2/BB83-1,"")</f>
        <v/>
      </c>
      <c r="BE83" s="326" t="str">
        <f aca="false">IF(AH83,IF(VolOverrideEuro,VolOverrideEuro,IF(ProductGroup=1,IF(Product&lt;3,DA83,DE83)+VolSpreadEuro,"N/A")),"")</f>
        <v/>
      </c>
      <c r="BF83" s="323" t="str">
        <f aca="false">IF($AH83,$BE83+IF(SkewFlag=1,IF(BC83&gt;0,$AA83*MIN(BC83/10%,1)+($Z83-$AA83)*MAX(0,MIN(BC83/10%-1,1))+($Y83-$Z83)*MAX(0,BC83/10%-2),$AB83*MIN(-BC83/10%,1)+($AC83-$AB83)*MAX(0,MIN(-BC83/10%-1,1))+($AD83-$AC83)*MAX(0,-BC83/10%-2)),0),"")</f>
        <v/>
      </c>
      <c r="BG83" s="323" t="str">
        <f aca="false">IF($AH83,$BE83+IF(SkewFlag=1,IF(BD83&gt;0,$AA83*MIN(BD83/10%,1)+($Z83-$AA83)*MAX(0,MIN(BD83/10%-1,1))+($Y83-$Z83)*MAX(0,BD83/10%-2),$AB83*MIN(-BD83/10%,1)+($AC83-$AB83)*MAX(0,MIN(-BD83/10%-1,1))+($AD83-$AC83)*MAX(0,-BD83/10%-2)),0),"")</f>
        <v/>
      </c>
      <c r="BH83" s="324" t="n">
        <f aca="false">IF(AH83,xEURO(BB83,Strike1,AE83,AE83,BF83,O83,IF(OptControl=4,0,1),0),0)</f>
        <v>0</v>
      </c>
      <c r="BI83" s="324" t="n">
        <f aca="false">IF(AH83,xEURO(BB83,Strike1,AE83,AE83,BF83,O83,IF(OptControl=4,0,1),1),0)</f>
        <v>0</v>
      </c>
      <c r="BJ83" s="324" t="n">
        <f aca="false">IF(AH83,xEURO(BB83,Strike1,AE83,AE83,BF83,O83,IF(OptControl=4,0,1),2),0)</f>
        <v>0</v>
      </c>
      <c r="BK83" s="324" t="n">
        <f aca="false">IF(AH83,xEURO(BB83,Strike1,AE83,AE83,BF83,O83,IF(OptControl=4,0,1),3)/100,0)</f>
        <v>0</v>
      </c>
      <c r="BL83" s="324" t="n">
        <f aca="false">IF(AH83,xEURO(BB83,Strike1,AE83,AE83,BF83,O83-DaysForThetaCalculation,IF(OptControl=4,0,1),0)-xEURO(BB83,Strike1,AE83,AE83,BF83,O83,IF(OptControl=4,0,1),0),0)</f>
        <v>0</v>
      </c>
      <c r="BM83" s="324" t="n">
        <f aca="false">IF(AH83,xEURO(BB83,Strike2,AE83,AE83,BG83,O83,IF(OptControl=3,1,0),0),0)</f>
        <v>0</v>
      </c>
      <c r="BN83" s="324" t="n">
        <f aca="false">IF(AH83,xEURO(BB83,Strike2,AE83,AE83,BG83,O83,IF(OptControl=3,1,0),1),0)</f>
        <v>0</v>
      </c>
      <c r="BO83" s="324" t="n">
        <f aca="false">IF(AH83,xEURO(BB83,Strike2,AE83,AE83,BG83,O83,IF(OptControl=3,1,0),2),0)</f>
        <v>0</v>
      </c>
      <c r="BP83" s="324" t="n">
        <f aca="false">IF(AH83,xEURO(BB83,Strike2,AE83,AE83,BG83,O83,IF(OptControl=3,1,0),3)/100,0)</f>
        <v>0</v>
      </c>
      <c r="BQ83" s="327" t="n">
        <f aca="false">IF(AH83,xEURO(BB83,Strike2,AE83,AE83,BG83,O83-DaysForThetaCalculation,IF(OptControl=3,1,0),0)-xEURO(BB83,Strike2,AE83,AE83,BG83,O83,IF(OptControl=3,1,0),0),0)</f>
        <v>0</v>
      </c>
      <c r="BR83" s="343"/>
      <c r="BS83" s="314" t="n">
        <v>25.158</v>
      </c>
      <c r="BT83" s="329" t="n">
        <f aca="false">BS83*100/42</f>
        <v>59.9</v>
      </c>
      <c r="BU83" s="329" t="n">
        <f aca="false">BS84-$U83</f>
        <v>5.16199999999996</v>
      </c>
      <c r="BV83" s="224"/>
      <c r="BW83" s="329" t="n">
        <f aca="false">BW71+VLOOKUP(1900+$L83,ProductSpreadTable,2)</f>
        <v>12.4169999999999</v>
      </c>
      <c r="BX83" s="329" t="n">
        <f aca="false">($V82+BW82)*100/42</f>
        <v>80.5690476190471</v>
      </c>
      <c r="BY83" s="332" t="n">
        <f aca="false">BX84</f>
        <v>74.6833333333333</v>
      </c>
      <c r="BZ83" s="314" t="n">
        <v>22.222</v>
      </c>
      <c r="CA83" s="329" t="n">
        <f aca="false">BZ83*100/42</f>
        <v>52.9095238095238</v>
      </c>
      <c r="CB83" s="329" t="n">
        <f aca="false">BZ83-$U83</f>
        <v>3.27199999999996</v>
      </c>
      <c r="CC83" s="329" t="n">
        <f aca="false">CC71+VLOOKUP(1900+$L83,ProductSpreadTable,3)</f>
        <v>10.0019999999999</v>
      </c>
      <c r="CD83" s="329" t="n">
        <f aca="false">($V83+CC83)*100/42</f>
        <v>68.9333333333333</v>
      </c>
      <c r="CE83" s="333" t="n">
        <f aca="false">CD83-BY83</f>
        <v>-5.75</v>
      </c>
      <c r="CF83" s="314" t="n">
        <v>21.748</v>
      </c>
      <c r="CG83" s="329" t="n">
        <f aca="false">CF83*100/42</f>
        <v>51.7809523809524</v>
      </c>
      <c r="CH83" s="329" t="n">
        <f aca="false">CF84-$U83</f>
        <v>3.25499999999995</v>
      </c>
      <c r="CI83" s="224"/>
      <c r="CJ83" s="329" t="n">
        <f aca="false">CJ71+VLOOKUP(1900+$L83,ProductSpreadTable,4)</f>
        <v>10.3089999999999</v>
      </c>
      <c r="CK83" s="329" t="n">
        <f aca="false">($V82+CJ82)*100/42</f>
        <v>66.0380952380946</v>
      </c>
      <c r="CL83" s="329" t="n">
        <f aca="false">CK84</f>
        <v>69.6642857142856</v>
      </c>
      <c r="CM83" s="314" t="n">
        <v>21.281</v>
      </c>
      <c r="CN83" s="329" t="n">
        <f aca="false">CM83*100/42</f>
        <v>50.6690476190476</v>
      </c>
      <c r="CO83" s="329" t="n">
        <f aca="false">CM83-$U83</f>
        <v>2.33099999999995</v>
      </c>
      <c r="CP83" s="329" t="n">
        <f aca="false">CP71+VLOOKUP(1900+$L83,ProductSpreadTable,5)</f>
        <v>7.80773913043481</v>
      </c>
      <c r="CQ83" s="329" t="n">
        <f aca="false">($V83+CP83)*100/42</f>
        <v>63.7089026915116</v>
      </c>
      <c r="CR83" s="333" t="n">
        <f aca="false">CQ83-CL83</f>
        <v>-5.95538302277408</v>
      </c>
      <c r="CS83" s="314" t="n">
        <v>22.331</v>
      </c>
      <c r="CT83" s="329" t="n">
        <f aca="false">CS83*100/42</f>
        <v>53.1690476190476</v>
      </c>
      <c r="CU83" s="329" t="n">
        <f aca="false">CT83-CG84</f>
        <v>0.299999999999997</v>
      </c>
      <c r="CV83" s="329" t="n">
        <f aca="false">CV71+VLOOKUP(1900+$L83,ProductSpreadTable,6)</f>
        <v>1.35000000000001</v>
      </c>
      <c r="CW83" s="333" t="n">
        <f aca="false">CL83+CV83</f>
        <v>71.0142857142857</v>
      </c>
      <c r="CX83" s="318" t="n">
        <v>0.185</v>
      </c>
      <c r="CY83" s="326" t="n">
        <f aca="false">CX83-$W83</f>
        <v>-0.000200000000000006</v>
      </c>
      <c r="CZ83" s="326" t="n">
        <f aca="false">VLOOKUP(1900+$L83,ProductSpreadTable,7)</f>
        <v>-0.03</v>
      </c>
      <c r="DA83" s="365" t="n">
        <f aca="false">$W83+CZ83</f>
        <v>0.1552</v>
      </c>
      <c r="DB83" s="318" t="n">
        <v>0.185</v>
      </c>
      <c r="DC83" s="326" t="n">
        <f aca="false">DB83-$W83</f>
        <v>-0.000200000000000006</v>
      </c>
      <c r="DD83" s="326" t="n">
        <f aca="false">VLOOKUP(1900+$L83,ProductSpreadTable,8)</f>
        <v>0.03</v>
      </c>
      <c r="DE83" s="365" t="n">
        <f aca="false">$W83+DD83</f>
        <v>0.2152</v>
      </c>
      <c r="DG83" s="336"/>
      <c r="DH83" s="314" t="n">
        <v>16.3</v>
      </c>
      <c r="DI83" s="325" t="n">
        <f aca="false">DH83-$U83</f>
        <v>-2.65000000000004</v>
      </c>
      <c r="DJ83" s="325" t="n">
        <f aca="false">VLOOKUP(1900+$L83,ResidSpreadTable,2)</f>
        <v>-2</v>
      </c>
      <c r="DK83" s="337" t="n">
        <f aca="false">$V83+DJ83</f>
        <v>16.95</v>
      </c>
      <c r="DL83" s="314" t="n">
        <v>13.7</v>
      </c>
      <c r="DM83" s="325" t="n">
        <f aca="false">DL83-$U83</f>
        <v>-5.25000000000005</v>
      </c>
      <c r="DN83" s="325" t="n">
        <f aca="false">VLOOKUP(1900+$L83,ResidSpreadTable,3)</f>
        <v>-3</v>
      </c>
      <c r="DO83" s="337" t="n">
        <f aca="false">$V83+DN83</f>
        <v>15.95</v>
      </c>
      <c r="DP83" s="314" t="n">
        <v>14.35</v>
      </c>
      <c r="DQ83" s="325" t="n">
        <f aca="false">DP83-$U83</f>
        <v>-4.60000000000005</v>
      </c>
      <c r="DR83" s="325" t="n">
        <f aca="false">VLOOKUP(1900+$L83,ResidSpreadTable,4)</f>
        <v>-6</v>
      </c>
      <c r="DS83" s="337" t="n">
        <f aca="false">$V83+DR83</f>
        <v>12.95</v>
      </c>
      <c r="DT83" s="314" t="n">
        <v>15.25</v>
      </c>
      <c r="DU83" s="325" t="n">
        <f aca="false">DT83-$U83</f>
        <v>-3.70000000000005</v>
      </c>
      <c r="DV83" s="325" t="n">
        <f aca="false">VLOOKUP(1900+$L83,ResidSpreadTable,5)</f>
        <v>-5</v>
      </c>
      <c r="DW83" s="337" t="n">
        <f aca="false">$V83+DV83</f>
        <v>13.95</v>
      </c>
    </row>
    <row r="84" customFormat="false" ht="12.75" hidden="false" customHeight="false" outlineLevel="0" collapsed="false">
      <c r="B84" s="371" t="n">
        <v>38108</v>
      </c>
      <c r="C84" s="391" t="n">
        <v>38097</v>
      </c>
      <c r="I84" s="338" t="n">
        <f aca="false">EOMONTH(I83,0)+1</f>
        <v>48305</v>
      </c>
      <c r="J84" s="389" t="n">
        <f aca="false">VLOOKUP(I84,$B$12:$C$332,2)</f>
        <v>45644</v>
      </c>
      <c r="K84" s="339" t="n">
        <f aca="false">NETWORKDAYS(I84,J85)/N84</f>
        <v>-86.4545454545455</v>
      </c>
      <c r="L84" s="309" t="n">
        <f aca="false">YEAR(I84)-1900</f>
        <v>132</v>
      </c>
      <c r="M84" s="310" t="n">
        <f aca="false">MONTH(I84)</f>
        <v>4</v>
      </c>
      <c r="N84" s="340" t="n">
        <f aca="false">NETWORKDAYS(I84,I85-1)</f>
        <v>22</v>
      </c>
      <c r="O84" s="341" t="n">
        <f aca="false">I84-DateToday-IF(EuroExpDateToggle=1,3+IF(WEEKDAY(I84-1)=7,1,IF(WEEKDAY(I84-1)&lt;5,2,0)),1+IF(WEEKDAY(I84-1)=7,1,IF(WEEKDAY(I84-1)&lt;3,2,0)))</f>
        <v>2374</v>
      </c>
      <c r="P84" s="342" t="n">
        <f aca="false">(I84-DateToday+1)/365.25</f>
        <v>6.5160848733744</v>
      </c>
      <c r="Q84" s="342" t="n">
        <f aca="false">(I85-DateToday)/365.25</f>
        <v>6.59548254620123</v>
      </c>
      <c r="R84" s="314" t="n">
        <v>18.95</v>
      </c>
      <c r="S84" s="347" t="n">
        <v>0</v>
      </c>
      <c r="T84" s="316" t="n">
        <f aca="false">R84+S84/100</f>
        <v>18.95</v>
      </c>
      <c r="U84" s="325" t="n">
        <f aca="false">R85*K84+R86*(1-K84)</f>
        <v>18.95</v>
      </c>
      <c r="V84" s="337" t="n">
        <f aca="false">T85*K84+T86*(1-K84)</f>
        <v>18.95</v>
      </c>
      <c r="W84" s="318" t="n">
        <v>0.1846</v>
      </c>
      <c r="X84" s="319" t="str">
        <f aca="false">IF($I84-DateToday+1&gt;=$A$10,"",IF($I84-DateToday+1&lt;$A$5,1,MATCH($I84-DateToday+1,$A$5:$A$10)))</f>
        <v/>
      </c>
      <c r="Y84" s="348" t="n">
        <f aca="false">IF($X84="",Y83^2/Y82,INDEX(B$5:B$10,$X84)^((INDEX($A$5:$A$10,$X84+1)-($I84-DateToday+1))/(INDEX($A$5:$A$10,$X84+1)-INDEX($A$5:$A$10,$X84)))/INDEX(B$5:B$10,$X84+1)^((INDEX($A$5:$A$10,$X84)-($I84-DateToday+1))/(INDEX($A$5:$A$10,$X84+1)-INDEX($A$5:$A$10,$X84))))</f>
        <v>0.00283436661956154</v>
      </c>
      <c r="Z84" s="348" t="n">
        <f aca="false">IF($X84="",Z83^2/Z82,INDEX(C$5:C$10,$X84)^((INDEX($A$5:$A$10,$X84+1)-($I84-DateToday+1))/(INDEX($A$5:$A$10,$X84+1)-INDEX($A$5:$A$10,$X84)))/INDEX(C$5:C$10,$X84+1)^((INDEX($A$5:$A$10,$X84)-($I84-DateToday+1))/(INDEX($A$5:$A$10,$X84+1)-INDEX($A$5:$A$10,$X84))))</f>
        <v>0.00114805577009956</v>
      </c>
      <c r="AA84" s="348" t="n">
        <f aca="false">IF($X84="",AA83^2/AA82,INDEX(D$5:D$10,$X84)^((INDEX($A$5:$A$10,$X84+1)-($I84-DateToday+1))/(INDEX($A$5:$A$10,$X84+1)-INDEX($A$5:$A$10,$X84)))/INDEX(D$5:D$10,$X84+1)^((INDEX($A$5:$A$10,$X84)-($I84-DateToday+1))/(INDEX($A$5:$A$10,$X84+1)-INDEX($A$5:$A$10,$X84))))</f>
        <v>0.000443624817927114</v>
      </c>
      <c r="AB84" s="348" t="n">
        <f aca="false">IF($X84="",AB83^2/AB82,INDEX(E$5:E$10,$X84)^((INDEX($A$5:$A$10,$X84+1)-($I84-DateToday+1))/(INDEX($A$5:$A$10,$X84+1)-INDEX($A$5:$A$10,$X84)))/INDEX(E$5:E$10,$X84+1)^((INDEX($A$5:$A$10,$X84)-($I84-DateToday+1))/(INDEX($A$5:$A$10,$X84+1)-INDEX($A$5:$A$10,$X84))))</f>
        <v>0.000999397989826218</v>
      </c>
      <c r="AC84" s="348" t="n">
        <f aca="false">IF($X84="",AC83^2/AC82,INDEX(F$5:F$10,$X84)^((INDEX($A$5:$A$10,$X84+1)-($I84-DateToday+1))/(INDEX($A$5:$A$10,$X84+1)-INDEX($A$5:$A$10,$X84)))/INDEX(F$5:F$10,$X84+1)^((INDEX($A$5:$A$10,$X84)-($I84-DateToday+1))/(INDEX($A$5:$A$10,$X84+1)-INDEX($A$5:$A$10,$X84))))</f>
        <v>0.00258634003888029</v>
      </c>
      <c r="AD84" s="348" t="n">
        <f aca="false">IF($X84="",AD83^2/AD82,INDEX(G$5:G$10,$X84)^((INDEX($A$5:$A$10,$X84+1)-($I84-DateToday+1))/(INDEX($A$5:$A$10,$X84+1)-INDEX($A$5:$A$10,$X84)))/INDEX(G$5:G$10,$X84+1)^((INDEX($A$5:$A$10,$X84)-($I84-DateToday+1))/(INDEX($A$5:$A$10,$X84+1)-INDEX($A$5:$A$10,$X84))))</f>
        <v>0.00638526112054798</v>
      </c>
      <c r="AE84" s="321" t="n">
        <v>0.073410428278657</v>
      </c>
      <c r="AF84" s="316" t="n">
        <f aca="false">(1+AE84/2)^(-2*(I85-DateToday)/365.25)</f>
        <v>0.62157238362066</v>
      </c>
      <c r="AG84" s="316" t="n">
        <f aca="false">AG83*(1+IF(AND(M84=1,L84&gt;YearStart),Escalation,0))</f>
        <v>1</v>
      </c>
      <c r="AH84" s="322" t="n">
        <f aca="false">IF(OR(DateStart&gt;=I85,DateEnd&lt;I84),0,Volume*AG84)</f>
        <v>0</v>
      </c>
      <c r="AI84" s="322" t="n">
        <f aca="false">AH84*AF84</f>
        <v>0</v>
      </c>
      <c r="AJ84" s="322" t="n">
        <f aca="false">IF(OR(DateStart2&gt;=I85,DateEnd2&lt;I84),0,VolumeSwaption*AG84)</f>
        <v>0</v>
      </c>
      <c r="AK84" s="322" t="n">
        <f aca="false">AJ84*AF84</f>
        <v>0</v>
      </c>
      <c r="AL84" s="316" t="str">
        <f aca="true">IF(AH84,OFFSET(BY84,0,HorizontalPriceOffset)+PriceSpreadAsian,"")</f>
        <v/>
      </c>
      <c r="AM84" s="316" t="str">
        <f aca="false">IF(AH84,Strike1/AL84-1,"")</f>
        <v/>
      </c>
      <c r="AN84" s="316" t="str">
        <f aca="false">IF(AH84,Strike2/AL84-1,"")</f>
        <v/>
      </c>
      <c r="AO84" s="323" t="str">
        <f aca="false">IF(AH84,IF(VolOverrideAsian,VolOverrideAsian,IF(ProductGroup=1,IF(Product&lt;3,DA85,DE85),W85)+VolSpreadAsian),"")</f>
        <v/>
      </c>
      <c r="AP84" s="323" t="str">
        <f aca="false">IF($AH84,$AO84+IF(SkewFlag=1,IF(AM84&gt;0,$AA84*MIN(AM84/10%,1)+($Z84-$AA84)*MAX(0,MIN(AM84/10%-1,1))+($Y84-$Z84)*MAX(0,AM84/10%-2),$AB84*MIN(-AM84/10%,1)+($AC84-$AB84)*MAX(0,MIN(-AM84/10%-1,1))+($AD84-$AC84)*MAX(0,-AM84/10%-2)),0),"")</f>
        <v/>
      </c>
      <c r="AQ84" s="323" t="str">
        <f aca="false">IF($AH84,$AO84+IF(SkewFlag=1,IF(AN84&gt;0,$AA84*MIN(AN84/10%,1)+($Z84-$AA84)*MAX(0,MIN(AN84/10%-1,1))+($Y84-$Z84)*MAX(0,AN84/10%-2),$AB84*MIN(-AN84/10%,1)+($AC84-$AB84)*MAX(0,MIN(-AN84/10%-1,1))+($AD84-$AC84)*MAX(0,-AN84/10%-2)),0),"")</f>
        <v/>
      </c>
      <c r="AR84" s="324" t="n">
        <f aca="false">IF(AH84,xASN(AL84,Strike1,AE84,AP84,0,N84,0,P84,Q84,IF(OptControl=4,0,1),0),0)</f>
        <v>0</v>
      </c>
      <c r="AS84" s="324" t="n">
        <f aca="false">IF(AH84,xASN(AL84,Strike1,AE84,AP84,0,N84,0,P84,Q84,IF(OptControl=4,0,1),1),0)</f>
        <v>0</v>
      </c>
      <c r="AT84" s="324" t="n">
        <f aca="false">IF(AH84,xASN(AL84,Strike1,AE84,AP84,0,N84,0,P84,Q84,IF(OptControl=4,0,1),2),0)</f>
        <v>0</v>
      </c>
      <c r="AU84" s="324" t="n">
        <f aca="false">IF(AH84,xASN(AL84,Strike1,AE84,AP84,0,N84,0,P84,Q84,IF(OptControl=4,0,1),3)/100,0)</f>
        <v>0</v>
      </c>
      <c r="AV84" s="324" t="n">
        <f aca="false">IF(AH84,xASN(AL84,Strike1,AE84,AP84,0,N84,0,P84-DaysForThetaCalculation/365.25,Q84-DaysForThetaCalculation/365.25,IF(OptControl=4,0,1),0)-xASN(AL84,Strike1,AE84,AP84,0,N84,0,P84,Q84,IF(OptControl=4,0,1),0),0)</f>
        <v>0</v>
      </c>
      <c r="AW84" s="324" t="n">
        <f aca="false">IF(AH84,xASN(AL84,Strike2,AE84,AQ84,0,N84,0,P84,Q84,IF(OptControl=3,1,0),0),0)</f>
        <v>0</v>
      </c>
      <c r="AX84" s="324" t="n">
        <f aca="false">IF(AH84,xASN(AL84,Strike2,AE84,AQ84,0,N84,0,P84,Q84,IF(OptControl=3,1,0),1),0)</f>
        <v>0</v>
      </c>
      <c r="AY84" s="324" t="n">
        <f aca="false">IF(AH84,xASN(AL84,Strike2,AE84,AQ84,0,N84,0,P84,Q84,IF(OptControl=3,1,0),2),0)</f>
        <v>0</v>
      </c>
      <c r="AZ84" s="324" t="n">
        <f aca="false">IF(AH84,xASN(AL84,Strike2,AE84,AQ84,0,N84,0,P84,Q84,IF(OptControl=3,1,0),3)/100,0)</f>
        <v>0</v>
      </c>
      <c r="BA84" s="324" t="n">
        <f aca="false">IF(AH84,xASN(AL84,Strike2,AE84,AQ84,0,N84,0,P84-DaysForThetaCalculation/365.25,Q84-DaysForThetaCalculation/365.25,IF(OptControl=3,1,0),0)-xASN(AL84,Strike2,AE84,AQ84,0,N84,0,P84,Q84,IF(OptControl=3,1,0),0),0)</f>
        <v>0</v>
      </c>
      <c r="BB84" s="325" t="str">
        <f aca="false">IF(AH84,IF(ProductGroup=1,IF(Product=1,BX84+PriceSpreadEuro,IF(Product=3,CK84+PriceSpreadEuro,"N/A")),"N/A"),"")</f>
        <v/>
      </c>
      <c r="BC84" s="316" t="str">
        <f aca="false">IF(AH84,Strike1/BB84-1,"")</f>
        <v/>
      </c>
      <c r="BD84" s="316" t="str">
        <f aca="false">IF(AH84,Strike2/BB84-1,"")</f>
        <v/>
      </c>
      <c r="BE84" s="326" t="str">
        <f aca="false">IF(AH84,IF(VolOverrideEuro,VolOverrideEuro,IF(ProductGroup=1,IF(Product&lt;3,DA84,DE84)+VolSpreadEuro,"N/A")),"")</f>
        <v/>
      </c>
      <c r="BF84" s="323" t="str">
        <f aca="false">IF($AH84,$BE84+IF(SkewFlag=1,IF(BC84&gt;0,$AA84*MIN(BC84/10%,1)+($Z84-$AA84)*MAX(0,MIN(BC84/10%-1,1))+($Y84-$Z84)*MAX(0,BC84/10%-2),$AB84*MIN(-BC84/10%,1)+($AC84-$AB84)*MAX(0,MIN(-BC84/10%-1,1))+($AD84-$AC84)*MAX(0,-BC84/10%-2)),0),"")</f>
        <v/>
      </c>
      <c r="BG84" s="323" t="str">
        <f aca="false">IF($AH84,$BE84+IF(SkewFlag=1,IF(BD84&gt;0,$AA84*MIN(BD84/10%,1)+($Z84-$AA84)*MAX(0,MIN(BD84/10%-1,1))+($Y84-$Z84)*MAX(0,BD84/10%-2),$AB84*MIN(-BD84/10%,1)+($AC84-$AB84)*MAX(0,MIN(-BD84/10%-1,1))+($AD84-$AC84)*MAX(0,-BD84/10%-2)),0),"")</f>
        <v/>
      </c>
      <c r="BH84" s="324" t="n">
        <f aca="false">IF(AH84,xEURO(BB84,Strike1,AE84,AE84,BF84,O84,IF(OptControl=4,0,1),0),0)</f>
        <v>0</v>
      </c>
      <c r="BI84" s="324" t="n">
        <f aca="false">IF(AH84,xEURO(BB84,Strike1,AE84,AE84,BF84,O84,IF(OptControl=4,0,1),1),0)</f>
        <v>0</v>
      </c>
      <c r="BJ84" s="324" t="n">
        <f aca="false">IF(AH84,xEURO(BB84,Strike1,AE84,AE84,BF84,O84,IF(OptControl=4,0,1),2),0)</f>
        <v>0</v>
      </c>
      <c r="BK84" s="324" t="n">
        <f aca="false">IF(AH84,xEURO(BB84,Strike1,AE84,AE84,BF84,O84,IF(OptControl=4,0,1),3)/100,0)</f>
        <v>0</v>
      </c>
      <c r="BL84" s="324" t="n">
        <f aca="false">IF(AH84,xEURO(BB84,Strike1,AE84,AE84,BF84,O84-DaysForThetaCalculation,IF(OptControl=4,0,1),0)-xEURO(BB84,Strike1,AE84,AE84,BF84,O84,IF(OptControl=4,0,1),0),0)</f>
        <v>0</v>
      </c>
      <c r="BM84" s="324" t="n">
        <f aca="false">IF(AH84,xEURO(BB84,Strike2,AE84,AE84,BG84,O84,IF(OptControl=3,1,0),0),0)</f>
        <v>0</v>
      </c>
      <c r="BN84" s="324" t="n">
        <f aca="false">IF(AH84,xEURO(BB84,Strike2,AE84,AE84,BG84,O84,IF(OptControl=3,1,0),1),0)</f>
        <v>0</v>
      </c>
      <c r="BO84" s="324" t="n">
        <f aca="false">IF(AH84,xEURO(BB84,Strike2,AE84,AE84,BG84,O84,IF(OptControl=3,1,0),2),0)</f>
        <v>0</v>
      </c>
      <c r="BP84" s="324" t="n">
        <f aca="false">IF(AH84,xEURO(BB84,Strike2,AE84,AE84,BG84,O84,IF(OptControl=3,1,0),3)/100,0)</f>
        <v>0</v>
      </c>
      <c r="BQ84" s="327" t="n">
        <f aca="false">IF(AH84,xEURO(BB84,Strike2,AE84,AE84,BG84,O84-DaysForThetaCalculation,IF(OptControl=3,1,0),0)-xEURO(BB84,Strike2,AE84,AE84,BG84,O84,IF(OptControl=3,1,0),0),0)</f>
        <v>0</v>
      </c>
      <c r="BR84" s="343"/>
      <c r="BS84" s="314" t="n">
        <v>24.112</v>
      </c>
      <c r="BT84" s="329" t="n">
        <f aca="false">BS84*100/42</f>
        <v>57.4095238095238</v>
      </c>
      <c r="BU84" s="329" t="n">
        <f aca="false">BS85-$U84</f>
        <v>4.74599999999995</v>
      </c>
      <c r="BV84" s="224"/>
      <c r="BW84" s="329" t="n">
        <f aca="false">BW72+VLOOKUP(1900+$L84,ProductSpreadTable,2)</f>
        <v>11.9888181818182</v>
      </c>
      <c r="BX84" s="329" t="n">
        <f aca="false">($V83+BW83)*100/42</f>
        <v>74.6833333333333</v>
      </c>
      <c r="BY84" s="332" t="n">
        <f aca="false">BX85</f>
        <v>73.6638528138529</v>
      </c>
      <c r="BZ84" s="314" t="n">
        <v>21.386</v>
      </c>
      <c r="CA84" s="329" t="n">
        <f aca="false">BZ84*100/42</f>
        <v>50.9190476190476</v>
      </c>
      <c r="CB84" s="329" t="n">
        <f aca="false">BZ84-$U84</f>
        <v>2.43599999999995</v>
      </c>
      <c r="CC84" s="329" t="n">
        <f aca="false">CC72+VLOOKUP(1900+$L84,ProductSpreadTable,3)</f>
        <v>9.67881818181819</v>
      </c>
      <c r="CD84" s="329" t="n">
        <f aca="false">($V84+CC84)*100/42</f>
        <v>68.1638528138529</v>
      </c>
      <c r="CE84" s="333" t="n">
        <f aca="false">CD84-BY84</f>
        <v>-5.5</v>
      </c>
      <c r="CF84" s="314" t="n">
        <v>22.205</v>
      </c>
      <c r="CG84" s="329" t="n">
        <f aca="false">CF84*100/42</f>
        <v>52.8690476190476</v>
      </c>
      <c r="CH84" s="329" t="n">
        <f aca="false">CF85-$U84</f>
        <v>3.80599999999995</v>
      </c>
      <c r="CI84" s="224"/>
      <c r="CJ84" s="329" t="n">
        <f aca="false">CJ72+VLOOKUP(1900+$L84,ProductSpreadTable,4)</f>
        <v>10.8468181818182</v>
      </c>
      <c r="CK84" s="329" t="n">
        <f aca="false">($V83+CJ83)*100/42</f>
        <v>69.6642857142856</v>
      </c>
      <c r="CL84" s="329" t="n">
        <f aca="false">CK85</f>
        <v>70.9448051948053</v>
      </c>
      <c r="CM84" s="314" t="n">
        <v>21.517</v>
      </c>
      <c r="CN84" s="329" t="n">
        <f aca="false">CM84*100/42</f>
        <v>51.2309523809524</v>
      </c>
      <c r="CO84" s="329" t="n">
        <f aca="false">CM84-$U84</f>
        <v>2.56699999999995</v>
      </c>
      <c r="CP84" s="329" t="n">
        <f aca="false">CP72+VLOOKUP(1900+$L84,ProductSpreadTable,5)</f>
        <v>9.64981818181818</v>
      </c>
      <c r="CQ84" s="329" t="n">
        <f aca="false">($V84+CP84)*100/42</f>
        <v>68.0948051948053</v>
      </c>
      <c r="CR84" s="333" t="n">
        <f aca="false">CQ84-CL84</f>
        <v>-2.85000000000001</v>
      </c>
      <c r="CS84" s="314" t="n">
        <v>22.882</v>
      </c>
      <c r="CT84" s="329" t="n">
        <f aca="false">CS84*100/42</f>
        <v>54.4809523809524</v>
      </c>
      <c r="CU84" s="329" t="n">
        <f aca="false">CT84-CG85</f>
        <v>0.300000000000011</v>
      </c>
      <c r="CV84" s="329" t="n">
        <f aca="false">CV72+VLOOKUP(1900+$L84,ProductSpreadTable,6)</f>
        <v>1.50000000000001</v>
      </c>
      <c r="CW84" s="333" t="n">
        <f aca="false">CL84+CV84</f>
        <v>72.4448051948053</v>
      </c>
      <c r="CX84" s="318" t="n">
        <v>0.185</v>
      </c>
      <c r="CY84" s="326" t="n">
        <f aca="false">CX84-$W84</f>
        <v>0.000399999999999984</v>
      </c>
      <c r="CZ84" s="326" t="n">
        <f aca="false">VLOOKUP(1900+$L84,ProductSpreadTable,7)</f>
        <v>-0.03</v>
      </c>
      <c r="DA84" s="365" t="n">
        <f aca="false">$W84+CZ84</f>
        <v>0.1546</v>
      </c>
      <c r="DB84" s="318" t="n">
        <v>0.185</v>
      </c>
      <c r="DC84" s="326" t="n">
        <f aca="false">DB84-$W84</f>
        <v>0.000399999999999984</v>
      </c>
      <c r="DD84" s="326" t="n">
        <f aca="false">VLOOKUP(1900+$L84,ProductSpreadTable,8)</f>
        <v>0.03</v>
      </c>
      <c r="DE84" s="365" t="n">
        <f aca="false">$W84+DD84</f>
        <v>0.2146</v>
      </c>
      <c r="DG84" s="336"/>
      <c r="DH84" s="314" t="n">
        <v>16.3</v>
      </c>
      <c r="DI84" s="325" t="n">
        <f aca="false">DH84-$U84</f>
        <v>-2.65000000000004</v>
      </c>
      <c r="DJ84" s="325" t="n">
        <f aca="false">VLOOKUP(1900+$L84,ResidSpreadTable,2)</f>
        <v>-2</v>
      </c>
      <c r="DK84" s="337" t="n">
        <f aca="false">$V84+DJ84</f>
        <v>16.95</v>
      </c>
      <c r="DL84" s="314" t="n">
        <v>13.7</v>
      </c>
      <c r="DM84" s="325" t="n">
        <f aca="false">DL84-$U84</f>
        <v>-5.25000000000005</v>
      </c>
      <c r="DN84" s="325" t="n">
        <f aca="false">VLOOKUP(1900+$L84,ResidSpreadTable,3)</f>
        <v>-3</v>
      </c>
      <c r="DO84" s="337" t="n">
        <f aca="false">$V84+DN84</f>
        <v>15.95</v>
      </c>
      <c r="DP84" s="314" t="n">
        <v>14.35</v>
      </c>
      <c r="DQ84" s="325" t="n">
        <f aca="false">DP84-$U84</f>
        <v>-4.60000000000005</v>
      </c>
      <c r="DR84" s="325" t="n">
        <f aca="false">VLOOKUP(1900+$L84,ResidSpreadTable,4)</f>
        <v>-6</v>
      </c>
      <c r="DS84" s="337" t="n">
        <f aca="false">$V84+DR84</f>
        <v>12.95</v>
      </c>
      <c r="DT84" s="314" t="n">
        <v>15.25</v>
      </c>
      <c r="DU84" s="325" t="n">
        <f aca="false">DT84-$U84</f>
        <v>-3.70000000000005</v>
      </c>
      <c r="DV84" s="325" t="n">
        <f aca="false">VLOOKUP(1900+$L84,ResidSpreadTable,5)</f>
        <v>-5</v>
      </c>
      <c r="DW84" s="337" t="n">
        <f aca="false">$V84+DV84</f>
        <v>13.95</v>
      </c>
    </row>
    <row r="85" customFormat="false" ht="12.75" hidden="false" customHeight="false" outlineLevel="0" collapsed="false">
      <c r="B85" s="371" t="n">
        <v>38139</v>
      </c>
      <c r="C85" s="391" t="n">
        <v>38129</v>
      </c>
      <c r="I85" s="338" t="n">
        <f aca="false">EOMONTH(I84,0)+1</f>
        <v>48335</v>
      </c>
      <c r="J85" s="389" t="n">
        <f aca="false">VLOOKUP(I85,$B$12:$C$332,2)</f>
        <v>45644</v>
      </c>
      <c r="K85" s="339" t="n">
        <f aca="false">NETWORKDAYS(I85,J86)/N85</f>
        <v>-91.5714285714286</v>
      </c>
      <c r="L85" s="309" t="n">
        <f aca="false">YEAR(I85)-1900</f>
        <v>132</v>
      </c>
      <c r="M85" s="310" t="n">
        <f aca="false">MONTH(I85)</f>
        <v>5</v>
      </c>
      <c r="N85" s="340" t="n">
        <f aca="false">NETWORKDAYS(I85,I86-1)</f>
        <v>21</v>
      </c>
      <c r="O85" s="341" t="n">
        <f aca="false">I85-DateToday-IF(EuroExpDateToggle=1,3+IF(WEEKDAY(I85-1)=7,1,IF(WEEKDAY(I85-1)&lt;5,2,0)),1+IF(WEEKDAY(I85-1)=7,1,IF(WEEKDAY(I85-1)&lt;3,2,0)))</f>
        <v>2406</v>
      </c>
      <c r="P85" s="342" t="n">
        <f aca="false">(I85-DateToday+1)/365.25</f>
        <v>6.59822039698836</v>
      </c>
      <c r="Q85" s="342" t="n">
        <f aca="false">(I86-DateToday)/365.25</f>
        <v>6.68035592060233</v>
      </c>
      <c r="R85" s="314" t="n">
        <v>18.95</v>
      </c>
      <c r="S85" s="347" t="n">
        <v>0</v>
      </c>
      <c r="T85" s="316" t="n">
        <f aca="false">R85+S85/100</f>
        <v>18.95</v>
      </c>
      <c r="U85" s="325" t="n">
        <f aca="false">R86*K85+R87*(1-K85)</f>
        <v>23.5785714285717</v>
      </c>
      <c r="V85" s="337" t="n">
        <f aca="false">T86*K85+T87*(1-K85)</f>
        <v>23.5785714285717</v>
      </c>
      <c r="W85" s="318" t="n">
        <v>0.186</v>
      </c>
      <c r="X85" s="319" t="str">
        <f aca="false">IF($I85-DateToday+1&gt;=$A$10,"",IF($I85-DateToday+1&lt;$A$5,1,MATCH($I85-DateToday+1,$A$5:$A$10)))</f>
        <v/>
      </c>
      <c r="Y85" s="348" t="n">
        <f aca="false">IF($X85="",Y84^2/Y83,INDEX(B$5:B$10,$X85)^((INDEX($A$5:$A$10,$X85+1)-($I85-DateToday+1))/(INDEX($A$5:$A$10,$X85+1)-INDEX($A$5:$A$10,$X85)))/INDEX(B$5:B$10,$X85+1)^((INDEX($A$5:$A$10,$X85)-($I85-DateToday+1))/(INDEX($A$5:$A$10,$X85+1)-INDEX($A$5:$A$10,$X85))))</f>
        <v>0.00277368714110223</v>
      </c>
      <c r="Z85" s="348" t="n">
        <f aca="false">IF($X85="",Z84^2/Z83,INDEX(C$5:C$10,$X85)^((INDEX($A$5:$A$10,$X85+1)-($I85-DateToday+1))/(INDEX($A$5:$A$10,$X85+1)-INDEX($A$5:$A$10,$X85)))/INDEX(C$5:C$10,$X85+1)^((INDEX($A$5:$A$10,$X85)-($I85-DateToday+1))/(INDEX($A$5:$A$10,$X85+1)-INDEX($A$5:$A$10,$X85))))</f>
        <v>0.00111746248451926</v>
      </c>
      <c r="AA85" s="348" t="n">
        <f aca="false">IF($X85="",AA84^2/AA83,INDEX(D$5:D$10,$X85)^((INDEX($A$5:$A$10,$X85+1)-($I85-DateToday+1))/(INDEX($A$5:$A$10,$X85+1)-INDEX($A$5:$A$10,$X85)))/INDEX(D$5:D$10,$X85+1)^((INDEX($A$5:$A$10,$X85)-($I85-DateToday+1))/(INDEX($A$5:$A$10,$X85+1)-INDEX($A$5:$A$10,$X85))))</f>
        <v>0.000430645223205019</v>
      </c>
      <c r="AB85" s="348" t="n">
        <f aca="false">IF($X85="",AB84^2/AB83,INDEX(E$5:E$10,$X85)^((INDEX($A$5:$A$10,$X85+1)-($I85-DateToday+1))/(INDEX($A$5:$A$10,$X85+1)-INDEX($A$5:$A$10,$X85)))/INDEX(E$5:E$10,$X85+1)^((INDEX($A$5:$A$10,$X85)-($I85-DateToday+1))/(INDEX($A$5:$A$10,$X85+1)-INDEX($A$5:$A$10,$X85))))</f>
        <v>0.000970157558836281</v>
      </c>
      <c r="AC85" s="348" t="n">
        <f aca="false">IF($X85="",AC84^2/AC83,INDEX(F$5:F$10,$X85)^((INDEX($A$5:$A$10,$X85+1)-($I85-DateToday+1))/(INDEX($A$5:$A$10,$X85+1)-INDEX($A$5:$A$10,$X85)))/INDEX(F$5:F$10,$X85+1)^((INDEX($A$5:$A$10,$X85)-($I85-DateToday+1))/(INDEX($A$5:$A$10,$X85+1)-INDEX($A$5:$A$10,$X85))))</f>
        <v>0.002517419485125</v>
      </c>
      <c r="AD85" s="348" t="n">
        <f aca="false">IF($X85="",AD84^2/AD83,INDEX(G$5:G$10,$X85)^((INDEX($A$5:$A$10,$X85+1)-($I85-DateToday+1))/(INDEX($A$5:$A$10,$X85+1)-INDEX($A$5:$A$10,$X85)))/INDEX(G$5:G$10,$X85+1)^((INDEX($A$5:$A$10,$X85)-($I85-DateToday+1))/(INDEX($A$5:$A$10,$X85+1)-INDEX($A$5:$A$10,$X85))))</f>
        <v>0.00624856239147485</v>
      </c>
      <c r="AE85" s="321" t="n">
        <v>0.073428341742267</v>
      </c>
      <c r="AF85" s="316" t="n">
        <f aca="false">(1+AE85/2)^(-2*(I86-DateToday)/365.25)</f>
        <v>0.617709308896506</v>
      </c>
      <c r="AG85" s="316" t="n">
        <f aca="false">AG84*(1+IF(AND(M85=1,L85&gt;YearStart),Escalation,0))</f>
        <v>1</v>
      </c>
      <c r="AH85" s="322" t="n">
        <f aca="false">IF(OR(DateStart&gt;=I86,DateEnd&lt;I85),0,Volume*AG85)</f>
        <v>0</v>
      </c>
      <c r="AI85" s="322" t="n">
        <f aca="false">AH85*AF85</f>
        <v>0</v>
      </c>
      <c r="AJ85" s="322" t="n">
        <f aca="false">IF(OR(DateStart2&gt;=I86,DateEnd2&lt;I85),0,VolumeSwaption*AG85)</f>
        <v>0</v>
      </c>
      <c r="AK85" s="322" t="n">
        <f aca="false">AJ85*AF85</f>
        <v>0</v>
      </c>
      <c r="AL85" s="316" t="str">
        <f aca="true">IF(AH85,OFFSET(BY85,0,HorizontalPriceOffset)+PriceSpreadAsian,"")</f>
        <v/>
      </c>
      <c r="AM85" s="316" t="str">
        <f aca="false">IF(AH85,Strike1/AL85-1,"")</f>
        <v/>
      </c>
      <c r="AN85" s="316" t="str">
        <f aca="false">IF(AH85,Strike2/AL85-1,"")</f>
        <v/>
      </c>
      <c r="AO85" s="323" t="str">
        <f aca="false">IF(AH85,IF(VolOverrideAsian,VolOverrideAsian,IF(ProductGroup=1,IF(Product&lt;3,DA86,DE86),W86)+VolSpreadAsian),"")</f>
        <v/>
      </c>
      <c r="AP85" s="323" t="str">
        <f aca="false">IF($AH85,$AO85+IF(SkewFlag=1,IF(AM85&gt;0,$AA85*MIN(AM85/10%,1)+($Z85-$AA85)*MAX(0,MIN(AM85/10%-1,1))+($Y85-$Z85)*MAX(0,AM85/10%-2),$AB85*MIN(-AM85/10%,1)+($AC85-$AB85)*MAX(0,MIN(-AM85/10%-1,1))+($AD85-$AC85)*MAX(0,-AM85/10%-2)),0),"")</f>
        <v/>
      </c>
      <c r="AQ85" s="323" t="str">
        <f aca="false">IF($AH85,$AO85+IF(SkewFlag=1,IF(AN85&gt;0,$AA85*MIN(AN85/10%,1)+($Z85-$AA85)*MAX(0,MIN(AN85/10%-1,1))+($Y85-$Z85)*MAX(0,AN85/10%-2),$AB85*MIN(-AN85/10%,1)+($AC85-$AB85)*MAX(0,MIN(-AN85/10%-1,1))+($AD85-$AC85)*MAX(0,-AN85/10%-2)),0),"")</f>
        <v/>
      </c>
      <c r="AR85" s="324" t="n">
        <f aca="false">IF(AH85,xASN(AL85,Strike1,AE85,AP85,0,N85,0,P85,Q85,IF(OptControl=4,0,1),0),0)</f>
        <v>0</v>
      </c>
      <c r="AS85" s="324" t="n">
        <f aca="false">IF(AH85,xASN(AL85,Strike1,AE85,AP85,0,N85,0,P85,Q85,IF(OptControl=4,0,1),1),0)</f>
        <v>0</v>
      </c>
      <c r="AT85" s="324" t="n">
        <f aca="false">IF(AH85,xASN(AL85,Strike1,AE85,AP85,0,N85,0,P85,Q85,IF(OptControl=4,0,1),2),0)</f>
        <v>0</v>
      </c>
      <c r="AU85" s="324" t="n">
        <f aca="false">IF(AH85,xASN(AL85,Strike1,AE85,AP85,0,N85,0,P85,Q85,IF(OptControl=4,0,1),3)/100,0)</f>
        <v>0</v>
      </c>
      <c r="AV85" s="324" t="n">
        <f aca="false">IF(AH85,xASN(AL85,Strike1,AE85,AP85,0,N85,0,P85-DaysForThetaCalculation/365.25,Q85-DaysForThetaCalculation/365.25,IF(OptControl=4,0,1),0)-xASN(AL85,Strike1,AE85,AP85,0,N85,0,P85,Q85,IF(OptControl=4,0,1),0),0)</f>
        <v>0</v>
      </c>
      <c r="AW85" s="324" t="n">
        <f aca="false">IF(AH85,xASN(AL85,Strike2,AE85,AQ85,0,N85,0,P85,Q85,IF(OptControl=3,1,0),0),0)</f>
        <v>0</v>
      </c>
      <c r="AX85" s="324" t="n">
        <f aca="false">IF(AH85,xASN(AL85,Strike2,AE85,AQ85,0,N85,0,P85,Q85,IF(OptControl=3,1,0),1),0)</f>
        <v>0</v>
      </c>
      <c r="AY85" s="324" t="n">
        <f aca="false">IF(AH85,xASN(AL85,Strike2,AE85,AQ85,0,N85,0,P85,Q85,IF(OptControl=3,1,0),2),0)</f>
        <v>0</v>
      </c>
      <c r="AZ85" s="324" t="n">
        <f aca="false">IF(AH85,xASN(AL85,Strike2,AE85,AQ85,0,N85,0,P85,Q85,IF(OptControl=3,1,0),3)/100,0)</f>
        <v>0</v>
      </c>
      <c r="BA85" s="324" t="n">
        <f aca="false">IF(AH85,xASN(AL85,Strike2,AE85,AQ85,0,N85,0,P85-DaysForThetaCalculation/365.25,Q85-DaysForThetaCalculation/365.25,IF(OptControl=3,1,0),0)-xASN(AL85,Strike2,AE85,AQ85,0,N85,0,P85,Q85,IF(OptControl=3,1,0),0),0)</f>
        <v>0</v>
      </c>
      <c r="BB85" s="325" t="str">
        <f aca="false">IF(AH85,IF(ProductGroup=1,IF(Product=1,BX85+PriceSpreadEuro,IF(Product=3,CK85+PriceSpreadEuro,"N/A")),"N/A"),"")</f>
        <v/>
      </c>
      <c r="BC85" s="316" t="str">
        <f aca="false">IF(AH85,Strike1/BB85-1,"")</f>
        <v/>
      </c>
      <c r="BD85" s="316" t="str">
        <f aca="false">IF(AH85,Strike2/BB85-1,"")</f>
        <v/>
      </c>
      <c r="BE85" s="326" t="str">
        <f aca="false">IF(AH85,IF(VolOverrideEuro,VolOverrideEuro,IF(ProductGroup=1,IF(Product&lt;3,DA85,DE85)+VolSpreadEuro,"N/A")),"")</f>
        <v/>
      </c>
      <c r="BF85" s="323" t="str">
        <f aca="false">IF($AH85,$BE85+IF(SkewFlag=1,IF(BC85&gt;0,$AA85*MIN(BC85/10%,1)+($Z85-$AA85)*MAX(0,MIN(BC85/10%-1,1))+($Y85-$Z85)*MAX(0,BC85/10%-2),$AB85*MIN(-BC85/10%,1)+($AC85-$AB85)*MAX(0,MIN(-BC85/10%-1,1))+($AD85-$AC85)*MAX(0,-BC85/10%-2)),0),"")</f>
        <v/>
      </c>
      <c r="BG85" s="323" t="str">
        <f aca="false">IF($AH85,$BE85+IF(SkewFlag=1,IF(BD85&gt;0,$AA85*MIN(BD85/10%,1)+($Z85-$AA85)*MAX(0,MIN(BD85/10%-1,1))+($Y85-$Z85)*MAX(0,BD85/10%-2),$AB85*MIN(-BD85/10%,1)+($AC85-$AB85)*MAX(0,MIN(-BD85/10%-1,1))+($AD85-$AC85)*MAX(0,-BD85/10%-2)),0),"")</f>
        <v/>
      </c>
      <c r="BH85" s="324" t="n">
        <f aca="false">IF(AH85,xEURO(BB85,Strike1,AE85,AE85,BF85,O85,IF(OptControl=4,0,1),0),0)</f>
        <v>0</v>
      </c>
      <c r="BI85" s="324" t="n">
        <f aca="false">IF(AH85,xEURO(BB85,Strike1,AE85,AE85,BF85,O85,IF(OptControl=4,0,1),1),0)</f>
        <v>0</v>
      </c>
      <c r="BJ85" s="324" t="n">
        <f aca="false">IF(AH85,xEURO(BB85,Strike1,AE85,AE85,BF85,O85,IF(OptControl=4,0,1),2),0)</f>
        <v>0</v>
      </c>
      <c r="BK85" s="324" t="n">
        <f aca="false">IF(AH85,xEURO(BB85,Strike1,AE85,AE85,BF85,O85,IF(OptControl=4,0,1),3)/100,0)</f>
        <v>0</v>
      </c>
      <c r="BL85" s="324" t="n">
        <f aca="false">IF(AH85,xEURO(BB85,Strike1,AE85,AE85,BF85,O85-DaysForThetaCalculation,IF(OptControl=4,0,1),0)-xEURO(BB85,Strike1,AE85,AE85,BF85,O85,IF(OptControl=4,0,1),0),0)</f>
        <v>0</v>
      </c>
      <c r="BM85" s="324" t="n">
        <f aca="false">IF(AH85,xEURO(BB85,Strike2,AE85,AE85,BG85,O85,IF(OptControl=3,1,0),0),0)</f>
        <v>0</v>
      </c>
      <c r="BN85" s="324" t="n">
        <f aca="false">IF(AH85,xEURO(BB85,Strike2,AE85,AE85,BG85,O85,IF(OptControl=3,1,0),1),0)</f>
        <v>0</v>
      </c>
      <c r="BO85" s="324" t="n">
        <f aca="false">IF(AH85,xEURO(BB85,Strike2,AE85,AE85,BG85,O85,IF(OptControl=3,1,0),2),0)</f>
        <v>0</v>
      </c>
      <c r="BP85" s="324" t="n">
        <f aca="false">IF(AH85,xEURO(BB85,Strike2,AE85,AE85,BG85,O85,IF(OptControl=3,1,0),3)/100,0)</f>
        <v>0</v>
      </c>
      <c r="BQ85" s="327" t="n">
        <f aca="false">IF(AH85,xEURO(BB85,Strike2,AE85,AE85,BG85,O85-DaysForThetaCalculation,IF(OptControl=3,1,0),0)-xEURO(BB85,Strike2,AE85,AE85,BG85,O85,IF(OptControl=3,1,0),0),0)</f>
        <v>0</v>
      </c>
      <c r="BR85" s="343"/>
      <c r="BS85" s="314" t="n">
        <v>23.696</v>
      </c>
      <c r="BT85" s="329" t="n">
        <f aca="false">BS85*100/42</f>
        <v>56.4190476190476</v>
      </c>
      <c r="BU85" s="329" t="n">
        <f aca="false">BS86-$U85</f>
        <v>-0.0165714285716447</v>
      </c>
      <c r="BV85" s="224"/>
      <c r="BW85" s="329" t="n">
        <f aca="false">BW73+VLOOKUP(1900+$L85,ProductSpreadTable,2)</f>
        <v>11.9970952380953</v>
      </c>
      <c r="BX85" s="329" t="n">
        <f aca="false">($V84+BW84)*100/42</f>
        <v>73.6638528138529</v>
      </c>
      <c r="BY85" s="332" t="n">
        <f aca="false">BX86</f>
        <v>84.703968253969</v>
      </c>
      <c r="BZ85" s="314" t="n">
        <v>21.252</v>
      </c>
      <c r="CA85" s="329" t="n">
        <f aca="false">BZ85*100/42</f>
        <v>50.6</v>
      </c>
      <c r="CB85" s="329" t="n">
        <f aca="false">BZ85-$U85</f>
        <v>-2.32657142857165</v>
      </c>
      <c r="CC85" s="329" t="n">
        <f aca="false">CC73+VLOOKUP(1900+$L85,ProductSpreadTable,3)</f>
        <v>9.68709523809531</v>
      </c>
      <c r="CD85" s="329" t="n">
        <f aca="false">($V85+CC85)*100/42</f>
        <v>79.203968253969</v>
      </c>
      <c r="CE85" s="333" t="n">
        <f aca="false">CD85-BY85</f>
        <v>-5.5</v>
      </c>
      <c r="CF85" s="314" t="n">
        <v>22.756</v>
      </c>
      <c r="CG85" s="329" t="n">
        <f aca="false">CF85*100/42</f>
        <v>54.1809523809524</v>
      </c>
      <c r="CH85" s="329" t="n">
        <f aca="false">CF86-$U85</f>
        <v>-0.243571428571649</v>
      </c>
      <c r="CI85" s="224"/>
      <c r="CJ85" s="329" t="n">
        <f aca="false">CJ73+VLOOKUP(1900+$L85,ProductSpreadTable,4)</f>
        <v>11.5690952380953</v>
      </c>
      <c r="CK85" s="329" t="n">
        <f aca="false">($V84+CJ84)*100/42</f>
        <v>70.9448051948053</v>
      </c>
      <c r="CL85" s="329" t="n">
        <f aca="false">CK86</f>
        <v>83.6849206349213</v>
      </c>
      <c r="CM85" s="314" t="n">
        <v>22.096</v>
      </c>
      <c r="CN85" s="329" t="n">
        <f aca="false">CM85*100/42</f>
        <v>52.6095238095238</v>
      </c>
      <c r="CO85" s="329" t="n">
        <f aca="false">CM85-$U85</f>
        <v>-1.48257142857165</v>
      </c>
      <c r="CP85" s="329" t="n">
        <f aca="false">CP73+VLOOKUP(1900+$L85,ProductSpreadTable,5)</f>
        <v>10.3720952380953</v>
      </c>
      <c r="CQ85" s="329" t="n">
        <f aca="false">($V85+CP85)*100/42</f>
        <v>80.8349206349213</v>
      </c>
      <c r="CR85" s="333" t="n">
        <f aca="false">CQ85-CL85</f>
        <v>-2.85000000000001</v>
      </c>
      <c r="CS85" s="314" t="n">
        <v>23.461</v>
      </c>
      <c r="CT85" s="329" t="n">
        <f aca="false">CS85*100/42</f>
        <v>55.8595238095238</v>
      </c>
      <c r="CU85" s="329" t="n">
        <f aca="false">CT85-CG86</f>
        <v>0.299999999999997</v>
      </c>
      <c r="CV85" s="329" t="n">
        <f aca="false">CV73+VLOOKUP(1900+$L85,ProductSpreadTable,6)</f>
        <v>1.50000000000001</v>
      </c>
      <c r="CW85" s="333" t="n">
        <f aca="false">CL85+CV85</f>
        <v>85.1849206349214</v>
      </c>
      <c r="CX85" s="318" t="n">
        <v>0.186</v>
      </c>
      <c r="CY85" s="326" t="n">
        <f aca="false">CX85-$W85</f>
        <v>0</v>
      </c>
      <c r="CZ85" s="326" t="n">
        <f aca="false">VLOOKUP(1900+$L85,ProductSpreadTable,7)</f>
        <v>-0.03</v>
      </c>
      <c r="DA85" s="365" t="n">
        <f aca="false">$W85+CZ85</f>
        <v>0.156</v>
      </c>
      <c r="DB85" s="318" t="n">
        <v>0.186</v>
      </c>
      <c r="DC85" s="326" t="n">
        <f aca="false">DB85-$W85</f>
        <v>0</v>
      </c>
      <c r="DD85" s="326" t="n">
        <f aca="false">VLOOKUP(1900+$L85,ProductSpreadTable,8)</f>
        <v>0.03</v>
      </c>
      <c r="DE85" s="365" t="n">
        <f aca="false">$W85+DD85</f>
        <v>0.216</v>
      </c>
      <c r="DG85" s="336"/>
      <c r="DH85" s="314" t="n">
        <v>16.318</v>
      </c>
      <c r="DI85" s="325" t="n">
        <f aca="false">DH85-$U85</f>
        <v>-7.26057142857165</v>
      </c>
      <c r="DJ85" s="325" t="n">
        <f aca="false">VLOOKUP(1900+$L85,ResidSpreadTable,2)</f>
        <v>-2</v>
      </c>
      <c r="DK85" s="337" t="n">
        <f aca="false">$V85+DJ85</f>
        <v>21.5785714285717</v>
      </c>
      <c r="DL85" s="314" t="n">
        <v>13.718</v>
      </c>
      <c r="DM85" s="325" t="n">
        <f aca="false">DL85-$U85</f>
        <v>-9.86057142857165</v>
      </c>
      <c r="DN85" s="325" t="n">
        <f aca="false">VLOOKUP(1900+$L85,ResidSpreadTable,3)</f>
        <v>-3</v>
      </c>
      <c r="DO85" s="337" t="n">
        <f aca="false">$V85+DN85</f>
        <v>20.5785714285717</v>
      </c>
      <c r="DP85" s="314" t="n">
        <v>14.368</v>
      </c>
      <c r="DQ85" s="325" t="n">
        <f aca="false">DP85-$U85</f>
        <v>-9.21057142857165</v>
      </c>
      <c r="DR85" s="325" t="n">
        <f aca="false">VLOOKUP(1900+$L85,ResidSpreadTable,4)</f>
        <v>-6</v>
      </c>
      <c r="DS85" s="337" t="n">
        <f aca="false">$V85+DR85</f>
        <v>17.5785714285717</v>
      </c>
      <c r="DT85" s="314" t="n">
        <v>15.268</v>
      </c>
      <c r="DU85" s="325" t="n">
        <f aca="false">DT85-$U85</f>
        <v>-8.31057142857165</v>
      </c>
      <c r="DV85" s="325" t="n">
        <f aca="false">VLOOKUP(1900+$L85,ResidSpreadTable,5)</f>
        <v>-5</v>
      </c>
      <c r="DW85" s="337" t="n">
        <f aca="false">$V85+DV85</f>
        <v>18.5785714285717</v>
      </c>
    </row>
    <row r="86" customFormat="false" ht="12.75" hidden="false" customHeight="false" outlineLevel="0" collapsed="false">
      <c r="B86" s="371" t="n">
        <v>38169</v>
      </c>
      <c r="C86" s="391" t="n">
        <v>38158</v>
      </c>
      <c r="I86" s="338" t="n">
        <f aca="false">EOMONTH(I85,0)+1</f>
        <v>48366</v>
      </c>
      <c r="J86" s="389" t="n">
        <f aca="false">VLOOKUP(I86,$B$12:$C$332,2)</f>
        <v>45644</v>
      </c>
      <c r="K86" s="339" t="n">
        <f aca="false">NETWORKDAYS(I86,J87)/N86</f>
        <v>-88.4090909090909</v>
      </c>
      <c r="L86" s="309" t="n">
        <f aca="false">YEAR(I86)-1900</f>
        <v>132</v>
      </c>
      <c r="M86" s="310" t="n">
        <f aca="false">MONTH(I86)</f>
        <v>6</v>
      </c>
      <c r="N86" s="340" t="n">
        <f aca="false">NETWORKDAYS(I86,I87-1)</f>
        <v>22</v>
      </c>
      <c r="O86" s="341" t="n">
        <f aca="false">I86-DateToday-IF(EuroExpDateToggle=1,3+IF(WEEKDAY(I86-1)=7,1,IF(WEEKDAY(I86-1)&lt;5,2,0)),1+IF(WEEKDAY(I86-1)=7,1,IF(WEEKDAY(I86-1)&lt;3,2,0)))</f>
        <v>2435</v>
      </c>
      <c r="P86" s="342" t="n">
        <f aca="false">(I86-DateToday+1)/365.25</f>
        <v>6.68309377138946</v>
      </c>
      <c r="Q86" s="342" t="n">
        <f aca="false">(I87-DateToday)/365.25</f>
        <v>6.76249144421629</v>
      </c>
      <c r="R86" s="314" t="n">
        <v>18.95</v>
      </c>
      <c r="S86" s="347" t="n">
        <v>0</v>
      </c>
      <c r="T86" s="316" t="n">
        <f aca="false">R86+S86/100</f>
        <v>18.95</v>
      </c>
      <c r="U86" s="325" t="n">
        <f aca="false">R87*K86+R88*(1-K86)</f>
        <v>23.4704545454547</v>
      </c>
      <c r="V86" s="337" t="n">
        <f aca="false">T87*K86+T88*(1-K86)</f>
        <v>23.4704545454547</v>
      </c>
      <c r="W86" s="318" t="n">
        <v>0.1854</v>
      </c>
      <c r="X86" s="319" t="str">
        <f aca="false">IF($I86-DateToday+1&gt;=$A$10,"",IF($I86-DateToday+1&lt;$A$5,1,MATCH($I86-DateToday+1,$A$5:$A$10)))</f>
        <v/>
      </c>
      <c r="Y86" s="348" t="n">
        <f aca="false">IF($X86="",Y85^2/Y84,INDEX(B$5:B$10,$X86)^((INDEX($A$5:$A$10,$X86+1)-($I86-DateToday+1))/(INDEX($A$5:$A$10,$X86+1)-INDEX($A$5:$A$10,$X86)))/INDEX(B$5:B$10,$X86+1)^((INDEX($A$5:$A$10,$X86)-($I86-DateToday+1))/(INDEX($A$5:$A$10,$X86+1)-INDEX($A$5:$A$10,$X86))))</f>
        <v>0.00271430671798766</v>
      </c>
      <c r="Z86" s="348" t="n">
        <f aca="false">IF($X86="",Z85^2/Z84,INDEX(C$5:C$10,$X86)^((INDEX($A$5:$A$10,$X86+1)-($I86-DateToday+1))/(INDEX($A$5:$A$10,$X86+1)-INDEX($A$5:$A$10,$X86)))/INDEX(C$5:C$10,$X86+1)^((INDEX($A$5:$A$10,$X86)-($I86-DateToday+1))/(INDEX($A$5:$A$10,$X86+1)-INDEX($A$5:$A$10,$X86))))</f>
        <v>0.00108768444602624</v>
      </c>
      <c r="AA86" s="348" t="n">
        <f aca="false">IF($X86="",AA85^2/AA84,INDEX(D$5:D$10,$X86)^((INDEX($A$5:$A$10,$X86+1)-($I86-DateToday+1))/(INDEX($A$5:$A$10,$X86+1)-INDEX($A$5:$A$10,$X86)))/INDEX(D$5:D$10,$X86+1)^((INDEX($A$5:$A$10,$X86)-($I86-DateToday+1))/(INDEX($A$5:$A$10,$X86+1)-INDEX($A$5:$A$10,$X86))))</f>
        <v>0.000418045386044588</v>
      </c>
      <c r="AB86" s="348" t="n">
        <f aca="false">IF($X86="",AB85^2/AB84,INDEX(E$5:E$10,$X86)^((INDEX($A$5:$A$10,$X86+1)-($I86-DateToday+1))/(INDEX($A$5:$A$10,$X86+1)-INDEX($A$5:$A$10,$X86)))/INDEX(E$5:E$10,$X86+1)^((INDEX($A$5:$A$10,$X86)-($I86-DateToday+1))/(INDEX($A$5:$A$10,$X86+1)-INDEX($A$5:$A$10,$X86))))</f>
        <v>0.000941772645681263</v>
      </c>
      <c r="AC86" s="348" t="n">
        <f aca="false">IF($X86="",AC85^2/AC84,INDEX(F$5:F$10,$X86)^((INDEX($A$5:$A$10,$X86+1)-($I86-DateToday+1))/(INDEX($A$5:$A$10,$X86+1)-INDEX($A$5:$A$10,$X86)))/INDEX(F$5:F$10,$X86+1)^((INDEX($A$5:$A$10,$X86)-($I86-DateToday+1))/(INDEX($A$5:$A$10,$X86+1)-INDEX($A$5:$A$10,$X86))))</f>
        <v>0.00245033552000792</v>
      </c>
      <c r="AD86" s="348" t="n">
        <f aca="false">IF($X86="",AD85^2/AD84,INDEX(G$5:G$10,$X86)^((INDEX($A$5:$A$10,$X86+1)-($I86-DateToday+1))/(INDEX($A$5:$A$10,$X86+1)-INDEX($A$5:$A$10,$X86)))/INDEX(G$5:G$10,$X86+1)^((INDEX($A$5:$A$10,$X86)-($I86-DateToday+1))/(INDEX($A$5:$A$10,$X86+1)-INDEX($A$5:$A$10,$X86))))</f>
        <v>0.00611479017428235</v>
      </c>
      <c r="AE86" s="321" t="n">
        <v>0.073445677352314</v>
      </c>
      <c r="AF86" s="316" t="n">
        <f aca="false">(1+AE86/2)^(-2*(I87-DateToday)/365.25)</f>
        <v>0.61399199670757</v>
      </c>
      <c r="AG86" s="316" t="n">
        <f aca="false">AG85*(1+IF(AND(M86=1,L86&gt;YearStart),Escalation,0))</f>
        <v>1</v>
      </c>
      <c r="AH86" s="322" t="n">
        <f aca="false">IF(OR(DateStart&gt;=I87,DateEnd&lt;I86),0,Volume*AG86)</f>
        <v>0</v>
      </c>
      <c r="AI86" s="322" t="n">
        <f aca="false">AH86*AF86</f>
        <v>0</v>
      </c>
      <c r="AJ86" s="322" t="n">
        <f aca="false">IF(OR(DateStart2&gt;=I87,DateEnd2&lt;I86),0,VolumeSwaption*AG86)</f>
        <v>0</v>
      </c>
      <c r="AK86" s="322" t="n">
        <f aca="false">AJ86*AF86</f>
        <v>0</v>
      </c>
      <c r="AL86" s="316" t="str">
        <f aca="true">IF(AH86,OFFSET(BY86,0,HorizontalPriceOffset)+PriceSpreadAsian,"")</f>
        <v/>
      </c>
      <c r="AM86" s="316" t="str">
        <f aca="false">IF(AH86,Strike1/AL86-1,"")</f>
        <v/>
      </c>
      <c r="AN86" s="316" t="str">
        <f aca="false">IF(AH86,Strike2/AL86-1,"")</f>
        <v/>
      </c>
      <c r="AO86" s="323" t="str">
        <f aca="false">IF(AH86,IF(VolOverrideAsian,VolOverrideAsian,IF(ProductGroup=1,IF(Product&lt;3,DA87,DE87),W87)+VolSpreadAsian),"")</f>
        <v/>
      </c>
      <c r="AP86" s="323" t="str">
        <f aca="false">IF($AH86,$AO86+IF(SkewFlag=1,IF(AM86&gt;0,$AA86*MIN(AM86/10%,1)+($Z86-$AA86)*MAX(0,MIN(AM86/10%-1,1))+($Y86-$Z86)*MAX(0,AM86/10%-2),$AB86*MIN(-AM86/10%,1)+($AC86-$AB86)*MAX(0,MIN(-AM86/10%-1,1))+($AD86-$AC86)*MAX(0,-AM86/10%-2)),0),"")</f>
        <v/>
      </c>
      <c r="AQ86" s="323" t="str">
        <f aca="false">IF($AH86,$AO86+IF(SkewFlag=1,IF(AN86&gt;0,$AA86*MIN(AN86/10%,1)+($Z86-$AA86)*MAX(0,MIN(AN86/10%-1,1))+($Y86-$Z86)*MAX(0,AN86/10%-2),$AB86*MIN(-AN86/10%,1)+($AC86-$AB86)*MAX(0,MIN(-AN86/10%-1,1))+($AD86-$AC86)*MAX(0,-AN86/10%-2)),0),"")</f>
        <v/>
      </c>
      <c r="AR86" s="324" t="n">
        <f aca="false">IF(AH86,xASN(AL86,Strike1,AE86,AP86,0,N86,0,P86,Q86,IF(OptControl=4,0,1),0),0)</f>
        <v>0</v>
      </c>
      <c r="AS86" s="324" t="n">
        <f aca="false">IF(AH86,xASN(AL86,Strike1,AE86,AP86,0,N86,0,P86,Q86,IF(OptControl=4,0,1),1),0)</f>
        <v>0</v>
      </c>
      <c r="AT86" s="324" t="n">
        <f aca="false">IF(AH86,xASN(AL86,Strike1,AE86,AP86,0,N86,0,P86,Q86,IF(OptControl=4,0,1),2),0)</f>
        <v>0</v>
      </c>
      <c r="AU86" s="324" t="n">
        <f aca="false">IF(AH86,xASN(AL86,Strike1,AE86,AP86,0,N86,0,P86,Q86,IF(OptControl=4,0,1),3)/100,0)</f>
        <v>0</v>
      </c>
      <c r="AV86" s="324" t="n">
        <f aca="false">IF(AH86,xASN(AL86,Strike1,AE86,AP86,0,N86,0,P86-DaysForThetaCalculation/365.25,Q86-DaysForThetaCalculation/365.25,IF(OptControl=4,0,1),0)-xASN(AL86,Strike1,AE86,AP86,0,N86,0,P86,Q86,IF(OptControl=4,0,1),0),0)</f>
        <v>0</v>
      </c>
      <c r="AW86" s="324" t="n">
        <f aca="false">IF(AH86,xASN(AL86,Strike2,AE86,AQ86,0,N86,0,P86,Q86,IF(OptControl=3,1,0),0),0)</f>
        <v>0</v>
      </c>
      <c r="AX86" s="324" t="n">
        <f aca="false">IF(AH86,xASN(AL86,Strike2,AE86,AQ86,0,N86,0,P86,Q86,IF(OptControl=3,1,0),1),0)</f>
        <v>0</v>
      </c>
      <c r="AY86" s="324" t="n">
        <f aca="false">IF(AH86,xASN(AL86,Strike2,AE86,AQ86,0,N86,0,P86,Q86,IF(OptControl=3,1,0),2),0)</f>
        <v>0</v>
      </c>
      <c r="AZ86" s="324" t="n">
        <f aca="false">IF(AH86,xASN(AL86,Strike2,AE86,AQ86,0,N86,0,P86,Q86,IF(OptControl=3,1,0),3)/100,0)</f>
        <v>0</v>
      </c>
      <c r="BA86" s="324" t="n">
        <f aca="false">IF(AH86,xASN(AL86,Strike2,AE86,AQ86,0,N86,0,P86-DaysForThetaCalculation/365.25,Q86-DaysForThetaCalculation/365.25,IF(OptControl=3,1,0),0)-xASN(AL86,Strike2,AE86,AQ86,0,N86,0,P86,Q86,IF(OptControl=3,1,0),0),0)</f>
        <v>0</v>
      </c>
      <c r="BB86" s="325" t="str">
        <f aca="false">IF(AH86,IF(ProductGroup=1,IF(Product=1,BX86+PriceSpreadEuro,IF(Product=3,CK86+PriceSpreadEuro,"N/A")),"N/A"),"")</f>
        <v/>
      </c>
      <c r="BC86" s="316" t="str">
        <f aca="false">IF(AH86,Strike1/BB86-1,"")</f>
        <v/>
      </c>
      <c r="BD86" s="316" t="str">
        <f aca="false">IF(AH86,Strike2/BB86-1,"")</f>
        <v/>
      </c>
      <c r="BE86" s="326" t="str">
        <f aca="false">IF(AH86,IF(VolOverrideEuro,VolOverrideEuro,IF(ProductGroup=1,IF(Product&lt;3,DA86,DE86)+VolSpreadEuro,"N/A")),"")</f>
        <v/>
      </c>
      <c r="BF86" s="323" t="str">
        <f aca="false">IF($AH86,$BE86+IF(SkewFlag=1,IF(BC86&gt;0,$AA86*MIN(BC86/10%,1)+($Z86-$AA86)*MAX(0,MIN(BC86/10%-1,1))+($Y86-$Z86)*MAX(0,BC86/10%-2),$AB86*MIN(-BC86/10%,1)+($AC86-$AB86)*MAX(0,MIN(-BC86/10%-1,1))+($AD86-$AC86)*MAX(0,-BC86/10%-2)),0),"")</f>
        <v/>
      </c>
      <c r="BG86" s="323" t="str">
        <f aca="false">IF($AH86,$BE86+IF(SkewFlag=1,IF(BD86&gt;0,$AA86*MIN(BD86/10%,1)+($Z86-$AA86)*MAX(0,MIN(BD86/10%-1,1))+($Y86-$Z86)*MAX(0,BD86/10%-2),$AB86*MIN(-BD86/10%,1)+($AC86-$AB86)*MAX(0,MIN(-BD86/10%-1,1))+($AD86-$AC86)*MAX(0,-BD86/10%-2)),0),"")</f>
        <v/>
      </c>
      <c r="BH86" s="324" t="n">
        <f aca="false">IF(AH86,xEURO(BB86,Strike1,AE86,AE86,BF86,O86,IF(OptControl=4,0,1),0),0)</f>
        <v>0</v>
      </c>
      <c r="BI86" s="324" t="n">
        <f aca="false">IF(AH86,xEURO(BB86,Strike1,AE86,AE86,BF86,O86,IF(OptControl=4,0,1),1),0)</f>
        <v>0</v>
      </c>
      <c r="BJ86" s="324" t="n">
        <f aca="false">IF(AH86,xEURO(BB86,Strike1,AE86,AE86,BF86,O86,IF(OptControl=4,0,1),2),0)</f>
        <v>0</v>
      </c>
      <c r="BK86" s="324" t="n">
        <f aca="false">IF(AH86,xEURO(BB86,Strike1,AE86,AE86,BF86,O86,IF(OptControl=4,0,1),3)/100,0)</f>
        <v>0</v>
      </c>
      <c r="BL86" s="324" t="n">
        <f aca="false">IF(AH86,xEURO(BB86,Strike1,AE86,AE86,BF86,O86-DaysForThetaCalculation,IF(OptControl=4,0,1),0)-xEURO(BB86,Strike1,AE86,AE86,BF86,O86,IF(OptControl=4,0,1),0),0)</f>
        <v>0</v>
      </c>
      <c r="BM86" s="324" t="n">
        <f aca="false">IF(AH86,xEURO(BB86,Strike2,AE86,AE86,BG86,O86,IF(OptControl=3,1,0),0),0)</f>
        <v>0</v>
      </c>
      <c r="BN86" s="324" t="n">
        <f aca="false">IF(AH86,xEURO(BB86,Strike2,AE86,AE86,BG86,O86,IF(OptControl=3,1,0),1),0)</f>
        <v>0</v>
      </c>
      <c r="BO86" s="324" t="n">
        <f aca="false">IF(AH86,xEURO(BB86,Strike2,AE86,AE86,BG86,O86,IF(OptControl=3,1,0),2),0)</f>
        <v>0</v>
      </c>
      <c r="BP86" s="324" t="n">
        <f aca="false">IF(AH86,xEURO(BB86,Strike2,AE86,AE86,BG86,O86,IF(OptControl=3,1,0),3)/100,0)</f>
        <v>0</v>
      </c>
      <c r="BQ86" s="327" t="n">
        <f aca="false">IF(AH86,xEURO(BB86,Strike2,AE86,AE86,BG86,O86-DaysForThetaCalculation,IF(OptControl=3,1,0),0)-xEURO(BB86,Strike2,AE86,AE86,BG86,O86,IF(OptControl=3,1,0),0),0)</f>
        <v>0</v>
      </c>
      <c r="BR86" s="343"/>
      <c r="BS86" s="314" t="n">
        <v>23.562</v>
      </c>
      <c r="BT86" s="329" t="n">
        <f aca="false">BS86*100/42</f>
        <v>56.1</v>
      </c>
      <c r="BU86" s="329" t="n">
        <f aca="false">BS87-$U86</f>
        <v>0.301545454545316</v>
      </c>
      <c r="BV86" s="224"/>
      <c r="BW86" s="329" t="n">
        <f aca="false">BW74+VLOOKUP(1900+$L86,ProductSpreadTable,2)</f>
        <v>11.8918181818182</v>
      </c>
      <c r="BX86" s="329" t="n">
        <f aca="false">($V85+BW85)*100/42</f>
        <v>84.703968253969</v>
      </c>
      <c r="BY86" s="332" t="n">
        <f aca="false">BX87</f>
        <v>84.1958874458878</v>
      </c>
      <c r="BZ86" s="314" t="n">
        <v>21.462</v>
      </c>
      <c r="CA86" s="329" t="n">
        <f aca="false">BZ86*100/42</f>
        <v>51.1</v>
      </c>
      <c r="CB86" s="329" t="n">
        <f aca="false">BZ86-$U86</f>
        <v>-2.00845454545469</v>
      </c>
      <c r="CC86" s="329" t="n">
        <f aca="false">CC74+VLOOKUP(1900+$L86,ProductSpreadTable,3)</f>
        <v>9.58181818181819</v>
      </c>
      <c r="CD86" s="329" t="n">
        <f aca="false">($V86+CC86)*100/42</f>
        <v>78.6958874458878</v>
      </c>
      <c r="CE86" s="333" t="n">
        <f aca="false">CD86-BY86</f>
        <v>-5.49999999999999</v>
      </c>
      <c r="CF86" s="314" t="n">
        <v>23.335</v>
      </c>
      <c r="CG86" s="329" t="n">
        <f aca="false">CF86*100/42</f>
        <v>55.5595238095238</v>
      </c>
      <c r="CH86" s="329" t="n">
        <f aca="false">CF87-$U86</f>
        <v>0.259545454545314</v>
      </c>
      <c r="CI86" s="224"/>
      <c r="CJ86" s="329" t="n">
        <f aca="false">CJ74+VLOOKUP(1900+$L86,ProductSpreadTable,4)</f>
        <v>11.6528181818182</v>
      </c>
      <c r="CK86" s="329" t="n">
        <f aca="false">($V85+CJ85)*100/42</f>
        <v>83.6849206349213</v>
      </c>
      <c r="CL86" s="329" t="n">
        <f aca="false">CK87</f>
        <v>83.6268398268402</v>
      </c>
      <c r="CM86" s="314" t="n">
        <v>22.491</v>
      </c>
      <c r="CN86" s="329" t="n">
        <f aca="false">CM86*100/42</f>
        <v>53.55</v>
      </c>
      <c r="CO86" s="329" t="n">
        <f aca="false">CM86-$U86</f>
        <v>-0.979454545454686</v>
      </c>
      <c r="CP86" s="329" t="n">
        <f aca="false">CP74+VLOOKUP(1900+$L86,ProductSpreadTable,5)</f>
        <v>10.4558181818182</v>
      </c>
      <c r="CQ86" s="329" t="n">
        <f aca="false">($V86+CP86)*100/42</f>
        <v>80.7768398268402</v>
      </c>
      <c r="CR86" s="333" t="n">
        <f aca="false">CQ86-CL86</f>
        <v>-2.85000000000001</v>
      </c>
      <c r="CS86" s="314" t="n">
        <v>23.856</v>
      </c>
      <c r="CT86" s="329" t="n">
        <f aca="false">CS86*100/42</f>
        <v>56.8</v>
      </c>
      <c r="CU86" s="329" t="n">
        <f aca="false">CT86-CG87</f>
        <v>0.299999999999997</v>
      </c>
      <c r="CV86" s="329" t="n">
        <f aca="false">CV74+VLOOKUP(1900+$L86,ProductSpreadTable,6)</f>
        <v>1.50000000000001</v>
      </c>
      <c r="CW86" s="333" t="n">
        <f aca="false">CL86+CV86</f>
        <v>85.1268398268402</v>
      </c>
      <c r="CX86" s="318" t="n">
        <v>0.185</v>
      </c>
      <c r="CY86" s="326" t="n">
        <f aca="false">CX86-$W86</f>
        <v>-0.000399999999999984</v>
      </c>
      <c r="CZ86" s="326" t="n">
        <f aca="false">VLOOKUP(1900+$L86,ProductSpreadTable,7)</f>
        <v>-0.03</v>
      </c>
      <c r="DA86" s="365" t="n">
        <f aca="false">$W86+CZ86</f>
        <v>0.1554</v>
      </c>
      <c r="DB86" s="318" t="n">
        <v>0.185</v>
      </c>
      <c r="DC86" s="326" t="n">
        <f aca="false">DB86-$W86</f>
        <v>-0.000399999999999984</v>
      </c>
      <c r="DD86" s="326" t="n">
        <f aca="false">VLOOKUP(1900+$L86,ProductSpreadTable,8)</f>
        <v>0.03</v>
      </c>
      <c r="DE86" s="365" t="n">
        <f aca="false">$W86+DD86</f>
        <v>0.2154</v>
      </c>
      <c r="DG86" s="336"/>
      <c r="DH86" s="314" t="n">
        <v>16.365</v>
      </c>
      <c r="DI86" s="325" t="n">
        <f aca="false">DH86-$U86</f>
        <v>-7.10545454545469</v>
      </c>
      <c r="DJ86" s="325" t="n">
        <f aca="false">VLOOKUP(1900+$L86,ResidSpreadTable,2)</f>
        <v>-2</v>
      </c>
      <c r="DK86" s="337" t="n">
        <f aca="false">$V86+DJ86</f>
        <v>21.4704545454547</v>
      </c>
      <c r="DL86" s="314" t="n">
        <v>13.765</v>
      </c>
      <c r="DM86" s="325" t="n">
        <f aca="false">DL86-$U86</f>
        <v>-9.70545454545469</v>
      </c>
      <c r="DN86" s="325" t="n">
        <f aca="false">VLOOKUP(1900+$L86,ResidSpreadTable,3)</f>
        <v>-3</v>
      </c>
      <c r="DO86" s="337" t="n">
        <f aca="false">$V86+DN86</f>
        <v>20.4704545454547</v>
      </c>
      <c r="DP86" s="314" t="n">
        <v>14.415</v>
      </c>
      <c r="DQ86" s="325" t="n">
        <f aca="false">DP86-$U86</f>
        <v>-9.05545454545469</v>
      </c>
      <c r="DR86" s="325" t="n">
        <f aca="false">VLOOKUP(1900+$L86,ResidSpreadTable,4)</f>
        <v>-6</v>
      </c>
      <c r="DS86" s="337" t="n">
        <f aca="false">$V86+DR86</f>
        <v>17.4704545454547</v>
      </c>
      <c r="DT86" s="314" t="n">
        <v>15.315</v>
      </c>
      <c r="DU86" s="325" t="n">
        <f aca="false">DT86-$U86</f>
        <v>-8.15545454545469</v>
      </c>
      <c r="DV86" s="325" t="n">
        <f aca="false">VLOOKUP(1900+$L86,ResidSpreadTable,5)</f>
        <v>-5</v>
      </c>
      <c r="DW86" s="337" t="n">
        <f aca="false">$V86+DV86</f>
        <v>18.4704545454547</v>
      </c>
    </row>
    <row r="87" customFormat="false" ht="12.75" hidden="false" customHeight="false" outlineLevel="0" collapsed="false">
      <c r="B87" s="371" t="n">
        <v>38200</v>
      </c>
      <c r="C87" s="391" t="n">
        <v>38188</v>
      </c>
      <c r="I87" s="338" t="n">
        <f aca="false">EOMONTH(I86,0)+1</f>
        <v>48396</v>
      </c>
      <c r="J87" s="389" t="n">
        <f aca="false">VLOOKUP(I87,$B$12:$C$332,2)</f>
        <v>45644</v>
      </c>
      <c r="K87" s="339" t="n">
        <f aca="false">NETWORKDAYS(I87,J88)/N87</f>
        <v>-89.4090909090909</v>
      </c>
      <c r="L87" s="309" t="n">
        <f aca="false">YEAR(I87)-1900</f>
        <v>132</v>
      </c>
      <c r="M87" s="310" t="n">
        <f aca="false">MONTH(I87)</f>
        <v>7</v>
      </c>
      <c r="N87" s="340" t="n">
        <f aca="false">NETWORKDAYS(I87,I88-1)</f>
        <v>22</v>
      </c>
      <c r="O87" s="341" t="n">
        <f aca="false">I87-DateToday-IF(EuroExpDateToggle=1,3+IF(WEEKDAY(I87-1)=7,1,IF(WEEKDAY(I87-1)&lt;5,2,0)),1+IF(WEEKDAY(I87-1)=7,1,IF(WEEKDAY(I87-1)&lt;3,2,0)))</f>
        <v>2465</v>
      </c>
      <c r="P87" s="342" t="n">
        <f aca="false">(I87-DateToday+1)/365.25</f>
        <v>6.76522929500342</v>
      </c>
      <c r="Q87" s="342" t="n">
        <f aca="false">(I88-DateToday)/365.25</f>
        <v>6.84736481861739</v>
      </c>
      <c r="R87" s="314" t="n">
        <v>19</v>
      </c>
      <c r="S87" s="347" t="n">
        <v>0</v>
      </c>
      <c r="T87" s="316" t="n">
        <f aca="false">R87+S87/100</f>
        <v>19</v>
      </c>
      <c r="U87" s="325" t="n">
        <f aca="false">R88*K87+R89*(1-K87)</f>
        <v>23.5704545454546</v>
      </c>
      <c r="V87" s="337" t="n">
        <f aca="false">T88*K87+T89*(1-K87)</f>
        <v>23.5704545454546</v>
      </c>
      <c r="W87" s="318" t="n">
        <v>0.1848</v>
      </c>
      <c r="X87" s="319" t="str">
        <f aca="false">IF($I87-DateToday+1&gt;=$A$10,"",IF($I87-DateToday+1&lt;$A$5,1,MATCH($I87-DateToday+1,$A$5:$A$10)))</f>
        <v/>
      </c>
      <c r="Y87" s="348" t="n">
        <f aca="false">IF($X87="",Y86^2/Y85,INDEX(B$5:B$10,$X87)^((INDEX($A$5:$A$10,$X87+1)-($I87-DateToday+1))/(INDEX($A$5:$A$10,$X87+1)-INDEX($A$5:$A$10,$X87)))/INDEX(B$5:B$10,$X87+1)^((INDEX($A$5:$A$10,$X87)-($I87-DateToday+1))/(INDEX($A$5:$A$10,$X87+1)-INDEX($A$5:$A$10,$X87))))</f>
        <v>0.00265619753941867</v>
      </c>
      <c r="Z87" s="348" t="n">
        <f aca="false">IF($X87="",Z86^2/Z85,INDEX(C$5:C$10,$X87)^((INDEX($A$5:$A$10,$X87+1)-($I87-DateToday+1))/(INDEX($A$5:$A$10,$X87+1)-INDEX($A$5:$A$10,$X87)))/INDEX(C$5:C$10,$X87+1)^((INDEX($A$5:$A$10,$X87)-($I87-DateToday+1))/(INDEX($A$5:$A$10,$X87+1)-INDEX($A$5:$A$10,$X87))))</f>
        <v>0.00105869992999037</v>
      </c>
      <c r="AA87" s="348" t="n">
        <f aca="false">IF($X87="",AA86^2/AA85,INDEX(D$5:D$10,$X87)^((INDEX($A$5:$A$10,$X87+1)-($I87-DateToday+1))/(INDEX($A$5:$A$10,$X87+1)-INDEX($A$5:$A$10,$X87)))/INDEX(D$5:D$10,$X87+1)^((INDEX($A$5:$A$10,$X87)-($I87-DateToday+1))/(INDEX($A$5:$A$10,$X87+1)-INDEX($A$5:$A$10,$X87))))</f>
        <v>0.000405814195482134</v>
      </c>
      <c r="AB87" s="348" t="n">
        <f aca="false">IF($X87="",AB86^2/AB85,INDEX(E$5:E$10,$X87)^((INDEX($A$5:$A$10,$X87+1)-($I87-DateToday+1))/(INDEX($A$5:$A$10,$X87+1)-INDEX($A$5:$A$10,$X87)))/INDEX(E$5:E$10,$X87+1)^((INDEX($A$5:$A$10,$X87)-($I87-DateToday+1))/(INDEX($A$5:$A$10,$X87+1)-INDEX($A$5:$A$10,$X87))))</f>
        <v>0.000914218219582165</v>
      </c>
      <c r="AC87" s="348" t="n">
        <f aca="false">IF($X87="",AC86^2/AC85,INDEX(F$5:F$10,$X87)^((INDEX($A$5:$A$10,$X87+1)-($I87-DateToday+1))/(INDEX($A$5:$A$10,$X87+1)-INDEX($A$5:$A$10,$X87)))/INDEX(F$5:F$10,$X87+1)^((INDEX($A$5:$A$10,$X87)-($I87-DateToday+1))/(INDEX($A$5:$A$10,$X87+1)-INDEX($A$5:$A$10,$X87))))</f>
        <v>0.00238503920228231</v>
      </c>
      <c r="AD87" s="348" t="n">
        <f aca="false">IF($X87="",AD86^2/AD85,INDEX(G$5:G$10,$X87)^((INDEX($A$5:$A$10,$X87+1)-($I87-DateToday+1))/(INDEX($A$5:$A$10,$X87+1)-INDEX($A$5:$A$10,$X87)))/INDEX(G$5:G$10,$X87+1)^((INDEX($A$5:$A$10,$X87)-($I87-DateToday+1))/(INDEX($A$5:$A$10,$X87+1)-INDEX($A$5:$A$10,$X87))))</f>
        <v>0.00598388181680212</v>
      </c>
      <c r="AE87" s="321" t="n">
        <v>0.073463590816133</v>
      </c>
      <c r="AF87" s="316" t="n">
        <f aca="false">(1+AE87/2)^(-2*(I88-DateToday)/365.25)</f>
        <v>0.610172513702997</v>
      </c>
      <c r="AG87" s="316" t="n">
        <f aca="false">AG86*(1+IF(AND(M87=1,L87&gt;YearStart),Escalation,0))</f>
        <v>1</v>
      </c>
      <c r="AH87" s="322" t="n">
        <f aca="false">IF(OR(DateStart&gt;=I88,DateEnd&lt;I87),0,Volume*AG87)</f>
        <v>0</v>
      </c>
      <c r="AI87" s="322" t="n">
        <f aca="false">AH87*AF87</f>
        <v>0</v>
      </c>
      <c r="AJ87" s="322" t="n">
        <f aca="false">IF(OR(DateStart2&gt;=I88,DateEnd2&lt;I87),0,VolumeSwaption*AG87)</f>
        <v>0</v>
      </c>
      <c r="AK87" s="322" t="n">
        <f aca="false">AJ87*AF87</f>
        <v>0</v>
      </c>
      <c r="AL87" s="316" t="str">
        <f aca="true">IF(AH87,OFFSET(BY87,0,HorizontalPriceOffset)+PriceSpreadAsian,"")</f>
        <v/>
      </c>
      <c r="AM87" s="316" t="str">
        <f aca="false">IF(AH87,Strike1/AL87-1,"")</f>
        <v/>
      </c>
      <c r="AN87" s="316" t="str">
        <f aca="false">IF(AH87,Strike2/AL87-1,"")</f>
        <v/>
      </c>
      <c r="AO87" s="323" t="str">
        <f aca="false">IF(AH87,IF(VolOverrideAsian,VolOverrideAsian,IF(ProductGroup=1,IF(Product&lt;3,DA88,DE88),W88)+VolSpreadAsian),"")</f>
        <v/>
      </c>
      <c r="AP87" s="323" t="str">
        <f aca="false">IF($AH87,$AO87+IF(SkewFlag=1,IF(AM87&gt;0,$AA87*MIN(AM87/10%,1)+($Z87-$AA87)*MAX(0,MIN(AM87/10%-1,1))+($Y87-$Z87)*MAX(0,AM87/10%-2),$AB87*MIN(-AM87/10%,1)+($AC87-$AB87)*MAX(0,MIN(-AM87/10%-1,1))+($AD87-$AC87)*MAX(0,-AM87/10%-2)),0),"")</f>
        <v/>
      </c>
      <c r="AQ87" s="323" t="str">
        <f aca="false">IF($AH87,$AO87+IF(SkewFlag=1,IF(AN87&gt;0,$AA87*MIN(AN87/10%,1)+($Z87-$AA87)*MAX(0,MIN(AN87/10%-1,1))+($Y87-$Z87)*MAX(0,AN87/10%-2),$AB87*MIN(-AN87/10%,1)+($AC87-$AB87)*MAX(0,MIN(-AN87/10%-1,1))+($AD87-$AC87)*MAX(0,-AN87/10%-2)),0),"")</f>
        <v/>
      </c>
      <c r="AR87" s="324" t="n">
        <f aca="false">IF(AH87,xASN(AL87,Strike1,AE87,AP87,0,N87,0,P87,Q87,IF(OptControl=4,0,1),0),0)</f>
        <v>0</v>
      </c>
      <c r="AS87" s="324" t="n">
        <f aca="false">IF(AH87,xASN(AL87,Strike1,AE87,AP87,0,N87,0,P87,Q87,IF(OptControl=4,0,1),1),0)</f>
        <v>0</v>
      </c>
      <c r="AT87" s="324" t="n">
        <f aca="false">IF(AH87,xASN(AL87,Strike1,AE87,AP87,0,N87,0,P87,Q87,IF(OptControl=4,0,1),2),0)</f>
        <v>0</v>
      </c>
      <c r="AU87" s="324" t="n">
        <f aca="false">IF(AH87,xASN(AL87,Strike1,AE87,AP87,0,N87,0,P87,Q87,IF(OptControl=4,0,1),3)/100,0)</f>
        <v>0</v>
      </c>
      <c r="AV87" s="324" t="n">
        <f aca="false">IF(AH87,xASN(AL87,Strike1,AE87,AP87,0,N87,0,P87-DaysForThetaCalculation/365.25,Q87-DaysForThetaCalculation/365.25,IF(OptControl=4,0,1),0)-xASN(AL87,Strike1,AE87,AP87,0,N87,0,P87,Q87,IF(OptControl=4,0,1),0),0)</f>
        <v>0</v>
      </c>
      <c r="AW87" s="324" t="n">
        <f aca="false">IF(AH87,xASN(AL87,Strike2,AE87,AQ87,0,N87,0,P87,Q87,IF(OptControl=3,1,0),0),0)</f>
        <v>0</v>
      </c>
      <c r="AX87" s="324" t="n">
        <f aca="false">IF(AH87,xASN(AL87,Strike2,AE87,AQ87,0,N87,0,P87,Q87,IF(OptControl=3,1,0),1),0)</f>
        <v>0</v>
      </c>
      <c r="AY87" s="324" t="n">
        <f aca="false">IF(AH87,xASN(AL87,Strike2,AE87,AQ87,0,N87,0,P87,Q87,IF(OptControl=3,1,0),2),0)</f>
        <v>0</v>
      </c>
      <c r="AZ87" s="324" t="n">
        <f aca="false">IF(AH87,xASN(AL87,Strike2,AE87,AQ87,0,N87,0,P87,Q87,IF(OptControl=3,1,0),3)/100,0)</f>
        <v>0</v>
      </c>
      <c r="BA87" s="324" t="n">
        <f aca="false">IF(AH87,xASN(AL87,Strike2,AE87,AQ87,0,N87,0,P87-DaysForThetaCalculation/365.25,Q87-DaysForThetaCalculation/365.25,IF(OptControl=3,1,0),0)-xASN(AL87,Strike2,AE87,AQ87,0,N87,0,P87,Q87,IF(OptControl=3,1,0),0),0)</f>
        <v>0</v>
      </c>
      <c r="BB87" s="325" t="str">
        <f aca="false">IF(AH87,IF(ProductGroup=1,IF(Product=1,BX87+PriceSpreadEuro,IF(Product=3,CK87+PriceSpreadEuro,"N/A")),"N/A"),"")</f>
        <v/>
      </c>
      <c r="BC87" s="316" t="str">
        <f aca="false">IF(AH87,Strike1/BB87-1,"")</f>
        <v/>
      </c>
      <c r="BD87" s="316" t="str">
        <f aca="false">IF(AH87,Strike2/BB87-1,"")</f>
        <v/>
      </c>
      <c r="BE87" s="326" t="str">
        <f aca="false">IF(AH87,IF(VolOverrideEuro,VolOverrideEuro,IF(ProductGroup=1,IF(Product&lt;3,DA87,DE87)+VolSpreadEuro,"N/A")),"")</f>
        <v/>
      </c>
      <c r="BF87" s="323" t="str">
        <f aca="false">IF($AH87,$BE87+IF(SkewFlag=1,IF(BC87&gt;0,$AA87*MIN(BC87/10%,1)+($Z87-$AA87)*MAX(0,MIN(BC87/10%-1,1))+($Y87-$Z87)*MAX(0,BC87/10%-2),$AB87*MIN(-BC87/10%,1)+($AC87-$AB87)*MAX(0,MIN(-BC87/10%-1,1))+($AD87-$AC87)*MAX(0,-BC87/10%-2)),0),"")</f>
        <v/>
      </c>
      <c r="BG87" s="323" t="str">
        <f aca="false">IF($AH87,$BE87+IF(SkewFlag=1,IF(BD87&gt;0,$AA87*MIN(BD87/10%,1)+($Z87-$AA87)*MAX(0,MIN(BD87/10%-1,1))+($Y87-$Z87)*MAX(0,BD87/10%-2),$AB87*MIN(-BD87/10%,1)+($AC87-$AB87)*MAX(0,MIN(-BD87/10%-1,1))+($AD87-$AC87)*MAX(0,-BD87/10%-2)),0),"")</f>
        <v/>
      </c>
      <c r="BH87" s="324" t="n">
        <f aca="false">IF(AH87,xEURO(BB87,Strike1,AE87,AE87,BF87,O87,IF(OptControl=4,0,1),0),0)</f>
        <v>0</v>
      </c>
      <c r="BI87" s="324" t="n">
        <f aca="false">IF(AH87,xEURO(BB87,Strike1,AE87,AE87,BF87,O87,IF(OptControl=4,0,1),1),0)</f>
        <v>0</v>
      </c>
      <c r="BJ87" s="324" t="n">
        <f aca="false">IF(AH87,xEURO(BB87,Strike1,AE87,AE87,BF87,O87,IF(OptControl=4,0,1),2),0)</f>
        <v>0</v>
      </c>
      <c r="BK87" s="324" t="n">
        <f aca="false">IF(AH87,xEURO(BB87,Strike1,AE87,AE87,BF87,O87,IF(OptControl=4,0,1),3)/100,0)</f>
        <v>0</v>
      </c>
      <c r="BL87" s="324" t="n">
        <f aca="false">IF(AH87,xEURO(BB87,Strike1,AE87,AE87,BF87,O87-DaysForThetaCalculation,IF(OptControl=4,0,1),0)-xEURO(BB87,Strike1,AE87,AE87,BF87,O87,IF(OptControl=4,0,1),0),0)</f>
        <v>0</v>
      </c>
      <c r="BM87" s="324" t="n">
        <f aca="false">IF(AH87,xEURO(BB87,Strike2,AE87,AE87,BG87,O87,IF(OptControl=3,1,0),0),0)</f>
        <v>0</v>
      </c>
      <c r="BN87" s="324" t="n">
        <f aca="false">IF(AH87,xEURO(BB87,Strike2,AE87,AE87,BG87,O87,IF(OptControl=3,1,0),1),0)</f>
        <v>0</v>
      </c>
      <c r="BO87" s="324" t="n">
        <f aca="false">IF(AH87,xEURO(BB87,Strike2,AE87,AE87,BG87,O87,IF(OptControl=3,1,0),2),0)</f>
        <v>0</v>
      </c>
      <c r="BP87" s="324" t="n">
        <f aca="false">IF(AH87,xEURO(BB87,Strike2,AE87,AE87,BG87,O87,IF(OptControl=3,1,0),3)/100,0)</f>
        <v>0</v>
      </c>
      <c r="BQ87" s="327" t="n">
        <f aca="false">IF(AH87,xEURO(BB87,Strike2,AE87,AE87,BG87,O87-DaysForThetaCalculation,IF(OptControl=3,1,0),0)-xEURO(BB87,Strike2,AE87,AE87,BG87,O87,IF(OptControl=3,1,0),0),0)</f>
        <v>0</v>
      </c>
      <c r="BR87" s="343"/>
      <c r="BS87" s="314" t="n">
        <v>23.772</v>
      </c>
      <c r="BT87" s="329" t="n">
        <f aca="false">BS87*100/42</f>
        <v>56.6</v>
      </c>
      <c r="BU87" s="329" t="n">
        <f aca="false">BS88-$U87</f>
        <v>1.2055454545454</v>
      </c>
      <c r="BV87" s="224"/>
      <c r="BW87" s="329" t="n">
        <f aca="false">BW75+VLOOKUP(1900+$L87,ProductSpreadTable,2)</f>
        <v>11.8738260869565</v>
      </c>
      <c r="BX87" s="329" t="n">
        <f aca="false">($V86+BW86)*100/42</f>
        <v>84.1958874458878</v>
      </c>
      <c r="BY87" s="332" t="n">
        <f aca="false">BX88</f>
        <v>84.3911443628837</v>
      </c>
      <c r="BZ87" s="314" t="n">
        <v>22.571</v>
      </c>
      <c r="CA87" s="329" t="n">
        <f aca="false">BZ87*100/42</f>
        <v>53.7404761904762</v>
      </c>
      <c r="CB87" s="329" t="n">
        <f aca="false">BZ87-$U87</f>
        <v>-0.999454545454597</v>
      </c>
      <c r="CC87" s="329" t="n">
        <f aca="false">CC75+VLOOKUP(1900+$L87,ProductSpreadTable,3)</f>
        <v>10.3618260869565</v>
      </c>
      <c r="CD87" s="329" t="n">
        <f aca="false">($V87+CC87)*100/42</f>
        <v>80.7911443628837</v>
      </c>
      <c r="CE87" s="333" t="n">
        <f aca="false">CD87-BY87</f>
        <v>-3.60000000000001</v>
      </c>
      <c r="CF87" s="314" t="n">
        <v>23.73</v>
      </c>
      <c r="CG87" s="329" t="n">
        <f aca="false">CF87*100/42</f>
        <v>56.5</v>
      </c>
      <c r="CH87" s="329" t="n">
        <f aca="false">CF88-$U87</f>
        <v>-0.218454545454591</v>
      </c>
      <c r="CI87" s="224"/>
      <c r="CJ87" s="329" t="n">
        <f aca="false">CJ75+VLOOKUP(1900+$L87,ProductSpreadTable,4)</f>
        <v>11.1938260869565</v>
      </c>
      <c r="CK87" s="329" t="n">
        <f aca="false">($V86+CJ86)*100/42</f>
        <v>83.6268398268402</v>
      </c>
      <c r="CL87" s="329" t="n">
        <f aca="false">CK88</f>
        <v>82.772096743836</v>
      </c>
      <c r="CM87" s="314" t="n">
        <v>22.218</v>
      </c>
      <c r="CN87" s="329" t="n">
        <f aca="false">CM87*100/42</f>
        <v>52.9</v>
      </c>
      <c r="CO87" s="329" t="n">
        <f aca="false">CM87-$U87</f>
        <v>-1.35245454545459</v>
      </c>
      <c r="CP87" s="329" t="n">
        <f aca="false">CP75+VLOOKUP(1900+$L87,ProductSpreadTable,5)</f>
        <v>10.0808260869565</v>
      </c>
      <c r="CQ87" s="329" t="n">
        <f aca="false">($V87+CP87)*100/42</f>
        <v>80.122096743836</v>
      </c>
      <c r="CR87" s="333" t="n">
        <f aca="false">CQ87-CL87</f>
        <v>-2.64999999999998</v>
      </c>
      <c r="CS87" s="314" t="n">
        <v>23.478</v>
      </c>
      <c r="CT87" s="329" t="n">
        <f aca="false">CS87*100/42</f>
        <v>55.9</v>
      </c>
      <c r="CU87" s="329" t="n">
        <f aca="false">CT87-CG88</f>
        <v>0.299999999999997</v>
      </c>
      <c r="CV87" s="329" t="n">
        <f aca="false">CV75+VLOOKUP(1900+$L87,ProductSpreadTable,6)</f>
        <v>1.50000000000001</v>
      </c>
      <c r="CW87" s="333" t="n">
        <f aca="false">CL87+CV87</f>
        <v>84.272096743836</v>
      </c>
      <c r="CX87" s="318" t="n">
        <v>0.185</v>
      </c>
      <c r="CY87" s="326" t="n">
        <f aca="false">CX87-$W87</f>
        <v>0.000199999999999978</v>
      </c>
      <c r="CZ87" s="326" t="n">
        <f aca="false">VLOOKUP(1900+$L87,ProductSpreadTable,7)</f>
        <v>-0.03</v>
      </c>
      <c r="DA87" s="365" t="n">
        <f aca="false">$W87+CZ87</f>
        <v>0.1548</v>
      </c>
      <c r="DB87" s="318" t="n">
        <v>0.185</v>
      </c>
      <c r="DC87" s="326" t="n">
        <f aca="false">DB87-$W87</f>
        <v>0.000199999999999978</v>
      </c>
      <c r="DD87" s="326" t="n">
        <f aca="false">VLOOKUP(1900+$L87,ProductSpreadTable,8)</f>
        <v>0.03</v>
      </c>
      <c r="DE87" s="365" t="n">
        <f aca="false">$W87+DD87</f>
        <v>0.2148</v>
      </c>
      <c r="DG87" s="336"/>
      <c r="DH87" s="314" t="n">
        <v>16.418</v>
      </c>
      <c r="DI87" s="325" t="n">
        <f aca="false">DH87-$U87</f>
        <v>-7.1524545454546</v>
      </c>
      <c r="DJ87" s="325" t="n">
        <f aca="false">VLOOKUP(1900+$L87,ResidSpreadTable,2)</f>
        <v>-2</v>
      </c>
      <c r="DK87" s="337" t="n">
        <f aca="false">$V87+DJ87</f>
        <v>21.5704545454546</v>
      </c>
      <c r="DL87" s="314" t="n">
        <v>13.818</v>
      </c>
      <c r="DM87" s="325" t="n">
        <f aca="false">DL87-$U87</f>
        <v>-9.7524545454546</v>
      </c>
      <c r="DN87" s="325" t="n">
        <f aca="false">VLOOKUP(1900+$L87,ResidSpreadTable,3)</f>
        <v>-3</v>
      </c>
      <c r="DO87" s="337" t="n">
        <f aca="false">$V87+DN87</f>
        <v>20.5704545454546</v>
      </c>
      <c r="DP87" s="314" t="n">
        <v>14.468</v>
      </c>
      <c r="DQ87" s="325" t="n">
        <f aca="false">DP87-$U87</f>
        <v>-9.1024545454546</v>
      </c>
      <c r="DR87" s="325" t="n">
        <f aca="false">VLOOKUP(1900+$L87,ResidSpreadTable,4)</f>
        <v>-6</v>
      </c>
      <c r="DS87" s="337" t="n">
        <f aca="false">$V87+DR87</f>
        <v>17.5704545454546</v>
      </c>
      <c r="DT87" s="314" t="n">
        <v>15.118</v>
      </c>
      <c r="DU87" s="325" t="n">
        <f aca="false">DT87-$U87</f>
        <v>-8.4524545454546</v>
      </c>
      <c r="DV87" s="325" t="n">
        <f aca="false">VLOOKUP(1900+$L87,ResidSpreadTable,5)</f>
        <v>-5</v>
      </c>
      <c r="DW87" s="337" t="n">
        <f aca="false">$V87+DV87</f>
        <v>18.5704545454546</v>
      </c>
    </row>
    <row r="88" customFormat="false" ht="12.75" hidden="false" customHeight="false" outlineLevel="0" collapsed="false">
      <c r="B88" s="371" t="n">
        <v>38231</v>
      </c>
      <c r="C88" s="391" t="n">
        <v>38220</v>
      </c>
      <c r="I88" s="338" t="n">
        <f aca="false">EOMONTH(I87,0)+1</f>
        <v>48427</v>
      </c>
      <c r="J88" s="389" t="n">
        <f aca="false">VLOOKUP(I88,$B$12:$C$332,2)</f>
        <v>45644</v>
      </c>
      <c r="K88" s="339" t="n">
        <f aca="false">NETWORKDAYS(I88,J89)/N88</f>
        <v>-90.3636363636364</v>
      </c>
      <c r="L88" s="309" t="n">
        <f aca="false">YEAR(I88)-1900</f>
        <v>132</v>
      </c>
      <c r="M88" s="310" t="n">
        <f aca="false">MONTH(I88)</f>
        <v>8</v>
      </c>
      <c r="N88" s="340" t="n">
        <f aca="false">NETWORKDAYS(I88,I89-1)</f>
        <v>22</v>
      </c>
      <c r="O88" s="341" t="n">
        <f aca="false">I88-DateToday-IF(EuroExpDateToggle=1,3+IF(WEEKDAY(I88-1)=7,1,IF(WEEKDAY(I88-1)&lt;5,2,0)),1+IF(WEEKDAY(I88-1)=7,1,IF(WEEKDAY(I88-1)&lt;3,2,0)))</f>
        <v>2497</v>
      </c>
      <c r="P88" s="342" t="n">
        <f aca="false">(I88-DateToday+1)/365.25</f>
        <v>6.85010266940452</v>
      </c>
      <c r="Q88" s="342" t="n">
        <f aca="false">(I89-DateToday)/365.25</f>
        <v>6.93223819301848</v>
      </c>
      <c r="R88" s="314" t="n">
        <v>19.05</v>
      </c>
      <c r="S88" s="347" t="n">
        <v>0</v>
      </c>
      <c r="T88" s="316" t="n">
        <f aca="false">R88+S88/100</f>
        <v>19.05</v>
      </c>
      <c r="U88" s="325" t="n">
        <f aca="false">R89*K88+R90*(1-K88)</f>
        <v>23.6681818181817</v>
      </c>
      <c r="V88" s="337" t="n">
        <f aca="false">T89*K88+T90*(1-K88)</f>
        <v>23.6681818181817</v>
      </c>
      <c r="W88" s="318" t="n">
        <v>0.1842</v>
      </c>
      <c r="X88" s="319" t="str">
        <f aca="false">IF($I88-DateToday+1&gt;=$A$10,"",IF($I88-DateToday+1&lt;$A$5,1,MATCH($I88-DateToday+1,$A$5:$A$10)))</f>
        <v/>
      </c>
      <c r="Y88" s="348" t="n">
        <f aca="false">IF($X88="",Y87^2/Y86,INDEX(B$5:B$10,$X88)^((INDEX($A$5:$A$10,$X88+1)-($I88-DateToday+1))/(INDEX($A$5:$A$10,$X88+1)-INDEX($A$5:$A$10,$X88)))/INDEX(B$5:B$10,$X88+1)^((INDEX($A$5:$A$10,$X88)-($I88-DateToday+1))/(INDEX($A$5:$A$10,$X88+1)-INDEX($A$5:$A$10,$X88))))</f>
        <v>0.002599332389983</v>
      </c>
      <c r="Z88" s="348" t="n">
        <f aca="false">IF($X88="",Z87^2/Z86,INDEX(C$5:C$10,$X88)^((INDEX($A$5:$A$10,$X88+1)-($I88-DateToday+1))/(INDEX($A$5:$A$10,$X88+1)-INDEX($A$5:$A$10,$X88)))/INDEX(C$5:C$10,$X88+1)^((INDEX($A$5:$A$10,$X88)-($I88-DateToday+1))/(INDEX($A$5:$A$10,$X88+1)-INDEX($A$5:$A$10,$X88))))</f>
        <v>0.00103048779069749</v>
      </c>
      <c r="AA88" s="348" t="n">
        <f aca="false">IF($X88="",AA87^2/AA86,INDEX(D$5:D$10,$X88)^((INDEX($A$5:$A$10,$X88+1)-($I88-DateToday+1))/(INDEX($A$5:$A$10,$X88+1)-INDEX($A$5:$A$10,$X88)))/INDEX(D$5:D$10,$X88+1)^((INDEX($A$5:$A$10,$X88)-($I88-DateToday+1))/(INDEX($A$5:$A$10,$X88+1)-INDEX($A$5:$A$10,$X88))))</f>
        <v>0.000393940865639039</v>
      </c>
      <c r="AB88" s="348" t="n">
        <f aca="false">IF($X88="",AB87^2/AB86,INDEX(E$5:E$10,$X88)^((INDEX($A$5:$A$10,$X88+1)-($I88-DateToday+1))/(INDEX($A$5:$A$10,$X88+1)-INDEX($A$5:$A$10,$X88)))/INDEX(E$5:E$10,$X88+1)^((INDEX($A$5:$A$10,$X88)-($I88-DateToday+1))/(INDEX($A$5:$A$10,$X88+1)-INDEX($A$5:$A$10,$X88))))</f>
        <v>0.000887469982111642</v>
      </c>
      <c r="AC88" s="348" t="n">
        <f aca="false">IF($X88="",AC87^2/AC86,INDEX(F$5:F$10,$X88)^((INDEX($A$5:$A$10,$X88+1)-($I88-DateToday+1))/(INDEX($A$5:$A$10,$X88+1)-INDEX($A$5:$A$10,$X88)))/INDEX(F$5:F$10,$X88+1)^((INDEX($A$5:$A$10,$X88)-($I88-DateToday+1))/(INDEX($A$5:$A$10,$X88+1)-INDEX($A$5:$A$10,$X88))))</f>
        <v>0.00232148289488333</v>
      </c>
      <c r="AD88" s="348" t="n">
        <f aca="false">IF($X88="",AD87^2/AD86,INDEX(G$5:G$10,$X88)^((INDEX($A$5:$A$10,$X88+1)-($I88-DateToday+1))/(INDEX($A$5:$A$10,$X88+1)-INDEX($A$5:$A$10,$X88)))/INDEX(G$5:G$10,$X88+1)^((INDEX($A$5:$A$10,$X88)-($I88-DateToday+1))/(INDEX($A$5:$A$10,$X88+1)-INDEX($A$5:$A$10,$X88))))</f>
        <v>0.00585577600815345</v>
      </c>
      <c r="AE88" s="321" t="n">
        <v>0.073481504280059</v>
      </c>
      <c r="AF88" s="316" t="n">
        <f aca="false">(1+AE88/2)^(-2*(I89-DateToday)/365.25)</f>
        <v>0.606375012807768</v>
      </c>
      <c r="AG88" s="316" t="n">
        <f aca="false">AG87*(1+IF(AND(M88=1,L88&gt;YearStart),Escalation,0))</f>
        <v>1</v>
      </c>
      <c r="AH88" s="322" t="n">
        <f aca="false">IF(OR(DateStart&gt;=I89,DateEnd&lt;I88),0,Volume*AG88)</f>
        <v>0</v>
      </c>
      <c r="AI88" s="322" t="n">
        <f aca="false">AH88*AF88</f>
        <v>0</v>
      </c>
      <c r="AJ88" s="322" t="n">
        <f aca="false">IF(OR(DateStart2&gt;=I89,DateEnd2&lt;I88),0,VolumeSwaption*AG88)</f>
        <v>0</v>
      </c>
      <c r="AK88" s="322" t="n">
        <f aca="false">AJ88*AF88</f>
        <v>0</v>
      </c>
      <c r="AL88" s="316" t="str">
        <f aca="true">IF(AH88,OFFSET(BY88,0,HorizontalPriceOffset)+PriceSpreadAsian,"")</f>
        <v/>
      </c>
      <c r="AM88" s="316" t="str">
        <f aca="false">IF(AH88,Strike1/AL88-1,"")</f>
        <v/>
      </c>
      <c r="AN88" s="316" t="str">
        <f aca="false">IF(AH88,Strike2/AL88-1,"")</f>
        <v/>
      </c>
      <c r="AO88" s="323" t="str">
        <f aca="false">IF(AH88,IF(VolOverrideAsian,VolOverrideAsian,IF(ProductGroup=1,IF(Product&lt;3,DA89,DE89),W89)+VolSpreadAsian),"")</f>
        <v/>
      </c>
      <c r="AP88" s="323" t="str">
        <f aca="false">IF($AH88,$AO88+IF(SkewFlag=1,IF(AM88&gt;0,$AA88*MIN(AM88/10%,1)+($Z88-$AA88)*MAX(0,MIN(AM88/10%-1,1))+($Y88-$Z88)*MAX(0,AM88/10%-2),$AB88*MIN(-AM88/10%,1)+($AC88-$AB88)*MAX(0,MIN(-AM88/10%-1,1))+($AD88-$AC88)*MAX(0,-AM88/10%-2)),0),"")</f>
        <v/>
      </c>
      <c r="AQ88" s="323" t="str">
        <f aca="false">IF($AH88,$AO88+IF(SkewFlag=1,IF(AN88&gt;0,$AA88*MIN(AN88/10%,1)+($Z88-$AA88)*MAX(0,MIN(AN88/10%-1,1))+($Y88-$Z88)*MAX(0,AN88/10%-2),$AB88*MIN(-AN88/10%,1)+($AC88-$AB88)*MAX(0,MIN(-AN88/10%-1,1))+($AD88-$AC88)*MAX(0,-AN88/10%-2)),0),"")</f>
        <v/>
      </c>
      <c r="AR88" s="324" t="n">
        <f aca="false">IF(AH88,xASN(AL88,Strike1,AE88,AP88,0,N88,0,P88,Q88,IF(OptControl=4,0,1),0),0)</f>
        <v>0</v>
      </c>
      <c r="AS88" s="324" t="n">
        <f aca="false">IF(AH88,xASN(AL88,Strike1,AE88,AP88,0,N88,0,P88,Q88,IF(OptControl=4,0,1),1),0)</f>
        <v>0</v>
      </c>
      <c r="AT88" s="324" t="n">
        <f aca="false">IF(AH88,xASN(AL88,Strike1,AE88,AP88,0,N88,0,P88,Q88,IF(OptControl=4,0,1),2),0)</f>
        <v>0</v>
      </c>
      <c r="AU88" s="324" t="n">
        <f aca="false">IF(AH88,xASN(AL88,Strike1,AE88,AP88,0,N88,0,P88,Q88,IF(OptControl=4,0,1),3)/100,0)</f>
        <v>0</v>
      </c>
      <c r="AV88" s="324" t="n">
        <f aca="false">IF(AH88,xASN(AL88,Strike1,AE88,AP88,0,N88,0,P88-DaysForThetaCalculation/365.25,Q88-DaysForThetaCalculation/365.25,IF(OptControl=4,0,1),0)-xASN(AL88,Strike1,AE88,AP88,0,N88,0,P88,Q88,IF(OptControl=4,0,1),0),0)</f>
        <v>0</v>
      </c>
      <c r="AW88" s="324" t="n">
        <f aca="false">IF(AH88,xASN(AL88,Strike2,AE88,AQ88,0,N88,0,P88,Q88,IF(OptControl=3,1,0),0),0)</f>
        <v>0</v>
      </c>
      <c r="AX88" s="324" t="n">
        <f aca="false">IF(AH88,xASN(AL88,Strike2,AE88,AQ88,0,N88,0,P88,Q88,IF(OptControl=3,1,0),1),0)</f>
        <v>0</v>
      </c>
      <c r="AY88" s="324" t="n">
        <f aca="false">IF(AH88,xASN(AL88,Strike2,AE88,AQ88,0,N88,0,P88,Q88,IF(OptControl=3,1,0),2),0)</f>
        <v>0</v>
      </c>
      <c r="AZ88" s="324" t="n">
        <f aca="false">IF(AH88,xASN(AL88,Strike2,AE88,AQ88,0,N88,0,P88,Q88,IF(OptControl=3,1,0),3)/100,0)</f>
        <v>0</v>
      </c>
      <c r="BA88" s="324" t="n">
        <f aca="false">IF(AH88,xASN(AL88,Strike2,AE88,AQ88,0,N88,0,P88-DaysForThetaCalculation/365.25,Q88-DaysForThetaCalculation/365.25,IF(OptControl=3,1,0),0)-xASN(AL88,Strike2,AE88,AQ88,0,N88,0,P88,Q88,IF(OptControl=3,1,0),0),0)</f>
        <v>0</v>
      </c>
      <c r="BB88" s="325" t="str">
        <f aca="false">IF(AH88,IF(ProductGroup=1,IF(Product=1,BX88+PriceSpreadEuro,IF(Product=3,CK88+PriceSpreadEuro,"N/A")),"N/A"),"")</f>
        <v/>
      </c>
      <c r="BC88" s="316" t="str">
        <f aca="false">IF(AH88,Strike1/BB88-1,"")</f>
        <v/>
      </c>
      <c r="BD88" s="316" t="str">
        <f aca="false">IF(AH88,Strike2/BB88-1,"")</f>
        <v/>
      </c>
      <c r="BE88" s="326" t="str">
        <f aca="false">IF(AH88,IF(VolOverrideEuro,VolOverrideEuro,IF(ProductGroup=1,IF(Product&lt;3,DA88,DE88)+VolSpreadEuro,"N/A")),"")</f>
        <v/>
      </c>
      <c r="BF88" s="323" t="str">
        <f aca="false">IF($AH88,$BE88+IF(SkewFlag=1,IF(BC88&gt;0,$AA88*MIN(BC88/10%,1)+($Z88-$AA88)*MAX(0,MIN(BC88/10%-1,1))+($Y88-$Z88)*MAX(0,BC88/10%-2),$AB88*MIN(-BC88/10%,1)+($AC88-$AB88)*MAX(0,MIN(-BC88/10%-1,1))+($AD88-$AC88)*MAX(0,-BC88/10%-2)),0),"")</f>
        <v/>
      </c>
      <c r="BG88" s="323" t="str">
        <f aca="false">IF($AH88,$BE88+IF(SkewFlag=1,IF(BD88&gt;0,$AA88*MIN(BD88/10%,1)+($Z88-$AA88)*MAX(0,MIN(BD88/10%-1,1))+($Y88-$Z88)*MAX(0,BD88/10%-2),$AB88*MIN(-BD88/10%,1)+($AC88-$AB88)*MAX(0,MIN(-BD88/10%-1,1))+($AD88-$AC88)*MAX(0,-BD88/10%-2)),0),"")</f>
        <v/>
      </c>
      <c r="BH88" s="324" t="n">
        <f aca="false">IF(AH88,xEURO(BB88,Strike1,AE88,AE88,BF88,O88,IF(OptControl=4,0,1),0),0)</f>
        <v>0</v>
      </c>
      <c r="BI88" s="324" t="n">
        <f aca="false">IF(AH88,xEURO(BB88,Strike1,AE88,AE88,BF88,O88,IF(OptControl=4,0,1),1),0)</f>
        <v>0</v>
      </c>
      <c r="BJ88" s="324" t="n">
        <f aca="false">IF(AH88,xEURO(BB88,Strike1,AE88,AE88,BF88,O88,IF(OptControl=4,0,1),2),0)</f>
        <v>0</v>
      </c>
      <c r="BK88" s="324" t="n">
        <f aca="false">IF(AH88,xEURO(BB88,Strike1,AE88,AE88,BF88,O88,IF(OptControl=4,0,1),3)/100,0)</f>
        <v>0</v>
      </c>
      <c r="BL88" s="324" t="n">
        <f aca="false">IF(AH88,xEURO(BB88,Strike1,AE88,AE88,BF88,O88-DaysForThetaCalculation,IF(OptControl=4,0,1),0)-xEURO(BB88,Strike1,AE88,AE88,BF88,O88,IF(OptControl=4,0,1),0),0)</f>
        <v>0</v>
      </c>
      <c r="BM88" s="324" t="n">
        <f aca="false">IF(AH88,xEURO(BB88,Strike2,AE88,AE88,BG88,O88,IF(OptControl=3,1,0),0),0)</f>
        <v>0</v>
      </c>
      <c r="BN88" s="324" t="n">
        <f aca="false">IF(AH88,xEURO(BB88,Strike2,AE88,AE88,BG88,O88,IF(OptControl=3,1,0),1),0)</f>
        <v>0</v>
      </c>
      <c r="BO88" s="324" t="n">
        <f aca="false">IF(AH88,xEURO(BB88,Strike2,AE88,AE88,BG88,O88,IF(OptControl=3,1,0),2),0)</f>
        <v>0</v>
      </c>
      <c r="BP88" s="324" t="n">
        <f aca="false">IF(AH88,xEURO(BB88,Strike2,AE88,AE88,BG88,O88,IF(OptControl=3,1,0),3)/100,0)</f>
        <v>0</v>
      </c>
      <c r="BQ88" s="327" t="n">
        <f aca="false">IF(AH88,xEURO(BB88,Strike2,AE88,AE88,BG88,O88-DaysForThetaCalculation,IF(OptControl=3,1,0),0)-xEURO(BB88,Strike2,AE88,AE88,BG88,O88,IF(OptControl=3,1,0),0),0)</f>
        <v>0</v>
      </c>
      <c r="BR88" s="343"/>
      <c r="BS88" s="314" t="n">
        <v>24.776</v>
      </c>
      <c r="BT88" s="329" t="n">
        <f aca="false">BS88*100/42</f>
        <v>58.9904761904762</v>
      </c>
      <c r="BU88" s="329" t="n">
        <f aca="false">BS89-$U88</f>
        <v>1.48581818181833</v>
      </c>
      <c r="BV88" s="224"/>
      <c r="BW88" s="329" t="n">
        <f aca="false">BW76+VLOOKUP(1900+$L88,ProductSpreadTable,2)</f>
        <v>13.1765714285714</v>
      </c>
      <c r="BX88" s="329" t="n">
        <f aca="false">($V87+BW87)*100/42</f>
        <v>84.3911443628837</v>
      </c>
      <c r="BY88" s="332" t="n">
        <f aca="false">BX89</f>
        <v>87.7256029684598</v>
      </c>
      <c r="BZ88" s="314" t="n">
        <v>22.949</v>
      </c>
      <c r="CA88" s="329" t="n">
        <f aca="false">BZ88*100/42</f>
        <v>54.6404761904762</v>
      </c>
      <c r="CB88" s="329" t="n">
        <f aca="false">BZ88-$U88</f>
        <v>-0.719181818181664</v>
      </c>
      <c r="CC88" s="329" t="n">
        <f aca="false">CC76+VLOOKUP(1900+$L88,ProductSpreadTable,3)</f>
        <v>11.6185714285714</v>
      </c>
      <c r="CD88" s="329" t="n">
        <f aca="false">($V88+CC88)*100/42</f>
        <v>84.0160791589359</v>
      </c>
      <c r="CE88" s="333" t="n">
        <f aca="false">CD88-BY88</f>
        <v>-3.70952380952382</v>
      </c>
      <c r="CF88" s="314" t="n">
        <v>23.352</v>
      </c>
      <c r="CG88" s="329" t="n">
        <f aca="false">CF88*100/42</f>
        <v>55.6</v>
      </c>
      <c r="CH88" s="329" t="n">
        <f aca="false">CF89-$U88</f>
        <v>-0.984181818181664</v>
      </c>
      <c r="CI88" s="224"/>
      <c r="CJ88" s="329" t="n">
        <f aca="false">CJ76+VLOOKUP(1900+$L88,ProductSpreadTable,4)</f>
        <v>11.4045714285714</v>
      </c>
      <c r="CK88" s="329" t="n">
        <f aca="false">($V87+CJ87)*100/42</f>
        <v>82.772096743836</v>
      </c>
      <c r="CL88" s="329" t="n">
        <f aca="false">CK89</f>
        <v>83.5065553494121</v>
      </c>
      <c r="CM88" s="314" t="n">
        <v>21.55</v>
      </c>
      <c r="CN88" s="329" t="n">
        <f aca="false">CM88*100/42</f>
        <v>51.3095238095238</v>
      </c>
      <c r="CO88" s="329" t="n">
        <f aca="false">CM88-$U88</f>
        <v>-2.11818181818166</v>
      </c>
      <c r="CP88" s="329" t="n">
        <f aca="false">CP76+VLOOKUP(1900+$L88,ProductSpreadTable,5)</f>
        <v>10.2915714285714</v>
      </c>
      <c r="CQ88" s="329" t="n">
        <f aca="false">($V88+CP88)*100/42</f>
        <v>80.8565553494121</v>
      </c>
      <c r="CR88" s="333" t="n">
        <f aca="false">CQ88-CL88</f>
        <v>-2.65000000000001</v>
      </c>
      <c r="CS88" s="314" t="n">
        <v>22.81</v>
      </c>
      <c r="CT88" s="329" t="n">
        <f aca="false">CS88*100/42</f>
        <v>54.3095238095238</v>
      </c>
      <c r="CU88" s="329" t="n">
        <f aca="false">CT88-CG89</f>
        <v>0.299999999999997</v>
      </c>
      <c r="CV88" s="329" t="n">
        <f aca="false">CV76+VLOOKUP(1900+$L88,ProductSpreadTable,6)</f>
        <v>1.50000000000001</v>
      </c>
      <c r="CW88" s="333" t="n">
        <f aca="false">CL88+CV88</f>
        <v>85.0065553494122</v>
      </c>
      <c r="CX88" s="318" t="n">
        <v>0.184</v>
      </c>
      <c r="CY88" s="326" t="n">
        <f aca="false">CX88-$W88</f>
        <v>-0.000200000000000006</v>
      </c>
      <c r="CZ88" s="326" t="n">
        <f aca="false">VLOOKUP(1900+$L88,ProductSpreadTable,7)</f>
        <v>-0.03</v>
      </c>
      <c r="DA88" s="365" t="n">
        <f aca="false">$W88+CZ88</f>
        <v>0.1542</v>
      </c>
      <c r="DB88" s="318" t="n">
        <v>0.184</v>
      </c>
      <c r="DC88" s="326" t="n">
        <f aca="false">DB88-$W88</f>
        <v>-0.000200000000000006</v>
      </c>
      <c r="DD88" s="326" t="n">
        <f aca="false">VLOOKUP(1900+$L88,ProductSpreadTable,8)</f>
        <v>0.03</v>
      </c>
      <c r="DE88" s="365" t="n">
        <f aca="false">$W88+DD88</f>
        <v>0.2142</v>
      </c>
      <c r="DG88" s="336"/>
      <c r="DH88" s="314" t="n">
        <v>16.465</v>
      </c>
      <c r="DI88" s="325" t="n">
        <f aca="false">DH88-$U88</f>
        <v>-7.20318181818167</v>
      </c>
      <c r="DJ88" s="325" t="n">
        <f aca="false">VLOOKUP(1900+$L88,ResidSpreadTable,2)</f>
        <v>-2</v>
      </c>
      <c r="DK88" s="337" t="n">
        <f aca="false">$V88+DJ88</f>
        <v>21.6681818181817</v>
      </c>
      <c r="DL88" s="314" t="n">
        <v>13.865</v>
      </c>
      <c r="DM88" s="325" t="n">
        <f aca="false">DL88-$U88</f>
        <v>-9.80318181818167</v>
      </c>
      <c r="DN88" s="325" t="n">
        <f aca="false">VLOOKUP(1900+$L88,ResidSpreadTable,3)</f>
        <v>-3</v>
      </c>
      <c r="DO88" s="337" t="n">
        <f aca="false">$V88+DN88</f>
        <v>20.6681818181817</v>
      </c>
      <c r="DP88" s="314" t="n">
        <v>14.515</v>
      </c>
      <c r="DQ88" s="325" t="n">
        <f aca="false">DP88-$U88</f>
        <v>-9.15318181818167</v>
      </c>
      <c r="DR88" s="325" t="n">
        <f aca="false">VLOOKUP(1900+$L88,ResidSpreadTable,4)</f>
        <v>-6</v>
      </c>
      <c r="DS88" s="337" t="n">
        <f aca="false">$V88+DR88</f>
        <v>17.6681818181817</v>
      </c>
      <c r="DT88" s="314" t="n">
        <v>15.165</v>
      </c>
      <c r="DU88" s="325" t="n">
        <f aca="false">DT88-$U88</f>
        <v>-8.50318181818167</v>
      </c>
      <c r="DV88" s="325" t="n">
        <f aca="false">VLOOKUP(1900+$L88,ResidSpreadTable,5)</f>
        <v>-5</v>
      </c>
      <c r="DW88" s="337" t="n">
        <f aca="false">$V88+DV88</f>
        <v>18.6681818181817</v>
      </c>
    </row>
    <row r="89" customFormat="false" ht="12.75" hidden="false" customHeight="false" outlineLevel="0" collapsed="false">
      <c r="B89" s="371" t="n">
        <v>38261</v>
      </c>
      <c r="C89" s="391" t="n">
        <v>38250</v>
      </c>
      <c r="I89" s="338" t="n">
        <f aca="false">EOMONTH(I88,0)+1</f>
        <v>48458</v>
      </c>
      <c r="J89" s="389" t="n">
        <f aca="false">VLOOKUP(I89,$B$12:$C$332,2)</f>
        <v>45644</v>
      </c>
      <c r="K89" s="339" t="n">
        <f aca="false">NETWORKDAYS(I89,J90)/N89</f>
        <v>-91.4090909090909</v>
      </c>
      <c r="L89" s="309" t="n">
        <f aca="false">YEAR(I89)-1900</f>
        <v>132</v>
      </c>
      <c r="M89" s="310" t="n">
        <f aca="false">MONTH(I89)</f>
        <v>9</v>
      </c>
      <c r="N89" s="340" t="n">
        <f aca="false">NETWORKDAYS(I89,I90-1)</f>
        <v>22</v>
      </c>
      <c r="O89" s="341" t="n">
        <f aca="false">I89-DateToday-IF(EuroExpDateToggle=1,3+IF(WEEKDAY(I89-1)=7,1,IF(WEEKDAY(I89-1)&lt;5,2,0)),1+IF(WEEKDAY(I89-1)=7,1,IF(WEEKDAY(I89-1)&lt;3,2,0)))</f>
        <v>2527</v>
      </c>
      <c r="P89" s="342" t="n">
        <f aca="false">(I89-DateToday+1)/365.25</f>
        <v>6.93497604380561</v>
      </c>
      <c r="Q89" s="342" t="n">
        <f aca="false">(I90-DateToday)/365.25</f>
        <v>7.01437371663244</v>
      </c>
      <c r="R89" s="314" t="n">
        <v>19.1</v>
      </c>
      <c r="S89" s="347" t="n">
        <v>0</v>
      </c>
      <c r="T89" s="316" t="n">
        <f aca="false">R89+S89/100</f>
        <v>19.1</v>
      </c>
      <c r="U89" s="325" t="n">
        <f aca="false">R90*K89+R91*(1-K89)</f>
        <v>23.7704545454546</v>
      </c>
      <c r="V89" s="337" t="n">
        <f aca="false">T90*K89+T91*(1-K89)</f>
        <v>23.7704545454546</v>
      </c>
      <c r="W89" s="318" t="n">
        <v>0.1836</v>
      </c>
      <c r="X89" s="319" t="str">
        <f aca="false">IF($I89-DateToday+1&gt;=$A$10,"",IF($I89-DateToday+1&lt;$A$5,1,MATCH($I89-DateToday+1,$A$5:$A$10)))</f>
        <v/>
      </c>
      <c r="Y89" s="348" t="n">
        <f aca="false">IF($X89="",Y88^2/Y87,INDEX(B$5:B$10,$X89)^((INDEX($A$5:$A$10,$X89+1)-($I89-DateToday+1))/(INDEX($A$5:$A$10,$X89+1)-INDEX($A$5:$A$10,$X89)))/INDEX(B$5:B$10,$X89+1)^((INDEX($A$5:$A$10,$X89)-($I89-DateToday+1))/(INDEX($A$5:$A$10,$X89+1)-INDEX($A$5:$A$10,$X89))))</f>
        <v>0.002543684636909</v>
      </c>
      <c r="Z89" s="348" t="n">
        <f aca="false">IF($X89="",Z88^2/Z87,INDEX(C$5:C$10,$X89)^((INDEX($A$5:$A$10,$X89+1)-($I89-DateToday+1))/(INDEX($A$5:$A$10,$X89+1)-INDEX($A$5:$A$10,$X89)))/INDEX(C$5:C$10,$X89+1)^((INDEX($A$5:$A$10,$X89)-($I89-DateToday+1))/(INDEX($A$5:$A$10,$X89+1)-INDEX($A$5:$A$10,$X89))))</f>
        <v>0.00100302744592254</v>
      </c>
      <c r="AA89" s="348" t="n">
        <f aca="false">IF($X89="",AA88^2/AA87,INDEX(D$5:D$10,$X89)^((INDEX($A$5:$A$10,$X89+1)-($I89-DateToday+1))/(INDEX($A$5:$A$10,$X89+1)-INDEX($A$5:$A$10,$X89)))/INDEX(D$5:D$10,$X89+1)^((INDEX($A$5:$A$10,$X89)-($I89-DateToday+1))/(INDEX($A$5:$A$10,$X89+1)-INDEX($A$5:$A$10,$X89))))</f>
        <v>0.000382414926210407</v>
      </c>
      <c r="AB89" s="348" t="n">
        <f aca="false">IF($X89="",AB88^2/AB87,INDEX(E$5:E$10,$X89)^((INDEX($A$5:$A$10,$X89+1)-($I89-DateToday+1))/(INDEX($A$5:$A$10,$X89+1)-INDEX($A$5:$A$10,$X89)))/INDEX(E$5:E$10,$X89+1)^((INDEX($A$5:$A$10,$X89)-($I89-DateToday+1))/(INDEX($A$5:$A$10,$X89+1)-INDEX($A$5:$A$10,$X89))))</f>
        <v>0.000861504345766818</v>
      </c>
      <c r="AC89" s="348" t="n">
        <f aca="false">IF($X89="",AC88^2/AC87,INDEX(F$5:F$10,$X89)^((INDEX($A$5:$A$10,$X89+1)-($I89-DateToday+1))/(INDEX($A$5:$A$10,$X89+1)-INDEX($A$5:$A$10,$X89)))/INDEX(F$5:F$10,$X89+1)^((INDEX($A$5:$A$10,$X89)-($I89-DateToday+1))/(INDEX($A$5:$A$10,$X89+1)-INDEX($A$5:$A$10,$X89))))</f>
        <v>0.0022596202301743</v>
      </c>
      <c r="AD89" s="348" t="n">
        <f aca="false">IF($X89="",AD88^2/AD87,INDEX(G$5:G$10,$X89)^((INDEX($A$5:$A$10,$X89+1)-($I89-DateToday+1))/(INDEX($A$5:$A$10,$X89+1)-INDEX($A$5:$A$10,$X89)))/INDEX(G$5:G$10,$X89+1)^((INDEX($A$5:$A$10,$X89)-($I89-DateToday+1))/(INDEX($A$5:$A$10,$X89+1)-INDEX($A$5:$A$10,$X89))))</f>
        <v>0.00573041275002834</v>
      </c>
      <c r="AE89" s="321" t="n">
        <v>0.07349768418305</v>
      </c>
      <c r="AF89" s="316" t="n">
        <f aca="false">(1+AE89/2)^(-2*(I90-DateToday)/365.25)</f>
        <v>0.602725546726203</v>
      </c>
      <c r="AG89" s="316" t="n">
        <f aca="false">AG88*(1+IF(AND(M89=1,L89&gt;YearStart),Escalation,0))</f>
        <v>1</v>
      </c>
      <c r="AH89" s="322" t="n">
        <f aca="false">IF(OR(DateStart&gt;=I90,DateEnd&lt;I89),0,Volume*AG89)</f>
        <v>0</v>
      </c>
      <c r="AI89" s="322" t="n">
        <f aca="false">AH89*AF89</f>
        <v>0</v>
      </c>
      <c r="AJ89" s="322" t="n">
        <f aca="false">IF(OR(DateStart2&gt;=I90,DateEnd2&lt;I89),0,VolumeSwaption*AG89)</f>
        <v>0</v>
      </c>
      <c r="AK89" s="322" t="n">
        <f aca="false">AJ89*AF89</f>
        <v>0</v>
      </c>
      <c r="AL89" s="316" t="str">
        <f aca="true">IF(AH89,OFFSET(BY89,0,HorizontalPriceOffset)+PriceSpreadAsian,"")</f>
        <v/>
      </c>
      <c r="AM89" s="316" t="str">
        <f aca="false">IF(AH89,Strike1/AL89-1,"")</f>
        <v/>
      </c>
      <c r="AN89" s="316" t="str">
        <f aca="false">IF(AH89,Strike2/AL89-1,"")</f>
        <v/>
      </c>
      <c r="AO89" s="323" t="str">
        <f aca="false">IF(AH89,IF(VolOverrideAsian,VolOverrideAsian,IF(ProductGroup=1,IF(Product&lt;3,DA90,DE90),W90)+VolSpreadAsian),"")</f>
        <v/>
      </c>
      <c r="AP89" s="323" t="str">
        <f aca="false">IF($AH89,$AO89+IF(SkewFlag=1,IF(AM89&gt;0,$AA89*MIN(AM89/10%,1)+($Z89-$AA89)*MAX(0,MIN(AM89/10%-1,1))+($Y89-$Z89)*MAX(0,AM89/10%-2),$AB89*MIN(-AM89/10%,1)+($AC89-$AB89)*MAX(0,MIN(-AM89/10%-1,1))+($AD89-$AC89)*MAX(0,-AM89/10%-2)),0),"")</f>
        <v/>
      </c>
      <c r="AQ89" s="323" t="str">
        <f aca="false">IF($AH89,$AO89+IF(SkewFlag=1,IF(AN89&gt;0,$AA89*MIN(AN89/10%,1)+($Z89-$AA89)*MAX(0,MIN(AN89/10%-1,1))+($Y89-$Z89)*MAX(0,AN89/10%-2),$AB89*MIN(-AN89/10%,1)+($AC89-$AB89)*MAX(0,MIN(-AN89/10%-1,1))+($AD89-$AC89)*MAX(0,-AN89/10%-2)),0),"")</f>
        <v/>
      </c>
      <c r="AR89" s="324" t="n">
        <f aca="false">IF(AH89,xASN(AL89,Strike1,AE89,AP89,0,N89,0,P89,Q89,IF(OptControl=4,0,1),0),0)</f>
        <v>0</v>
      </c>
      <c r="AS89" s="324" t="n">
        <f aca="false">IF(AH89,xASN(AL89,Strike1,AE89,AP89,0,N89,0,P89,Q89,IF(OptControl=4,0,1),1),0)</f>
        <v>0</v>
      </c>
      <c r="AT89" s="324" t="n">
        <f aca="false">IF(AH89,xASN(AL89,Strike1,AE89,AP89,0,N89,0,P89,Q89,IF(OptControl=4,0,1),2),0)</f>
        <v>0</v>
      </c>
      <c r="AU89" s="324" t="n">
        <f aca="false">IF(AH89,xASN(AL89,Strike1,AE89,AP89,0,N89,0,P89,Q89,IF(OptControl=4,0,1),3)/100,0)</f>
        <v>0</v>
      </c>
      <c r="AV89" s="324" t="n">
        <f aca="false">IF(AH89,xASN(AL89,Strike1,AE89,AP89,0,N89,0,P89-DaysForThetaCalculation/365.25,Q89-DaysForThetaCalculation/365.25,IF(OptControl=4,0,1),0)-xASN(AL89,Strike1,AE89,AP89,0,N89,0,P89,Q89,IF(OptControl=4,0,1),0),0)</f>
        <v>0</v>
      </c>
      <c r="AW89" s="324" t="n">
        <f aca="false">IF(AH89,xASN(AL89,Strike2,AE89,AQ89,0,N89,0,P89,Q89,IF(OptControl=3,1,0),0),0)</f>
        <v>0</v>
      </c>
      <c r="AX89" s="324" t="n">
        <f aca="false">IF(AH89,xASN(AL89,Strike2,AE89,AQ89,0,N89,0,P89,Q89,IF(OptControl=3,1,0),1),0)</f>
        <v>0</v>
      </c>
      <c r="AY89" s="324" t="n">
        <f aca="false">IF(AH89,xASN(AL89,Strike2,AE89,AQ89,0,N89,0,P89,Q89,IF(OptControl=3,1,0),2),0)</f>
        <v>0</v>
      </c>
      <c r="AZ89" s="324" t="n">
        <f aca="false">IF(AH89,xASN(AL89,Strike2,AE89,AQ89,0,N89,0,P89,Q89,IF(OptControl=3,1,0),3)/100,0)</f>
        <v>0</v>
      </c>
      <c r="BA89" s="324" t="n">
        <f aca="false">IF(AH89,xASN(AL89,Strike2,AE89,AQ89,0,N89,0,P89-DaysForThetaCalculation/365.25,Q89-DaysForThetaCalculation/365.25,IF(OptControl=3,1,0),0)-xASN(AL89,Strike2,AE89,AQ89,0,N89,0,P89,Q89,IF(OptControl=3,1,0),0),0)</f>
        <v>0</v>
      </c>
      <c r="BB89" s="325" t="str">
        <f aca="false">IF(AH89,IF(ProductGroup=1,IF(Product=1,BX89+PriceSpreadEuro,IF(Product=3,CK89+PriceSpreadEuro,"N/A")),"N/A"),"")</f>
        <v/>
      </c>
      <c r="BC89" s="316" t="str">
        <f aca="false">IF(AH89,Strike1/BB89-1,"")</f>
        <v/>
      </c>
      <c r="BD89" s="316" t="str">
        <f aca="false">IF(AH89,Strike2/BB89-1,"")</f>
        <v/>
      </c>
      <c r="BE89" s="326" t="str">
        <f aca="false">IF(AH89,IF(VolOverrideEuro,VolOverrideEuro,IF(ProductGroup=1,IF(Product&lt;3,DA89,DE89)+VolSpreadEuro,"N/A")),"")</f>
        <v/>
      </c>
      <c r="BF89" s="323" t="str">
        <f aca="false">IF($AH89,$BE89+IF(SkewFlag=1,IF(BC89&gt;0,$AA89*MIN(BC89/10%,1)+($Z89-$AA89)*MAX(0,MIN(BC89/10%-1,1))+($Y89-$Z89)*MAX(0,BC89/10%-2),$AB89*MIN(-BC89/10%,1)+($AC89-$AB89)*MAX(0,MIN(-BC89/10%-1,1))+($AD89-$AC89)*MAX(0,-BC89/10%-2)),0),"")</f>
        <v/>
      </c>
      <c r="BG89" s="323" t="str">
        <f aca="false">IF($AH89,$BE89+IF(SkewFlag=1,IF(BD89&gt;0,$AA89*MIN(BD89/10%,1)+($Z89-$AA89)*MAX(0,MIN(BD89/10%-1,1))+($Y89-$Z89)*MAX(0,BD89/10%-2),$AB89*MIN(-BD89/10%,1)+($AC89-$AB89)*MAX(0,MIN(-BD89/10%-1,1))+($AD89-$AC89)*MAX(0,-BD89/10%-2)),0),"")</f>
        <v/>
      </c>
      <c r="BH89" s="324" t="n">
        <f aca="false">IF(AH89,xEURO(BB89,Strike1,AE89,AE89,BF89,O89,IF(OptControl=4,0,1),0),0)</f>
        <v>0</v>
      </c>
      <c r="BI89" s="324" t="n">
        <f aca="false">IF(AH89,xEURO(BB89,Strike1,AE89,AE89,BF89,O89,IF(OptControl=4,0,1),1),0)</f>
        <v>0</v>
      </c>
      <c r="BJ89" s="324" t="n">
        <f aca="false">IF(AH89,xEURO(BB89,Strike1,AE89,AE89,BF89,O89,IF(OptControl=4,0,1),2),0)</f>
        <v>0</v>
      </c>
      <c r="BK89" s="324" t="n">
        <f aca="false">IF(AH89,xEURO(BB89,Strike1,AE89,AE89,BF89,O89,IF(OptControl=4,0,1),3)/100,0)</f>
        <v>0</v>
      </c>
      <c r="BL89" s="324" t="n">
        <f aca="false">IF(AH89,xEURO(BB89,Strike1,AE89,AE89,BF89,O89-DaysForThetaCalculation,IF(OptControl=4,0,1),0)-xEURO(BB89,Strike1,AE89,AE89,BF89,O89,IF(OptControl=4,0,1),0),0)</f>
        <v>0</v>
      </c>
      <c r="BM89" s="324" t="n">
        <f aca="false">IF(AH89,xEURO(BB89,Strike2,AE89,AE89,BG89,O89,IF(OptControl=3,1,0),0),0)</f>
        <v>0</v>
      </c>
      <c r="BN89" s="324" t="n">
        <f aca="false">IF(AH89,xEURO(BB89,Strike2,AE89,AE89,BG89,O89,IF(OptControl=3,1,0),1),0)</f>
        <v>0</v>
      </c>
      <c r="BO89" s="324" t="n">
        <f aca="false">IF(AH89,xEURO(BB89,Strike2,AE89,AE89,BG89,O89,IF(OptControl=3,1,0),2),0)</f>
        <v>0</v>
      </c>
      <c r="BP89" s="324" t="n">
        <f aca="false">IF(AH89,xEURO(BB89,Strike2,AE89,AE89,BG89,O89,IF(OptControl=3,1,0),3)/100,0)</f>
        <v>0</v>
      </c>
      <c r="BQ89" s="327" t="n">
        <f aca="false">IF(AH89,xEURO(BB89,Strike2,AE89,AE89,BG89,O89-DaysForThetaCalculation,IF(OptControl=3,1,0),0)-xEURO(BB89,Strike2,AE89,AE89,BG89,O89,IF(OptControl=3,1,0),0),0)</f>
        <v>0</v>
      </c>
      <c r="BR89" s="343"/>
      <c r="BS89" s="314" t="n">
        <v>25.154</v>
      </c>
      <c r="BT89" s="329" t="n">
        <f aca="false">BS89*100/42</f>
        <v>59.8904761904762</v>
      </c>
      <c r="BU89" s="329" t="n">
        <f aca="false">BS90-$U89</f>
        <v>5.18854545454536</v>
      </c>
      <c r="BV89" s="224"/>
      <c r="BW89" s="329" t="n">
        <f aca="false">BW77+VLOOKUP(1900+$L89,ProductSpreadTable,2)</f>
        <v>11.242</v>
      </c>
      <c r="BX89" s="329" t="n">
        <f aca="false">($V88+BW88)*100/42</f>
        <v>87.7256029684598</v>
      </c>
      <c r="BY89" s="332" t="n">
        <f aca="false">BX90</f>
        <v>83.3629870129873</v>
      </c>
      <c r="BZ89" s="314" t="n">
        <v>25.179</v>
      </c>
      <c r="CA89" s="329" t="n">
        <f aca="false">BZ89*100/42</f>
        <v>59.95</v>
      </c>
      <c r="CB89" s="329" t="n">
        <f aca="false">BZ89-$U89</f>
        <v>1.40854545454536</v>
      </c>
      <c r="CC89" s="329" t="n">
        <f aca="false">CC77+VLOOKUP(1900+$L89,ProductSpreadTable,3)</f>
        <v>13.593</v>
      </c>
      <c r="CD89" s="329" t="n">
        <f aca="false">($V89+CC89)*100/42</f>
        <v>88.9606060606062</v>
      </c>
      <c r="CE89" s="333" t="n">
        <f aca="false">CD89-BY89</f>
        <v>5.59761904761896</v>
      </c>
      <c r="CF89" s="314" t="n">
        <v>22.684</v>
      </c>
      <c r="CG89" s="329" t="n">
        <f aca="false">CF89*100/42</f>
        <v>54.0095238095238</v>
      </c>
      <c r="CH89" s="329" t="n">
        <f aca="false">CF90-$U89</f>
        <v>-1.66145454545464</v>
      </c>
      <c r="CI89" s="224"/>
      <c r="CJ89" s="329" t="n">
        <f aca="false">CJ77+VLOOKUP(1900+$L89,ProductSpreadTable,4)</f>
        <v>10.574</v>
      </c>
      <c r="CK89" s="329" t="n">
        <f aca="false">($V88+CJ88)*100/42</f>
        <v>83.5065553494121</v>
      </c>
      <c r="CL89" s="329" t="n">
        <f aca="false">CK90</f>
        <v>81.772510822511</v>
      </c>
      <c r="CM89" s="314" t="n">
        <v>20.975</v>
      </c>
      <c r="CN89" s="329" t="n">
        <f aca="false">CM89*100/42</f>
        <v>49.9404761904762</v>
      </c>
      <c r="CO89" s="329" t="n">
        <f aca="false">CM89-$U89</f>
        <v>-2.79545454545464</v>
      </c>
      <c r="CP89" s="329" t="n">
        <f aca="false">CP77+VLOOKUP(1900+$L89,ProductSpreadTable,5)</f>
        <v>9.46099999999997</v>
      </c>
      <c r="CQ89" s="329" t="n">
        <f aca="false">($V89+CP89)*100/42</f>
        <v>79.122510822511</v>
      </c>
      <c r="CR89" s="333" t="n">
        <f aca="false">CQ89-CL89</f>
        <v>-2.65000000000001</v>
      </c>
      <c r="CS89" s="314" t="n">
        <v>22.235</v>
      </c>
      <c r="CT89" s="329" t="n">
        <f aca="false">CS89*100/42</f>
        <v>52.9404761904762</v>
      </c>
      <c r="CU89" s="329" t="n">
        <f aca="false">CT89-CG90</f>
        <v>0.299999999999997</v>
      </c>
      <c r="CV89" s="329" t="n">
        <f aca="false">CV77+VLOOKUP(1900+$L89,ProductSpreadTable,6)</f>
        <v>1.49999999999999</v>
      </c>
      <c r="CW89" s="333" t="n">
        <f aca="false">CL89+CV89</f>
        <v>83.272510822511</v>
      </c>
      <c r="CX89" s="318" t="n">
        <v>0.184</v>
      </c>
      <c r="CY89" s="326" t="n">
        <f aca="false">CX89-$W89</f>
        <v>0.000400000000000039</v>
      </c>
      <c r="CZ89" s="326" t="n">
        <f aca="false">VLOOKUP(1900+$L89,ProductSpreadTable,7)</f>
        <v>-0.03</v>
      </c>
      <c r="DA89" s="365" t="n">
        <f aca="false">$W89+CZ89</f>
        <v>0.1536</v>
      </c>
      <c r="DB89" s="318" t="n">
        <v>0.184</v>
      </c>
      <c r="DC89" s="326" t="n">
        <f aca="false">DB89-$W89</f>
        <v>0.000400000000000039</v>
      </c>
      <c r="DD89" s="326" t="n">
        <f aca="false">VLOOKUP(1900+$L89,ProductSpreadTable,8)</f>
        <v>0.03</v>
      </c>
      <c r="DE89" s="365" t="n">
        <f aca="false">$W89+DD89</f>
        <v>0.2136</v>
      </c>
      <c r="DG89" s="336"/>
      <c r="DH89" s="314"/>
      <c r="DI89" s="325" t="n">
        <f aca="false">DH89-$U89</f>
        <v>-23.7704545454546</v>
      </c>
      <c r="DJ89" s="325" t="n">
        <f aca="false">VLOOKUP(1900+$L89,ResidSpreadTable,2)</f>
        <v>-2</v>
      </c>
      <c r="DK89" s="337" t="n">
        <f aca="false">$V89+DJ89</f>
        <v>21.7704545454546</v>
      </c>
      <c r="DL89" s="314"/>
      <c r="DM89" s="325" t="n">
        <f aca="false">DL89-$U89</f>
        <v>-23.7704545454546</v>
      </c>
      <c r="DN89" s="325" t="n">
        <f aca="false">VLOOKUP(1900+$L89,ResidSpreadTable,3)</f>
        <v>-3</v>
      </c>
      <c r="DO89" s="337" t="n">
        <f aca="false">$V89+DN89</f>
        <v>20.7704545454546</v>
      </c>
      <c r="DP89" s="314"/>
      <c r="DQ89" s="325" t="n">
        <f aca="false">DP89-$U89</f>
        <v>-23.7704545454546</v>
      </c>
      <c r="DR89" s="325" t="n">
        <f aca="false">VLOOKUP(1900+$L89,ResidSpreadTable,4)</f>
        <v>-6</v>
      </c>
      <c r="DS89" s="337" t="n">
        <f aca="false">$V89+DR89</f>
        <v>17.7704545454546</v>
      </c>
      <c r="DT89" s="314"/>
      <c r="DU89" s="325" t="n">
        <f aca="false">DT89-$U89</f>
        <v>-23.7704545454546</v>
      </c>
      <c r="DV89" s="325" t="n">
        <f aca="false">VLOOKUP(1900+$L89,ResidSpreadTable,5)</f>
        <v>-5</v>
      </c>
      <c r="DW89" s="337" t="n">
        <f aca="false">$V89+DV89</f>
        <v>18.7704545454546</v>
      </c>
    </row>
    <row r="90" customFormat="false" ht="12.75" hidden="false" customHeight="false" outlineLevel="0" collapsed="false">
      <c r="B90" s="371" t="n">
        <v>38292</v>
      </c>
      <c r="C90" s="391" t="n">
        <v>38282</v>
      </c>
      <c r="I90" s="338" t="n">
        <f aca="false">EOMONTH(I89,0)+1</f>
        <v>48488</v>
      </c>
      <c r="J90" s="389" t="n">
        <f aca="false">VLOOKUP(I90,$B$12:$C$332,2)</f>
        <v>45644</v>
      </c>
      <c r="K90" s="339" t="n">
        <f aca="false">NETWORKDAYS(I90,J91)/N90</f>
        <v>-96.8095238095238</v>
      </c>
      <c r="L90" s="309" t="n">
        <f aca="false">YEAR(I90)-1900</f>
        <v>132</v>
      </c>
      <c r="M90" s="310" t="n">
        <f aca="false">MONTH(I90)</f>
        <v>10</v>
      </c>
      <c r="N90" s="340" t="n">
        <f aca="false">NETWORKDAYS(I90,I91-1)</f>
        <v>21</v>
      </c>
      <c r="O90" s="341" t="n">
        <f aca="false">I90-DateToday-IF(EuroExpDateToggle=1,3+IF(WEEKDAY(I90-1)=7,1,IF(WEEKDAY(I90-1)&lt;5,2,0)),1+IF(WEEKDAY(I90-1)=7,1,IF(WEEKDAY(I90-1)&lt;3,2,0)))</f>
        <v>2559</v>
      </c>
      <c r="P90" s="342" t="n">
        <f aca="false">(I90-DateToday+1)/365.25</f>
        <v>7.01711156741958</v>
      </c>
      <c r="Q90" s="342" t="n">
        <f aca="false">(I91-DateToday)/365.25</f>
        <v>7.09924709103354</v>
      </c>
      <c r="R90" s="314" t="n">
        <v>19.15</v>
      </c>
      <c r="S90" s="347" t="n">
        <v>0</v>
      </c>
      <c r="T90" s="316" t="n">
        <f aca="false">R90+S90/100</f>
        <v>19.15</v>
      </c>
      <c r="U90" s="325" t="n">
        <f aca="false">R91*K90+R92*(1-K90)</f>
        <v>24.0904761904762</v>
      </c>
      <c r="V90" s="337" t="n">
        <f aca="false">T91*K90+T92*(1-K90)</f>
        <v>24.0904761904762</v>
      </c>
      <c r="W90" s="318" t="n">
        <v>0.1855</v>
      </c>
      <c r="X90" s="319" t="str">
        <f aca="false">IF($I90-DateToday+1&gt;=$A$10,"",IF($I90-DateToday+1&lt;$A$5,1,MATCH($I90-DateToday+1,$A$5:$A$10)))</f>
        <v/>
      </c>
      <c r="Y90" s="348" t="n">
        <f aca="false">IF($X90="",Y89^2/Y88,INDEX(B$5:B$10,$X90)^((INDEX($A$5:$A$10,$X90+1)-($I90-DateToday+1))/(INDEX($A$5:$A$10,$X90+1)-INDEX($A$5:$A$10,$X90)))/INDEX(B$5:B$10,$X90+1)^((INDEX($A$5:$A$10,$X90)-($I90-DateToday+1))/(INDEX($A$5:$A$10,$X90+1)-INDEX($A$5:$A$10,$X90))))</f>
        <v>0.00248922821759212</v>
      </c>
      <c r="Z90" s="348" t="n">
        <f aca="false">IF($X90="",Z89^2/Z88,INDEX(C$5:C$10,$X90)^((INDEX($A$5:$A$10,$X90+1)-($I90-DateToday+1))/(INDEX($A$5:$A$10,$X90+1)-INDEX($A$5:$A$10,$X90)))/INDEX(C$5:C$10,$X90+1)^((INDEX($A$5:$A$10,$X90)-($I90-DateToday+1))/(INDEX($A$5:$A$10,$X90+1)-INDEX($A$5:$A$10,$X90))))</f>
        <v>0.000976298861913659</v>
      </c>
      <c r="AA90" s="348" t="n">
        <f aca="false">IF($X90="",AA89^2/AA88,INDEX(D$5:D$10,$X90)^((INDEX($A$5:$A$10,$X90+1)-($I90-DateToday+1))/(INDEX($A$5:$A$10,$X90+1)-INDEX($A$5:$A$10,$X90)))/INDEX(D$5:D$10,$X90+1)^((INDEX($A$5:$A$10,$X90)-($I90-DateToday+1))/(INDEX($A$5:$A$10,$X90+1)-INDEX($A$5:$A$10,$X90))))</f>
        <v>0.000371226213231985</v>
      </c>
      <c r="AB90" s="348" t="n">
        <f aca="false">IF($X90="",AB89^2/AB88,INDEX(E$5:E$10,$X90)^((INDEX($A$5:$A$10,$X90+1)-($I90-DateToday+1))/(INDEX($A$5:$A$10,$X90+1)-INDEX($A$5:$A$10,$X90)))/INDEX(E$5:E$10,$X90+1)^((INDEX($A$5:$A$10,$X90)-($I90-DateToday+1))/(INDEX($A$5:$A$10,$X90+1)-INDEX($A$5:$A$10,$X90))))</f>
        <v>0.000836298413169029</v>
      </c>
      <c r="AC90" s="348" t="n">
        <f aca="false">IF($X90="",AC89^2/AC88,INDEX(F$5:F$10,$X90)^((INDEX($A$5:$A$10,$X90+1)-($I90-DateToday+1))/(INDEX($A$5:$A$10,$X90+1)-INDEX($A$5:$A$10,$X90)))/INDEX(F$5:F$10,$X90+1)^((INDEX($A$5:$A$10,$X90)-($I90-DateToday+1))/(INDEX($A$5:$A$10,$X90+1)-INDEX($A$5:$A$10,$X90))))</f>
        <v>0.0021994060761191</v>
      </c>
      <c r="AD90" s="348" t="n">
        <f aca="false">IF($X90="",AD89^2/AD88,INDEX(G$5:G$10,$X90)^((INDEX($A$5:$A$10,$X90+1)-($I90-DateToday+1))/(INDEX($A$5:$A$10,$X90+1)-INDEX($A$5:$A$10,$X90)))/INDEX(G$5:G$10,$X90+1)^((INDEX($A$5:$A$10,$X90)-($I90-DateToday+1))/(INDEX($A$5:$A$10,$X90+1)-INDEX($A$5:$A$10,$X90))))</f>
        <v>0.00560773332859128</v>
      </c>
      <c r="AE90" s="321" t="n">
        <v>0.073511601494529</v>
      </c>
      <c r="AF90" s="316" t="n">
        <f aca="false">(1+AE90/2)^(-2*(I91-DateToday)/365.25)</f>
        <v>0.598987384518422</v>
      </c>
      <c r="AG90" s="316" t="n">
        <f aca="false">AG89*(1+IF(AND(M90=1,L90&gt;YearStart),Escalation,0))</f>
        <v>1</v>
      </c>
      <c r="AH90" s="322" t="n">
        <f aca="false">IF(OR(DateStart&gt;=I91,DateEnd&lt;I90),0,Volume*AG90)</f>
        <v>0</v>
      </c>
      <c r="AI90" s="322" t="n">
        <f aca="false">AH90*AF90</f>
        <v>0</v>
      </c>
      <c r="AJ90" s="322" t="n">
        <f aca="false">IF(OR(DateStart2&gt;=I91,DateEnd2&lt;I90),0,VolumeSwaption*AG90)</f>
        <v>0</v>
      </c>
      <c r="AK90" s="322" t="n">
        <f aca="false">AJ90*AF90</f>
        <v>0</v>
      </c>
      <c r="AL90" s="316" t="str">
        <f aca="true">IF(AH90,OFFSET(BY90,0,HorizontalPriceOffset)+PriceSpreadAsian,"")</f>
        <v/>
      </c>
      <c r="AM90" s="316" t="str">
        <f aca="false">IF(AH90,Strike1/AL90-1,"")</f>
        <v/>
      </c>
      <c r="AN90" s="316" t="str">
        <f aca="false">IF(AH90,Strike2/AL90-1,"")</f>
        <v/>
      </c>
      <c r="AO90" s="323" t="str">
        <f aca="false">IF(AH90,IF(VolOverrideAsian,VolOverrideAsian,IF(ProductGroup=1,IF(Product&lt;3,DA91,DE91),W91)+VolSpreadAsian),"")</f>
        <v/>
      </c>
      <c r="AP90" s="323" t="str">
        <f aca="false">IF($AH90,$AO90+IF(SkewFlag=1,IF(AM90&gt;0,$AA90*MIN(AM90/10%,1)+($Z90-$AA90)*MAX(0,MIN(AM90/10%-1,1))+($Y90-$Z90)*MAX(0,AM90/10%-2),$AB90*MIN(-AM90/10%,1)+($AC90-$AB90)*MAX(0,MIN(-AM90/10%-1,1))+($AD90-$AC90)*MAX(0,-AM90/10%-2)),0),"")</f>
        <v/>
      </c>
      <c r="AQ90" s="323" t="str">
        <f aca="false">IF($AH90,$AO90+IF(SkewFlag=1,IF(AN90&gt;0,$AA90*MIN(AN90/10%,1)+($Z90-$AA90)*MAX(0,MIN(AN90/10%-1,1))+($Y90-$Z90)*MAX(0,AN90/10%-2),$AB90*MIN(-AN90/10%,1)+($AC90-$AB90)*MAX(0,MIN(-AN90/10%-1,1))+($AD90-$AC90)*MAX(0,-AN90/10%-2)),0),"")</f>
        <v/>
      </c>
      <c r="AR90" s="324" t="n">
        <f aca="false">IF(AH90,xASN(AL90,Strike1,AE90,AP90,0,N90,0,P90,Q90,IF(OptControl=4,0,1),0),0)</f>
        <v>0</v>
      </c>
      <c r="AS90" s="324" t="n">
        <f aca="false">IF(AH90,xASN(AL90,Strike1,AE90,AP90,0,N90,0,P90,Q90,IF(OptControl=4,0,1),1),0)</f>
        <v>0</v>
      </c>
      <c r="AT90" s="324" t="n">
        <f aca="false">IF(AH90,xASN(AL90,Strike1,AE90,AP90,0,N90,0,P90,Q90,IF(OptControl=4,0,1),2),0)</f>
        <v>0</v>
      </c>
      <c r="AU90" s="324" t="n">
        <f aca="false">IF(AH90,xASN(AL90,Strike1,AE90,AP90,0,N90,0,P90,Q90,IF(OptControl=4,0,1),3)/100,0)</f>
        <v>0</v>
      </c>
      <c r="AV90" s="324" t="n">
        <f aca="false">IF(AH90,xASN(AL90,Strike1,AE90,AP90,0,N90,0,P90-DaysForThetaCalculation/365.25,Q90-DaysForThetaCalculation/365.25,IF(OptControl=4,0,1),0)-xASN(AL90,Strike1,AE90,AP90,0,N90,0,P90,Q90,IF(OptControl=4,0,1),0),0)</f>
        <v>0</v>
      </c>
      <c r="AW90" s="324" t="n">
        <f aca="false">IF(AH90,xASN(AL90,Strike2,AE90,AQ90,0,N90,0,P90,Q90,IF(OptControl=3,1,0),0),0)</f>
        <v>0</v>
      </c>
      <c r="AX90" s="324" t="n">
        <f aca="false">IF(AH90,xASN(AL90,Strike2,AE90,AQ90,0,N90,0,P90,Q90,IF(OptControl=3,1,0),1),0)</f>
        <v>0</v>
      </c>
      <c r="AY90" s="324" t="n">
        <f aca="false">IF(AH90,xASN(AL90,Strike2,AE90,AQ90,0,N90,0,P90,Q90,IF(OptControl=3,1,0),2),0)</f>
        <v>0</v>
      </c>
      <c r="AZ90" s="324" t="n">
        <f aca="false">IF(AH90,xASN(AL90,Strike2,AE90,AQ90,0,N90,0,P90,Q90,IF(OptControl=3,1,0),3)/100,0)</f>
        <v>0</v>
      </c>
      <c r="BA90" s="324" t="n">
        <f aca="false">IF(AH90,xASN(AL90,Strike2,AE90,AQ90,0,N90,0,P90-DaysForThetaCalculation/365.25,Q90-DaysForThetaCalculation/365.25,IF(OptControl=3,1,0),0)-xASN(AL90,Strike2,AE90,AQ90,0,N90,0,P90,Q90,IF(OptControl=3,1,0),0),0)</f>
        <v>0</v>
      </c>
      <c r="BB90" s="325" t="str">
        <f aca="false">IF(AH90,IF(ProductGroup=1,IF(Product=1,BX90+PriceSpreadEuro,IF(Product=3,CK90+PriceSpreadEuro,"N/A")),"N/A"),"")</f>
        <v/>
      </c>
      <c r="BC90" s="316" t="str">
        <f aca="false">IF(AH90,Strike1/BB90-1,"")</f>
        <v/>
      </c>
      <c r="BD90" s="316" t="str">
        <f aca="false">IF(AH90,Strike2/BB90-1,"")</f>
        <v/>
      </c>
      <c r="BE90" s="326" t="str">
        <f aca="false">IF(AH90,IF(VolOverrideEuro,VolOverrideEuro,IF(ProductGroup=1,IF(Product&lt;3,DA90,DE90)+VolSpreadEuro,"N/A")),"")</f>
        <v/>
      </c>
      <c r="BF90" s="323" t="str">
        <f aca="false">IF($AH90,$BE90+IF(SkewFlag=1,IF(BC90&gt;0,$AA90*MIN(BC90/10%,1)+($Z90-$AA90)*MAX(0,MIN(BC90/10%-1,1))+($Y90-$Z90)*MAX(0,BC90/10%-2),$AB90*MIN(-BC90/10%,1)+($AC90-$AB90)*MAX(0,MIN(-BC90/10%-1,1))+($AD90-$AC90)*MAX(0,-BC90/10%-2)),0),"")</f>
        <v/>
      </c>
      <c r="BG90" s="323" t="str">
        <f aca="false">IF($AH90,$BE90+IF(SkewFlag=1,IF(BD90&gt;0,$AA90*MIN(BD90/10%,1)+($Z90-$AA90)*MAX(0,MIN(BD90/10%-1,1))+($Y90-$Z90)*MAX(0,BD90/10%-2),$AB90*MIN(-BD90/10%,1)+($AC90-$AB90)*MAX(0,MIN(-BD90/10%-1,1))+($AD90-$AC90)*MAX(0,-BD90/10%-2)),0),"")</f>
        <v/>
      </c>
      <c r="BH90" s="324" t="n">
        <f aca="false">IF(AH90,xEURO(BB90,Strike1,AE90,AE90,BF90,O90,IF(OptControl=4,0,1),0),0)</f>
        <v>0</v>
      </c>
      <c r="BI90" s="324" t="n">
        <f aca="false">IF(AH90,xEURO(BB90,Strike1,AE90,AE90,BF90,O90,IF(OptControl=4,0,1),1),0)</f>
        <v>0</v>
      </c>
      <c r="BJ90" s="324" t="n">
        <f aca="false">IF(AH90,xEURO(BB90,Strike1,AE90,AE90,BF90,O90,IF(OptControl=4,0,1),2),0)</f>
        <v>0</v>
      </c>
      <c r="BK90" s="324" t="n">
        <f aca="false">IF(AH90,xEURO(BB90,Strike1,AE90,AE90,BF90,O90,IF(OptControl=4,0,1),3)/100,0)</f>
        <v>0</v>
      </c>
      <c r="BL90" s="324" t="n">
        <f aca="false">IF(AH90,xEURO(BB90,Strike1,AE90,AE90,BF90,O90-DaysForThetaCalculation,IF(OptControl=4,0,1),0)-xEURO(BB90,Strike1,AE90,AE90,BF90,O90,IF(OptControl=4,0,1),0),0)</f>
        <v>0</v>
      </c>
      <c r="BM90" s="324" t="n">
        <f aca="false">IF(AH90,xEURO(BB90,Strike2,AE90,AE90,BG90,O90,IF(OptControl=3,1,0),0),0)</f>
        <v>0</v>
      </c>
      <c r="BN90" s="324" t="n">
        <f aca="false">IF(AH90,xEURO(BB90,Strike2,AE90,AE90,BG90,O90,IF(OptControl=3,1,0),1),0)</f>
        <v>0</v>
      </c>
      <c r="BO90" s="324" t="n">
        <f aca="false">IF(AH90,xEURO(BB90,Strike2,AE90,AE90,BG90,O90,IF(OptControl=3,1,0),2),0)</f>
        <v>0</v>
      </c>
      <c r="BP90" s="324" t="n">
        <f aca="false">IF(AH90,xEURO(BB90,Strike2,AE90,AE90,BG90,O90,IF(OptControl=3,1,0),3)/100,0)</f>
        <v>0</v>
      </c>
      <c r="BQ90" s="327" t="n">
        <f aca="false">IF(AH90,xEURO(BB90,Strike2,AE90,AE90,BG90,O90-DaysForThetaCalculation,IF(OptControl=3,1,0),0)-xEURO(BB90,Strike2,AE90,AE90,BG90,O90,IF(OptControl=3,1,0),0),0)</f>
        <v>0</v>
      </c>
      <c r="BR90" s="343"/>
      <c r="BS90" s="314" t="n">
        <v>28.959</v>
      </c>
      <c r="BT90" s="329" t="n">
        <f aca="false">BS90*100/42</f>
        <v>68.95</v>
      </c>
      <c r="BU90" s="329" t="n">
        <f aca="false">BS91-$U90</f>
        <v>3.40652380952377</v>
      </c>
      <c r="BV90" s="224"/>
      <c r="BW90" s="329" t="n">
        <f aca="false">BW78+VLOOKUP(1900+$L90,ProductSpreadTable,2)</f>
        <v>21.474347826087</v>
      </c>
      <c r="BX90" s="329" t="n">
        <f aca="false">($V89+BW89)*100/42</f>
        <v>83.3629870129873</v>
      </c>
      <c r="BY90" s="332" t="n">
        <f aca="false">BX91</f>
        <v>108.487676229912</v>
      </c>
      <c r="BZ90" s="314" t="n">
        <v>25.607</v>
      </c>
      <c r="CA90" s="329" t="n">
        <f aca="false">BZ90*100/42</f>
        <v>60.9690476190476</v>
      </c>
      <c r="CB90" s="329" t="n">
        <f aca="false">BZ90-$U90</f>
        <v>1.51652380952376</v>
      </c>
      <c r="CC90" s="329" t="n">
        <f aca="false">CC78+VLOOKUP(1900+$L90,ProductSpreadTable,3)</f>
        <v>18.849347826087</v>
      </c>
      <c r="CD90" s="329" t="n">
        <f aca="false">($V90+CC90)*100/42</f>
        <v>102.237676229912</v>
      </c>
      <c r="CE90" s="333" t="n">
        <f aca="false">CD90-BY90</f>
        <v>-6.25</v>
      </c>
      <c r="CF90" s="314" t="n">
        <v>22.109</v>
      </c>
      <c r="CG90" s="329" t="n">
        <f aca="false">CF90*100/42</f>
        <v>52.6404761904762</v>
      </c>
      <c r="CH90" s="329" t="n">
        <f aca="false">CF91-$U90</f>
        <v>-2.50647619047624</v>
      </c>
      <c r="CI90" s="224"/>
      <c r="CJ90" s="329" t="n">
        <f aca="false">CJ78+VLOOKUP(1900+$L90,ProductSpreadTable,4)</f>
        <v>9.26163636363635</v>
      </c>
      <c r="CK90" s="329" t="n">
        <f aca="false">($V89+CJ89)*100/42</f>
        <v>81.772510822511</v>
      </c>
      <c r="CL90" s="329" t="n">
        <f aca="false">CK91</f>
        <v>79.4097917955062</v>
      </c>
      <c r="CM90" s="314" t="n">
        <v>20.765</v>
      </c>
      <c r="CN90" s="329" t="n">
        <f aca="false">CM90*100/42</f>
        <v>49.4404761904762</v>
      </c>
      <c r="CO90" s="329" t="n">
        <f aca="false">CM90-$U90</f>
        <v>-3.32547619047624</v>
      </c>
      <c r="CP90" s="329" t="n">
        <f aca="false">CP78+VLOOKUP(1900+$L90,ProductSpreadTable,5)</f>
        <v>8.33763636363634</v>
      </c>
      <c r="CQ90" s="329" t="n">
        <f aca="false">($V90+CP90)*100/42</f>
        <v>77.2097917955062</v>
      </c>
      <c r="CR90" s="333" t="n">
        <f aca="false">CQ90-CL90</f>
        <v>-2.2</v>
      </c>
      <c r="CS90" s="314" t="n">
        <v>21.71</v>
      </c>
      <c r="CT90" s="329" t="n">
        <f aca="false">CS90*100/42</f>
        <v>51.6904761904762</v>
      </c>
      <c r="CU90" s="329" t="n">
        <f aca="false">CT90-CG91</f>
        <v>0.299999999999997</v>
      </c>
      <c r="CV90" s="329" t="n">
        <f aca="false">CV78+VLOOKUP(1900+$L90,ProductSpreadTable,6)</f>
        <v>1.49999999999999</v>
      </c>
      <c r="CW90" s="333" t="n">
        <f aca="false">CL90+CV90</f>
        <v>80.9097917955062</v>
      </c>
      <c r="CX90" s="318" t="n">
        <v>0.186</v>
      </c>
      <c r="CY90" s="326" t="n">
        <f aca="false">CX90-$W90</f>
        <v>0.000500000000000028</v>
      </c>
      <c r="CZ90" s="326" t="n">
        <f aca="false">VLOOKUP(1900+$L90,ProductSpreadTable,7)</f>
        <v>-0.03</v>
      </c>
      <c r="DA90" s="365" t="n">
        <f aca="false">$W90+CZ90</f>
        <v>0.1555</v>
      </c>
      <c r="DB90" s="318" t="n">
        <v>0.186</v>
      </c>
      <c r="DC90" s="326" t="n">
        <f aca="false">DB90-$W90</f>
        <v>0.000500000000000028</v>
      </c>
      <c r="DD90" s="326" t="n">
        <f aca="false">VLOOKUP(1900+$L90,ProductSpreadTable,8)</f>
        <v>0.03</v>
      </c>
      <c r="DE90" s="365" t="n">
        <f aca="false">$W90+DD90</f>
        <v>0.2155</v>
      </c>
      <c r="DG90" s="336"/>
      <c r="DH90" s="314"/>
      <c r="DI90" s="325" t="n">
        <f aca="false">DH90-$U90</f>
        <v>-24.0904761904762</v>
      </c>
      <c r="DJ90" s="325" t="n">
        <f aca="false">VLOOKUP(1900+$L90,ResidSpreadTable,2)</f>
        <v>-2</v>
      </c>
      <c r="DK90" s="337" t="n">
        <f aca="false">$V90+DJ90</f>
        <v>22.0904761904762</v>
      </c>
      <c r="DL90" s="314"/>
      <c r="DM90" s="325" t="n">
        <f aca="false">DL90-$U90</f>
        <v>-24.0904761904762</v>
      </c>
      <c r="DN90" s="325" t="n">
        <f aca="false">VLOOKUP(1900+$L90,ResidSpreadTable,3)</f>
        <v>-3</v>
      </c>
      <c r="DO90" s="337" t="n">
        <f aca="false">$V90+DN90</f>
        <v>21.0904761904762</v>
      </c>
      <c r="DP90" s="314"/>
      <c r="DQ90" s="325" t="n">
        <f aca="false">DP90-$U90</f>
        <v>-24.0904761904762</v>
      </c>
      <c r="DR90" s="325" t="n">
        <f aca="false">VLOOKUP(1900+$L90,ResidSpreadTable,4)</f>
        <v>-6</v>
      </c>
      <c r="DS90" s="337" t="n">
        <f aca="false">$V90+DR90</f>
        <v>18.0904761904762</v>
      </c>
      <c r="DT90" s="314"/>
      <c r="DU90" s="325" t="n">
        <f aca="false">DT90-$U90</f>
        <v>-24.0904761904762</v>
      </c>
      <c r="DV90" s="325" t="n">
        <f aca="false">VLOOKUP(1900+$L90,ResidSpreadTable,5)</f>
        <v>-5</v>
      </c>
      <c r="DW90" s="337" t="n">
        <f aca="false">$V90+DV90</f>
        <v>19.0904761904762</v>
      </c>
    </row>
    <row r="91" customFormat="false" ht="12.75" hidden="false" customHeight="false" outlineLevel="0" collapsed="false">
      <c r="B91" s="371" t="n">
        <v>38322</v>
      </c>
      <c r="C91" s="391" t="n">
        <v>38310</v>
      </c>
      <c r="I91" s="338" t="n">
        <f aca="false">EOMONTH(I90,0)+1</f>
        <v>48519</v>
      </c>
      <c r="J91" s="389" t="n">
        <f aca="false">VLOOKUP(I91,$B$12:$C$332,2)</f>
        <v>45644</v>
      </c>
      <c r="K91" s="339" t="n">
        <f aca="false">NETWORKDAYS(I91,J92)/N91</f>
        <v>-93.3636363636364</v>
      </c>
      <c r="L91" s="309" t="n">
        <f aca="false">YEAR(I91)-1900</f>
        <v>132</v>
      </c>
      <c r="M91" s="310" t="n">
        <f aca="false">MONTH(I91)</f>
        <v>11</v>
      </c>
      <c r="N91" s="340" t="n">
        <f aca="false">NETWORKDAYS(I91,I92-1)</f>
        <v>22</v>
      </c>
      <c r="O91" s="341" t="n">
        <f aca="false">I91-DateToday-IF(EuroExpDateToggle=1,3+IF(WEEKDAY(I91-1)=7,1,IF(WEEKDAY(I91-1)&lt;5,2,0)),1+IF(WEEKDAY(I91-1)=7,1,IF(WEEKDAY(I91-1)&lt;3,2,0)))</f>
        <v>2588</v>
      </c>
      <c r="P91" s="342" t="n">
        <f aca="false">(I91-DateToday+1)/365.25</f>
        <v>7.10198494182067</v>
      </c>
      <c r="Q91" s="342" t="n">
        <f aca="false">(I92-DateToday)/365.25</f>
        <v>7.1813826146475</v>
      </c>
      <c r="R91" s="314" t="n">
        <v>19.2</v>
      </c>
      <c r="S91" s="347" t="n">
        <v>0</v>
      </c>
      <c r="T91" s="316" t="n">
        <f aca="false">R91+S91/100</f>
        <v>19.2</v>
      </c>
      <c r="U91" s="325" t="n">
        <f aca="false">R92*K91+R93*(1-K91)</f>
        <v>23.9681818181818</v>
      </c>
      <c r="V91" s="337" t="n">
        <f aca="false">T92*K91+T93*(1-K91)</f>
        <v>23.9681818181818</v>
      </c>
      <c r="W91" s="318" t="n">
        <v>0.1849</v>
      </c>
      <c r="X91" s="319" t="str">
        <f aca="false">IF($I91-DateToday+1&gt;=$A$10,"",IF($I91-DateToday+1&lt;$A$5,1,MATCH($I91-DateToday+1,$A$5:$A$10)))</f>
        <v/>
      </c>
      <c r="Y91" s="348" t="n">
        <f aca="false">IF($X91="",Y90^2/Y89,INDEX(B$5:B$10,$X91)^((INDEX($A$5:$A$10,$X91+1)-($I91-DateToday+1))/(INDEX($A$5:$A$10,$X91+1)-INDEX($A$5:$A$10,$X91)))/INDEX(B$5:B$10,$X91+1)^((INDEX($A$5:$A$10,$X91)-($I91-DateToday+1))/(INDEX($A$5:$A$10,$X91+1)-INDEX($A$5:$A$10,$X91))))</f>
        <v>0.00243593762738857</v>
      </c>
      <c r="Z91" s="348" t="n">
        <f aca="false">IF($X91="",Z90^2/Z89,INDEX(C$5:C$10,$X91)^((INDEX($A$5:$A$10,$X91+1)-($I91-DateToday+1))/(INDEX($A$5:$A$10,$X91+1)-INDEX($A$5:$A$10,$X91)))/INDEX(C$5:C$10,$X91+1)^((INDEX($A$5:$A$10,$X91)-($I91-DateToday+1))/(INDEX($A$5:$A$10,$X91+1)-INDEX($A$5:$A$10,$X91))))</f>
        <v>0.00095028253877663</v>
      </c>
      <c r="AA91" s="348" t="n">
        <f aca="false">IF($X91="",AA90^2/AA89,INDEX(D$5:D$10,$X91)^((INDEX($A$5:$A$10,$X91+1)-($I91-DateToday+1))/(INDEX($A$5:$A$10,$X91+1)-INDEX($A$5:$A$10,$X91)))/INDEX(D$5:D$10,$X91+1)^((INDEX($A$5:$A$10,$X91)-($I91-DateToday+1))/(INDEX($A$5:$A$10,$X91+1)-INDEX($A$5:$A$10,$X91))))</f>
        <v>0.000360364860117244</v>
      </c>
      <c r="AB91" s="348" t="n">
        <f aca="false">IF($X91="",AB90^2/AB89,INDEX(E$5:E$10,$X91)^((INDEX($A$5:$A$10,$X91+1)-($I91-DateToday+1))/(INDEX($A$5:$A$10,$X91+1)-INDEX($A$5:$A$10,$X91)))/INDEX(E$5:E$10,$X91+1)^((INDEX($A$5:$A$10,$X91)-($I91-DateToday+1))/(INDEX($A$5:$A$10,$X91+1)-INDEX($A$5:$A$10,$X91))))</f>
        <v>0.00081182995687214</v>
      </c>
      <c r="AC91" s="348" t="n">
        <f aca="false">IF($X91="",AC90^2/AC89,INDEX(F$5:F$10,$X91)^((INDEX($A$5:$A$10,$X91+1)-($I91-DateToday+1))/(INDEX($A$5:$A$10,$X91+1)-INDEX($A$5:$A$10,$X91)))/INDEX(F$5:F$10,$X91+1)^((INDEX($A$5:$A$10,$X91)-($I91-DateToday+1))/(INDEX($A$5:$A$10,$X91+1)-INDEX($A$5:$A$10,$X91))))</f>
        <v>0.002140796503356</v>
      </c>
      <c r="AD91" s="348" t="n">
        <f aca="false">IF($X91="",AD90^2/AD89,INDEX(G$5:G$10,$X91)^((INDEX($A$5:$A$10,$X91+1)-($I91-DateToday+1))/(INDEX($A$5:$A$10,$X91+1)-INDEX($A$5:$A$10,$X91)))/INDEX(G$5:G$10,$X91+1)^((INDEX($A$5:$A$10,$X91)-($I91-DateToday+1))/(INDEX($A$5:$A$10,$X91+1)-INDEX($A$5:$A$10,$X91))))</f>
        <v>0.00548768028698072</v>
      </c>
      <c r="AE91" s="321" t="n">
        <v>0.073518946723399</v>
      </c>
      <c r="AF91" s="316" t="n">
        <f aca="false">(1+AE91/2)^(-2*(I92-DateToday)/365.25)</f>
        <v>0.595415846040736</v>
      </c>
      <c r="AG91" s="316" t="n">
        <f aca="false">AG90*(1+IF(AND(M91=1,L91&gt;YearStart),Escalation,0))</f>
        <v>1</v>
      </c>
      <c r="AH91" s="322" t="n">
        <f aca="false">IF(OR(DateStart&gt;=I92,DateEnd&lt;I91),0,Volume*AG91)</f>
        <v>0</v>
      </c>
      <c r="AI91" s="322" t="n">
        <f aca="false">AH91*AF91</f>
        <v>0</v>
      </c>
      <c r="AJ91" s="322" t="n">
        <f aca="false">IF(OR(DateStart2&gt;=I92,DateEnd2&lt;I91),0,VolumeSwaption*AG91)</f>
        <v>0</v>
      </c>
      <c r="AK91" s="322" t="n">
        <f aca="false">AJ91*AF91</f>
        <v>0</v>
      </c>
      <c r="AL91" s="316" t="str">
        <f aca="true">IF(AH91,OFFSET(BY91,0,HorizontalPriceOffset)+PriceSpreadAsian,"")</f>
        <v/>
      </c>
      <c r="AM91" s="316" t="str">
        <f aca="false">IF(AH91,Strike1/AL91-1,"")</f>
        <v/>
      </c>
      <c r="AN91" s="316" t="str">
        <f aca="false">IF(AH91,Strike2/AL91-1,"")</f>
        <v/>
      </c>
      <c r="AO91" s="323" t="str">
        <f aca="false">IF(AH91,IF(VolOverrideAsian,VolOverrideAsian,IF(ProductGroup=1,IF(Product&lt;3,DA92,DE92),W92)+VolSpreadAsian),"")</f>
        <v/>
      </c>
      <c r="AP91" s="323" t="str">
        <f aca="false">IF($AH91,$AO91+IF(SkewFlag=1,IF(AM91&gt;0,$AA91*MIN(AM91/10%,1)+($Z91-$AA91)*MAX(0,MIN(AM91/10%-1,1))+($Y91-$Z91)*MAX(0,AM91/10%-2),$AB91*MIN(-AM91/10%,1)+($AC91-$AB91)*MAX(0,MIN(-AM91/10%-1,1))+($AD91-$AC91)*MAX(0,-AM91/10%-2)),0),"")</f>
        <v/>
      </c>
      <c r="AQ91" s="323" t="str">
        <f aca="false">IF($AH91,$AO91+IF(SkewFlag=1,IF(AN91&gt;0,$AA91*MIN(AN91/10%,1)+($Z91-$AA91)*MAX(0,MIN(AN91/10%-1,1))+($Y91-$Z91)*MAX(0,AN91/10%-2),$AB91*MIN(-AN91/10%,1)+($AC91-$AB91)*MAX(0,MIN(-AN91/10%-1,1))+($AD91-$AC91)*MAX(0,-AN91/10%-2)),0),"")</f>
        <v/>
      </c>
      <c r="AR91" s="324" t="n">
        <f aca="false">IF(AH91,xASN(AL91,Strike1,AE91,AP91,0,N91,0,P91,Q91,IF(OptControl=4,0,1),0),0)</f>
        <v>0</v>
      </c>
      <c r="AS91" s="324" t="n">
        <f aca="false">IF(AH91,xASN(AL91,Strike1,AE91,AP91,0,N91,0,P91,Q91,IF(OptControl=4,0,1),1),0)</f>
        <v>0</v>
      </c>
      <c r="AT91" s="324" t="n">
        <f aca="false">IF(AH91,xASN(AL91,Strike1,AE91,AP91,0,N91,0,P91,Q91,IF(OptControl=4,0,1),2),0)</f>
        <v>0</v>
      </c>
      <c r="AU91" s="324" t="n">
        <f aca="false">IF(AH91,xASN(AL91,Strike1,AE91,AP91,0,N91,0,P91,Q91,IF(OptControl=4,0,1),3)/100,0)</f>
        <v>0</v>
      </c>
      <c r="AV91" s="324" t="n">
        <f aca="false">IF(AH91,xASN(AL91,Strike1,AE91,AP91,0,N91,0,P91-DaysForThetaCalculation/365.25,Q91-DaysForThetaCalculation/365.25,IF(OptControl=4,0,1),0)-xASN(AL91,Strike1,AE91,AP91,0,N91,0,P91,Q91,IF(OptControl=4,0,1),0),0)</f>
        <v>0</v>
      </c>
      <c r="AW91" s="324" t="n">
        <f aca="false">IF(AH91,xASN(AL91,Strike2,AE91,AQ91,0,N91,0,P91,Q91,IF(OptControl=3,1,0),0),0)</f>
        <v>0</v>
      </c>
      <c r="AX91" s="324" t="n">
        <f aca="false">IF(AH91,xASN(AL91,Strike2,AE91,AQ91,0,N91,0,P91,Q91,IF(OptControl=3,1,0),1),0)</f>
        <v>0</v>
      </c>
      <c r="AY91" s="324" t="n">
        <f aca="false">IF(AH91,xASN(AL91,Strike2,AE91,AQ91,0,N91,0,P91,Q91,IF(OptControl=3,1,0),2),0)</f>
        <v>0</v>
      </c>
      <c r="AZ91" s="324" t="n">
        <f aca="false">IF(AH91,xASN(AL91,Strike2,AE91,AQ91,0,N91,0,P91,Q91,IF(OptControl=3,1,0),3)/100,0)</f>
        <v>0</v>
      </c>
      <c r="BA91" s="324" t="n">
        <f aca="false">IF(AH91,xASN(AL91,Strike2,AE91,AQ91,0,N91,0,P91-DaysForThetaCalculation/365.25,Q91-DaysForThetaCalculation/365.25,IF(OptControl=3,1,0),0)-xASN(AL91,Strike2,AE91,AQ91,0,N91,0,P91,Q91,IF(OptControl=3,1,0),0),0)</f>
        <v>0</v>
      </c>
      <c r="BB91" s="325" t="str">
        <f aca="false">IF(AH91,IF(ProductGroup=1,IF(Product=1,BX91+PriceSpreadEuro,IF(Product=3,CK91+PriceSpreadEuro,"N/A")),"N/A"),"")</f>
        <v/>
      </c>
      <c r="BC91" s="316" t="str">
        <f aca="false">IF(AH91,Strike1/BB91-1,"")</f>
        <v/>
      </c>
      <c r="BD91" s="316" t="str">
        <f aca="false">IF(AH91,Strike2/BB91-1,"")</f>
        <v/>
      </c>
      <c r="BE91" s="326" t="str">
        <f aca="false">IF(AH91,IF(VolOverrideEuro,VolOverrideEuro,IF(ProductGroup=1,IF(Product&lt;3,DA91,DE91)+VolSpreadEuro,"N/A")),"")</f>
        <v/>
      </c>
      <c r="BF91" s="323" t="str">
        <f aca="false">IF($AH91,$BE91+IF(SkewFlag=1,IF(BC91&gt;0,$AA91*MIN(BC91/10%,1)+($Z91-$AA91)*MAX(0,MIN(BC91/10%-1,1))+($Y91-$Z91)*MAX(0,BC91/10%-2),$AB91*MIN(-BC91/10%,1)+($AC91-$AB91)*MAX(0,MIN(-BC91/10%-1,1))+($AD91-$AC91)*MAX(0,-BC91/10%-2)),0),"")</f>
        <v/>
      </c>
      <c r="BG91" s="323" t="str">
        <f aca="false">IF($AH91,$BE91+IF(SkewFlag=1,IF(BD91&gt;0,$AA91*MIN(BD91/10%,1)+($Z91-$AA91)*MAX(0,MIN(BD91/10%-1,1))+($Y91-$Z91)*MAX(0,BD91/10%-2),$AB91*MIN(-BD91/10%,1)+($AC91-$AB91)*MAX(0,MIN(-BD91/10%-1,1))+($AD91-$AC91)*MAX(0,-BD91/10%-2)),0),"")</f>
        <v/>
      </c>
      <c r="BH91" s="324" t="n">
        <f aca="false">IF(AH91,xEURO(BB91,Strike1,AE91,AE91,BF91,O91,IF(OptControl=4,0,1),0),0)</f>
        <v>0</v>
      </c>
      <c r="BI91" s="324" t="n">
        <f aca="false">IF(AH91,xEURO(BB91,Strike1,AE91,AE91,BF91,O91,IF(OptControl=4,0,1),1),0)</f>
        <v>0</v>
      </c>
      <c r="BJ91" s="324" t="n">
        <f aca="false">IF(AH91,xEURO(BB91,Strike1,AE91,AE91,BF91,O91,IF(OptControl=4,0,1),2),0)</f>
        <v>0</v>
      </c>
      <c r="BK91" s="324" t="n">
        <f aca="false">IF(AH91,xEURO(BB91,Strike1,AE91,AE91,BF91,O91,IF(OptControl=4,0,1),3)/100,0)</f>
        <v>0</v>
      </c>
      <c r="BL91" s="324" t="n">
        <f aca="false">IF(AH91,xEURO(BB91,Strike1,AE91,AE91,BF91,O91-DaysForThetaCalculation,IF(OptControl=4,0,1),0)-xEURO(BB91,Strike1,AE91,AE91,BF91,O91,IF(OptControl=4,0,1),0),0)</f>
        <v>0</v>
      </c>
      <c r="BM91" s="324" t="n">
        <f aca="false">IF(AH91,xEURO(BB91,Strike2,AE91,AE91,BG91,O91,IF(OptControl=3,1,0),0),0)</f>
        <v>0</v>
      </c>
      <c r="BN91" s="324" t="n">
        <f aca="false">IF(AH91,xEURO(BB91,Strike2,AE91,AE91,BG91,O91,IF(OptControl=3,1,0),1),0)</f>
        <v>0</v>
      </c>
      <c r="BO91" s="324" t="n">
        <f aca="false">IF(AH91,xEURO(BB91,Strike2,AE91,AE91,BG91,O91,IF(OptControl=3,1,0),2),0)</f>
        <v>0</v>
      </c>
      <c r="BP91" s="324" t="n">
        <f aca="false">IF(AH91,xEURO(BB91,Strike2,AE91,AE91,BG91,O91,IF(OptControl=3,1,0),3)/100,0)</f>
        <v>0</v>
      </c>
      <c r="BQ91" s="327" t="n">
        <f aca="false">IF(AH91,xEURO(BB91,Strike2,AE91,AE91,BG91,O91-DaysForThetaCalculation,IF(OptControl=3,1,0),0)-xEURO(BB91,Strike2,AE91,AE91,BG91,O91,IF(OptControl=3,1,0),0),0)</f>
        <v>0</v>
      </c>
      <c r="BR91" s="343"/>
      <c r="BS91" s="314" t="n">
        <v>27.497</v>
      </c>
      <c r="BT91" s="329" t="n">
        <f aca="false">BS91*100/42</f>
        <v>65.4690476190476</v>
      </c>
      <c r="BU91" s="329" t="n">
        <f aca="false">BS92-$U91</f>
        <v>3.02981818181815</v>
      </c>
      <c r="BV91" s="224"/>
      <c r="BW91" s="329" t="n">
        <f aca="false">BW79+VLOOKUP(1900+$L91,ProductSpreadTable,2)</f>
        <v>19.49</v>
      </c>
      <c r="BX91" s="329" t="n">
        <f aca="false">($V90+BW90)*100/42</f>
        <v>108.487676229912</v>
      </c>
      <c r="BY91" s="332" t="n">
        <f aca="false">BX92</f>
        <v>103.471861471861</v>
      </c>
      <c r="BZ91" s="314" t="n">
        <v>25.108</v>
      </c>
      <c r="CA91" s="329" t="n">
        <f aca="false">BZ91*100/42</f>
        <v>59.7809523809524</v>
      </c>
      <c r="CB91" s="329" t="n">
        <f aca="false">BZ91-$U91</f>
        <v>1.13981818181816</v>
      </c>
      <c r="CC91" s="329" t="n">
        <f aca="false">CC79+VLOOKUP(1900+$L91,ProductSpreadTable,3)</f>
        <v>16.865</v>
      </c>
      <c r="CD91" s="329" t="n">
        <f aca="false">($V91+CC91)*100/42</f>
        <v>97.2218614718615</v>
      </c>
      <c r="CE91" s="333" t="n">
        <f aca="false">CD91-BY91</f>
        <v>-6.25</v>
      </c>
      <c r="CF91" s="314" t="n">
        <v>21.584</v>
      </c>
      <c r="CG91" s="329" t="n">
        <f aca="false">CF91*100/42</f>
        <v>51.3904761904762</v>
      </c>
      <c r="CH91" s="329" t="n">
        <f aca="false">CF92-$U91</f>
        <v>-2.72918181818185</v>
      </c>
      <c r="CI91" s="224"/>
      <c r="CJ91" s="329" t="n">
        <f aca="false">CJ79+VLOOKUP(1900+$L91,ProductSpreadTable,4)</f>
        <v>8.70552380952372</v>
      </c>
      <c r="CK91" s="329" t="n">
        <f aca="false">($V90+CJ90)*100/42</f>
        <v>79.4097917955062</v>
      </c>
      <c r="CL91" s="329" t="n">
        <f aca="false">CK92</f>
        <v>77.7945372088228</v>
      </c>
      <c r="CM91" s="314" t="n">
        <v>20.42</v>
      </c>
      <c r="CN91" s="329" t="n">
        <f aca="false">CM91*100/42</f>
        <v>48.6190476190476</v>
      </c>
      <c r="CO91" s="329" t="n">
        <f aca="false">CM91-$U91</f>
        <v>-3.54818181818185</v>
      </c>
      <c r="CP91" s="329" t="n">
        <f aca="false">CP79+VLOOKUP(1900+$L91,ProductSpreadTable,5)</f>
        <v>7.78152380952373</v>
      </c>
      <c r="CQ91" s="329" t="n">
        <f aca="false">($V91+CP91)*100/42</f>
        <v>75.5945372088228</v>
      </c>
      <c r="CR91" s="333" t="n">
        <f aca="false">CQ91-CL91</f>
        <v>-2.19999999999999</v>
      </c>
      <c r="CS91" s="314" t="n">
        <v>21.365</v>
      </c>
      <c r="CT91" s="329" t="n">
        <f aca="false">CS91*100/42</f>
        <v>50.8690476190476</v>
      </c>
      <c r="CU91" s="329" t="n">
        <f aca="false">CT91-CG92</f>
        <v>0.299999999999997</v>
      </c>
      <c r="CV91" s="329" t="n">
        <f aca="false">CV79+VLOOKUP(1900+$L91,ProductSpreadTable,6)</f>
        <v>1.50000000000001</v>
      </c>
      <c r="CW91" s="333" t="n">
        <f aca="false">CL91+CV91</f>
        <v>79.2945372088228</v>
      </c>
      <c r="CX91" s="318" t="n">
        <v>0.185</v>
      </c>
      <c r="CY91" s="326" t="n">
        <f aca="false">CX91-$W91</f>
        <v>9.99999999999612E-005</v>
      </c>
      <c r="CZ91" s="326" t="n">
        <f aca="false">VLOOKUP(1900+$L91,ProductSpreadTable,7)</f>
        <v>-0.03</v>
      </c>
      <c r="DA91" s="365" t="n">
        <f aca="false">$W91+CZ91</f>
        <v>0.1549</v>
      </c>
      <c r="DB91" s="318" t="n">
        <v>0.185</v>
      </c>
      <c r="DC91" s="326" t="n">
        <f aca="false">DB91-$W91</f>
        <v>9.99999999999612E-005</v>
      </c>
      <c r="DD91" s="326" t="n">
        <f aca="false">VLOOKUP(1900+$L91,ProductSpreadTable,8)</f>
        <v>0.03</v>
      </c>
      <c r="DE91" s="365" t="n">
        <f aca="false">$W91+DD91</f>
        <v>0.2149</v>
      </c>
      <c r="DG91" s="336"/>
      <c r="DH91" s="314"/>
      <c r="DI91" s="325" t="n">
        <f aca="false">DH91-$U91</f>
        <v>-23.9681818181818</v>
      </c>
      <c r="DJ91" s="325" t="n">
        <f aca="false">VLOOKUP(1900+$L91,ResidSpreadTable,2)</f>
        <v>-2</v>
      </c>
      <c r="DK91" s="337" t="n">
        <f aca="false">$V91+DJ91</f>
        <v>21.9681818181818</v>
      </c>
      <c r="DL91" s="314"/>
      <c r="DM91" s="325" t="n">
        <f aca="false">DL91-$U91</f>
        <v>-23.9681818181818</v>
      </c>
      <c r="DN91" s="325" t="n">
        <f aca="false">VLOOKUP(1900+$L91,ResidSpreadTable,3)</f>
        <v>-3</v>
      </c>
      <c r="DO91" s="337" t="n">
        <f aca="false">$V91+DN91</f>
        <v>20.9681818181818</v>
      </c>
      <c r="DP91" s="314"/>
      <c r="DQ91" s="325" t="n">
        <f aca="false">DP91-$U91</f>
        <v>-23.9681818181818</v>
      </c>
      <c r="DR91" s="325" t="n">
        <f aca="false">VLOOKUP(1900+$L91,ResidSpreadTable,4)</f>
        <v>-6</v>
      </c>
      <c r="DS91" s="337" t="n">
        <f aca="false">$V91+DR91</f>
        <v>17.9681818181818</v>
      </c>
      <c r="DT91" s="314"/>
      <c r="DU91" s="325" t="n">
        <f aca="false">DT91-$U91</f>
        <v>-23.9681818181818</v>
      </c>
      <c r="DV91" s="325" t="n">
        <f aca="false">VLOOKUP(1900+$L91,ResidSpreadTable,5)</f>
        <v>-5</v>
      </c>
      <c r="DW91" s="337" t="n">
        <f aca="false">$V91+DV91</f>
        <v>18.9681818181818</v>
      </c>
    </row>
    <row r="92" customFormat="false" ht="12.75" hidden="false" customHeight="false" outlineLevel="0" collapsed="false">
      <c r="B92" s="371" t="n">
        <v>38353</v>
      </c>
      <c r="C92" s="391" t="n">
        <v>38340</v>
      </c>
      <c r="I92" s="338" t="n">
        <f aca="false">EOMONTH(I91,0)+1</f>
        <v>48549</v>
      </c>
      <c r="J92" s="389" t="n">
        <f aca="false">VLOOKUP(I92,$B$12:$C$332,2)</f>
        <v>45644</v>
      </c>
      <c r="K92" s="339" t="n">
        <f aca="false">NETWORKDAYS(I92,J93)/N92</f>
        <v>-90.2608695652174</v>
      </c>
      <c r="L92" s="309" t="n">
        <f aca="false">YEAR(I92)-1900</f>
        <v>132</v>
      </c>
      <c r="M92" s="310" t="n">
        <f aca="false">MONTH(I92)</f>
        <v>12</v>
      </c>
      <c r="N92" s="340" t="n">
        <f aca="false">NETWORKDAYS(I92,I93-1)</f>
        <v>23</v>
      </c>
      <c r="O92" s="341" t="n">
        <f aca="false">I92-DateToday-IF(EuroExpDateToggle=1,3+IF(WEEKDAY(I92-1)=7,1,IF(WEEKDAY(I92-1)&lt;5,2,0)),1+IF(WEEKDAY(I92-1)=7,1,IF(WEEKDAY(I92-1)&lt;3,2,0)))</f>
        <v>2618</v>
      </c>
      <c r="P92" s="342" t="n">
        <f aca="false">(I92-DateToday+1)/365.25</f>
        <v>7.18412046543463</v>
      </c>
      <c r="Q92" s="342" t="n">
        <f aca="false">(I93-DateToday)/365.25</f>
        <v>7.2662559890486</v>
      </c>
      <c r="R92" s="314" t="n">
        <v>19.25</v>
      </c>
      <c r="S92" s="347" t="n">
        <v>0</v>
      </c>
      <c r="T92" s="316" t="n">
        <f aca="false">R92+S92/100</f>
        <v>19.25</v>
      </c>
      <c r="U92" s="325" t="n">
        <f aca="false">R93*K92+R94*(1-K92)</f>
        <v>23.863043478261</v>
      </c>
      <c r="V92" s="337" t="n">
        <f aca="false">T93*K92+T94*(1-K92)</f>
        <v>23.863043478261</v>
      </c>
      <c r="W92" s="318" t="n">
        <v>0.1843</v>
      </c>
      <c r="X92" s="319" t="str">
        <f aca="false">IF($I92-DateToday+1&gt;=$A$10,"",IF($I92-DateToday+1&lt;$A$5,1,MATCH($I92-DateToday+1,$A$5:$A$10)))</f>
        <v/>
      </c>
      <c r="Y92" s="348" t="n">
        <f aca="false">IF($X92="",Y91^2/Y90,INDEX(B$5:B$10,$X92)^((INDEX($A$5:$A$10,$X92+1)-($I92-DateToday+1))/(INDEX($A$5:$A$10,$X92+1)-INDEX($A$5:$A$10,$X92)))/INDEX(B$5:B$10,$X92+1)^((INDEX($A$5:$A$10,$X92)-($I92-DateToday+1))/(INDEX($A$5:$A$10,$X92+1)-INDEX($A$5:$A$10,$X92))))</f>
        <v>0.00238378790767016</v>
      </c>
      <c r="Z92" s="348" t="n">
        <f aca="false">IF($X92="",Z91^2/Z90,INDEX(C$5:C$10,$X92)^((INDEX($A$5:$A$10,$X92+1)-($I92-DateToday+1))/(INDEX($A$5:$A$10,$X92+1)-INDEX($A$5:$A$10,$X92)))/INDEX(C$5:C$10,$X92+1)^((INDEX($A$5:$A$10,$X92)-($I92-DateToday+1))/(INDEX($A$5:$A$10,$X92+1)-INDEX($A$5:$A$10,$X92))))</f>
        <v>0.000924959496248618</v>
      </c>
      <c r="AA92" s="348" t="n">
        <f aca="false">IF($X92="",AA91^2/AA90,INDEX(D$5:D$10,$X92)^((INDEX($A$5:$A$10,$X92+1)-($I92-DateToday+1))/(INDEX($A$5:$A$10,$X92+1)-INDEX($A$5:$A$10,$X92)))/INDEX(D$5:D$10,$X92+1)^((INDEX($A$5:$A$10,$X92)-($I92-DateToday+1))/(INDEX($A$5:$A$10,$X92+1)-INDEX($A$5:$A$10,$X92))))</f>
        <v>0.000349821288956681</v>
      </c>
      <c r="AB92" s="348" t="n">
        <f aca="false">IF($X92="",AB91^2/AB90,INDEX(E$5:E$10,$X92)^((INDEX($A$5:$A$10,$X92+1)-($I92-DateToday+1))/(INDEX($A$5:$A$10,$X92+1)-INDEX($A$5:$A$10,$X92)))/INDEX(E$5:E$10,$X92+1)^((INDEX($A$5:$A$10,$X92)-($I92-DateToday+1))/(INDEX($A$5:$A$10,$X92+1)-INDEX($A$5:$A$10,$X92))))</f>
        <v>0.000788077399761623</v>
      </c>
      <c r="AC92" s="348" t="n">
        <f aca="false">IF($X92="",AC91^2/AC90,INDEX(F$5:F$10,$X92)^((INDEX($A$5:$A$10,$X92+1)-($I92-DateToday+1))/(INDEX($A$5:$A$10,$X92+1)-INDEX($A$5:$A$10,$X92)))/INDEX(F$5:F$10,$X92+1)^((INDEX($A$5:$A$10,$X92)-($I92-DateToday+1))/(INDEX($A$5:$A$10,$X92+1)-INDEX($A$5:$A$10,$X92))))</f>
        <v>0.00208374875314889</v>
      </c>
      <c r="AD92" s="348" t="n">
        <f aca="false">IF($X92="",AD91^2/AD90,INDEX(G$5:G$10,$X92)^((INDEX($A$5:$A$10,$X92+1)-($I92-DateToday+1))/(INDEX($A$5:$A$10,$X92+1)-INDEX($A$5:$A$10,$X92)))/INDEX(G$5:G$10,$X92+1)^((INDEX($A$5:$A$10,$X92)-($I92-DateToday+1))/(INDEX($A$5:$A$10,$X92+1)-INDEX($A$5:$A$10,$X92))))</f>
        <v>0.00537019739839909</v>
      </c>
      <c r="AE92" s="321" t="n">
        <v>0.07352653679325</v>
      </c>
      <c r="AF92" s="316" t="n">
        <f aca="false">(1+AE92/2)^(-2*(I93-DateToday)/365.25)</f>
        <v>0.591746903770753</v>
      </c>
      <c r="AG92" s="316" t="n">
        <f aca="false">AG91*(1+IF(AND(M92=1,L92&gt;YearStart),Escalation,0))</f>
        <v>1</v>
      </c>
      <c r="AH92" s="322" t="n">
        <f aca="false">IF(OR(DateStart&gt;=I93,DateEnd&lt;I92),0,Volume*AG92)</f>
        <v>0</v>
      </c>
      <c r="AI92" s="322" t="n">
        <f aca="false">AH92*AF92</f>
        <v>0</v>
      </c>
      <c r="AJ92" s="322" t="n">
        <f aca="false">IF(OR(DateStart2&gt;=I93,DateEnd2&lt;I92),0,VolumeSwaption*AG92)</f>
        <v>0</v>
      </c>
      <c r="AK92" s="322" t="n">
        <f aca="false">AJ92*AF92</f>
        <v>0</v>
      </c>
      <c r="AL92" s="316" t="str">
        <f aca="true">IF(AH92,OFFSET(BY92,0,HorizontalPriceOffset)+PriceSpreadAsian,"")</f>
        <v/>
      </c>
      <c r="AM92" s="316" t="str">
        <f aca="false">IF(AH92,Strike1/AL92-1,"")</f>
        <v/>
      </c>
      <c r="AN92" s="316" t="str">
        <f aca="false">IF(AH92,Strike2/AL92-1,"")</f>
        <v/>
      </c>
      <c r="AO92" s="323" t="str">
        <f aca="false">IF(AH92,IF(VolOverrideAsian,VolOverrideAsian,IF(ProductGroup=1,IF(Product&lt;3,DA93,DE93),W93)+VolSpreadAsian),"")</f>
        <v/>
      </c>
      <c r="AP92" s="323" t="str">
        <f aca="false">IF($AH92,$AO92+IF(SkewFlag=1,IF(AM92&gt;0,$AA92*MIN(AM92/10%,1)+($Z92-$AA92)*MAX(0,MIN(AM92/10%-1,1))+($Y92-$Z92)*MAX(0,AM92/10%-2),$AB92*MIN(-AM92/10%,1)+($AC92-$AB92)*MAX(0,MIN(-AM92/10%-1,1))+($AD92-$AC92)*MAX(0,-AM92/10%-2)),0),"")</f>
        <v/>
      </c>
      <c r="AQ92" s="323" t="str">
        <f aca="false">IF($AH92,$AO92+IF(SkewFlag=1,IF(AN92&gt;0,$AA92*MIN(AN92/10%,1)+($Z92-$AA92)*MAX(0,MIN(AN92/10%-1,1))+($Y92-$Z92)*MAX(0,AN92/10%-2),$AB92*MIN(-AN92/10%,1)+($AC92-$AB92)*MAX(0,MIN(-AN92/10%-1,1))+($AD92-$AC92)*MAX(0,-AN92/10%-2)),0),"")</f>
        <v/>
      </c>
      <c r="AR92" s="324" t="n">
        <f aca="false">IF(AH92,xASN(AL92,Strike1,AE92,AP92,0,N92,0,P92,Q92,IF(OptControl=4,0,1),0),0)</f>
        <v>0</v>
      </c>
      <c r="AS92" s="324" t="n">
        <f aca="false">IF(AH92,xASN(AL92,Strike1,AE92,AP92,0,N92,0,P92,Q92,IF(OptControl=4,0,1),1),0)</f>
        <v>0</v>
      </c>
      <c r="AT92" s="324" t="n">
        <f aca="false">IF(AH92,xASN(AL92,Strike1,AE92,AP92,0,N92,0,P92,Q92,IF(OptControl=4,0,1),2),0)</f>
        <v>0</v>
      </c>
      <c r="AU92" s="324" t="n">
        <f aca="false">IF(AH92,xASN(AL92,Strike1,AE92,AP92,0,N92,0,P92,Q92,IF(OptControl=4,0,1),3)/100,0)</f>
        <v>0</v>
      </c>
      <c r="AV92" s="324" t="n">
        <f aca="false">IF(AH92,xASN(AL92,Strike1,AE92,AP92,0,N92,0,P92-DaysForThetaCalculation/365.25,Q92-DaysForThetaCalculation/365.25,IF(OptControl=4,0,1),0)-xASN(AL92,Strike1,AE92,AP92,0,N92,0,P92,Q92,IF(OptControl=4,0,1),0),0)</f>
        <v>0</v>
      </c>
      <c r="AW92" s="324" t="n">
        <f aca="false">IF(AH92,xASN(AL92,Strike2,AE92,AQ92,0,N92,0,P92,Q92,IF(OptControl=3,1,0),0),0)</f>
        <v>0</v>
      </c>
      <c r="AX92" s="324" t="n">
        <f aca="false">IF(AH92,xASN(AL92,Strike2,AE92,AQ92,0,N92,0,P92,Q92,IF(OptControl=3,1,0),1),0)</f>
        <v>0</v>
      </c>
      <c r="AY92" s="324" t="n">
        <f aca="false">IF(AH92,xASN(AL92,Strike2,AE92,AQ92,0,N92,0,P92,Q92,IF(OptControl=3,1,0),2),0)</f>
        <v>0</v>
      </c>
      <c r="AZ92" s="324" t="n">
        <f aca="false">IF(AH92,xASN(AL92,Strike2,AE92,AQ92,0,N92,0,P92,Q92,IF(OptControl=3,1,0),3)/100,0)</f>
        <v>0</v>
      </c>
      <c r="BA92" s="324" t="n">
        <f aca="false">IF(AH92,xASN(AL92,Strike2,AE92,AQ92,0,N92,0,P92-DaysForThetaCalculation/365.25,Q92-DaysForThetaCalculation/365.25,IF(OptControl=3,1,0),0)-xASN(AL92,Strike2,AE92,AQ92,0,N92,0,P92,Q92,IF(OptControl=3,1,0),0),0)</f>
        <v>0</v>
      </c>
      <c r="BB92" s="325" t="str">
        <f aca="false">IF(AH92,IF(ProductGroup=1,IF(Product=1,BX92+PriceSpreadEuro,IF(Product=3,CK92+PriceSpreadEuro,"N/A")),"N/A"),"")</f>
        <v/>
      </c>
      <c r="BC92" s="316" t="str">
        <f aca="false">IF(AH92,Strike1/BB92-1,"")</f>
        <v/>
      </c>
      <c r="BD92" s="316" t="str">
        <f aca="false">IF(AH92,Strike2/BB92-1,"")</f>
        <v/>
      </c>
      <c r="BE92" s="326" t="str">
        <f aca="false">IF(AH92,IF(VolOverrideEuro,VolOverrideEuro,IF(ProductGroup=1,IF(Product&lt;3,DA92,DE92)+VolSpreadEuro,"N/A")),"")</f>
        <v/>
      </c>
      <c r="BF92" s="323" t="str">
        <f aca="false">IF($AH92,$BE92+IF(SkewFlag=1,IF(BC92&gt;0,$AA92*MIN(BC92/10%,1)+($Z92-$AA92)*MAX(0,MIN(BC92/10%-1,1))+($Y92-$Z92)*MAX(0,BC92/10%-2),$AB92*MIN(-BC92/10%,1)+($AC92-$AB92)*MAX(0,MIN(-BC92/10%-1,1))+($AD92-$AC92)*MAX(0,-BC92/10%-2)),0),"")</f>
        <v/>
      </c>
      <c r="BG92" s="323" t="str">
        <f aca="false">IF($AH92,$BE92+IF(SkewFlag=1,IF(BD92&gt;0,$AA92*MIN(BD92/10%,1)+($Z92-$AA92)*MAX(0,MIN(BD92/10%-1,1))+($Y92-$Z92)*MAX(0,BD92/10%-2),$AB92*MIN(-BD92/10%,1)+($AC92-$AB92)*MAX(0,MIN(-BD92/10%-1,1))+($AD92-$AC92)*MAX(0,-BD92/10%-2)),0),"")</f>
        <v/>
      </c>
      <c r="BH92" s="324" t="n">
        <f aca="false">IF(AH92,xEURO(BB92,Strike1,AE92,AE92,BF92,O92,IF(OptControl=4,0,1),0),0)</f>
        <v>0</v>
      </c>
      <c r="BI92" s="324" t="n">
        <f aca="false">IF(AH92,xEURO(BB92,Strike1,AE92,AE92,BF92,O92,IF(OptControl=4,0,1),1),0)</f>
        <v>0</v>
      </c>
      <c r="BJ92" s="324" t="n">
        <f aca="false">IF(AH92,xEURO(BB92,Strike1,AE92,AE92,BF92,O92,IF(OptControl=4,0,1),2),0)</f>
        <v>0</v>
      </c>
      <c r="BK92" s="324" t="n">
        <f aca="false">IF(AH92,xEURO(BB92,Strike1,AE92,AE92,BF92,O92,IF(OptControl=4,0,1),3)/100,0)</f>
        <v>0</v>
      </c>
      <c r="BL92" s="324" t="n">
        <f aca="false">IF(AH92,xEURO(BB92,Strike1,AE92,AE92,BF92,O92-DaysForThetaCalculation,IF(OptControl=4,0,1),0)-xEURO(BB92,Strike1,AE92,AE92,BF92,O92,IF(OptControl=4,0,1),0),0)</f>
        <v>0</v>
      </c>
      <c r="BM92" s="324" t="n">
        <f aca="false">IF(AH92,xEURO(BB92,Strike2,AE92,AE92,BG92,O92,IF(OptControl=3,1,0),0),0)</f>
        <v>0</v>
      </c>
      <c r="BN92" s="324" t="n">
        <f aca="false">IF(AH92,xEURO(BB92,Strike2,AE92,AE92,BG92,O92,IF(OptControl=3,1,0),1),0)</f>
        <v>0</v>
      </c>
      <c r="BO92" s="324" t="n">
        <f aca="false">IF(AH92,xEURO(BB92,Strike2,AE92,AE92,BG92,O92,IF(OptControl=3,1,0),2),0)</f>
        <v>0</v>
      </c>
      <c r="BP92" s="324" t="n">
        <f aca="false">IF(AH92,xEURO(BB92,Strike2,AE92,AE92,BG92,O92,IF(OptControl=3,1,0),3)/100,0)</f>
        <v>0</v>
      </c>
      <c r="BQ92" s="327" t="n">
        <f aca="false">IF(AH92,xEURO(BB92,Strike2,AE92,AE92,BG92,O92-DaysForThetaCalculation,IF(OptControl=3,1,0),0)-xEURO(BB92,Strike2,AE92,AE92,BG92,O92,IF(OptControl=3,1,0),0),0)</f>
        <v>0</v>
      </c>
      <c r="BR92" s="343"/>
      <c r="BS92" s="314" t="n">
        <v>26.998</v>
      </c>
      <c r="BT92" s="329" t="n">
        <f aca="false">BS92*100/42</f>
        <v>64.2809523809524</v>
      </c>
      <c r="BU92" s="329" t="n">
        <f aca="false">BS93-$U92</f>
        <v>2.74795652173897</v>
      </c>
      <c r="BV92" s="224"/>
      <c r="BW92" s="329" t="n">
        <f aca="false">BW80+VLOOKUP(1900+$L92,ProductSpreadTable,2)</f>
        <v>15.5939565217392</v>
      </c>
      <c r="BX92" s="329" t="n">
        <f aca="false">($V91+BW91)*100/42</f>
        <v>103.471861471861</v>
      </c>
      <c r="BY92" s="332" t="n">
        <f aca="false">BX93</f>
        <v>93.9452380952386</v>
      </c>
      <c r="BZ92" s="314" t="n">
        <v>24.721</v>
      </c>
      <c r="CA92" s="329" t="n">
        <f aca="false">BZ92*100/42</f>
        <v>58.8595238095238</v>
      </c>
      <c r="CB92" s="329" t="n">
        <f aca="false">BZ92-$U92</f>
        <v>0.857956521738966</v>
      </c>
      <c r="CC92" s="329" t="n">
        <f aca="false">CC80+VLOOKUP(1900+$L92,ProductSpreadTable,3)</f>
        <v>12.9689565217392</v>
      </c>
      <c r="CD92" s="329" t="n">
        <f aca="false">($V92+CC92)*100/42</f>
        <v>87.6952380952386</v>
      </c>
      <c r="CE92" s="333" t="n">
        <f aca="false">CD92-BY92</f>
        <v>-6.25</v>
      </c>
      <c r="CF92" s="314" t="n">
        <v>21.239</v>
      </c>
      <c r="CG92" s="329" t="n">
        <f aca="false">CF92*100/42</f>
        <v>50.5690476190476</v>
      </c>
      <c r="CH92" s="329" t="n">
        <f aca="false">CF93-$U92</f>
        <v>-2.49304347826103</v>
      </c>
      <c r="CI92" s="224"/>
      <c r="CJ92" s="329" t="n">
        <f aca="false">CJ80+VLOOKUP(1900+$L92,ProductSpreadTable,4)</f>
        <v>8.05800000000003</v>
      </c>
      <c r="CK92" s="329" t="n">
        <f aca="false">($V91+CJ91)*100/42</f>
        <v>77.7945372088228</v>
      </c>
      <c r="CL92" s="329" t="n">
        <f aca="false">CK93</f>
        <v>76.0024844720502</v>
      </c>
      <c r="CM92" s="314" t="n">
        <v>20.551</v>
      </c>
      <c r="CN92" s="329" t="n">
        <f aca="false">CM92*100/42</f>
        <v>48.9309523809524</v>
      </c>
      <c r="CO92" s="329" t="n">
        <f aca="false">CM92-$U92</f>
        <v>-3.31204347826104</v>
      </c>
      <c r="CP92" s="329" t="n">
        <f aca="false">CP80+VLOOKUP(1900+$L92,ProductSpreadTable,5)</f>
        <v>7.13400000000003</v>
      </c>
      <c r="CQ92" s="329" t="n">
        <f aca="false">($V92+CP92)*100/42</f>
        <v>73.8024844720501</v>
      </c>
      <c r="CR92" s="333" t="n">
        <f aca="false">CQ92-CL92</f>
        <v>-2.20000000000002</v>
      </c>
      <c r="CS92" s="314" t="n">
        <v>21.496</v>
      </c>
      <c r="CT92" s="329" t="n">
        <f aca="false">CS92*100/42</f>
        <v>51.1809523809524</v>
      </c>
      <c r="CU92" s="329" t="n">
        <f aca="false">CT92-CG93</f>
        <v>0.299999999999997</v>
      </c>
      <c r="CV92" s="329" t="n">
        <f aca="false">CV80+VLOOKUP(1900+$L92,ProductSpreadTable,6)</f>
        <v>1.49999999999999</v>
      </c>
      <c r="CW92" s="333" t="n">
        <f aca="false">CL92+CV92</f>
        <v>77.5024844720502</v>
      </c>
      <c r="CX92" s="318" t="n">
        <v>0.184</v>
      </c>
      <c r="CY92" s="326" t="n">
        <f aca="false">CX92-$W92</f>
        <v>-0.000299999999999967</v>
      </c>
      <c r="CZ92" s="326" t="n">
        <f aca="false">VLOOKUP(1900+$L92,ProductSpreadTable,7)</f>
        <v>-0.03</v>
      </c>
      <c r="DA92" s="365" t="n">
        <f aca="false">$W92+CZ92</f>
        <v>0.1543</v>
      </c>
      <c r="DB92" s="318" t="n">
        <v>0.184</v>
      </c>
      <c r="DC92" s="326" t="n">
        <f aca="false">DB92-$W92</f>
        <v>-0.000299999999999967</v>
      </c>
      <c r="DD92" s="326" t="n">
        <f aca="false">VLOOKUP(1900+$L92,ProductSpreadTable,8)</f>
        <v>0.03</v>
      </c>
      <c r="DE92" s="365" t="n">
        <f aca="false">$W92+DD92</f>
        <v>0.2143</v>
      </c>
      <c r="DG92" s="336"/>
      <c r="DH92" s="314"/>
      <c r="DI92" s="325" t="n">
        <f aca="false">DH92-$U92</f>
        <v>-23.863043478261</v>
      </c>
      <c r="DJ92" s="325" t="n">
        <f aca="false">VLOOKUP(1900+$L92,ResidSpreadTable,2)</f>
        <v>-2</v>
      </c>
      <c r="DK92" s="337" t="n">
        <f aca="false">$V92+DJ92</f>
        <v>21.863043478261</v>
      </c>
      <c r="DL92" s="314"/>
      <c r="DM92" s="325" t="n">
        <f aca="false">DL92-$U92</f>
        <v>-23.863043478261</v>
      </c>
      <c r="DN92" s="325" t="n">
        <f aca="false">VLOOKUP(1900+$L92,ResidSpreadTable,3)</f>
        <v>-3</v>
      </c>
      <c r="DO92" s="337" t="n">
        <f aca="false">$V92+DN92</f>
        <v>20.863043478261</v>
      </c>
      <c r="DP92" s="314"/>
      <c r="DQ92" s="325" t="n">
        <f aca="false">DP92-$U92</f>
        <v>-23.863043478261</v>
      </c>
      <c r="DR92" s="325" t="n">
        <f aca="false">VLOOKUP(1900+$L92,ResidSpreadTable,4)</f>
        <v>-6</v>
      </c>
      <c r="DS92" s="337" t="n">
        <f aca="false">$V92+DR92</f>
        <v>17.863043478261</v>
      </c>
      <c r="DT92" s="314"/>
      <c r="DU92" s="325" t="n">
        <f aca="false">DT92-$U92</f>
        <v>-23.863043478261</v>
      </c>
      <c r="DV92" s="325" t="n">
        <f aca="false">VLOOKUP(1900+$L92,ResidSpreadTable,5)</f>
        <v>-5</v>
      </c>
      <c r="DW92" s="337" t="n">
        <f aca="false">$V92+DV92</f>
        <v>18.863043478261</v>
      </c>
    </row>
    <row r="93" customFormat="false" ht="12.75" hidden="false" customHeight="false" outlineLevel="0" collapsed="false">
      <c r="B93" s="371" t="n">
        <v>38384</v>
      </c>
      <c r="C93" s="391" t="n">
        <v>38374</v>
      </c>
      <c r="I93" s="338" t="n">
        <f aca="false">EOMONTH(I92,0)+1</f>
        <v>48580</v>
      </c>
      <c r="J93" s="389" t="n">
        <f aca="false">VLOOKUP(I93,$B$12:$C$332,2)</f>
        <v>45644</v>
      </c>
      <c r="K93" s="339" t="n">
        <f aca="false">NETWORKDAYS(I93,J94)/N93</f>
        <v>-99.9047619047619</v>
      </c>
      <c r="L93" s="309" t="n">
        <f aca="false">YEAR(I93)-1900</f>
        <v>133</v>
      </c>
      <c r="M93" s="310" t="n">
        <f aca="false">MONTH(I93)</f>
        <v>1</v>
      </c>
      <c r="N93" s="340" t="n">
        <f aca="false">NETWORKDAYS(I93,I94-1)</f>
        <v>21</v>
      </c>
      <c r="O93" s="341" t="n">
        <f aca="false">I93-DateToday-IF(EuroExpDateToggle=1,3+IF(WEEKDAY(I93-1)=7,1,IF(WEEKDAY(I93-1)&lt;5,2,0)),1+IF(WEEKDAY(I93-1)=7,1,IF(WEEKDAY(I93-1)&lt;3,2,0)))</f>
        <v>2651</v>
      </c>
      <c r="P93" s="342" t="n">
        <f aca="false">(I93-DateToday+1)/365.25</f>
        <v>7.26899383983573</v>
      </c>
      <c r="Q93" s="342" t="n">
        <f aca="false">(I94-DateToday)/365.25</f>
        <v>7.35112936344969</v>
      </c>
      <c r="R93" s="314" t="n">
        <v>19.3</v>
      </c>
      <c r="S93" s="347" t="n">
        <v>0</v>
      </c>
      <c r="T93" s="316" t="n">
        <f aca="false">R93+S93/100</f>
        <v>19.3</v>
      </c>
      <c r="U93" s="325" t="n">
        <f aca="false">R94*K93+R95*(1-K93)</f>
        <v>24.3952380952378</v>
      </c>
      <c r="V93" s="337" t="n">
        <f aca="false">T94*K93+T95*(1-K93)</f>
        <v>24.3952380952378</v>
      </c>
      <c r="W93" s="318" t="n">
        <v>0.1837</v>
      </c>
      <c r="X93" s="319" t="str">
        <f aca="false">IF($I93-DateToday+1&gt;=$A$10,"",IF($I93-DateToday+1&lt;$A$5,1,MATCH($I93-DateToday+1,$A$5:$A$10)))</f>
        <v/>
      </c>
      <c r="Y93" s="348" t="n">
        <f aca="false">IF($X93="",Y92^2/Y91,INDEX(B$5:B$10,$X93)^((INDEX($A$5:$A$10,$X93+1)-($I93-DateToday+1))/(INDEX($A$5:$A$10,$X93+1)-INDEX($A$5:$A$10,$X93)))/INDEX(B$5:B$10,$X93+1)^((INDEX($A$5:$A$10,$X93)-($I93-DateToday+1))/(INDEX($A$5:$A$10,$X93+1)-INDEX($A$5:$A$10,$X93))))</f>
        <v>0.00233275463413499</v>
      </c>
      <c r="Z93" s="348" t="n">
        <f aca="false">IF($X93="",Z92^2/Z91,INDEX(C$5:C$10,$X93)^((INDEX($A$5:$A$10,$X93+1)-($I93-DateToday+1))/(INDEX($A$5:$A$10,$X93+1)-INDEX($A$5:$A$10,$X93)))/INDEX(C$5:C$10,$X93+1)^((INDEX($A$5:$A$10,$X93)-($I93-DateToday+1))/(INDEX($A$5:$A$10,$X93+1)-INDEX($A$5:$A$10,$X93))))</f>
        <v>0.000900311259851108</v>
      </c>
      <c r="AA93" s="348" t="n">
        <f aca="false">IF($X93="",AA92^2/AA91,INDEX(D$5:D$10,$X93)^((INDEX($A$5:$A$10,$X93+1)-($I93-DateToday+1))/(INDEX($A$5:$A$10,$X93+1)-INDEX($A$5:$A$10,$X93)))/INDEX(D$5:D$10,$X93+1)^((INDEX($A$5:$A$10,$X93)-($I93-DateToday+1))/(INDEX($A$5:$A$10,$X93+1)-INDEX($A$5:$A$10,$X93))))</f>
        <v>0.000339586202071698</v>
      </c>
      <c r="AB93" s="348" t="n">
        <f aca="false">IF($X93="",AB92^2/AB91,INDEX(E$5:E$10,$X93)^((INDEX($A$5:$A$10,$X93+1)-($I93-DateToday+1))/(INDEX($A$5:$A$10,$X93+1)-INDEX($A$5:$A$10,$X93)))/INDEX(E$5:E$10,$X93+1)^((INDEX($A$5:$A$10,$X93)-($I93-DateToday+1))/(INDEX($A$5:$A$10,$X93+1)-INDEX($A$5:$A$10,$X93))))</f>
        <v>0.000765019796027133</v>
      </c>
      <c r="AC93" s="348" t="n">
        <f aca="false">IF($X93="",AC92^2/AC91,INDEX(F$5:F$10,$X93)^((INDEX($A$5:$A$10,$X93+1)-($I93-DateToday+1))/(INDEX($A$5:$A$10,$X93+1)-INDEX($A$5:$A$10,$X93)))/INDEX(F$5:F$10,$X93+1)^((INDEX($A$5:$A$10,$X93)-($I93-DateToday+1))/(INDEX($A$5:$A$10,$X93+1)-INDEX($A$5:$A$10,$X93))))</f>
        <v>0.00202822120619258</v>
      </c>
      <c r="AD93" s="348" t="n">
        <f aca="false">IF($X93="",AD92^2/AD91,INDEX(G$5:G$10,$X93)^((INDEX($A$5:$A$10,$X93+1)-($I93-DateToday+1))/(INDEX($A$5:$A$10,$X93+1)-INDEX($A$5:$A$10,$X93)))/INDEX(G$5:G$10,$X93+1)^((INDEX($A$5:$A$10,$X93)-($I93-DateToday+1))/(INDEX($A$5:$A$10,$X93+1)-INDEX($A$5:$A$10,$X93))))</f>
        <v>0.00525522963977906</v>
      </c>
      <c r="AE93" s="321" t="n">
        <v>0.073533882022156</v>
      </c>
      <c r="AF93" s="316" t="n">
        <f aca="false">(1+AE93/2)^(-2*(I94-DateToday)/365.25)</f>
        <v>0.588100859699682</v>
      </c>
      <c r="AG93" s="316" t="n">
        <f aca="false">AG92*(1+IF(AND(M93=1,L93&gt;YearStart),Escalation,0))</f>
        <v>1</v>
      </c>
      <c r="AH93" s="322" t="n">
        <f aca="false">IF(OR(DateStart&gt;=I94,DateEnd&lt;I93),0,Volume*AG93)</f>
        <v>0</v>
      </c>
      <c r="AI93" s="322" t="n">
        <f aca="false">AH93*AF93</f>
        <v>0</v>
      </c>
      <c r="AJ93" s="322" t="n">
        <f aca="false">IF(OR(DateStart2&gt;=I94,DateEnd2&lt;I93),0,VolumeSwaption*AG93)</f>
        <v>0</v>
      </c>
      <c r="AK93" s="322" t="n">
        <f aca="false">AJ93*AF93</f>
        <v>0</v>
      </c>
      <c r="AL93" s="316" t="str">
        <f aca="true">IF(AH93,OFFSET(BY93,0,HorizontalPriceOffset)+PriceSpreadAsian,"")</f>
        <v/>
      </c>
      <c r="AM93" s="316" t="str">
        <f aca="false">IF(AH93,Strike1/AL93-1,"")</f>
        <v/>
      </c>
      <c r="AN93" s="316" t="str">
        <f aca="false">IF(AH93,Strike2/AL93-1,"")</f>
        <v/>
      </c>
      <c r="AO93" s="323" t="str">
        <f aca="false">IF(AH93,IF(VolOverrideAsian,VolOverrideAsian,IF(ProductGroup=1,IF(Product&lt;3,DA94,DE94),W94)+VolSpreadAsian),"")</f>
        <v/>
      </c>
      <c r="AP93" s="323" t="str">
        <f aca="false">IF($AH93,$AO93+IF(SkewFlag=1,IF(AM93&gt;0,$AA93*MIN(AM93/10%,1)+($Z93-$AA93)*MAX(0,MIN(AM93/10%-1,1))+($Y93-$Z93)*MAX(0,AM93/10%-2),$AB93*MIN(-AM93/10%,1)+($AC93-$AB93)*MAX(0,MIN(-AM93/10%-1,1))+($AD93-$AC93)*MAX(0,-AM93/10%-2)),0),"")</f>
        <v/>
      </c>
      <c r="AQ93" s="323" t="str">
        <f aca="false">IF($AH93,$AO93+IF(SkewFlag=1,IF(AN93&gt;0,$AA93*MIN(AN93/10%,1)+($Z93-$AA93)*MAX(0,MIN(AN93/10%-1,1))+($Y93-$Z93)*MAX(0,AN93/10%-2),$AB93*MIN(-AN93/10%,1)+($AC93-$AB93)*MAX(0,MIN(-AN93/10%-1,1))+($AD93-$AC93)*MAX(0,-AN93/10%-2)),0),"")</f>
        <v/>
      </c>
      <c r="AR93" s="324" t="n">
        <f aca="false">IF(AH93,xASN(AL93,Strike1,AE93,AP93,0,N93,0,P93,Q93,IF(OptControl=4,0,1),0),0)</f>
        <v>0</v>
      </c>
      <c r="AS93" s="324" t="n">
        <f aca="false">IF(AH93,xASN(AL93,Strike1,AE93,AP93,0,N93,0,P93,Q93,IF(OptControl=4,0,1),1),0)</f>
        <v>0</v>
      </c>
      <c r="AT93" s="324" t="n">
        <f aca="false">IF(AH93,xASN(AL93,Strike1,AE93,AP93,0,N93,0,P93,Q93,IF(OptControl=4,0,1),2),0)</f>
        <v>0</v>
      </c>
      <c r="AU93" s="324" t="n">
        <f aca="false">IF(AH93,xASN(AL93,Strike1,AE93,AP93,0,N93,0,P93,Q93,IF(OptControl=4,0,1),3)/100,0)</f>
        <v>0</v>
      </c>
      <c r="AV93" s="324" t="n">
        <f aca="false">IF(AH93,xASN(AL93,Strike1,AE93,AP93,0,N93,0,P93-DaysForThetaCalculation/365.25,Q93-DaysForThetaCalculation/365.25,IF(OptControl=4,0,1),0)-xASN(AL93,Strike1,AE93,AP93,0,N93,0,P93,Q93,IF(OptControl=4,0,1),0),0)</f>
        <v>0</v>
      </c>
      <c r="AW93" s="324" t="n">
        <f aca="false">IF(AH93,xASN(AL93,Strike2,AE93,AQ93,0,N93,0,P93,Q93,IF(OptControl=3,1,0),0),0)</f>
        <v>0</v>
      </c>
      <c r="AX93" s="324" t="n">
        <f aca="false">IF(AH93,xASN(AL93,Strike2,AE93,AQ93,0,N93,0,P93,Q93,IF(OptControl=3,1,0),1),0)</f>
        <v>0</v>
      </c>
      <c r="AY93" s="324" t="n">
        <f aca="false">IF(AH93,xASN(AL93,Strike2,AE93,AQ93,0,N93,0,P93,Q93,IF(OptControl=3,1,0),2),0)</f>
        <v>0</v>
      </c>
      <c r="AZ93" s="324" t="n">
        <f aca="false">IF(AH93,xASN(AL93,Strike2,AE93,AQ93,0,N93,0,P93,Q93,IF(OptControl=3,1,0),3)/100,0)</f>
        <v>0</v>
      </c>
      <c r="BA93" s="324" t="n">
        <f aca="false">IF(AH93,xASN(AL93,Strike2,AE93,AQ93,0,N93,0,P93-DaysForThetaCalculation/365.25,Q93-DaysForThetaCalculation/365.25,IF(OptControl=3,1,0),0)-xASN(AL93,Strike2,AE93,AQ93,0,N93,0,P93,Q93,IF(OptControl=3,1,0),0),0)</f>
        <v>0</v>
      </c>
      <c r="BB93" s="325" t="str">
        <f aca="false">IF(AH93,IF(ProductGroup=1,IF(Product=1,BX93+PriceSpreadEuro,IF(Product=3,CK93+PriceSpreadEuro,"N/A")),"N/A"),"")</f>
        <v/>
      </c>
      <c r="BC93" s="316" t="str">
        <f aca="false">IF(AH93,Strike1/BB93-1,"")</f>
        <v/>
      </c>
      <c r="BD93" s="316" t="str">
        <f aca="false">IF(AH93,Strike2/BB93-1,"")</f>
        <v/>
      </c>
      <c r="BE93" s="326" t="str">
        <f aca="false">IF(AH93,IF(VolOverrideEuro,VolOverrideEuro,IF(ProductGroup=1,IF(Product&lt;3,DA93,DE93)+VolSpreadEuro,"N/A")),"")</f>
        <v/>
      </c>
      <c r="BF93" s="323" t="str">
        <f aca="false">IF($AH93,$BE93+IF(SkewFlag=1,IF(BC93&gt;0,$AA93*MIN(BC93/10%,1)+($Z93-$AA93)*MAX(0,MIN(BC93/10%-1,1))+($Y93-$Z93)*MAX(0,BC93/10%-2),$AB93*MIN(-BC93/10%,1)+($AC93-$AB93)*MAX(0,MIN(-BC93/10%-1,1))+($AD93-$AC93)*MAX(0,-BC93/10%-2)),0),"")</f>
        <v/>
      </c>
      <c r="BG93" s="323" t="str">
        <f aca="false">IF($AH93,$BE93+IF(SkewFlag=1,IF(BD93&gt;0,$AA93*MIN(BD93/10%,1)+($Z93-$AA93)*MAX(0,MIN(BD93/10%-1,1))+($Y93-$Z93)*MAX(0,BD93/10%-2),$AB93*MIN(-BD93/10%,1)+($AC93-$AB93)*MAX(0,MIN(-BD93/10%-1,1))+($AD93-$AC93)*MAX(0,-BD93/10%-2)),0),"")</f>
        <v/>
      </c>
      <c r="BH93" s="324" t="n">
        <f aca="false">IF(AH93,xEURO(BB93,Strike1,AE93,AE93,BF93,O93,IF(OptControl=4,0,1),0),0)</f>
        <v>0</v>
      </c>
      <c r="BI93" s="324" t="n">
        <f aca="false">IF(AH93,xEURO(BB93,Strike1,AE93,AE93,BF93,O93,IF(OptControl=4,0,1),1),0)</f>
        <v>0</v>
      </c>
      <c r="BJ93" s="324" t="n">
        <f aca="false">IF(AH93,xEURO(BB93,Strike1,AE93,AE93,BF93,O93,IF(OptControl=4,0,1),2),0)</f>
        <v>0</v>
      </c>
      <c r="BK93" s="324" t="n">
        <f aca="false">IF(AH93,xEURO(BB93,Strike1,AE93,AE93,BF93,O93,IF(OptControl=4,0,1),3)/100,0)</f>
        <v>0</v>
      </c>
      <c r="BL93" s="324" t="n">
        <f aca="false">IF(AH93,xEURO(BB93,Strike1,AE93,AE93,BF93,O93-DaysForThetaCalculation,IF(OptControl=4,0,1),0)-xEURO(BB93,Strike1,AE93,AE93,BF93,O93,IF(OptControl=4,0,1),0),0)</f>
        <v>0</v>
      </c>
      <c r="BM93" s="324" t="n">
        <f aca="false">IF(AH93,xEURO(BB93,Strike2,AE93,AE93,BG93,O93,IF(OptControl=3,1,0),0),0)</f>
        <v>0</v>
      </c>
      <c r="BN93" s="324" t="n">
        <f aca="false">IF(AH93,xEURO(BB93,Strike2,AE93,AE93,BG93,O93,IF(OptControl=3,1,0),1),0)</f>
        <v>0</v>
      </c>
      <c r="BO93" s="324" t="n">
        <f aca="false">IF(AH93,xEURO(BB93,Strike2,AE93,AE93,BG93,O93,IF(OptControl=3,1,0),2),0)</f>
        <v>0</v>
      </c>
      <c r="BP93" s="324" t="n">
        <f aca="false">IF(AH93,xEURO(BB93,Strike2,AE93,AE93,BG93,O93,IF(OptControl=3,1,0),3)/100,0)</f>
        <v>0</v>
      </c>
      <c r="BQ93" s="327" t="n">
        <f aca="false">IF(AH93,xEURO(BB93,Strike2,AE93,AE93,BG93,O93-DaysForThetaCalculation,IF(OptControl=3,1,0),0)-xEURO(BB93,Strike2,AE93,AE93,BG93,O93,IF(OptControl=3,1,0),0),0)</f>
        <v>0</v>
      </c>
      <c r="BR93" s="343"/>
      <c r="BS93" s="314" t="n">
        <v>26.611</v>
      </c>
      <c r="BT93" s="329" t="n">
        <f aca="false">BS93*100/42</f>
        <v>63.3595238095238</v>
      </c>
      <c r="BU93" s="329" t="n">
        <f aca="false">BS94-$U93</f>
        <v>1.7327619047622</v>
      </c>
      <c r="BV93" s="224"/>
      <c r="BW93" s="329" t="n">
        <f aca="false">BW81+VLOOKUP(1900+$L93,ProductSpreadTable,2)</f>
        <v>15.0192727272728</v>
      </c>
      <c r="BX93" s="329" t="n">
        <f aca="false">($V92+BW92)*100/42</f>
        <v>93.9452380952386</v>
      </c>
      <c r="BY93" s="332" t="n">
        <f aca="false">BX94</f>
        <v>93.8440733869299</v>
      </c>
      <c r="BZ93" s="314" t="n">
        <v>24.238</v>
      </c>
      <c r="CA93" s="329" t="n">
        <f aca="false">BZ93*100/42</f>
        <v>57.7095238095238</v>
      </c>
      <c r="CB93" s="329" t="n">
        <f aca="false">BZ93-$U93</f>
        <v>-0.157238095237798</v>
      </c>
      <c r="CC93" s="329" t="n">
        <f aca="false">CC81+VLOOKUP(1900+$L93,ProductSpreadTable,3)</f>
        <v>12.6042727272728</v>
      </c>
      <c r="CD93" s="329" t="n">
        <f aca="false">($V93+CC93)*100/42</f>
        <v>88.0940733869299</v>
      </c>
      <c r="CE93" s="333" t="n">
        <f aca="false">CD93-BY93</f>
        <v>-5.75000000000001</v>
      </c>
      <c r="CF93" s="314" t="n">
        <v>21.37</v>
      </c>
      <c r="CG93" s="329" t="n">
        <f aca="false">CF93*100/42</f>
        <v>50.8809523809524</v>
      </c>
      <c r="CH93" s="329" t="n">
        <f aca="false">CF94-$U93</f>
        <v>-2.6472380952378</v>
      </c>
      <c r="CI93" s="224"/>
      <c r="CJ93" s="329" t="n">
        <f aca="false">CJ81+VLOOKUP(1900+$L93,ProductSpreadTable,4)</f>
        <v>8.60299999999997</v>
      </c>
      <c r="CK93" s="329" t="n">
        <f aca="false">($V92+CJ92)*100/42</f>
        <v>76.0024844720502</v>
      </c>
      <c r="CL93" s="329" t="n">
        <f aca="false">CK94</f>
        <v>78.5672335600899</v>
      </c>
      <c r="CM93" s="314" t="n">
        <v>20.824</v>
      </c>
      <c r="CN93" s="329" t="n">
        <f aca="false">CM93*100/42</f>
        <v>49.5809523809524</v>
      </c>
      <c r="CO93" s="329" t="n">
        <f aca="false">CM93-$U93</f>
        <v>-3.5712380952378</v>
      </c>
      <c r="CP93" s="329" t="n">
        <f aca="false">CP81+VLOOKUP(1900+$L93,ProductSpreadTable,5)</f>
        <v>7.67899999999997</v>
      </c>
      <c r="CQ93" s="329" t="n">
        <f aca="false">($V93+CP93)*100/42</f>
        <v>76.3672335600899</v>
      </c>
      <c r="CR93" s="333" t="n">
        <f aca="false">CQ93-CL93</f>
        <v>-2.2</v>
      </c>
      <c r="CS93" s="314" t="n">
        <v>21.874</v>
      </c>
      <c r="CT93" s="329" t="n">
        <f aca="false">CS93*100/42</f>
        <v>52.0809523809524</v>
      </c>
      <c r="CU93" s="329" t="n">
        <f aca="false">CT93-CG94</f>
        <v>0.299999999999997</v>
      </c>
      <c r="CV93" s="329" t="n">
        <f aca="false">CV81+VLOOKUP(1900+$L93,ProductSpreadTable,6)</f>
        <v>1.49999999999999</v>
      </c>
      <c r="CW93" s="333" t="n">
        <f aca="false">CL93+CV93</f>
        <v>80.0672335600899</v>
      </c>
      <c r="CX93" s="318" t="n">
        <v>0.184</v>
      </c>
      <c r="CY93" s="326" t="n">
        <f aca="false">CX93-$W93</f>
        <v>0.000300000000000022</v>
      </c>
      <c r="CZ93" s="326" t="n">
        <f aca="false">VLOOKUP(1900+$L93,ProductSpreadTable,7)</f>
        <v>-0.03</v>
      </c>
      <c r="DA93" s="365" t="n">
        <f aca="false">$W93+CZ93</f>
        <v>0.1537</v>
      </c>
      <c r="DB93" s="318" t="n">
        <v>0.184</v>
      </c>
      <c r="DC93" s="326" t="n">
        <f aca="false">DB93-$W93</f>
        <v>0.000300000000000022</v>
      </c>
      <c r="DD93" s="326" t="n">
        <f aca="false">VLOOKUP(1900+$L93,ProductSpreadTable,8)</f>
        <v>0.03</v>
      </c>
      <c r="DE93" s="365" t="n">
        <f aca="false">$W93+DD93</f>
        <v>0.2137</v>
      </c>
      <c r="DG93" s="336"/>
      <c r="DH93" s="314"/>
      <c r="DI93" s="325" t="n">
        <f aca="false">DH93-$U93</f>
        <v>-24.3952380952378</v>
      </c>
      <c r="DJ93" s="325" t="n">
        <f aca="false">VLOOKUP(1900+$L93,ResidSpreadTable,2)</f>
        <v>-2</v>
      </c>
      <c r="DK93" s="337" t="n">
        <f aca="false">$V93+DJ93</f>
        <v>22.3952380952378</v>
      </c>
      <c r="DL93" s="314"/>
      <c r="DM93" s="325" t="n">
        <f aca="false">DL93-$U93</f>
        <v>-24.3952380952378</v>
      </c>
      <c r="DN93" s="325" t="n">
        <f aca="false">VLOOKUP(1900+$L93,ResidSpreadTable,3)</f>
        <v>-3</v>
      </c>
      <c r="DO93" s="337" t="n">
        <f aca="false">$V93+DN93</f>
        <v>21.3952380952378</v>
      </c>
      <c r="DP93" s="314"/>
      <c r="DQ93" s="325" t="n">
        <f aca="false">DP93-$U93</f>
        <v>-24.3952380952378</v>
      </c>
      <c r="DR93" s="325" t="n">
        <f aca="false">VLOOKUP(1900+$L93,ResidSpreadTable,4)</f>
        <v>-6</v>
      </c>
      <c r="DS93" s="337" t="n">
        <f aca="false">$V93+DR93</f>
        <v>18.3952380952378</v>
      </c>
      <c r="DT93" s="314"/>
      <c r="DU93" s="325" t="n">
        <f aca="false">DT93-$U93</f>
        <v>-24.3952380952378</v>
      </c>
      <c r="DV93" s="325" t="n">
        <f aca="false">VLOOKUP(1900+$L93,ResidSpreadTable,5)</f>
        <v>-5</v>
      </c>
      <c r="DW93" s="337" t="n">
        <f aca="false">$V93+DV93</f>
        <v>19.3952380952378</v>
      </c>
    </row>
    <row r="94" customFormat="false" ht="12.75" hidden="false" customHeight="false" outlineLevel="0" collapsed="false">
      <c r="B94" s="371" t="n">
        <v>38412</v>
      </c>
      <c r="C94" s="391" t="n">
        <v>38403</v>
      </c>
      <c r="I94" s="338" t="n">
        <f aca="false">EOMONTH(I93,0)+1</f>
        <v>48611</v>
      </c>
      <c r="J94" s="389" t="n">
        <f aca="false">VLOOKUP(I94,$B$12:$C$332,2)</f>
        <v>45644</v>
      </c>
      <c r="K94" s="339" t="n">
        <f aca="false">NETWORKDAYS(I94,J95)/N94</f>
        <v>-106</v>
      </c>
      <c r="L94" s="309" t="n">
        <f aca="false">YEAR(I94)-1900</f>
        <v>133</v>
      </c>
      <c r="M94" s="310" t="n">
        <f aca="false">MONTH(I94)</f>
        <v>2</v>
      </c>
      <c r="N94" s="340" t="n">
        <f aca="false">NETWORKDAYS(I94,I95-1)</f>
        <v>20</v>
      </c>
      <c r="O94" s="341" t="n">
        <f aca="false">I94-DateToday-IF(EuroExpDateToggle=1,3+IF(WEEKDAY(I94-1)=7,1,IF(WEEKDAY(I94-1)&lt;5,2,0)),1+IF(WEEKDAY(I94-1)=7,1,IF(WEEKDAY(I94-1)&lt;3,2,0)))</f>
        <v>2680</v>
      </c>
      <c r="P94" s="342" t="n">
        <f aca="false">(I94-DateToday+1)/365.25</f>
        <v>7.35386721423682</v>
      </c>
      <c r="Q94" s="342" t="n">
        <f aca="false">(I95-DateToday)/365.25</f>
        <v>7.42778918548939</v>
      </c>
      <c r="R94" s="314" t="n">
        <v>19.35</v>
      </c>
      <c r="S94" s="347" t="n">
        <v>0</v>
      </c>
      <c r="T94" s="316" t="n">
        <f aca="false">R94+S94/100</f>
        <v>19.35</v>
      </c>
      <c r="U94" s="325" t="n">
        <f aca="false">R95*K94+R96*(1-K94)</f>
        <v>24.7500000000005</v>
      </c>
      <c r="V94" s="337" t="n">
        <f aca="false">T95*K94+T96*(1-K94)</f>
        <v>24.7500000000005</v>
      </c>
      <c r="W94" s="318" t="n">
        <v>0.1831</v>
      </c>
      <c r="X94" s="319" t="str">
        <f aca="false">IF($I94-DateToday+1&gt;=$A$10,"",IF($I94-DateToday+1&lt;$A$5,1,MATCH($I94-DateToday+1,$A$5:$A$10)))</f>
        <v/>
      </c>
      <c r="Y94" s="348" t="n">
        <f aca="false">IF($X94="",Y93^2/Y92,INDEX(B$5:B$10,$X94)^((INDEX($A$5:$A$10,$X94+1)-($I94-DateToday+1))/(INDEX($A$5:$A$10,$X94+1)-INDEX($A$5:$A$10,$X94)))/INDEX(B$5:B$10,$X94+1)^((INDEX($A$5:$A$10,$X94)-($I94-DateToday+1))/(INDEX($A$5:$A$10,$X94+1)-INDEX($A$5:$A$10,$X94))))</f>
        <v>0.00228281390536831</v>
      </c>
      <c r="Z94" s="348" t="n">
        <f aca="false">IF($X94="",Z93^2/Z92,INDEX(C$5:C$10,$X94)^((INDEX($A$5:$A$10,$X94+1)-($I94-DateToday+1))/(INDEX($A$5:$A$10,$X94+1)-INDEX($A$5:$A$10,$X94)))/INDEX(C$5:C$10,$X94+1)^((INDEX($A$5:$A$10,$X94)-($I94-DateToday+1))/(INDEX($A$5:$A$10,$X94+1)-INDEX($A$5:$A$10,$X94))))</f>
        <v>0.000876319847411806</v>
      </c>
      <c r="AA94" s="348" t="n">
        <f aca="false">IF($X94="",AA93^2/AA92,INDEX(D$5:D$10,$X94)^((INDEX($A$5:$A$10,$X94+1)-($I94-DateToday+1))/(INDEX($A$5:$A$10,$X94+1)-INDEX($A$5:$A$10,$X94)))/INDEX(D$5:D$10,$X94+1)^((INDEX($A$5:$A$10,$X94)-($I94-DateToday+1))/(INDEX($A$5:$A$10,$X94+1)-INDEX($A$5:$A$10,$X94))))</f>
        <v>0.000329650573815592</v>
      </c>
      <c r="AB94" s="348" t="n">
        <f aca="false">IF($X94="",AB93^2/AB92,INDEX(E$5:E$10,$X94)^((INDEX($A$5:$A$10,$X94+1)-($I94-DateToday+1))/(INDEX($A$5:$A$10,$X94+1)-INDEX($A$5:$A$10,$X94)))/INDEX(E$5:E$10,$X94+1)^((INDEX($A$5:$A$10,$X94)-($I94-DateToday+1))/(INDEX($A$5:$A$10,$X94+1)-INDEX($A$5:$A$10,$X94))))</f>
        <v>0.000742636812691779</v>
      </c>
      <c r="AC94" s="348" t="n">
        <f aca="false">IF($X94="",AC93^2/AC92,INDEX(F$5:F$10,$X94)^((INDEX($A$5:$A$10,$X94+1)-($I94-DateToday+1))/(INDEX($A$5:$A$10,$X94+1)-INDEX($A$5:$A$10,$X94)))/INDEX(F$5:F$10,$X94+1)^((INDEX($A$5:$A$10,$X94)-($I94-DateToday+1))/(INDEX($A$5:$A$10,$X94+1)-INDEX($A$5:$A$10,$X94))))</f>
        <v>0.00197417335224932</v>
      </c>
      <c r="AD94" s="348" t="n">
        <f aca="false">IF($X94="",AD93^2/AD92,INDEX(G$5:G$10,$X94)^((INDEX($A$5:$A$10,$X94+1)-($I94-DateToday+1))/(INDEX($A$5:$A$10,$X94+1)-INDEX($A$5:$A$10,$X94)))/INDEX(G$5:G$10,$X94+1)^((INDEX($A$5:$A$10,$X94)-($I94-DateToday+1))/(INDEX($A$5:$A$10,$X94+1)-INDEX($A$5:$A$10,$X94))))</f>
        <v>0.00514272316601349</v>
      </c>
      <c r="AE94" s="321" t="n">
        <v>0.073541472092045</v>
      </c>
      <c r="AF94" s="316" t="n">
        <f aca="false">(1+AE94/2)^(-2*(I95-DateToday)/365.25)</f>
        <v>0.584822363082931</v>
      </c>
      <c r="AG94" s="316" t="n">
        <f aca="false">AG93*(1+IF(AND(M94=1,L94&gt;YearStart),Escalation,0))</f>
        <v>1</v>
      </c>
      <c r="AH94" s="322" t="n">
        <f aca="false">IF(OR(DateStart&gt;=I95,DateEnd&lt;I94),0,Volume*AG94)</f>
        <v>0</v>
      </c>
      <c r="AI94" s="322" t="n">
        <f aca="false">AH94*AF94</f>
        <v>0</v>
      </c>
      <c r="AJ94" s="322" t="n">
        <f aca="false">IF(OR(DateStart2&gt;=I95,DateEnd2&lt;I94),0,VolumeSwaption*AG94)</f>
        <v>0</v>
      </c>
      <c r="AK94" s="322" t="n">
        <f aca="false">AJ94*AF94</f>
        <v>0</v>
      </c>
      <c r="AL94" s="316" t="str">
        <f aca="true">IF(AH94,OFFSET(BY94,0,HorizontalPriceOffset)+PriceSpreadAsian,"")</f>
        <v/>
      </c>
      <c r="AM94" s="316" t="str">
        <f aca="false">IF(AH94,Strike1/AL94-1,"")</f>
        <v/>
      </c>
      <c r="AN94" s="316" t="str">
        <f aca="false">IF(AH94,Strike2/AL94-1,"")</f>
        <v/>
      </c>
      <c r="AO94" s="323" t="str">
        <f aca="false">IF(AH94,IF(VolOverrideAsian,VolOverrideAsian,IF(ProductGroup=1,IF(Product&lt;3,DA95,DE95),W95)+VolSpreadAsian),"")</f>
        <v/>
      </c>
      <c r="AP94" s="323" t="str">
        <f aca="false">IF($AH94,$AO94+IF(SkewFlag=1,IF(AM94&gt;0,$AA94*MIN(AM94/10%,1)+($Z94-$AA94)*MAX(0,MIN(AM94/10%-1,1))+($Y94-$Z94)*MAX(0,AM94/10%-2),$AB94*MIN(-AM94/10%,1)+($AC94-$AB94)*MAX(0,MIN(-AM94/10%-1,1))+($AD94-$AC94)*MAX(0,-AM94/10%-2)),0),"")</f>
        <v/>
      </c>
      <c r="AQ94" s="323" t="str">
        <f aca="false">IF($AH94,$AO94+IF(SkewFlag=1,IF(AN94&gt;0,$AA94*MIN(AN94/10%,1)+($Z94-$AA94)*MAX(0,MIN(AN94/10%-1,1))+($Y94-$Z94)*MAX(0,AN94/10%-2),$AB94*MIN(-AN94/10%,1)+($AC94-$AB94)*MAX(0,MIN(-AN94/10%-1,1))+($AD94-$AC94)*MAX(0,-AN94/10%-2)),0),"")</f>
        <v/>
      </c>
      <c r="AR94" s="324" t="n">
        <f aca="false">IF(AH94,xASN(AL94,Strike1,AE94,AP94,0,N94,0,P94,Q94,IF(OptControl=4,0,1),0),0)</f>
        <v>0</v>
      </c>
      <c r="AS94" s="324" t="n">
        <f aca="false">IF(AH94,xASN(AL94,Strike1,AE94,AP94,0,N94,0,P94,Q94,IF(OptControl=4,0,1),1),0)</f>
        <v>0</v>
      </c>
      <c r="AT94" s="324" t="n">
        <f aca="false">IF(AH94,xASN(AL94,Strike1,AE94,AP94,0,N94,0,P94,Q94,IF(OptControl=4,0,1),2),0)</f>
        <v>0</v>
      </c>
      <c r="AU94" s="324" t="n">
        <f aca="false">IF(AH94,xASN(AL94,Strike1,AE94,AP94,0,N94,0,P94,Q94,IF(OptControl=4,0,1),3)/100,0)</f>
        <v>0</v>
      </c>
      <c r="AV94" s="324" t="n">
        <f aca="false">IF(AH94,xASN(AL94,Strike1,AE94,AP94,0,N94,0,P94-DaysForThetaCalculation/365.25,Q94-DaysForThetaCalculation/365.25,IF(OptControl=4,0,1),0)-xASN(AL94,Strike1,AE94,AP94,0,N94,0,P94,Q94,IF(OptControl=4,0,1),0),0)</f>
        <v>0</v>
      </c>
      <c r="AW94" s="324" t="n">
        <f aca="false">IF(AH94,xASN(AL94,Strike2,AE94,AQ94,0,N94,0,P94,Q94,IF(OptControl=3,1,0),0),0)</f>
        <v>0</v>
      </c>
      <c r="AX94" s="324" t="n">
        <f aca="false">IF(AH94,xASN(AL94,Strike2,AE94,AQ94,0,N94,0,P94,Q94,IF(OptControl=3,1,0),1),0)</f>
        <v>0</v>
      </c>
      <c r="AY94" s="324" t="n">
        <f aca="false">IF(AH94,xASN(AL94,Strike2,AE94,AQ94,0,N94,0,P94,Q94,IF(OptControl=3,1,0),2),0)</f>
        <v>0</v>
      </c>
      <c r="AZ94" s="324" t="n">
        <f aca="false">IF(AH94,xASN(AL94,Strike2,AE94,AQ94,0,N94,0,P94,Q94,IF(OptControl=3,1,0),3)/100,0)</f>
        <v>0</v>
      </c>
      <c r="BA94" s="324" t="n">
        <f aca="false">IF(AH94,xASN(AL94,Strike2,AE94,AQ94,0,N94,0,P94-DaysForThetaCalculation/365.25,Q94-DaysForThetaCalculation/365.25,IF(OptControl=3,1,0),0)-xASN(AL94,Strike2,AE94,AQ94,0,N94,0,P94,Q94,IF(OptControl=3,1,0),0),0)</f>
        <v>0</v>
      </c>
      <c r="BB94" s="325" t="str">
        <f aca="false">IF(AH94,IF(ProductGroup=1,IF(Product=1,BX94+PriceSpreadEuro,IF(Product=3,CK94+PriceSpreadEuro,"N/A")),"N/A"),"")</f>
        <v/>
      </c>
      <c r="BC94" s="316" t="str">
        <f aca="false">IF(AH94,Strike1/BB94-1,"")</f>
        <v/>
      </c>
      <c r="BD94" s="316" t="str">
        <f aca="false">IF(AH94,Strike2/BB94-1,"")</f>
        <v/>
      </c>
      <c r="BE94" s="326" t="str">
        <f aca="false">IF(AH94,IF(VolOverrideEuro,VolOverrideEuro,IF(ProductGroup=1,IF(Product&lt;3,DA94,DE94)+VolSpreadEuro,"N/A")),"")</f>
        <v/>
      </c>
      <c r="BF94" s="323" t="str">
        <f aca="false">IF($AH94,$BE94+IF(SkewFlag=1,IF(BC94&gt;0,$AA94*MIN(BC94/10%,1)+($Z94-$AA94)*MAX(0,MIN(BC94/10%-1,1))+($Y94-$Z94)*MAX(0,BC94/10%-2),$AB94*MIN(-BC94/10%,1)+($AC94-$AB94)*MAX(0,MIN(-BC94/10%-1,1))+($AD94-$AC94)*MAX(0,-BC94/10%-2)),0),"")</f>
        <v/>
      </c>
      <c r="BG94" s="323" t="str">
        <f aca="false">IF($AH94,$BE94+IF(SkewFlag=1,IF(BD94&gt;0,$AA94*MIN(BD94/10%,1)+($Z94-$AA94)*MAX(0,MIN(BD94/10%-1,1))+($Y94-$Z94)*MAX(0,BD94/10%-2),$AB94*MIN(-BD94/10%,1)+($AC94-$AB94)*MAX(0,MIN(-BD94/10%-1,1))+($AD94-$AC94)*MAX(0,-BD94/10%-2)),0),"")</f>
        <v/>
      </c>
      <c r="BH94" s="324" t="n">
        <f aca="false">IF(AH94,xEURO(BB94,Strike1,AE94,AE94,BF94,O94,IF(OptControl=4,0,1),0),0)</f>
        <v>0</v>
      </c>
      <c r="BI94" s="324" t="n">
        <f aca="false">IF(AH94,xEURO(BB94,Strike1,AE94,AE94,BF94,O94,IF(OptControl=4,0,1),1),0)</f>
        <v>0</v>
      </c>
      <c r="BJ94" s="324" t="n">
        <f aca="false">IF(AH94,xEURO(BB94,Strike1,AE94,AE94,BF94,O94,IF(OptControl=4,0,1),2),0)</f>
        <v>0</v>
      </c>
      <c r="BK94" s="324" t="n">
        <f aca="false">IF(AH94,xEURO(BB94,Strike1,AE94,AE94,BF94,O94,IF(OptControl=4,0,1),3)/100,0)</f>
        <v>0</v>
      </c>
      <c r="BL94" s="324" t="n">
        <f aca="false">IF(AH94,xEURO(BB94,Strike1,AE94,AE94,BF94,O94-DaysForThetaCalculation,IF(OptControl=4,0,1),0)-xEURO(BB94,Strike1,AE94,AE94,BF94,O94,IF(OptControl=4,0,1),0),0)</f>
        <v>0</v>
      </c>
      <c r="BM94" s="324" t="n">
        <f aca="false">IF(AH94,xEURO(BB94,Strike2,AE94,AE94,BG94,O94,IF(OptControl=3,1,0),0),0)</f>
        <v>0</v>
      </c>
      <c r="BN94" s="324" t="n">
        <f aca="false">IF(AH94,xEURO(BB94,Strike2,AE94,AE94,BG94,O94,IF(OptControl=3,1,0),1),0)</f>
        <v>0</v>
      </c>
      <c r="BO94" s="324" t="n">
        <f aca="false">IF(AH94,xEURO(BB94,Strike2,AE94,AE94,BG94,O94,IF(OptControl=3,1,0),2),0)</f>
        <v>0</v>
      </c>
      <c r="BP94" s="324" t="n">
        <f aca="false">IF(AH94,xEURO(BB94,Strike2,AE94,AE94,BG94,O94,IF(OptControl=3,1,0),3)/100,0)</f>
        <v>0</v>
      </c>
      <c r="BQ94" s="327" t="n">
        <f aca="false">IF(AH94,xEURO(BB94,Strike2,AE94,AE94,BG94,O94-DaysForThetaCalculation,IF(OptControl=3,1,0),0)-xEURO(BB94,Strike2,AE94,AE94,BG94,O94,IF(OptControl=3,1,0),0),0)</f>
        <v>0</v>
      </c>
      <c r="BR94" s="343"/>
      <c r="BS94" s="314" t="n">
        <v>26.128</v>
      </c>
      <c r="BT94" s="329" t="n">
        <f aca="false">BS94*100/42</f>
        <v>62.2095238095238</v>
      </c>
      <c r="BU94" s="329" t="n">
        <f aca="false">BS95-$U94</f>
        <v>0.877999999999549</v>
      </c>
      <c r="BV94" s="224"/>
      <c r="BW94" s="329" t="n">
        <f aca="false">BW82+VLOOKUP(1900+$L94,ProductSpreadTable,2)</f>
        <v>15.039</v>
      </c>
      <c r="BX94" s="329" t="n">
        <f aca="false">($V93+BW93)*100/42</f>
        <v>93.8440733869299</v>
      </c>
      <c r="BY94" s="332" t="n">
        <f aca="false">BX95</f>
        <v>94.7357142857153</v>
      </c>
      <c r="BZ94" s="314" t="n">
        <v>23.738</v>
      </c>
      <c r="CA94" s="329" t="n">
        <f aca="false">BZ94*100/42</f>
        <v>56.5190476190476</v>
      </c>
      <c r="CB94" s="329" t="n">
        <f aca="false">BZ94-$U94</f>
        <v>-1.01200000000045</v>
      </c>
      <c r="CC94" s="329" t="n">
        <f aca="false">CC82+VLOOKUP(1900+$L94,ProductSpreadTable,3)</f>
        <v>12.624</v>
      </c>
      <c r="CD94" s="329" t="n">
        <f aca="false">($V94+CC94)*100/42</f>
        <v>88.9857142857153</v>
      </c>
      <c r="CE94" s="333" t="n">
        <f aca="false">CD94-BY94</f>
        <v>-5.74999999999999</v>
      </c>
      <c r="CF94" s="314" t="n">
        <v>21.748</v>
      </c>
      <c r="CG94" s="329" t="n">
        <f aca="false">CF94*100/42</f>
        <v>51.7809523809524</v>
      </c>
      <c r="CH94" s="329" t="n">
        <f aca="false">CF95-$U94</f>
        <v>-2.53200000000045</v>
      </c>
      <c r="CI94" s="224"/>
      <c r="CJ94" s="329" t="n">
        <f aca="false">CJ82+VLOOKUP(1900+$L94,ProductSpreadTable,4)</f>
        <v>8.9359999999999</v>
      </c>
      <c r="CK94" s="329" t="n">
        <f aca="false">($V93+CJ93)*100/42</f>
        <v>78.5672335600899</v>
      </c>
      <c r="CL94" s="329" t="n">
        <f aca="false">CK95</f>
        <v>80.2047619047628</v>
      </c>
      <c r="CM94" s="314" t="n">
        <v>21.294</v>
      </c>
      <c r="CN94" s="329" t="n">
        <f aca="false">CM94*100/42</f>
        <v>50.7</v>
      </c>
      <c r="CO94" s="329" t="n">
        <f aca="false">CM94-$U94</f>
        <v>-3.45600000000045</v>
      </c>
      <c r="CP94" s="329" t="n">
        <f aca="false">CP82+VLOOKUP(1900+$L94,ProductSpreadTable,5)</f>
        <v>8.0119999999999</v>
      </c>
      <c r="CQ94" s="329" t="n">
        <f aca="false">($V94+CP94)*100/42</f>
        <v>78.0047619047628</v>
      </c>
      <c r="CR94" s="333" t="n">
        <f aca="false">CQ94-CL94</f>
        <v>-2.19999999999999</v>
      </c>
      <c r="CS94" s="314" t="n">
        <v>22.344</v>
      </c>
      <c r="CT94" s="329" t="n">
        <f aca="false">CS94*100/42</f>
        <v>53.2</v>
      </c>
      <c r="CU94" s="329" t="n">
        <f aca="false">CT94-CG95</f>
        <v>0.299999999999997</v>
      </c>
      <c r="CV94" s="329" t="n">
        <f aca="false">CV82+VLOOKUP(1900+$L94,ProductSpreadTable,6)</f>
        <v>1.49999999999999</v>
      </c>
      <c r="CW94" s="333" t="n">
        <f aca="false">CL94+CV94</f>
        <v>81.7047619047628</v>
      </c>
      <c r="CX94" s="318" t="n">
        <v>0.183</v>
      </c>
      <c r="CY94" s="326" t="n">
        <f aca="false">CX94-$W94</f>
        <v>-9.99999999999612E-005</v>
      </c>
      <c r="CZ94" s="326" t="n">
        <f aca="false">VLOOKUP(1900+$L94,ProductSpreadTable,7)</f>
        <v>-0.03</v>
      </c>
      <c r="DA94" s="365" t="n">
        <f aca="false">$W94+CZ94</f>
        <v>0.1531</v>
      </c>
      <c r="DB94" s="318" t="n">
        <v>0.183</v>
      </c>
      <c r="DC94" s="326" t="n">
        <f aca="false">DB94-$W94</f>
        <v>-9.99999999999612E-005</v>
      </c>
      <c r="DD94" s="326" t="n">
        <f aca="false">VLOOKUP(1900+$L94,ProductSpreadTable,8)</f>
        <v>0.03</v>
      </c>
      <c r="DE94" s="365" t="n">
        <f aca="false">$W94+DD94</f>
        <v>0.2131</v>
      </c>
      <c r="DG94" s="336"/>
      <c r="DH94" s="314"/>
      <c r="DI94" s="325" t="n">
        <f aca="false">DH94-$U94</f>
        <v>-24.7500000000005</v>
      </c>
      <c r="DJ94" s="325" t="n">
        <f aca="false">VLOOKUP(1900+$L94,ResidSpreadTable,2)</f>
        <v>-2</v>
      </c>
      <c r="DK94" s="337" t="n">
        <f aca="false">$V94+DJ94</f>
        <v>22.7500000000005</v>
      </c>
      <c r="DL94" s="314"/>
      <c r="DM94" s="325" t="n">
        <f aca="false">DL94-$U94</f>
        <v>-24.7500000000005</v>
      </c>
      <c r="DN94" s="325" t="n">
        <f aca="false">VLOOKUP(1900+$L94,ResidSpreadTable,3)</f>
        <v>-3</v>
      </c>
      <c r="DO94" s="337" t="n">
        <f aca="false">$V94+DN94</f>
        <v>21.7500000000005</v>
      </c>
      <c r="DP94" s="314"/>
      <c r="DQ94" s="325" t="n">
        <f aca="false">DP94-$U94</f>
        <v>-24.7500000000005</v>
      </c>
      <c r="DR94" s="325" t="n">
        <f aca="false">VLOOKUP(1900+$L94,ResidSpreadTable,4)</f>
        <v>-6</v>
      </c>
      <c r="DS94" s="337" t="n">
        <f aca="false">$V94+DR94</f>
        <v>18.7500000000005</v>
      </c>
      <c r="DT94" s="314"/>
      <c r="DU94" s="325" t="n">
        <f aca="false">DT94-$U94</f>
        <v>-24.7500000000005</v>
      </c>
      <c r="DV94" s="325" t="n">
        <f aca="false">VLOOKUP(1900+$L94,ResidSpreadTable,5)</f>
        <v>-5</v>
      </c>
      <c r="DW94" s="337" t="n">
        <f aca="false">$V94+DV94</f>
        <v>19.7500000000005</v>
      </c>
    </row>
    <row r="95" customFormat="false" ht="12.75" hidden="false" customHeight="false" outlineLevel="0" collapsed="false">
      <c r="B95" s="371" t="n">
        <v>38443</v>
      </c>
      <c r="C95" s="391" t="n">
        <v>38431</v>
      </c>
      <c r="I95" s="338" t="n">
        <f aca="false">EOMONTH(I94,0)+1</f>
        <v>48639</v>
      </c>
      <c r="J95" s="389" t="n">
        <f aca="false">VLOOKUP(I95,$B$12:$C$332,2)</f>
        <v>45644</v>
      </c>
      <c r="K95" s="339" t="n">
        <f aca="false">NETWORKDAYS(I95,J96)/N95</f>
        <v>-93.0434782608696</v>
      </c>
      <c r="L95" s="309" t="n">
        <f aca="false">YEAR(I95)-1900</f>
        <v>133</v>
      </c>
      <c r="M95" s="310" t="n">
        <f aca="false">MONTH(I95)</f>
        <v>3</v>
      </c>
      <c r="N95" s="340" t="n">
        <f aca="false">NETWORKDAYS(I95,I96-1)</f>
        <v>23</v>
      </c>
      <c r="O95" s="341" t="n">
        <f aca="false">I95-DateToday-IF(EuroExpDateToggle=1,3+IF(WEEKDAY(I95-1)=7,1,IF(WEEKDAY(I95-1)&lt;5,2,0)),1+IF(WEEKDAY(I95-1)=7,1,IF(WEEKDAY(I95-1)&lt;3,2,0)))</f>
        <v>2708</v>
      </c>
      <c r="P95" s="342" t="n">
        <f aca="false">(I95-DateToday+1)/365.25</f>
        <v>7.43052703627652</v>
      </c>
      <c r="Q95" s="342" t="n">
        <f aca="false">(I96-DateToday)/365.25</f>
        <v>7.51266255989049</v>
      </c>
      <c r="R95" s="314" t="n">
        <v>19.4</v>
      </c>
      <c r="S95" s="347" t="n">
        <v>0</v>
      </c>
      <c r="T95" s="316" t="n">
        <f aca="false">R95+S95/100</f>
        <v>19.4</v>
      </c>
      <c r="U95" s="325" t="n">
        <f aca="false">R96*K95+R97*(1-K95)</f>
        <v>24.1521739130435</v>
      </c>
      <c r="V95" s="337" t="n">
        <f aca="false">T96*K95+T97*(1-K95)</f>
        <v>24.1521739130435</v>
      </c>
      <c r="W95" s="318" t="n">
        <v>0.1825</v>
      </c>
      <c r="X95" s="319" t="str">
        <f aca="false">IF($I95-DateToday+1&gt;=$A$10,"",IF($I95-DateToday+1&lt;$A$5,1,MATCH($I95-DateToday+1,$A$5:$A$10)))</f>
        <v/>
      </c>
      <c r="Y95" s="348" t="n">
        <f aca="false">IF($X95="",Y94^2/Y93,INDEX(B$5:B$10,$X95)^((INDEX($A$5:$A$10,$X95+1)-($I95-DateToday+1))/(INDEX($A$5:$A$10,$X95+1)-INDEX($A$5:$A$10,$X95)))/INDEX(B$5:B$10,$X95+1)^((INDEX($A$5:$A$10,$X95)-($I95-DateToday+1))/(INDEX($A$5:$A$10,$X95+1)-INDEX($A$5:$A$10,$X95))))</f>
        <v>0.00223394233164831</v>
      </c>
      <c r="Z95" s="348" t="n">
        <f aca="false">IF($X95="",Z94^2/Z93,INDEX(C$5:C$10,$X95)^((INDEX($A$5:$A$10,$X95+1)-($I95-DateToday+1))/(INDEX($A$5:$A$10,$X95+1)-INDEX($A$5:$A$10,$X95)))/INDEX(C$5:C$10,$X95+1)^((INDEX($A$5:$A$10,$X95)-($I95-DateToday+1))/(INDEX($A$5:$A$10,$X95+1)-INDEX($A$5:$A$10,$X95))))</f>
        <v>0.000852967755945705</v>
      </c>
      <c r="AA95" s="348" t="n">
        <f aca="false">IF($X95="",AA94^2/AA93,INDEX(D$5:D$10,$X95)^((INDEX($A$5:$A$10,$X95+1)-($I95-DateToday+1))/(INDEX($A$5:$A$10,$X95+1)-INDEX($A$5:$A$10,$X95)))/INDEX(D$5:D$10,$X95+1)^((INDEX($A$5:$A$10,$X95)-($I95-DateToday+1))/(INDEX($A$5:$A$10,$X95+1)-INDEX($A$5:$A$10,$X95))))</f>
        <v>0.000320005642614436</v>
      </c>
      <c r="AB95" s="348" t="n">
        <f aca="false">IF($X95="",AB94^2/AB93,INDEX(E$5:E$10,$X95)^((INDEX($A$5:$A$10,$X95+1)-($I95-DateToday+1))/(INDEX($A$5:$A$10,$X95+1)-INDEX($A$5:$A$10,$X95)))/INDEX(E$5:E$10,$X95+1)^((INDEX($A$5:$A$10,$X95)-($I95-DateToday+1))/(INDEX($A$5:$A$10,$X95+1)-INDEX($A$5:$A$10,$X95))))</f>
        <v>0.000720908711681813</v>
      </c>
      <c r="AC95" s="348" t="n">
        <f aca="false">IF($X95="",AC94^2/AC93,INDEX(F$5:F$10,$X95)^((INDEX($A$5:$A$10,$X95+1)-($I95-DateToday+1))/(INDEX($A$5:$A$10,$X95+1)-INDEX($A$5:$A$10,$X95)))/INDEX(F$5:F$10,$X95+1)^((INDEX($A$5:$A$10,$X95)-($I95-DateToday+1))/(INDEX($A$5:$A$10,$X95+1)-INDEX($A$5:$A$10,$X95))))</f>
        <v>0.00192156576059449</v>
      </c>
      <c r="AD95" s="348" t="n">
        <f aca="false">IF($X95="",AD94^2/AD93,INDEX(G$5:G$10,$X95)^((INDEX($A$5:$A$10,$X95+1)-($I95-DateToday+1))/(INDEX($A$5:$A$10,$X95+1)-INDEX($A$5:$A$10,$X95)))/INDEX(G$5:G$10,$X95+1)^((INDEX($A$5:$A$10,$X95)-($I95-DateToday+1))/(INDEX($A$5:$A$10,$X95+1)-INDEX($A$5:$A$10,$X95))))</f>
        <v>0.00503262528473707</v>
      </c>
      <c r="AE95" s="321" t="n">
        <v>0.073549062161952</v>
      </c>
      <c r="AF95" s="316" t="n">
        <f aca="false">(1+AE95/2)^(-2*(I96-DateToday)/365.25)</f>
        <v>0.581216577775588</v>
      </c>
      <c r="AG95" s="316" t="n">
        <f aca="false">AG94*(1+IF(AND(M95=1,L95&gt;YearStart),Escalation,0))</f>
        <v>1</v>
      </c>
      <c r="AH95" s="322" t="n">
        <f aca="false">IF(OR(DateStart&gt;=I96,DateEnd&lt;I95),0,Volume*AG95)</f>
        <v>0</v>
      </c>
      <c r="AI95" s="322" t="n">
        <f aca="false">AH95*AF95</f>
        <v>0</v>
      </c>
      <c r="AJ95" s="322" t="n">
        <f aca="false">IF(OR(DateStart2&gt;=I96,DateEnd2&lt;I95),0,VolumeSwaption*AG95)</f>
        <v>0</v>
      </c>
      <c r="AK95" s="322" t="n">
        <f aca="false">AJ95*AF95</f>
        <v>0</v>
      </c>
      <c r="AL95" s="316" t="str">
        <f aca="true">IF(AH95,OFFSET(BY95,0,HorizontalPriceOffset)+PriceSpreadAsian,"")</f>
        <v/>
      </c>
      <c r="AM95" s="316" t="str">
        <f aca="false">IF(AH95,Strike1/AL95-1,"")</f>
        <v/>
      </c>
      <c r="AN95" s="316" t="str">
        <f aca="false">IF(AH95,Strike2/AL95-1,"")</f>
        <v/>
      </c>
      <c r="AO95" s="323" t="str">
        <f aca="false">IF(AH95,IF(VolOverrideAsian,VolOverrideAsian,IF(ProductGroup=1,IF(Product&lt;3,DA96,DE96),W96)+VolSpreadAsian),"")</f>
        <v/>
      </c>
      <c r="AP95" s="323" t="str">
        <f aca="false">IF($AH95,$AO95+IF(SkewFlag=1,IF(AM95&gt;0,$AA95*MIN(AM95/10%,1)+($Z95-$AA95)*MAX(0,MIN(AM95/10%-1,1))+($Y95-$Z95)*MAX(0,AM95/10%-2),$AB95*MIN(-AM95/10%,1)+($AC95-$AB95)*MAX(0,MIN(-AM95/10%-1,1))+($AD95-$AC95)*MAX(0,-AM95/10%-2)),0),"")</f>
        <v/>
      </c>
      <c r="AQ95" s="323" t="str">
        <f aca="false">IF($AH95,$AO95+IF(SkewFlag=1,IF(AN95&gt;0,$AA95*MIN(AN95/10%,1)+($Z95-$AA95)*MAX(0,MIN(AN95/10%-1,1))+($Y95-$Z95)*MAX(0,AN95/10%-2),$AB95*MIN(-AN95/10%,1)+($AC95-$AB95)*MAX(0,MIN(-AN95/10%-1,1))+($AD95-$AC95)*MAX(0,-AN95/10%-2)),0),"")</f>
        <v/>
      </c>
      <c r="AR95" s="324" t="n">
        <f aca="false">IF(AH95,xASN(AL95,Strike1,AE95,AP95,0,N95,0,P95,Q95,IF(OptControl=4,0,1),0),0)</f>
        <v>0</v>
      </c>
      <c r="AS95" s="324" t="n">
        <f aca="false">IF(AH95,xASN(AL95,Strike1,AE95,AP95,0,N95,0,P95,Q95,IF(OptControl=4,0,1),1),0)</f>
        <v>0</v>
      </c>
      <c r="AT95" s="324" t="n">
        <f aca="false">IF(AH95,xASN(AL95,Strike1,AE95,AP95,0,N95,0,P95,Q95,IF(OptControl=4,0,1),2),0)</f>
        <v>0</v>
      </c>
      <c r="AU95" s="324" t="n">
        <f aca="false">IF(AH95,xASN(AL95,Strike1,AE95,AP95,0,N95,0,P95,Q95,IF(OptControl=4,0,1),3)/100,0)</f>
        <v>0</v>
      </c>
      <c r="AV95" s="324" t="n">
        <f aca="false">IF(AH95,xASN(AL95,Strike1,AE95,AP95,0,N95,0,P95-DaysForThetaCalculation/365.25,Q95-DaysForThetaCalculation/365.25,IF(OptControl=4,0,1),0)-xASN(AL95,Strike1,AE95,AP95,0,N95,0,P95,Q95,IF(OptControl=4,0,1),0),0)</f>
        <v>0</v>
      </c>
      <c r="AW95" s="324" t="n">
        <f aca="false">IF(AH95,xASN(AL95,Strike2,AE95,AQ95,0,N95,0,P95,Q95,IF(OptControl=3,1,0),0),0)</f>
        <v>0</v>
      </c>
      <c r="AX95" s="324" t="n">
        <f aca="false">IF(AH95,xASN(AL95,Strike2,AE95,AQ95,0,N95,0,P95,Q95,IF(OptControl=3,1,0),1),0)</f>
        <v>0</v>
      </c>
      <c r="AY95" s="324" t="n">
        <f aca="false">IF(AH95,xASN(AL95,Strike2,AE95,AQ95,0,N95,0,P95,Q95,IF(OptControl=3,1,0),2),0)</f>
        <v>0</v>
      </c>
      <c r="AZ95" s="324" t="n">
        <f aca="false">IF(AH95,xASN(AL95,Strike2,AE95,AQ95,0,N95,0,P95,Q95,IF(OptControl=3,1,0),3)/100,0)</f>
        <v>0</v>
      </c>
      <c r="BA95" s="324" t="n">
        <f aca="false">IF(AH95,xASN(AL95,Strike2,AE95,AQ95,0,N95,0,P95-DaysForThetaCalculation/365.25,Q95-DaysForThetaCalculation/365.25,IF(OptControl=3,1,0),0)-xASN(AL95,Strike2,AE95,AQ95,0,N95,0,P95,Q95,IF(OptControl=3,1,0),0),0)</f>
        <v>0</v>
      </c>
      <c r="BB95" s="325" t="str">
        <f aca="false">IF(AH95,IF(ProductGroup=1,IF(Product=1,BX95+PriceSpreadEuro,IF(Product=3,CK95+PriceSpreadEuro,"N/A")),"N/A"),"")</f>
        <v/>
      </c>
      <c r="BC95" s="316" t="str">
        <f aca="false">IF(AH95,Strike1/BB95-1,"")</f>
        <v/>
      </c>
      <c r="BD95" s="316" t="str">
        <f aca="false">IF(AH95,Strike2/BB95-1,"")</f>
        <v/>
      </c>
      <c r="BE95" s="326" t="str">
        <f aca="false">IF(AH95,IF(VolOverrideEuro,VolOverrideEuro,IF(ProductGroup=1,IF(Product&lt;3,DA95,DE95)+VolSpreadEuro,"N/A")),"")</f>
        <v/>
      </c>
      <c r="BF95" s="323" t="str">
        <f aca="false">IF($AH95,$BE95+IF(SkewFlag=1,IF(BC95&gt;0,$AA95*MIN(BC95/10%,1)+($Z95-$AA95)*MAX(0,MIN(BC95/10%-1,1))+($Y95-$Z95)*MAX(0,BC95/10%-2),$AB95*MIN(-BC95/10%,1)+($AC95-$AB95)*MAX(0,MIN(-BC95/10%-1,1))+($AD95-$AC95)*MAX(0,-BC95/10%-2)),0),"")</f>
        <v/>
      </c>
      <c r="BG95" s="323" t="str">
        <f aca="false">IF($AH95,$BE95+IF(SkewFlag=1,IF(BD95&gt;0,$AA95*MIN(BD95/10%,1)+($Z95-$AA95)*MAX(0,MIN(BD95/10%-1,1))+($Y95-$Z95)*MAX(0,BD95/10%-2),$AB95*MIN(-BD95/10%,1)+($AC95-$AB95)*MAX(0,MIN(-BD95/10%-1,1))+($AD95-$AC95)*MAX(0,-BD95/10%-2)),0),"")</f>
        <v/>
      </c>
      <c r="BH95" s="324" t="n">
        <f aca="false">IF(AH95,xEURO(BB95,Strike1,AE95,AE95,BF95,O95,IF(OptControl=4,0,1),0),0)</f>
        <v>0</v>
      </c>
      <c r="BI95" s="324" t="n">
        <f aca="false">IF(AH95,xEURO(BB95,Strike1,AE95,AE95,BF95,O95,IF(OptControl=4,0,1),1),0)</f>
        <v>0</v>
      </c>
      <c r="BJ95" s="324" t="n">
        <f aca="false">IF(AH95,xEURO(BB95,Strike1,AE95,AE95,BF95,O95,IF(OptControl=4,0,1),2),0)</f>
        <v>0</v>
      </c>
      <c r="BK95" s="324" t="n">
        <f aca="false">IF(AH95,xEURO(BB95,Strike1,AE95,AE95,BF95,O95,IF(OptControl=4,0,1),3)/100,0)</f>
        <v>0</v>
      </c>
      <c r="BL95" s="324" t="n">
        <f aca="false">IF(AH95,xEURO(BB95,Strike1,AE95,AE95,BF95,O95-DaysForThetaCalculation,IF(OptControl=4,0,1),0)-xEURO(BB95,Strike1,AE95,AE95,BF95,O95,IF(OptControl=4,0,1),0),0)</f>
        <v>0</v>
      </c>
      <c r="BM95" s="324" t="n">
        <f aca="false">IF(AH95,xEURO(BB95,Strike2,AE95,AE95,BG95,O95,IF(OptControl=3,1,0),0),0)</f>
        <v>0</v>
      </c>
      <c r="BN95" s="324" t="n">
        <f aca="false">IF(AH95,xEURO(BB95,Strike2,AE95,AE95,BG95,O95,IF(OptControl=3,1,0),1),0)</f>
        <v>0</v>
      </c>
      <c r="BO95" s="324" t="n">
        <f aca="false">IF(AH95,xEURO(BB95,Strike2,AE95,AE95,BG95,O95,IF(OptControl=3,1,0),2),0)</f>
        <v>0</v>
      </c>
      <c r="BP95" s="324" t="n">
        <f aca="false">IF(AH95,xEURO(BB95,Strike2,AE95,AE95,BG95,O95,IF(OptControl=3,1,0),3)/100,0)</f>
        <v>0</v>
      </c>
      <c r="BQ95" s="327" t="n">
        <f aca="false">IF(AH95,xEURO(BB95,Strike2,AE95,AE95,BG95,O95-DaysForThetaCalculation,IF(OptControl=3,1,0),0)-xEURO(BB95,Strike2,AE95,AE95,BG95,O95,IF(OptControl=3,1,0),0),0)</f>
        <v>0</v>
      </c>
      <c r="BR95" s="343"/>
      <c r="BS95" s="314" t="n">
        <v>25.628</v>
      </c>
      <c r="BT95" s="329" t="n">
        <f aca="false">BS95*100/42</f>
        <v>61.0190476190476</v>
      </c>
      <c r="BU95" s="329" t="n">
        <f aca="false">BS96-$U95</f>
        <v>0.476826086956503</v>
      </c>
      <c r="BV95" s="224"/>
      <c r="BW95" s="329" t="n">
        <f aca="false">BW83+VLOOKUP(1900+$L95,ProductSpreadTable,2)</f>
        <v>12.5669999999999</v>
      </c>
      <c r="BX95" s="329" t="n">
        <f aca="false">($V94+BW94)*100/42</f>
        <v>94.7357142857153</v>
      </c>
      <c r="BY95" s="332" t="n">
        <f aca="false">BX96</f>
        <v>87.4266045548653</v>
      </c>
      <c r="BZ95" s="314" t="n">
        <v>22.739</v>
      </c>
      <c r="CA95" s="329" t="n">
        <f aca="false">BZ95*100/42</f>
        <v>54.1404761904762</v>
      </c>
      <c r="CB95" s="329" t="n">
        <f aca="false">BZ95-$U95</f>
        <v>-1.4131739130435</v>
      </c>
      <c r="CC95" s="329" t="n">
        <f aca="false">CC83+VLOOKUP(1900+$L95,ProductSpreadTable,3)</f>
        <v>10.1519999999999</v>
      </c>
      <c r="CD95" s="329" t="n">
        <f aca="false">($V95+CC95)*100/42</f>
        <v>81.6766045548653</v>
      </c>
      <c r="CE95" s="333" t="n">
        <f aca="false">CD95-BY95</f>
        <v>-5.75</v>
      </c>
      <c r="CF95" s="314" t="n">
        <v>22.218</v>
      </c>
      <c r="CG95" s="329" t="n">
        <f aca="false">CF95*100/42</f>
        <v>52.9</v>
      </c>
      <c r="CH95" s="329" t="n">
        <f aca="false">CF96-$U95</f>
        <v>-1.43017391304349</v>
      </c>
      <c r="CI95" s="224"/>
      <c r="CJ95" s="329" t="n">
        <f aca="false">CJ83+VLOOKUP(1900+$L95,ProductSpreadTable,4)</f>
        <v>10.4589999999999</v>
      </c>
      <c r="CK95" s="329" t="n">
        <f aca="false">($V94+CJ94)*100/42</f>
        <v>80.2047619047628</v>
      </c>
      <c r="CL95" s="329" t="n">
        <f aca="false">CK96</f>
        <v>82.4075569358177</v>
      </c>
      <c r="CM95" s="314" t="n">
        <v>21.798</v>
      </c>
      <c r="CN95" s="329" t="n">
        <f aca="false">CM95*100/42</f>
        <v>51.9</v>
      </c>
      <c r="CO95" s="329" t="n">
        <f aca="false">CM95-$U95</f>
        <v>-2.3541739130435</v>
      </c>
      <c r="CP95" s="329" t="n">
        <f aca="false">CP83+VLOOKUP(1900+$L95,ProductSpreadTable,5)</f>
        <v>7.95773913043481</v>
      </c>
      <c r="CQ95" s="329" t="n">
        <f aca="false">($V95+CP95)*100/42</f>
        <v>76.4521739130436</v>
      </c>
      <c r="CR95" s="333" t="n">
        <f aca="false">CQ95-CL95</f>
        <v>-5.95538302277406</v>
      </c>
      <c r="CS95" s="314" t="n">
        <v>22.848</v>
      </c>
      <c r="CT95" s="329" t="n">
        <f aca="false">CS95*100/42</f>
        <v>54.4</v>
      </c>
      <c r="CU95" s="329" t="n">
        <f aca="false">CT95-CG96</f>
        <v>0.299999999999997</v>
      </c>
      <c r="CV95" s="329" t="n">
        <f aca="false">CV83+VLOOKUP(1900+$L95,ProductSpreadTable,6)</f>
        <v>1.50000000000001</v>
      </c>
      <c r="CW95" s="333" t="n">
        <f aca="false">CL95+CV95</f>
        <v>83.9075569358177</v>
      </c>
      <c r="CX95" s="318" t="n">
        <v>0.183</v>
      </c>
      <c r="CY95" s="326" t="n">
        <f aca="false">CX95-$W95</f>
        <v>0.000500000000000028</v>
      </c>
      <c r="CZ95" s="326" t="n">
        <f aca="false">VLOOKUP(1900+$L95,ProductSpreadTable,7)</f>
        <v>-0.03</v>
      </c>
      <c r="DA95" s="365" t="n">
        <f aca="false">$W95+CZ95</f>
        <v>0.1525</v>
      </c>
      <c r="DB95" s="318" t="n">
        <v>0.183</v>
      </c>
      <c r="DC95" s="326" t="n">
        <f aca="false">DB95-$W95</f>
        <v>0.000500000000000028</v>
      </c>
      <c r="DD95" s="326" t="n">
        <f aca="false">VLOOKUP(1900+$L95,ProductSpreadTable,8)</f>
        <v>0.03</v>
      </c>
      <c r="DE95" s="365" t="n">
        <f aca="false">$W95+DD95</f>
        <v>0.2125</v>
      </c>
      <c r="DG95" s="336"/>
      <c r="DH95" s="314"/>
      <c r="DI95" s="325" t="n">
        <f aca="false">DH95-$U95</f>
        <v>-24.1521739130435</v>
      </c>
      <c r="DJ95" s="325" t="n">
        <f aca="false">VLOOKUP(1900+$L95,ResidSpreadTable,2)</f>
        <v>-2</v>
      </c>
      <c r="DK95" s="337" t="n">
        <f aca="false">$V95+DJ95</f>
        <v>22.1521739130435</v>
      </c>
      <c r="DL95" s="314"/>
      <c r="DM95" s="325" t="n">
        <f aca="false">DL95-$U95</f>
        <v>-24.1521739130435</v>
      </c>
      <c r="DN95" s="325" t="n">
        <f aca="false">VLOOKUP(1900+$L95,ResidSpreadTable,3)</f>
        <v>-3</v>
      </c>
      <c r="DO95" s="337" t="n">
        <f aca="false">$V95+DN95</f>
        <v>21.1521739130435</v>
      </c>
      <c r="DP95" s="314"/>
      <c r="DQ95" s="325" t="n">
        <f aca="false">DP95-$U95</f>
        <v>-24.1521739130435</v>
      </c>
      <c r="DR95" s="325" t="n">
        <f aca="false">VLOOKUP(1900+$L95,ResidSpreadTable,4)</f>
        <v>-6</v>
      </c>
      <c r="DS95" s="337" t="n">
        <f aca="false">$V95+DR95</f>
        <v>18.1521739130435</v>
      </c>
      <c r="DT95" s="314"/>
      <c r="DU95" s="325" t="n">
        <f aca="false">DT95-$U95</f>
        <v>-24.1521739130435</v>
      </c>
      <c r="DV95" s="325" t="n">
        <f aca="false">VLOOKUP(1900+$L95,ResidSpreadTable,5)</f>
        <v>-5</v>
      </c>
      <c r="DW95" s="337" t="n">
        <f aca="false">$V95+DV95</f>
        <v>19.1521739130435</v>
      </c>
    </row>
    <row r="96" customFormat="false" ht="12.75" hidden="false" customHeight="false" outlineLevel="0" collapsed="false">
      <c r="B96" s="371" t="n">
        <v>38473</v>
      </c>
      <c r="C96" s="391" t="n">
        <v>38462</v>
      </c>
      <c r="I96" s="338" t="n">
        <f aca="false">EOMONTH(I95,0)+1</f>
        <v>48670</v>
      </c>
      <c r="J96" s="389" t="n">
        <f aca="false">VLOOKUP(I96,$B$12:$C$332,2)</f>
        <v>45644</v>
      </c>
      <c r="K96" s="339" t="n">
        <f aca="false">NETWORKDAYS(I96,J97)/N96</f>
        <v>-103</v>
      </c>
      <c r="L96" s="309" t="n">
        <f aca="false">YEAR(I96)-1900</f>
        <v>133</v>
      </c>
      <c r="M96" s="310" t="n">
        <f aca="false">MONTH(I96)</f>
        <v>4</v>
      </c>
      <c r="N96" s="340" t="n">
        <f aca="false">NETWORKDAYS(I96,I97-1)</f>
        <v>21</v>
      </c>
      <c r="O96" s="341" t="n">
        <f aca="false">I96-DateToday-IF(EuroExpDateToggle=1,3+IF(WEEKDAY(I96-1)=7,1,IF(WEEKDAY(I96-1)&lt;5,2,0)),1+IF(WEEKDAY(I96-1)=7,1,IF(WEEKDAY(I96-1)&lt;3,2,0)))</f>
        <v>2741</v>
      </c>
      <c r="P96" s="342" t="n">
        <f aca="false">(I96-DateToday+1)/365.25</f>
        <v>7.51540041067762</v>
      </c>
      <c r="Q96" s="342" t="n">
        <f aca="false">(I97-DateToday)/365.25</f>
        <v>7.59479808350445</v>
      </c>
      <c r="R96" s="314" t="n">
        <v>19.45</v>
      </c>
      <c r="S96" s="347" t="n">
        <v>0</v>
      </c>
      <c r="T96" s="316" t="n">
        <f aca="false">R96+S96/100</f>
        <v>19.45</v>
      </c>
      <c r="U96" s="325" t="n">
        <f aca="false">R97*K96+R98*(1-K96)</f>
        <v>24.7</v>
      </c>
      <c r="V96" s="337" t="n">
        <f aca="false">T97*K96+T98*(1-K96)</f>
        <v>24.7</v>
      </c>
      <c r="W96" s="318" t="n">
        <v>0.1819</v>
      </c>
      <c r="X96" s="319" t="str">
        <f aca="false">IF($I96-DateToday+1&gt;=$A$10,"",IF($I96-DateToday+1&lt;$A$5,1,MATCH($I96-DateToday+1,$A$5:$A$10)))</f>
        <v/>
      </c>
      <c r="Y96" s="348" t="n">
        <f aca="false">IF($X96="",Y95^2/Y94,INDEX(B$5:B$10,$X96)^((INDEX($A$5:$A$10,$X96+1)-($I96-DateToday+1))/(INDEX($A$5:$A$10,$X96+1)-INDEX($A$5:$A$10,$X96)))/INDEX(B$5:B$10,$X96+1)^((INDEX($A$5:$A$10,$X96)-($I96-DateToday+1))/(INDEX($A$5:$A$10,$X96+1)-INDEX($A$5:$A$10,$X96))))</f>
        <v>0.00218611702399155</v>
      </c>
      <c r="Z96" s="348" t="n">
        <f aca="false">IF($X96="",Z95^2/Z94,INDEX(C$5:C$10,$X96)^((INDEX($A$5:$A$10,$X96+1)-($I96-DateToday+1))/(INDEX($A$5:$A$10,$X96+1)-INDEX($A$5:$A$10,$X96)))/INDEX(C$5:C$10,$X96+1)^((INDEX($A$5:$A$10,$X96)-($I96-DateToday+1))/(INDEX($A$5:$A$10,$X96+1)-INDEX($A$5:$A$10,$X96))))</f>
        <v>0.000830237948885752</v>
      </c>
      <c r="AA96" s="348" t="n">
        <f aca="false">IF($X96="",AA95^2/AA94,INDEX(D$5:D$10,$X96)^((INDEX($A$5:$A$10,$X96+1)-($I96-DateToday+1))/(INDEX($A$5:$A$10,$X96+1)-INDEX($A$5:$A$10,$X96)))/INDEX(D$5:D$10,$X96+1)^((INDEX($A$5:$A$10,$X96)-($I96-DateToday+1))/(INDEX($A$5:$A$10,$X96+1)-INDEX($A$5:$A$10,$X96))))</f>
        <v>0.000310642903240821</v>
      </c>
      <c r="AB96" s="348" t="n">
        <f aca="false">IF($X96="",AB95^2/AB94,INDEX(E$5:E$10,$X96)^((INDEX($A$5:$A$10,$X96+1)-($I96-DateToday+1))/(INDEX($A$5:$A$10,$X96+1)-INDEX($A$5:$A$10,$X96)))/INDEX(E$5:E$10,$X96+1)^((INDEX($A$5:$A$10,$X96)-($I96-DateToday+1))/(INDEX($A$5:$A$10,$X96+1)-INDEX($A$5:$A$10,$X96))))</f>
        <v>0.000699816332420933</v>
      </c>
      <c r="AC96" s="348" t="n">
        <f aca="false">IF($X96="",AC95^2/AC94,INDEX(F$5:F$10,$X96)^((INDEX($A$5:$A$10,$X96+1)-($I96-DateToday+1))/(INDEX($A$5:$A$10,$X96+1)-INDEX($A$5:$A$10,$X96)))/INDEX(F$5:F$10,$X96+1)^((INDEX($A$5:$A$10,$X96)-($I96-DateToday+1))/(INDEX($A$5:$A$10,$X96+1)-INDEX($A$5:$A$10,$X96))))</f>
        <v>0.00187036005124983</v>
      </c>
      <c r="AD96" s="348" t="n">
        <f aca="false">IF($X96="",AD95^2/AD94,INDEX(G$5:G$10,$X96)^((INDEX($A$5:$A$10,$X96+1)-($I96-DateToday+1))/(INDEX($A$5:$A$10,$X96+1)-INDEX($A$5:$A$10,$X96)))/INDEX(G$5:G$10,$X96+1)^((INDEX($A$5:$A$10,$X96)-($I96-DateToday+1))/(INDEX($A$5:$A$10,$X96+1)-INDEX($A$5:$A$10,$X96))))</f>
        <v>0.00492488443164791</v>
      </c>
      <c r="AE96" s="321" t="n">
        <v>0.073556407390913</v>
      </c>
      <c r="AF96" s="316" t="n">
        <f aca="false">(1+AE96/2)^(-2*(I97-DateToday)/365.25)</f>
        <v>0.577747593734196</v>
      </c>
      <c r="AG96" s="316" t="n">
        <f aca="false">AG95*(1+IF(AND(M96=1,L96&gt;YearStart),Escalation,0))</f>
        <v>1</v>
      </c>
      <c r="AH96" s="322" t="n">
        <f aca="false">IF(OR(DateStart&gt;=I97,DateEnd&lt;I96),0,Volume*AG96)</f>
        <v>0</v>
      </c>
      <c r="AI96" s="322" t="n">
        <f aca="false">AH96*AF96</f>
        <v>0</v>
      </c>
      <c r="AJ96" s="322" t="n">
        <f aca="false">IF(OR(DateStart2&gt;=I97,DateEnd2&lt;I96),0,VolumeSwaption*AG96)</f>
        <v>0</v>
      </c>
      <c r="AK96" s="322" t="n">
        <f aca="false">AJ96*AF96</f>
        <v>0</v>
      </c>
      <c r="AL96" s="316" t="str">
        <f aca="true">IF(AH96,OFFSET(BY96,0,HorizontalPriceOffset)+PriceSpreadAsian,"")</f>
        <v/>
      </c>
      <c r="AM96" s="316" t="str">
        <f aca="false">IF(AH96,Strike1/AL96-1,"")</f>
        <v/>
      </c>
      <c r="AN96" s="316" t="str">
        <f aca="false">IF(AH96,Strike2/AL96-1,"")</f>
        <v/>
      </c>
      <c r="AO96" s="323" t="str">
        <f aca="false">IF(AH96,IF(VolOverrideAsian,VolOverrideAsian,IF(ProductGroup=1,IF(Product&lt;3,DA97,DE97),W97)+VolSpreadAsian),"")</f>
        <v/>
      </c>
      <c r="AP96" s="323" t="str">
        <f aca="false">IF($AH96,$AO96+IF(SkewFlag=1,IF(AM96&gt;0,$AA96*MIN(AM96/10%,1)+($Z96-$AA96)*MAX(0,MIN(AM96/10%-1,1))+($Y96-$Z96)*MAX(0,AM96/10%-2),$AB96*MIN(-AM96/10%,1)+($AC96-$AB96)*MAX(0,MIN(-AM96/10%-1,1))+($AD96-$AC96)*MAX(0,-AM96/10%-2)),0),"")</f>
        <v/>
      </c>
      <c r="AQ96" s="323" t="str">
        <f aca="false">IF($AH96,$AO96+IF(SkewFlag=1,IF(AN96&gt;0,$AA96*MIN(AN96/10%,1)+($Z96-$AA96)*MAX(0,MIN(AN96/10%-1,1))+($Y96-$Z96)*MAX(0,AN96/10%-2),$AB96*MIN(-AN96/10%,1)+($AC96-$AB96)*MAX(0,MIN(-AN96/10%-1,1))+($AD96-$AC96)*MAX(0,-AN96/10%-2)),0),"")</f>
        <v/>
      </c>
      <c r="AR96" s="324" t="n">
        <f aca="false">IF(AH96,xASN(AL96,Strike1,AE96,AP96,0,N96,0,P96,Q96,IF(OptControl=4,0,1),0),0)</f>
        <v>0</v>
      </c>
      <c r="AS96" s="324" t="n">
        <f aca="false">IF(AH96,xASN(AL96,Strike1,AE96,AP96,0,N96,0,P96,Q96,IF(OptControl=4,0,1),1),0)</f>
        <v>0</v>
      </c>
      <c r="AT96" s="324" t="n">
        <f aca="false">IF(AH96,xASN(AL96,Strike1,AE96,AP96,0,N96,0,P96,Q96,IF(OptControl=4,0,1),2),0)</f>
        <v>0</v>
      </c>
      <c r="AU96" s="324" t="n">
        <f aca="false">IF(AH96,xASN(AL96,Strike1,AE96,AP96,0,N96,0,P96,Q96,IF(OptControl=4,0,1),3)/100,0)</f>
        <v>0</v>
      </c>
      <c r="AV96" s="324" t="n">
        <f aca="false">IF(AH96,xASN(AL96,Strike1,AE96,AP96,0,N96,0,P96-DaysForThetaCalculation/365.25,Q96-DaysForThetaCalculation/365.25,IF(OptControl=4,0,1),0)-xASN(AL96,Strike1,AE96,AP96,0,N96,0,P96,Q96,IF(OptControl=4,0,1),0),0)</f>
        <v>0</v>
      </c>
      <c r="AW96" s="324" t="n">
        <f aca="false">IF(AH96,xASN(AL96,Strike2,AE96,AQ96,0,N96,0,P96,Q96,IF(OptControl=3,1,0),0),0)</f>
        <v>0</v>
      </c>
      <c r="AX96" s="324" t="n">
        <f aca="false">IF(AH96,xASN(AL96,Strike2,AE96,AQ96,0,N96,0,P96,Q96,IF(OptControl=3,1,0),1),0)</f>
        <v>0</v>
      </c>
      <c r="AY96" s="324" t="n">
        <f aca="false">IF(AH96,xASN(AL96,Strike2,AE96,AQ96,0,N96,0,P96,Q96,IF(OptControl=3,1,0),2),0)</f>
        <v>0</v>
      </c>
      <c r="AZ96" s="324" t="n">
        <f aca="false">IF(AH96,xASN(AL96,Strike2,AE96,AQ96,0,N96,0,P96,Q96,IF(OptControl=3,1,0),3)/100,0)</f>
        <v>0</v>
      </c>
      <c r="BA96" s="324" t="n">
        <f aca="false">IF(AH96,xASN(AL96,Strike2,AE96,AQ96,0,N96,0,P96-DaysForThetaCalculation/365.25,Q96-DaysForThetaCalculation/365.25,IF(OptControl=3,1,0),0)-xASN(AL96,Strike2,AE96,AQ96,0,N96,0,P96,Q96,IF(OptControl=3,1,0),0),0)</f>
        <v>0</v>
      </c>
      <c r="BB96" s="325" t="str">
        <f aca="false">IF(AH96,IF(ProductGroup=1,IF(Product=1,BX96+PriceSpreadEuro,IF(Product=3,CK96+PriceSpreadEuro,"N/A")),"N/A"),"")</f>
        <v/>
      </c>
      <c r="BC96" s="316" t="str">
        <f aca="false">IF(AH96,Strike1/BB96-1,"")</f>
        <v/>
      </c>
      <c r="BD96" s="316" t="str">
        <f aca="false">IF(AH96,Strike2/BB96-1,"")</f>
        <v/>
      </c>
      <c r="BE96" s="326" t="str">
        <f aca="false">IF(AH96,IF(VolOverrideEuro,VolOverrideEuro,IF(ProductGroup=1,IF(Product&lt;3,DA96,DE96)+VolSpreadEuro,"N/A")),"")</f>
        <v/>
      </c>
      <c r="BF96" s="323" t="str">
        <f aca="false">IF($AH96,$BE96+IF(SkewFlag=1,IF(BC96&gt;0,$AA96*MIN(BC96/10%,1)+($Z96-$AA96)*MAX(0,MIN(BC96/10%-1,1))+($Y96-$Z96)*MAX(0,BC96/10%-2),$AB96*MIN(-BC96/10%,1)+($AC96-$AB96)*MAX(0,MIN(-BC96/10%-1,1))+($AD96-$AC96)*MAX(0,-BC96/10%-2)),0),"")</f>
        <v/>
      </c>
      <c r="BG96" s="323" t="str">
        <f aca="false">IF($AH96,$BE96+IF(SkewFlag=1,IF(BD96&gt;0,$AA96*MIN(BD96/10%,1)+($Z96-$AA96)*MAX(0,MIN(BD96/10%-1,1))+($Y96-$Z96)*MAX(0,BD96/10%-2),$AB96*MIN(-BD96/10%,1)+($AC96-$AB96)*MAX(0,MIN(-BD96/10%-1,1))+($AD96-$AC96)*MAX(0,-BD96/10%-2)),0),"")</f>
        <v/>
      </c>
      <c r="BH96" s="324" t="n">
        <f aca="false">IF(AH96,xEURO(BB96,Strike1,AE96,AE96,BF96,O96,IF(OptControl=4,0,1),0),0)</f>
        <v>0</v>
      </c>
      <c r="BI96" s="324" t="n">
        <f aca="false">IF(AH96,xEURO(BB96,Strike1,AE96,AE96,BF96,O96,IF(OptControl=4,0,1),1),0)</f>
        <v>0</v>
      </c>
      <c r="BJ96" s="324" t="n">
        <f aca="false">IF(AH96,xEURO(BB96,Strike1,AE96,AE96,BF96,O96,IF(OptControl=4,0,1),2),0)</f>
        <v>0</v>
      </c>
      <c r="BK96" s="324" t="n">
        <f aca="false">IF(AH96,xEURO(BB96,Strike1,AE96,AE96,BF96,O96,IF(OptControl=4,0,1),3)/100,0)</f>
        <v>0</v>
      </c>
      <c r="BL96" s="324" t="n">
        <f aca="false">IF(AH96,xEURO(BB96,Strike1,AE96,AE96,BF96,O96-DaysForThetaCalculation,IF(OptControl=4,0,1),0)-xEURO(BB96,Strike1,AE96,AE96,BF96,O96,IF(OptControl=4,0,1),0),0)</f>
        <v>0</v>
      </c>
      <c r="BM96" s="324" t="n">
        <f aca="false">IF(AH96,xEURO(BB96,Strike2,AE96,AE96,BG96,O96,IF(OptControl=3,1,0),0),0)</f>
        <v>0</v>
      </c>
      <c r="BN96" s="324" t="n">
        <f aca="false">IF(AH96,xEURO(BB96,Strike2,AE96,AE96,BG96,O96,IF(OptControl=3,1,0),1),0)</f>
        <v>0</v>
      </c>
      <c r="BO96" s="324" t="n">
        <f aca="false">IF(AH96,xEURO(BB96,Strike2,AE96,AE96,BG96,O96,IF(OptControl=3,1,0),2),0)</f>
        <v>0</v>
      </c>
      <c r="BP96" s="324" t="n">
        <f aca="false">IF(AH96,xEURO(BB96,Strike2,AE96,AE96,BG96,O96,IF(OptControl=3,1,0),3)/100,0)</f>
        <v>0</v>
      </c>
      <c r="BQ96" s="327" t="n">
        <f aca="false">IF(AH96,xEURO(BB96,Strike2,AE96,AE96,BG96,O96-DaysForThetaCalculation,IF(OptControl=3,1,0),0)-xEURO(BB96,Strike2,AE96,AE96,BG96,O96,IF(OptControl=3,1,0),0),0)</f>
        <v>0</v>
      </c>
      <c r="BR96" s="343"/>
      <c r="BS96" s="314" t="n">
        <v>24.629</v>
      </c>
      <c r="BT96" s="329" t="n">
        <f aca="false">BS96*100/42</f>
        <v>58.6404761904762</v>
      </c>
      <c r="BU96" s="329" t="n">
        <f aca="false">BS97-$U96</f>
        <v>-0.437000000000044</v>
      </c>
      <c r="BV96" s="224"/>
      <c r="BW96" s="329" t="n">
        <f aca="false">BW84+VLOOKUP(1900+$L96,ProductSpreadTable,2)</f>
        <v>12.1388181818182</v>
      </c>
      <c r="BX96" s="329" t="n">
        <f aca="false">($V95+BW95)*100/42</f>
        <v>87.4266045548653</v>
      </c>
      <c r="BY96" s="332" t="n">
        <f aca="false">BX97</f>
        <v>87.711471861472</v>
      </c>
      <c r="BZ96" s="314" t="n">
        <v>21.953</v>
      </c>
      <c r="CA96" s="329" t="n">
        <f aca="false">BZ96*100/42</f>
        <v>52.2690476190476</v>
      </c>
      <c r="CB96" s="329" t="n">
        <f aca="false">BZ96-$U96</f>
        <v>-2.74700000000004</v>
      </c>
      <c r="CC96" s="329" t="n">
        <f aca="false">CC84+VLOOKUP(1900+$L96,ProductSpreadTable,3)</f>
        <v>9.82881818181819</v>
      </c>
      <c r="CD96" s="329" t="n">
        <f aca="false">($V96+CC96)*100/42</f>
        <v>82.211471861472</v>
      </c>
      <c r="CE96" s="333" t="n">
        <f aca="false">CD96-BY96</f>
        <v>-5.5</v>
      </c>
      <c r="CF96" s="314" t="n">
        <v>22.722</v>
      </c>
      <c r="CG96" s="329" t="n">
        <f aca="false">CF96*100/42</f>
        <v>54.1</v>
      </c>
      <c r="CH96" s="329" t="n">
        <f aca="false">CF97-$U96</f>
        <v>-1.37700000000004</v>
      </c>
      <c r="CI96" s="224"/>
      <c r="CJ96" s="329" t="n">
        <f aca="false">CJ84+VLOOKUP(1900+$L96,ProductSpreadTable,4)</f>
        <v>10.9968181818182</v>
      </c>
      <c r="CK96" s="329" t="n">
        <f aca="false">($V95+CJ95)*100/42</f>
        <v>82.4075569358177</v>
      </c>
      <c r="CL96" s="329" t="n">
        <f aca="false">CK97</f>
        <v>84.9924242424244</v>
      </c>
      <c r="CM96" s="314" t="n">
        <v>22.084</v>
      </c>
      <c r="CN96" s="329" t="n">
        <f aca="false">CM96*100/42</f>
        <v>52.5809523809524</v>
      </c>
      <c r="CO96" s="329" t="n">
        <f aca="false">CM96-$U96</f>
        <v>-2.61600000000005</v>
      </c>
      <c r="CP96" s="329" t="n">
        <f aca="false">CP84+VLOOKUP(1900+$L96,ProductSpreadTable,5)</f>
        <v>9.79981818181818</v>
      </c>
      <c r="CQ96" s="329" t="n">
        <f aca="false">($V96+CP96)*100/42</f>
        <v>82.1424242424244</v>
      </c>
      <c r="CR96" s="333" t="n">
        <f aca="false">CQ96-CL96</f>
        <v>-2.85000000000001</v>
      </c>
      <c r="CS96" s="314" t="n">
        <v>23.449</v>
      </c>
      <c r="CT96" s="329" t="n">
        <f aca="false">CS96*100/42</f>
        <v>55.8309523809524</v>
      </c>
      <c r="CU96" s="329" t="n">
        <f aca="false">CT96-CG97</f>
        <v>0.299999999999997</v>
      </c>
      <c r="CV96" s="329" t="n">
        <f aca="false">CV84+VLOOKUP(1900+$L96,ProductSpreadTable,6)</f>
        <v>1.65000000000001</v>
      </c>
      <c r="CW96" s="333" t="n">
        <f aca="false">CL96+CV96</f>
        <v>86.6424242424244</v>
      </c>
      <c r="CX96" s="318" t="n">
        <v>0.182</v>
      </c>
      <c r="CY96" s="326" t="n">
        <f aca="false">CX96-$W96</f>
        <v>9.9999999999989E-005</v>
      </c>
      <c r="CZ96" s="326" t="n">
        <f aca="false">VLOOKUP(1900+$L96,ProductSpreadTable,7)</f>
        <v>-0.03</v>
      </c>
      <c r="DA96" s="365" t="n">
        <f aca="false">$W96+CZ96</f>
        <v>0.1519</v>
      </c>
      <c r="DB96" s="318" t="n">
        <v>0.182</v>
      </c>
      <c r="DC96" s="326" t="n">
        <f aca="false">DB96-$W96</f>
        <v>9.9999999999989E-005</v>
      </c>
      <c r="DD96" s="326" t="n">
        <f aca="false">VLOOKUP(1900+$L96,ProductSpreadTable,8)</f>
        <v>0.03</v>
      </c>
      <c r="DE96" s="365" t="n">
        <f aca="false">$W96+DD96</f>
        <v>0.2119</v>
      </c>
      <c r="DG96" s="336"/>
      <c r="DH96" s="314"/>
      <c r="DI96" s="325" t="n">
        <f aca="false">DH96-$U96</f>
        <v>-24.7</v>
      </c>
      <c r="DJ96" s="325" t="n">
        <f aca="false">VLOOKUP(1900+$L96,ResidSpreadTable,2)</f>
        <v>-2</v>
      </c>
      <c r="DK96" s="337" t="n">
        <f aca="false">$V96+DJ96</f>
        <v>22.7</v>
      </c>
      <c r="DL96" s="314"/>
      <c r="DM96" s="325" t="n">
        <f aca="false">DL96-$U96</f>
        <v>-24.7</v>
      </c>
      <c r="DN96" s="325" t="n">
        <f aca="false">VLOOKUP(1900+$L96,ResidSpreadTable,3)</f>
        <v>-3</v>
      </c>
      <c r="DO96" s="337" t="n">
        <f aca="false">$V96+DN96</f>
        <v>21.7</v>
      </c>
      <c r="DP96" s="314"/>
      <c r="DQ96" s="325" t="n">
        <f aca="false">DP96-$U96</f>
        <v>-24.7</v>
      </c>
      <c r="DR96" s="325" t="n">
        <f aca="false">VLOOKUP(1900+$L96,ResidSpreadTable,4)</f>
        <v>-6</v>
      </c>
      <c r="DS96" s="337" t="n">
        <f aca="false">$V96+DR96</f>
        <v>18.7</v>
      </c>
      <c r="DT96" s="314"/>
      <c r="DU96" s="325" t="n">
        <f aca="false">DT96-$U96</f>
        <v>-24.7</v>
      </c>
      <c r="DV96" s="325" t="n">
        <f aca="false">VLOOKUP(1900+$L96,ResidSpreadTable,5)</f>
        <v>-5</v>
      </c>
      <c r="DW96" s="337" t="n">
        <f aca="false">$V96+DV96</f>
        <v>19.7</v>
      </c>
    </row>
    <row r="97" customFormat="false" ht="12.75" hidden="false" customHeight="false" outlineLevel="0" collapsed="false">
      <c r="B97" s="371" t="n">
        <v>38504</v>
      </c>
      <c r="C97" s="391" t="n">
        <v>38494</v>
      </c>
      <c r="I97" s="338" t="n">
        <f aca="false">EOMONTH(I96,0)+1</f>
        <v>48700</v>
      </c>
      <c r="J97" s="389" t="n">
        <f aca="false">VLOOKUP(I97,$B$12:$C$332,2)</f>
        <v>45644</v>
      </c>
      <c r="K97" s="339" t="n">
        <f aca="false">NETWORKDAYS(I97,J98)/N97</f>
        <v>-99.2272727272727</v>
      </c>
      <c r="L97" s="309" t="n">
        <f aca="false">YEAR(I97)-1900</f>
        <v>133</v>
      </c>
      <c r="M97" s="310" t="n">
        <f aca="false">MONTH(I97)</f>
        <v>5</v>
      </c>
      <c r="N97" s="340" t="n">
        <f aca="false">NETWORKDAYS(I97,I98-1)</f>
        <v>22</v>
      </c>
      <c r="O97" s="341" t="n">
        <f aca="false">I97-DateToday-IF(EuroExpDateToggle=1,3+IF(WEEKDAY(I97-1)=7,1,IF(WEEKDAY(I97-1)&lt;5,2,0)),1+IF(WEEKDAY(I97-1)=7,1,IF(WEEKDAY(I97-1)&lt;3,2,0)))</f>
        <v>2770</v>
      </c>
      <c r="P97" s="342" t="n">
        <f aca="false">(I97-DateToday+1)/365.25</f>
        <v>7.59753593429158</v>
      </c>
      <c r="Q97" s="342" t="n">
        <f aca="false">(I98-DateToday)/365.25</f>
        <v>7.67967145790554</v>
      </c>
      <c r="R97" s="314" t="n">
        <v>19.5</v>
      </c>
      <c r="S97" s="347" t="n">
        <v>0</v>
      </c>
      <c r="T97" s="316" t="n">
        <f aca="false">R97+S97/100</f>
        <v>19.5</v>
      </c>
      <c r="U97" s="325" t="n">
        <f aca="false">R98*K97+R99*(1-K97)</f>
        <v>24.5613636363637</v>
      </c>
      <c r="V97" s="337" t="n">
        <f aca="false">T98*K97+T99*(1-K97)</f>
        <v>24.5613636363637</v>
      </c>
      <c r="W97" s="318" t="n">
        <v>0.1813</v>
      </c>
      <c r="X97" s="319" t="str">
        <f aca="false">IF($I97-DateToday+1&gt;=$A$10,"",IF($I97-DateToday+1&lt;$A$5,1,MATCH($I97-DateToday+1,$A$5:$A$10)))</f>
        <v/>
      </c>
      <c r="Y97" s="348" t="n">
        <f aca="false">IF($X97="",Y96^2/Y95,INDEX(B$5:B$10,$X97)^((INDEX($A$5:$A$10,$X97+1)-($I97-DateToday+1))/(INDEX($A$5:$A$10,$X97+1)-INDEX($A$5:$A$10,$X97)))/INDEX(B$5:B$10,$X97+1)^((INDEX($A$5:$A$10,$X97)-($I97-DateToday+1))/(INDEX($A$5:$A$10,$X97+1)-INDEX($A$5:$A$10,$X97))))</f>
        <v>0.0021393155834329</v>
      </c>
      <c r="Z97" s="348" t="n">
        <f aca="false">IF($X97="",Z96^2/Z95,INDEX(C$5:C$10,$X97)^((INDEX($A$5:$A$10,$X97+1)-($I97-DateToday+1))/(INDEX($A$5:$A$10,$X97+1)-INDEX($A$5:$A$10,$X97)))/INDEX(C$5:C$10,$X97+1)^((INDEX($A$5:$A$10,$X97)-($I97-DateToday+1))/(INDEX($A$5:$A$10,$X97+1)-INDEX($A$5:$A$10,$X97))))</f>
        <v>0.000808113843653776</v>
      </c>
      <c r="AA97" s="348" t="n">
        <f aca="false">IF($X97="",AA96^2/AA95,INDEX(D$5:D$10,$X97)^((INDEX($A$5:$A$10,$X97+1)-($I97-DateToday+1))/(INDEX($A$5:$A$10,$X97+1)-INDEX($A$5:$A$10,$X97)))/INDEX(D$5:D$10,$X97+1)^((INDEX($A$5:$A$10,$X97)-($I97-DateToday+1))/(INDEX($A$5:$A$10,$X97+1)-INDEX($A$5:$A$10,$X97))))</f>
        <v>0.000301554099313663</v>
      </c>
      <c r="AB97" s="348" t="n">
        <f aca="false">IF($X97="",AB96^2/AB95,INDEX(E$5:E$10,$X97)^((INDEX($A$5:$A$10,$X97+1)-($I97-DateToday+1))/(INDEX($A$5:$A$10,$X97+1)-INDEX($A$5:$A$10,$X97)))/INDEX(E$5:E$10,$X97+1)^((INDEX($A$5:$A$10,$X97)-($I97-DateToday+1))/(INDEX($A$5:$A$10,$X97+1)-INDEX($A$5:$A$10,$X97))))</f>
        <v>0.00067934107493383</v>
      </c>
      <c r="AC97" s="348" t="n">
        <f aca="false">IF($X97="",AC96^2/AC95,INDEX(F$5:F$10,$X97)^((INDEX($A$5:$A$10,$X97+1)-($I97-DateToday+1))/(INDEX($A$5:$A$10,$X97+1)-INDEX($A$5:$A$10,$X97)))/INDEX(F$5:F$10,$X97+1)^((INDEX($A$5:$A$10,$X97)-($I97-DateToday+1))/(INDEX($A$5:$A$10,$X97+1)-INDEX($A$5:$A$10,$X97))))</f>
        <v>0.00182051886698323</v>
      </c>
      <c r="AD97" s="348" t="n">
        <f aca="false">IF($X97="",AD96^2/AD95,INDEX(G$5:G$10,$X97)^((INDEX($A$5:$A$10,$X97+1)-($I97-DateToday+1))/(INDEX($A$5:$A$10,$X97+1)-INDEX($A$5:$A$10,$X97)))/INDEX(G$5:G$10,$X97+1)^((INDEX($A$5:$A$10,$X97)-($I97-DateToday+1))/(INDEX($A$5:$A$10,$X97+1)-INDEX($A$5:$A$10,$X97))))</f>
        <v>0.00481945014635739</v>
      </c>
      <c r="AE97" s="321" t="n">
        <v>0.073563997460858</v>
      </c>
      <c r="AF97" s="316" t="n">
        <f aca="false">(1+AE97/2)^(-2*(I98-DateToday)/365.25)</f>
        <v>0.574184024860363</v>
      </c>
      <c r="AG97" s="316" t="n">
        <f aca="false">AG96*(1+IF(AND(M97=1,L97&gt;YearStart),Escalation,0))</f>
        <v>1</v>
      </c>
      <c r="AH97" s="322" t="n">
        <f aca="false">IF(OR(DateStart&gt;=I98,DateEnd&lt;I97),0,Volume*AG97)</f>
        <v>0</v>
      </c>
      <c r="AI97" s="322" t="n">
        <f aca="false">AH97*AF97</f>
        <v>0</v>
      </c>
      <c r="AJ97" s="322" t="n">
        <f aca="false">IF(OR(DateStart2&gt;=I98,DateEnd2&lt;I97),0,VolumeSwaption*AG97)</f>
        <v>0</v>
      </c>
      <c r="AK97" s="322" t="n">
        <f aca="false">AJ97*AF97</f>
        <v>0</v>
      </c>
      <c r="AL97" s="316" t="str">
        <f aca="true">IF(AH97,OFFSET(BY97,0,HorizontalPriceOffset)+PriceSpreadAsian,"")</f>
        <v/>
      </c>
      <c r="AM97" s="316" t="str">
        <f aca="false">IF(AH97,Strike1/AL97-1,"")</f>
        <v/>
      </c>
      <c r="AN97" s="316" t="str">
        <f aca="false">IF(AH97,Strike2/AL97-1,"")</f>
        <v/>
      </c>
      <c r="AO97" s="323" t="str">
        <f aca="false">IF(AH97,IF(VolOverrideAsian,VolOverrideAsian,IF(ProductGroup=1,IF(Product&lt;3,DA98,DE98),W98)+VolSpreadAsian),"")</f>
        <v/>
      </c>
      <c r="AP97" s="323" t="str">
        <f aca="false">IF($AH97,$AO97+IF(SkewFlag=1,IF(AM97&gt;0,$AA97*MIN(AM97/10%,1)+($Z97-$AA97)*MAX(0,MIN(AM97/10%-1,1))+($Y97-$Z97)*MAX(0,AM97/10%-2),$AB97*MIN(-AM97/10%,1)+($AC97-$AB97)*MAX(0,MIN(-AM97/10%-1,1))+($AD97-$AC97)*MAX(0,-AM97/10%-2)),0),"")</f>
        <v/>
      </c>
      <c r="AQ97" s="323" t="str">
        <f aca="false">IF($AH97,$AO97+IF(SkewFlag=1,IF(AN97&gt;0,$AA97*MIN(AN97/10%,1)+($Z97-$AA97)*MAX(0,MIN(AN97/10%-1,1))+($Y97-$Z97)*MAX(0,AN97/10%-2),$AB97*MIN(-AN97/10%,1)+($AC97-$AB97)*MAX(0,MIN(-AN97/10%-1,1))+($AD97-$AC97)*MAX(0,-AN97/10%-2)),0),"")</f>
        <v/>
      </c>
      <c r="AR97" s="324" t="n">
        <f aca="false">IF(AH97,xASN(AL97,Strike1,AE97,AP97,0,N97,0,P97,Q97,IF(OptControl=4,0,1),0),0)</f>
        <v>0</v>
      </c>
      <c r="AS97" s="324" t="n">
        <f aca="false">IF(AH97,xASN(AL97,Strike1,AE97,AP97,0,N97,0,P97,Q97,IF(OptControl=4,0,1),1),0)</f>
        <v>0</v>
      </c>
      <c r="AT97" s="324" t="n">
        <f aca="false">IF(AH97,xASN(AL97,Strike1,AE97,AP97,0,N97,0,P97,Q97,IF(OptControl=4,0,1),2),0)</f>
        <v>0</v>
      </c>
      <c r="AU97" s="324" t="n">
        <f aca="false">IF(AH97,xASN(AL97,Strike1,AE97,AP97,0,N97,0,P97,Q97,IF(OptControl=4,0,1),3)/100,0)</f>
        <v>0</v>
      </c>
      <c r="AV97" s="324" t="n">
        <f aca="false">IF(AH97,xASN(AL97,Strike1,AE97,AP97,0,N97,0,P97-DaysForThetaCalculation/365.25,Q97-DaysForThetaCalculation/365.25,IF(OptControl=4,0,1),0)-xASN(AL97,Strike1,AE97,AP97,0,N97,0,P97,Q97,IF(OptControl=4,0,1),0),0)</f>
        <v>0</v>
      </c>
      <c r="AW97" s="324" t="n">
        <f aca="false">IF(AH97,xASN(AL97,Strike2,AE97,AQ97,0,N97,0,P97,Q97,IF(OptControl=3,1,0),0),0)</f>
        <v>0</v>
      </c>
      <c r="AX97" s="324" t="n">
        <f aca="false">IF(AH97,xASN(AL97,Strike2,AE97,AQ97,0,N97,0,P97,Q97,IF(OptControl=3,1,0),1),0)</f>
        <v>0</v>
      </c>
      <c r="AY97" s="324" t="n">
        <f aca="false">IF(AH97,xASN(AL97,Strike2,AE97,AQ97,0,N97,0,P97,Q97,IF(OptControl=3,1,0),2),0)</f>
        <v>0</v>
      </c>
      <c r="AZ97" s="324" t="n">
        <f aca="false">IF(AH97,xASN(AL97,Strike2,AE97,AQ97,0,N97,0,P97,Q97,IF(OptControl=3,1,0),3)/100,0)</f>
        <v>0</v>
      </c>
      <c r="BA97" s="324" t="n">
        <f aca="false">IF(AH97,xASN(AL97,Strike2,AE97,AQ97,0,N97,0,P97-DaysForThetaCalculation/365.25,Q97-DaysForThetaCalculation/365.25,IF(OptControl=3,1,0),0)-xASN(AL97,Strike2,AE97,AQ97,0,N97,0,P97,Q97,IF(OptControl=3,1,0),0),0)</f>
        <v>0</v>
      </c>
      <c r="BB97" s="325" t="str">
        <f aca="false">IF(AH97,IF(ProductGroup=1,IF(Product=1,BX97+PriceSpreadEuro,IF(Product=3,CK97+PriceSpreadEuro,"N/A")),"N/A"),"")</f>
        <v/>
      </c>
      <c r="BC97" s="316" t="str">
        <f aca="false">IF(AH97,Strike1/BB97-1,"")</f>
        <v/>
      </c>
      <c r="BD97" s="316" t="str">
        <f aca="false">IF(AH97,Strike2/BB97-1,"")</f>
        <v/>
      </c>
      <c r="BE97" s="326" t="str">
        <f aca="false">IF(AH97,IF(VolOverrideEuro,VolOverrideEuro,IF(ProductGroup=1,IF(Product&lt;3,DA97,DE97)+VolSpreadEuro,"N/A")),"")</f>
        <v/>
      </c>
      <c r="BF97" s="323" t="str">
        <f aca="false">IF($AH97,$BE97+IF(SkewFlag=1,IF(BC97&gt;0,$AA97*MIN(BC97/10%,1)+($Z97-$AA97)*MAX(0,MIN(BC97/10%-1,1))+($Y97-$Z97)*MAX(0,BC97/10%-2),$AB97*MIN(-BC97/10%,1)+($AC97-$AB97)*MAX(0,MIN(-BC97/10%-1,1))+($AD97-$AC97)*MAX(0,-BC97/10%-2)),0),"")</f>
        <v/>
      </c>
      <c r="BG97" s="323" t="str">
        <f aca="false">IF($AH97,$BE97+IF(SkewFlag=1,IF(BD97&gt;0,$AA97*MIN(BD97/10%,1)+($Z97-$AA97)*MAX(0,MIN(BD97/10%-1,1))+($Y97-$Z97)*MAX(0,BD97/10%-2),$AB97*MIN(-BD97/10%,1)+($AC97-$AB97)*MAX(0,MIN(-BD97/10%-1,1))+($AD97-$AC97)*MAX(0,-BD97/10%-2)),0),"")</f>
        <v/>
      </c>
      <c r="BH97" s="324" t="n">
        <f aca="false">IF(AH97,xEURO(BB97,Strike1,AE97,AE97,BF97,O97,IF(OptControl=4,0,1),0),0)</f>
        <v>0</v>
      </c>
      <c r="BI97" s="324" t="n">
        <f aca="false">IF(AH97,xEURO(BB97,Strike1,AE97,AE97,BF97,O97,IF(OptControl=4,0,1),1),0)</f>
        <v>0</v>
      </c>
      <c r="BJ97" s="324" t="n">
        <f aca="false">IF(AH97,xEURO(BB97,Strike1,AE97,AE97,BF97,O97,IF(OptControl=4,0,1),2),0)</f>
        <v>0</v>
      </c>
      <c r="BK97" s="324" t="n">
        <f aca="false">IF(AH97,xEURO(BB97,Strike1,AE97,AE97,BF97,O97,IF(OptControl=4,0,1),3)/100,0)</f>
        <v>0</v>
      </c>
      <c r="BL97" s="324" t="n">
        <f aca="false">IF(AH97,xEURO(BB97,Strike1,AE97,AE97,BF97,O97-DaysForThetaCalculation,IF(OptControl=4,0,1),0)-xEURO(BB97,Strike1,AE97,AE97,BF97,O97,IF(OptControl=4,0,1),0),0)</f>
        <v>0</v>
      </c>
      <c r="BM97" s="324" t="n">
        <f aca="false">IF(AH97,xEURO(BB97,Strike2,AE97,AE97,BG97,O97,IF(OptControl=3,1,0),0),0)</f>
        <v>0</v>
      </c>
      <c r="BN97" s="324" t="n">
        <f aca="false">IF(AH97,xEURO(BB97,Strike2,AE97,AE97,BG97,O97,IF(OptControl=3,1,0),1),0)</f>
        <v>0</v>
      </c>
      <c r="BO97" s="324" t="n">
        <f aca="false">IF(AH97,xEURO(BB97,Strike2,AE97,AE97,BG97,O97,IF(OptControl=3,1,0),2),0)</f>
        <v>0</v>
      </c>
      <c r="BP97" s="324" t="n">
        <f aca="false">IF(AH97,xEURO(BB97,Strike2,AE97,AE97,BG97,O97,IF(OptControl=3,1,0),3)/100,0)</f>
        <v>0</v>
      </c>
      <c r="BQ97" s="327" t="n">
        <f aca="false">IF(AH97,xEURO(BB97,Strike2,AE97,AE97,BG97,O97-DaysForThetaCalculation,IF(OptControl=3,1,0),0)-xEURO(BB97,Strike2,AE97,AE97,BG97,O97,IF(OptControl=3,1,0),0),0)</f>
        <v>0</v>
      </c>
      <c r="BR97" s="343"/>
      <c r="BS97" s="314" t="n">
        <v>24.263</v>
      </c>
      <c r="BT97" s="329" t="n">
        <f aca="false">BS97*100/42</f>
        <v>57.7690476190476</v>
      </c>
      <c r="BU97" s="329" t="n">
        <f aca="false">BS98-$U97</f>
        <v>-0.39836363636369</v>
      </c>
      <c r="BV97" s="224"/>
      <c r="BW97" s="329" t="n">
        <f aca="false">BW85+VLOOKUP(1900+$L97,ProductSpreadTable,2)</f>
        <v>12.1470952380953</v>
      </c>
      <c r="BX97" s="329" t="n">
        <f aca="false">($V96+BW96)*100/42</f>
        <v>87.711471861472</v>
      </c>
      <c r="BY97" s="332" t="n">
        <f aca="false">BX98</f>
        <v>87.4010925582358</v>
      </c>
      <c r="BZ97" s="314" t="n">
        <v>21.853</v>
      </c>
      <c r="CA97" s="329" t="n">
        <f aca="false">BZ97*100/42</f>
        <v>52.0309523809524</v>
      </c>
      <c r="CB97" s="329" t="n">
        <f aca="false">BZ97-$U97</f>
        <v>-2.70836363636369</v>
      </c>
      <c r="CC97" s="329" t="n">
        <f aca="false">CC85+VLOOKUP(1900+$L97,ProductSpreadTable,3)</f>
        <v>9.83709523809531</v>
      </c>
      <c r="CD97" s="329" t="n">
        <f aca="false">($V97+CC97)*100/42</f>
        <v>81.9010925582358</v>
      </c>
      <c r="CE97" s="333" t="n">
        <f aca="false">CD97-BY97</f>
        <v>-5.5</v>
      </c>
      <c r="CF97" s="314" t="n">
        <v>23.323</v>
      </c>
      <c r="CG97" s="329" t="n">
        <f aca="false">CF97*100/42</f>
        <v>55.5309523809524</v>
      </c>
      <c r="CH97" s="329" t="n">
        <f aca="false">CF98-$U97</f>
        <v>-0.625363636363694</v>
      </c>
      <c r="CI97" s="224"/>
      <c r="CJ97" s="329" t="n">
        <f aca="false">CJ85+VLOOKUP(1900+$L97,ProductSpreadTable,4)</f>
        <v>11.7190952380953</v>
      </c>
      <c r="CK97" s="329" t="n">
        <f aca="false">($V96+CJ96)*100/42</f>
        <v>84.9924242424244</v>
      </c>
      <c r="CL97" s="329" t="n">
        <f aca="false">CK98</f>
        <v>86.3820449391881</v>
      </c>
      <c r="CM97" s="314" t="n">
        <v>22.697</v>
      </c>
      <c r="CN97" s="329" t="n">
        <f aca="false">CM97*100/42</f>
        <v>54.0404761904762</v>
      </c>
      <c r="CO97" s="329" t="n">
        <f aca="false">CM97-$U97</f>
        <v>-1.86436363636369</v>
      </c>
      <c r="CP97" s="329" t="n">
        <f aca="false">CP85+VLOOKUP(1900+$L97,ProductSpreadTable,5)</f>
        <v>10.5220952380953</v>
      </c>
      <c r="CQ97" s="329" t="n">
        <f aca="false">($V97+CP97)*100/42</f>
        <v>83.5320449391881</v>
      </c>
      <c r="CR97" s="333" t="n">
        <f aca="false">CQ97-CL97</f>
        <v>-2.84999999999999</v>
      </c>
      <c r="CS97" s="314" t="n">
        <v>24.062</v>
      </c>
      <c r="CT97" s="329" t="n">
        <f aca="false">CS97*100/42</f>
        <v>57.2904761904762</v>
      </c>
      <c r="CU97" s="329" t="n">
        <f aca="false">CT97-CG98</f>
        <v>0.300000000000011</v>
      </c>
      <c r="CV97" s="329" t="n">
        <f aca="false">CV85+VLOOKUP(1900+$L97,ProductSpreadTable,6)</f>
        <v>1.65000000000001</v>
      </c>
      <c r="CW97" s="333" t="n">
        <f aca="false">CL97+CV97</f>
        <v>88.0320449391881</v>
      </c>
      <c r="CX97" s="318" t="n">
        <v>0.181</v>
      </c>
      <c r="CY97" s="326" t="n">
        <f aca="false">CX97-$W97</f>
        <v>-0.000299999999999967</v>
      </c>
      <c r="CZ97" s="326" t="n">
        <f aca="false">VLOOKUP(1900+$L97,ProductSpreadTable,7)</f>
        <v>-0.03</v>
      </c>
      <c r="DA97" s="365" t="n">
        <f aca="false">$W97+CZ97</f>
        <v>0.1513</v>
      </c>
      <c r="DB97" s="318" t="n">
        <v>0.181</v>
      </c>
      <c r="DC97" s="326" t="n">
        <f aca="false">DB97-$W97</f>
        <v>-0.000299999999999967</v>
      </c>
      <c r="DD97" s="326" t="n">
        <f aca="false">VLOOKUP(1900+$L97,ProductSpreadTable,8)</f>
        <v>0.03</v>
      </c>
      <c r="DE97" s="365" t="n">
        <f aca="false">$W97+DD97</f>
        <v>0.2113</v>
      </c>
      <c r="DG97" s="336"/>
      <c r="DH97" s="314"/>
      <c r="DI97" s="325" t="n">
        <f aca="false">DH97-$U97</f>
        <v>-24.5613636363637</v>
      </c>
      <c r="DJ97" s="325" t="n">
        <f aca="false">VLOOKUP(1900+$L97,ResidSpreadTable,2)</f>
        <v>-2</v>
      </c>
      <c r="DK97" s="337" t="n">
        <f aca="false">$V97+DJ97</f>
        <v>22.5613636363637</v>
      </c>
      <c r="DL97" s="314"/>
      <c r="DM97" s="325" t="n">
        <f aca="false">DL97-$U97</f>
        <v>-24.5613636363637</v>
      </c>
      <c r="DN97" s="325" t="n">
        <f aca="false">VLOOKUP(1900+$L97,ResidSpreadTable,3)</f>
        <v>-3</v>
      </c>
      <c r="DO97" s="337" t="n">
        <f aca="false">$V97+DN97</f>
        <v>21.5613636363637</v>
      </c>
      <c r="DP97" s="314"/>
      <c r="DQ97" s="325" t="n">
        <f aca="false">DP97-$U97</f>
        <v>-24.5613636363637</v>
      </c>
      <c r="DR97" s="325" t="n">
        <f aca="false">VLOOKUP(1900+$L97,ResidSpreadTable,4)</f>
        <v>-6</v>
      </c>
      <c r="DS97" s="337" t="n">
        <f aca="false">$V97+DR97</f>
        <v>18.5613636363637</v>
      </c>
      <c r="DT97" s="314"/>
      <c r="DU97" s="325" t="n">
        <f aca="false">DT97-$U97</f>
        <v>-24.5613636363637</v>
      </c>
      <c r="DV97" s="325" t="n">
        <f aca="false">VLOOKUP(1900+$L97,ResidSpreadTable,5)</f>
        <v>-5</v>
      </c>
      <c r="DW97" s="337" t="n">
        <f aca="false">$V97+DV97</f>
        <v>19.5613636363637</v>
      </c>
    </row>
    <row r="98" customFormat="false" ht="12.75" hidden="false" customHeight="false" outlineLevel="0" collapsed="false">
      <c r="B98" s="371" t="n">
        <v>38534</v>
      </c>
      <c r="C98" s="391" t="n">
        <v>38523</v>
      </c>
      <c r="I98" s="338" t="n">
        <f aca="false">EOMONTH(I97,0)+1</f>
        <v>48731</v>
      </c>
      <c r="J98" s="389" t="n">
        <f aca="false">VLOOKUP(I98,$B$12:$C$332,2)</f>
        <v>45644</v>
      </c>
      <c r="K98" s="339" t="n">
        <f aca="false">NETWORKDAYS(I98,J99)/N98</f>
        <v>-100.272727272727</v>
      </c>
      <c r="L98" s="309" t="n">
        <f aca="false">YEAR(I98)-1900</f>
        <v>133</v>
      </c>
      <c r="M98" s="310" t="n">
        <f aca="false">MONTH(I98)</f>
        <v>6</v>
      </c>
      <c r="N98" s="340" t="n">
        <f aca="false">NETWORKDAYS(I98,I99-1)</f>
        <v>22</v>
      </c>
      <c r="O98" s="341" t="n">
        <f aca="false">I98-DateToday-IF(EuroExpDateToggle=1,3+IF(WEEKDAY(I98-1)=7,1,IF(WEEKDAY(I98-1)&lt;5,2,0)),1+IF(WEEKDAY(I98-1)=7,1,IF(WEEKDAY(I98-1)&lt;3,2,0)))</f>
        <v>2800</v>
      </c>
      <c r="P98" s="342" t="n">
        <f aca="false">(I98-DateToday+1)/365.25</f>
        <v>7.68240930869268</v>
      </c>
      <c r="Q98" s="342" t="n">
        <f aca="false">(I99-DateToday)/365.25</f>
        <v>7.76180698151951</v>
      </c>
      <c r="R98" s="314" t="n">
        <v>19.55</v>
      </c>
      <c r="S98" s="347" t="n">
        <v>0</v>
      </c>
      <c r="T98" s="316" t="n">
        <f aca="false">R98+S98/100</f>
        <v>19.55</v>
      </c>
      <c r="U98" s="325" t="n">
        <f aca="false">R99*K98+R100*(1-K98)</f>
        <v>24.6636363636362</v>
      </c>
      <c r="V98" s="337" t="n">
        <f aca="false">T99*K98+T100*(1-K98)</f>
        <v>24.6636363636362</v>
      </c>
      <c r="W98" s="318" t="n">
        <v>0.1807</v>
      </c>
      <c r="X98" s="319" t="str">
        <f aca="false">IF($I98-DateToday+1&gt;=$A$10,"",IF($I98-DateToday+1&lt;$A$5,1,MATCH($I98-DateToday+1,$A$5:$A$10)))</f>
        <v/>
      </c>
      <c r="Y98" s="348" t="n">
        <f aca="false">IF($X98="",Y97^2/Y96,INDEX(B$5:B$10,$X98)^((INDEX($A$5:$A$10,$X98+1)-($I98-DateToday+1))/(INDEX($A$5:$A$10,$X98+1)-INDEX($A$5:$A$10,$X98)))/INDEX(B$5:B$10,$X98+1)^((INDEX($A$5:$A$10,$X98)-($I98-DateToday+1))/(INDEX($A$5:$A$10,$X98+1)-INDEX($A$5:$A$10,$X98))))</f>
        <v>0.00209351609053502</v>
      </c>
      <c r="Z98" s="348" t="n">
        <f aca="false">IF($X98="",Z97^2/Z96,INDEX(C$5:C$10,$X98)^((INDEX($A$5:$A$10,$X98+1)-($I98-DateToday+1))/(INDEX($A$5:$A$10,$X98+1)-INDEX($A$5:$A$10,$X98)))/INDEX(C$5:C$10,$X98+1)^((INDEX($A$5:$A$10,$X98)-($I98-DateToday+1))/(INDEX($A$5:$A$10,$X98+1)-INDEX($A$5:$A$10,$X98))))</f>
        <v>0.000786579299562642</v>
      </c>
      <c r="AA98" s="348" t="n">
        <f aca="false">IF($X98="",AA97^2/AA96,INDEX(D$5:D$10,$X98)^((INDEX($A$5:$A$10,$X98+1)-($I98-DateToday+1))/(INDEX($A$5:$A$10,$X98+1)-INDEX($A$5:$A$10,$X98)))/INDEX(D$5:D$10,$X98+1)^((INDEX($A$5:$A$10,$X98)-($I98-DateToday+1))/(INDEX($A$5:$A$10,$X98+1)-INDEX($A$5:$A$10,$X98))))</f>
        <v>0.000292731216017442</v>
      </c>
      <c r="AB98" s="348" t="n">
        <f aca="false">IF($X98="",AB97^2/AB96,INDEX(E$5:E$10,$X98)^((INDEX($A$5:$A$10,$X98+1)-($I98-DateToday+1))/(INDEX($A$5:$A$10,$X98+1)-INDEX($A$5:$A$10,$X98)))/INDEX(E$5:E$10,$X98+1)^((INDEX($A$5:$A$10,$X98)-($I98-DateToday+1))/(INDEX($A$5:$A$10,$X98+1)-INDEX($A$5:$A$10,$X98))))</f>
        <v>0.000659464883444105</v>
      </c>
      <c r="AC98" s="348" t="n">
        <f aca="false">IF($X98="",AC97^2/AC96,INDEX(F$5:F$10,$X98)^((INDEX($A$5:$A$10,$X98+1)-($I98-DateToday+1))/(INDEX($A$5:$A$10,$X98+1)-INDEX($A$5:$A$10,$X98)))/INDEX(F$5:F$10,$X98+1)^((INDEX($A$5:$A$10,$X98)-($I98-DateToday+1))/(INDEX($A$5:$A$10,$X98+1)-INDEX($A$5:$A$10,$X98))))</f>
        <v>0.00177200584605472</v>
      </c>
      <c r="AD98" s="348" t="n">
        <f aca="false">IF($X98="",AD97^2/AD96,INDEX(G$5:G$10,$X98)^((INDEX($A$5:$A$10,$X98+1)-($I98-DateToday+1))/(INDEX($A$5:$A$10,$X98+1)-INDEX($A$5:$A$10,$X98)))/INDEX(G$5:G$10,$X98+1)^((INDEX($A$5:$A$10,$X98)-($I98-DateToday+1))/(INDEX($A$5:$A$10,$X98+1)-INDEX($A$5:$A$10,$X98))))</f>
        <v>0.00471627304875706</v>
      </c>
      <c r="AE98" s="321" t="n">
        <v>0.073571342689855</v>
      </c>
      <c r="AF98" s="316" t="n">
        <f aca="false">(1+AE98/2)^(-2*(I99-DateToday)/365.25)</f>
        <v>0.570755664109163</v>
      </c>
      <c r="AG98" s="316" t="n">
        <f aca="false">AG97*(1+IF(AND(M98=1,L98&gt;YearStart),Escalation,0))</f>
        <v>1</v>
      </c>
      <c r="AH98" s="322" t="n">
        <f aca="false">IF(OR(DateStart&gt;=I99,DateEnd&lt;I98),0,Volume*AG98)</f>
        <v>0</v>
      </c>
      <c r="AI98" s="322" t="n">
        <f aca="false">AH98*AF98</f>
        <v>0</v>
      </c>
      <c r="AJ98" s="322" t="n">
        <f aca="false">IF(OR(DateStart2&gt;=I99,DateEnd2&lt;I98),0,VolumeSwaption*AG98)</f>
        <v>0</v>
      </c>
      <c r="AK98" s="322" t="n">
        <f aca="false">AJ98*AF98</f>
        <v>0</v>
      </c>
      <c r="AL98" s="316" t="str">
        <f aca="true">IF(AH98,OFFSET(BY98,0,HorizontalPriceOffset)+PriceSpreadAsian,"")</f>
        <v/>
      </c>
      <c r="AM98" s="316" t="str">
        <f aca="false">IF(AH98,Strike1/AL98-1,"")</f>
        <v/>
      </c>
      <c r="AN98" s="316" t="str">
        <f aca="false">IF(AH98,Strike2/AL98-1,"")</f>
        <v/>
      </c>
      <c r="AO98" s="323" t="str">
        <f aca="false">IF(AH98,IF(VolOverrideAsian,VolOverrideAsian,IF(ProductGroup=1,IF(Product&lt;3,DA99,DE99),W99)+VolSpreadAsian),"")</f>
        <v/>
      </c>
      <c r="AP98" s="323" t="str">
        <f aca="false">IF($AH98,$AO98+IF(SkewFlag=1,IF(AM98&gt;0,$AA98*MIN(AM98/10%,1)+($Z98-$AA98)*MAX(0,MIN(AM98/10%-1,1))+($Y98-$Z98)*MAX(0,AM98/10%-2),$AB98*MIN(-AM98/10%,1)+($AC98-$AB98)*MAX(0,MIN(-AM98/10%-1,1))+($AD98-$AC98)*MAX(0,-AM98/10%-2)),0),"")</f>
        <v/>
      </c>
      <c r="AQ98" s="323" t="str">
        <f aca="false">IF($AH98,$AO98+IF(SkewFlag=1,IF(AN98&gt;0,$AA98*MIN(AN98/10%,1)+($Z98-$AA98)*MAX(0,MIN(AN98/10%-1,1))+($Y98-$Z98)*MAX(0,AN98/10%-2),$AB98*MIN(-AN98/10%,1)+($AC98-$AB98)*MAX(0,MIN(-AN98/10%-1,1))+($AD98-$AC98)*MAX(0,-AN98/10%-2)),0),"")</f>
        <v/>
      </c>
      <c r="AR98" s="324" t="n">
        <f aca="false">IF(AH98,xASN(AL98,Strike1,AE98,AP98,0,N98,0,P98,Q98,IF(OptControl=4,0,1),0),0)</f>
        <v>0</v>
      </c>
      <c r="AS98" s="324" t="n">
        <f aca="false">IF(AH98,xASN(AL98,Strike1,AE98,AP98,0,N98,0,P98,Q98,IF(OptControl=4,0,1),1),0)</f>
        <v>0</v>
      </c>
      <c r="AT98" s="324" t="n">
        <f aca="false">IF(AH98,xASN(AL98,Strike1,AE98,AP98,0,N98,0,P98,Q98,IF(OptControl=4,0,1),2),0)</f>
        <v>0</v>
      </c>
      <c r="AU98" s="324" t="n">
        <f aca="false">IF(AH98,xASN(AL98,Strike1,AE98,AP98,0,N98,0,P98,Q98,IF(OptControl=4,0,1),3)/100,0)</f>
        <v>0</v>
      </c>
      <c r="AV98" s="324" t="n">
        <f aca="false">IF(AH98,xASN(AL98,Strike1,AE98,AP98,0,N98,0,P98-DaysForThetaCalculation/365.25,Q98-DaysForThetaCalculation/365.25,IF(OptControl=4,0,1),0)-xASN(AL98,Strike1,AE98,AP98,0,N98,0,P98,Q98,IF(OptControl=4,0,1),0),0)</f>
        <v>0</v>
      </c>
      <c r="AW98" s="324" t="n">
        <f aca="false">IF(AH98,xASN(AL98,Strike2,AE98,AQ98,0,N98,0,P98,Q98,IF(OptControl=3,1,0),0),0)</f>
        <v>0</v>
      </c>
      <c r="AX98" s="324" t="n">
        <f aca="false">IF(AH98,xASN(AL98,Strike2,AE98,AQ98,0,N98,0,P98,Q98,IF(OptControl=3,1,0),1),0)</f>
        <v>0</v>
      </c>
      <c r="AY98" s="324" t="n">
        <f aca="false">IF(AH98,xASN(AL98,Strike2,AE98,AQ98,0,N98,0,P98,Q98,IF(OptControl=3,1,0),2),0)</f>
        <v>0</v>
      </c>
      <c r="AZ98" s="324" t="n">
        <f aca="false">IF(AH98,xASN(AL98,Strike2,AE98,AQ98,0,N98,0,P98,Q98,IF(OptControl=3,1,0),3)/100,0)</f>
        <v>0</v>
      </c>
      <c r="BA98" s="324" t="n">
        <f aca="false">IF(AH98,xASN(AL98,Strike2,AE98,AQ98,0,N98,0,P98-DaysForThetaCalculation/365.25,Q98-DaysForThetaCalculation/365.25,IF(OptControl=3,1,0),0)-xASN(AL98,Strike2,AE98,AQ98,0,N98,0,P98,Q98,IF(OptControl=3,1,0),0),0)</f>
        <v>0</v>
      </c>
      <c r="BB98" s="325" t="str">
        <f aca="false">IF(AH98,IF(ProductGroup=1,IF(Product=1,BX98+PriceSpreadEuro,IF(Product=3,CK98+PriceSpreadEuro,"N/A")),"N/A"),"")</f>
        <v/>
      </c>
      <c r="BC98" s="316" t="str">
        <f aca="false">IF(AH98,Strike1/BB98-1,"")</f>
        <v/>
      </c>
      <c r="BD98" s="316" t="str">
        <f aca="false">IF(AH98,Strike2/BB98-1,"")</f>
        <v/>
      </c>
      <c r="BE98" s="326" t="str">
        <f aca="false">IF(AH98,IF(VolOverrideEuro,VolOverrideEuro,IF(ProductGroup=1,IF(Product&lt;3,DA98,DE98)+VolSpreadEuro,"N/A")),"")</f>
        <v/>
      </c>
      <c r="BF98" s="323" t="str">
        <f aca="false">IF($AH98,$BE98+IF(SkewFlag=1,IF(BC98&gt;0,$AA98*MIN(BC98/10%,1)+($Z98-$AA98)*MAX(0,MIN(BC98/10%-1,1))+($Y98-$Z98)*MAX(0,BC98/10%-2),$AB98*MIN(-BC98/10%,1)+($AC98-$AB98)*MAX(0,MIN(-BC98/10%-1,1))+($AD98-$AC98)*MAX(0,-BC98/10%-2)),0),"")</f>
        <v/>
      </c>
      <c r="BG98" s="323" t="str">
        <f aca="false">IF($AH98,$BE98+IF(SkewFlag=1,IF(BD98&gt;0,$AA98*MIN(BD98/10%,1)+($Z98-$AA98)*MAX(0,MIN(BD98/10%-1,1))+($Y98-$Z98)*MAX(0,BD98/10%-2),$AB98*MIN(-BD98/10%,1)+($AC98-$AB98)*MAX(0,MIN(-BD98/10%-1,1))+($AD98-$AC98)*MAX(0,-BD98/10%-2)),0),"")</f>
        <v/>
      </c>
      <c r="BH98" s="324" t="n">
        <f aca="false">IF(AH98,xEURO(BB98,Strike1,AE98,AE98,BF98,O98,IF(OptControl=4,0,1),0),0)</f>
        <v>0</v>
      </c>
      <c r="BI98" s="324" t="n">
        <f aca="false">IF(AH98,xEURO(BB98,Strike1,AE98,AE98,BF98,O98,IF(OptControl=4,0,1),1),0)</f>
        <v>0</v>
      </c>
      <c r="BJ98" s="324" t="n">
        <f aca="false">IF(AH98,xEURO(BB98,Strike1,AE98,AE98,BF98,O98,IF(OptControl=4,0,1),2),0)</f>
        <v>0</v>
      </c>
      <c r="BK98" s="324" t="n">
        <f aca="false">IF(AH98,xEURO(BB98,Strike1,AE98,AE98,BF98,O98,IF(OptControl=4,0,1),3)/100,0)</f>
        <v>0</v>
      </c>
      <c r="BL98" s="324" t="n">
        <f aca="false">IF(AH98,xEURO(BB98,Strike1,AE98,AE98,BF98,O98-DaysForThetaCalculation,IF(OptControl=4,0,1),0)-xEURO(BB98,Strike1,AE98,AE98,BF98,O98,IF(OptControl=4,0,1),0),0)</f>
        <v>0</v>
      </c>
      <c r="BM98" s="324" t="n">
        <f aca="false">IF(AH98,xEURO(BB98,Strike2,AE98,AE98,BG98,O98,IF(OptControl=3,1,0),0),0)</f>
        <v>0</v>
      </c>
      <c r="BN98" s="324" t="n">
        <f aca="false">IF(AH98,xEURO(BB98,Strike2,AE98,AE98,BG98,O98,IF(OptControl=3,1,0),1),0)</f>
        <v>0</v>
      </c>
      <c r="BO98" s="324" t="n">
        <f aca="false">IF(AH98,xEURO(BB98,Strike2,AE98,AE98,BG98,O98,IF(OptControl=3,1,0),2),0)</f>
        <v>0</v>
      </c>
      <c r="BP98" s="324" t="n">
        <f aca="false">IF(AH98,xEURO(BB98,Strike2,AE98,AE98,BG98,O98,IF(OptControl=3,1,0),3)/100,0)</f>
        <v>0</v>
      </c>
      <c r="BQ98" s="327" t="n">
        <f aca="false">IF(AH98,xEURO(BB98,Strike2,AE98,AE98,BG98,O98-DaysForThetaCalculation,IF(OptControl=3,1,0),0)-xEURO(BB98,Strike2,AE98,AE98,BG98,O98,IF(OptControl=3,1,0),0),0)</f>
        <v>0</v>
      </c>
      <c r="BR98" s="343"/>
      <c r="BS98" s="314" t="n">
        <v>24.163</v>
      </c>
      <c r="BT98" s="329" t="n">
        <f aca="false">BS98*100/42</f>
        <v>57.5309523809524</v>
      </c>
      <c r="BU98" s="329" t="n">
        <f aca="false">BS99-$U98</f>
        <v>-0.290636363636214</v>
      </c>
      <c r="BV98" s="224"/>
      <c r="BW98" s="329" t="n">
        <f aca="false">BW86+VLOOKUP(1900+$L98,ProductSpreadTable,2)</f>
        <v>12.0418181818182</v>
      </c>
      <c r="BX98" s="329" t="n">
        <f aca="false">($V97+BW97)*100/42</f>
        <v>87.4010925582358</v>
      </c>
      <c r="BY98" s="332" t="n">
        <f aca="false">BX99</f>
        <v>87.3939393939391</v>
      </c>
      <c r="BZ98" s="314" t="n">
        <v>22.063</v>
      </c>
      <c r="CA98" s="329" t="n">
        <f aca="false">BZ98*100/42</f>
        <v>52.5309523809524</v>
      </c>
      <c r="CB98" s="329" t="n">
        <f aca="false">BZ98-$U98</f>
        <v>-2.60063636363621</v>
      </c>
      <c r="CC98" s="329" t="n">
        <f aca="false">CC86+VLOOKUP(1900+$L98,ProductSpreadTable,3)</f>
        <v>9.73181818181819</v>
      </c>
      <c r="CD98" s="329" t="n">
        <f aca="false">($V98+CC98)*100/42</f>
        <v>81.8939393939391</v>
      </c>
      <c r="CE98" s="333" t="n">
        <f aca="false">CD98-BY98</f>
        <v>-5.49999999999999</v>
      </c>
      <c r="CF98" s="314" t="n">
        <v>23.936</v>
      </c>
      <c r="CG98" s="329" t="n">
        <f aca="false">CF98*100/42</f>
        <v>56.9904761904762</v>
      </c>
      <c r="CH98" s="329" t="n">
        <f aca="false">CF99-$U98</f>
        <v>-0.332636363636215</v>
      </c>
      <c r="CI98" s="224"/>
      <c r="CJ98" s="329" t="n">
        <f aca="false">CJ86+VLOOKUP(1900+$L98,ProductSpreadTable,4)</f>
        <v>11.8028181818182</v>
      </c>
      <c r="CK98" s="329" t="n">
        <f aca="false">($V97+CJ97)*100/42</f>
        <v>86.3820449391881</v>
      </c>
      <c r="CL98" s="329" t="n">
        <f aca="false">CK99</f>
        <v>86.8248917748914</v>
      </c>
      <c r="CM98" s="314" t="n">
        <v>23.092</v>
      </c>
      <c r="CN98" s="329" t="n">
        <f aca="false">CM98*100/42</f>
        <v>54.9809523809524</v>
      </c>
      <c r="CO98" s="329" t="n">
        <f aca="false">CM98-$U98</f>
        <v>-1.57163636363621</v>
      </c>
      <c r="CP98" s="329" t="n">
        <f aca="false">CP86+VLOOKUP(1900+$L98,ProductSpreadTable,5)</f>
        <v>10.6058181818182</v>
      </c>
      <c r="CQ98" s="329" t="n">
        <f aca="false">($V98+CP98)*100/42</f>
        <v>83.9748917748915</v>
      </c>
      <c r="CR98" s="333" t="n">
        <f aca="false">CQ98-CL98</f>
        <v>-2.84999999999999</v>
      </c>
      <c r="CS98" s="314" t="n">
        <v>24.457</v>
      </c>
      <c r="CT98" s="329" t="n">
        <f aca="false">CS98*100/42</f>
        <v>58.2309523809524</v>
      </c>
      <c r="CU98" s="329" t="n">
        <f aca="false">CT98-CG99</f>
        <v>0.300000000000011</v>
      </c>
      <c r="CV98" s="329" t="n">
        <f aca="false">CV86+VLOOKUP(1900+$L98,ProductSpreadTable,6)</f>
        <v>1.65000000000001</v>
      </c>
      <c r="CW98" s="333" t="n">
        <f aca="false">CL98+CV98</f>
        <v>88.4748917748915</v>
      </c>
      <c r="CX98" s="318" t="n">
        <v>0.181</v>
      </c>
      <c r="CY98" s="326" t="n">
        <f aca="false">CX98-$W98</f>
        <v>0.000300000000000022</v>
      </c>
      <c r="CZ98" s="326" t="n">
        <f aca="false">VLOOKUP(1900+$L98,ProductSpreadTable,7)</f>
        <v>-0.03</v>
      </c>
      <c r="DA98" s="365" t="n">
        <f aca="false">$W98+CZ98</f>
        <v>0.1507</v>
      </c>
      <c r="DB98" s="318" t="n">
        <v>0.181</v>
      </c>
      <c r="DC98" s="326" t="n">
        <f aca="false">DB98-$W98</f>
        <v>0.000300000000000022</v>
      </c>
      <c r="DD98" s="326" t="n">
        <f aca="false">VLOOKUP(1900+$L98,ProductSpreadTable,8)</f>
        <v>0.03</v>
      </c>
      <c r="DE98" s="365" t="n">
        <f aca="false">$W98+DD98</f>
        <v>0.2107</v>
      </c>
      <c r="DG98" s="336"/>
      <c r="DH98" s="314"/>
      <c r="DI98" s="325" t="n">
        <f aca="false">DH98-$U98</f>
        <v>-24.6636363636362</v>
      </c>
      <c r="DJ98" s="325" t="n">
        <f aca="false">VLOOKUP(1900+$L98,ResidSpreadTable,2)</f>
        <v>-2</v>
      </c>
      <c r="DK98" s="337" t="n">
        <f aca="false">$V98+DJ98</f>
        <v>22.6636363636362</v>
      </c>
      <c r="DL98" s="314"/>
      <c r="DM98" s="325" t="n">
        <f aca="false">DL98-$U98</f>
        <v>-24.6636363636362</v>
      </c>
      <c r="DN98" s="325" t="n">
        <f aca="false">VLOOKUP(1900+$L98,ResidSpreadTable,3)</f>
        <v>-3</v>
      </c>
      <c r="DO98" s="337" t="n">
        <f aca="false">$V98+DN98</f>
        <v>21.6636363636362</v>
      </c>
      <c r="DP98" s="314"/>
      <c r="DQ98" s="325" t="n">
        <f aca="false">DP98-$U98</f>
        <v>-24.6636363636362</v>
      </c>
      <c r="DR98" s="325" t="n">
        <f aca="false">VLOOKUP(1900+$L98,ResidSpreadTable,4)</f>
        <v>-6</v>
      </c>
      <c r="DS98" s="337" t="n">
        <f aca="false">$V98+DR98</f>
        <v>18.6636363636362</v>
      </c>
      <c r="DT98" s="314"/>
      <c r="DU98" s="325" t="n">
        <f aca="false">DT98-$U98</f>
        <v>-24.6636363636362</v>
      </c>
      <c r="DV98" s="325" t="n">
        <f aca="false">VLOOKUP(1900+$L98,ResidSpreadTable,5)</f>
        <v>-5</v>
      </c>
      <c r="DW98" s="337" t="n">
        <f aca="false">$V98+DV98</f>
        <v>19.6636363636362</v>
      </c>
    </row>
    <row r="99" customFormat="false" ht="12.75" hidden="false" customHeight="false" outlineLevel="0" collapsed="false">
      <c r="B99" s="371" t="n">
        <v>38565</v>
      </c>
      <c r="C99" s="391" t="n">
        <v>38553</v>
      </c>
      <c r="I99" s="338" t="n">
        <f aca="false">EOMONTH(I98,0)+1</f>
        <v>48761</v>
      </c>
      <c r="J99" s="389" t="n">
        <f aca="false">VLOOKUP(I99,$B$12:$C$332,2)</f>
        <v>45644</v>
      </c>
      <c r="K99" s="339" t="n">
        <f aca="false">NETWORKDAYS(I99,J100)/N99</f>
        <v>-106.095238095238</v>
      </c>
      <c r="L99" s="309" t="n">
        <f aca="false">YEAR(I99)-1900</f>
        <v>133</v>
      </c>
      <c r="M99" s="310" t="n">
        <f aca="false">MONTH(I99)</f>
        <v>7</v>
      </c>
      <c r="N99" s="340" t="n">
        <f aca="false">NETWORKDAYS(I99,I100-1)</f>
        <v>21</v>
      </c>
      <c r="O99" s="341" t="n">
        <f aca="false">I99-DateToday-IF(EuroExpDateToggle=1,3+IF(WEEKDAY(I99-1)=7,1,IF(WEEKDAY(I99-1)&lt;5,2,0)),1+IF(WEEKDAY(I99-1)=7,1,IF(WEEKDAY(I99-1)&lt;3,2,0)))</f>
        <v>2832</v>
      </c>
      <c r="P99" s="342" t="n">
        <f aca="false">(I99-DateToday+1)/365.25</f>
        <v>7.76454483230664</v>
      </c>
      <c r="Q99" s="342" t="n">
        <f aca="false">(I100-DateToday)/365.25</f>
        <v>7.8466803559206</v>
      </c>
      <c r="R99" s="314" t="n">
        <v>19.6</v>
      </c>
      <c r="S99" s="347" t="n">
        <v>0</v>
      </c>
      <c r="T99" s="316" t="n">
        <f aca="false">R99+S99/100</f>
        <v>19.6</v>
      </c>
      <c r="U99" s="325" t="n">
        <f aca="false">R100*K99+R101*(1-K99)</f>
        <v>25.0047619047618</v>
      </c>
      <c r="V99" s="337" t="n">
        <f aca="false">T100*K99+T101*(1-K99)</f>
        <v>25.0047619047618</v>
      </c>
      <c r="W99" s="318" t="n">
        <v>0.1802</v>
      </c>
      <c r="X99" s="319" t="str">
        <f aca="false">IF($I99-DateToday+1&gt;=$A$10,"",IF($I99-DateToday+1&lt;$A$5,1,MATCH($I99-DateToday+1,$A$5:$A$10)))</f>
        <v/>
      </c>
      <c r="Y99" s="348" t="n">
        <f aca="false">IF($X99="",Y98^2/Y97,INDEX(B$5:B$10,$X99)^((INDEX($A$5:$A$10,$X99+1)-($I99-DateToday+1))/(INDEX($A$5:$A$10,$X99+1)-INDEX($A$5:$A$10,$X99)))/INDEX(B$5:B$10,$X99+1)^((INDEX($A$5:$A$10,$X99)-($I99-DateToday+1))/(INDEX($A$5:$A$10,$X99+1)-INDEX($A$5:$A$10,$X99))))</f>
        <v>0.00204869709512239</v>
      </c>
      <c r="Z99" s="348" t="n">
        <f aca="false">IF($X99="",Z98^2/Z97,INDEX(C$5:C$10,$X99)^((INDEX($A$5:$A$10,$X99+1)-($I99-DateToday+1))/(INDEX($A$5:$A$10,$X99+1)-INDEX($A$5:$A$10,$X99)))/INDEX(C$5:C$10,$X99+1)^((INDEX($A$5:$A$10,$X99)-($I99-DateToday+1))/(INDEX($A$5:$A$10,$X99+1)-INDEX($A$5:$A$10,$X99))))</f>
        <v>0.000765618606040775</v>
      </c>
      <c r="AA99" s="348" t="n">
        <f aca="false">IF($X99="",AA98^2/AA97,INDEX(D$5:D$10,$X99)^((INDEX($A$5:$A$10,$X99+1)-($I99-DateToday+1))/(INDEX($A$5:$A$10,$X99+1)-INDEX($A$5:$A$10,$X99)))/INDEX(D$5:D$10,$X99+1)^((INDEX($A$5:$A$10,$X99)-($I99-DateToday+1))/(INDEX($A$5:$A$10,$X99+1)-INDEX($A$5:$A$10,$X99))))</f>
        <v>0.000284166473034473</v>
      </c>
      <c r="AB99" s="348" t="n">
        <f aca="false">IF($X99="",AB98^2/AB97,INDEX(E$5:E$10,$X99)^((INDEX($A$5:$A$10,$X99+1)-($I99-DateToday+1))/(INDEX($A$5:$A$10,$X99+1)-INDEX($A$5:$A$10,$X99)))/INDEX(E$5:E$10,$X99+1)^((INDEX($A$5:$A$10,$X99)-($I99-DateToday+1))/(INDEX($A$5:$A$10,$X99+1)-INDEX($A$5:$A$10,$X99))))</f>
        <v>0.00064017023045207</v>
      </c>
      <c r="AC99" s="348" t="n">
        <f aca="false">IF($X99="",AC98^2/AC97,INDEX(F$5:F$10,$X99)^((INDEX($A$5:$A$10,$X99+1)-($I99-DateToday+1))/(INDEX($A$5:$A$10,$X99+1)-INDEX($A$5:$A$10,$X99)))/INDEX(F$5:F$10,$X99+1)^((INDEX($A$5:$A$10,$X99)-($I99-DateToday+1))/(INDEX($A$5:$A$10,$X99+1)-INDEX($A$5:$A$10,$X99))))</f>
        <v>0.00172478559568866</v>
      </c>
      <c r="AD99" s="348" t="n">
        <f aca="false">IF($X99="",AD98^2/AD97,INDEX(G$5:G$10,$X99)^((INDEX($A$5:$A$10,$X99+1)-($I99-DateToday+1))/(INDEX($A$5:$A$10,$X99+1)-INDEX($A$5:$A$10,$X99)))/INDEX(G$5:G$10,$X99+1)^((INDEX($A$5:$A$10,$X99)-($I99-DateToday+1))/(INDEX($A$5:$A$10,$X99+1)-INDEX($A$5:$A$10,$X99))))</f>
        <v>0.00461530481589149</v>
      </c>
      <c r="AE99" s="321" t="n">
        <v>0.073578932759837</v>
      </c>
      <c r="AF99" s="316" t="n">
        <f aca="false">(1+AE99/2)^(-2*(I100-DateToday)/365.25)</f>
        <v>0.567233834908146</v>
      </c>
      <c r="AG99" s="316" t="n">
        <f aca="false">AG98*(1+IF(AND(M99=1,L99&gt;YearStart),Escalation,0))</f>
        <v>1</v>
      </c>
      <c r="AH99" s="322" t="n">
        <f aca="false">IF(OR(DateStart&gt;=I100,DateEnd&lt;I99),0,Volume*AG99)</f>
        <v>0</v>
      </c>
      <c r="AI99" s="322" t="n">
        <f aca="false">AH99*AF99</f>
        <v>0</v>
      </c>
      <c r="AJ99" s="322" t="n">
        <f aca="false">IF(OR(DateStart2&gt;=I100,DateEnd2&lt;I99),0,VolumeSwaption*AG99)</f>
        <v>0</v>
      </c>
      <c r="AK99" s="322" t="n">
        <f aca="false">AJ99*AF99</f>
        <v>0</v>
      </c>
      <c r="AL99" s="316" t="str">
        <f aca="true">IF(AH99,OFFSET(BY99,0,HorizontalPriceOffset)+PriceSpreadAsian,"")</f>
        <v/>
      </c>
      <c r="AM99" s="316" t="str">
        <f aca="false">IF(AH99,Strike1/AL99-1,"")</f>
        <v/>
      </c>
      <c r="AN99" s="316" t="str">
        <f aca="false">IF(AH99,Strike2/AL99-1,"")</f>
        <v/>
      </c>
      <c r="AO99" s="323" t="str">
        <f aca="false">IF(AH99,IF(VolOverrideAsian,VolOverrideAsian,IF(ProductGroup=1,IF(Product&lt;3,DA100,DE100),W100)+VolSpreadAsian),"")</f>
        <v/>
      </c>
      <c r="AP99" s="323" t="str">
        <f aca="false">IF($AH99,$AO99+IF(SkewFlag=1,IF(AM99&gt;0,$AA99*MIN(AM99/10%,1)+($Z99-$AA99)*MAX(0,MIN(AM99/10%-1,1))+($Y99-$Z99)*MAX(0,AM99/10%-2),$AB99*MIN(-AM99/10%,1)+($AC99-$AB99)*MAX(0,MIN(-AM99/10%-1,1))+($AD99-$AC99)*MAX(0,-AM99/10%-2)),0),"")</f>
        <v/>
      </c>
      <c r="AQ99" s="323" t="str">
        <f aca="false">IF($AH99,$AO99+IF(SkewFlag=1,IF(AN99&gt;0,$AA99*MIN(AN99/10%,1)+($Z99-$AA99)*MAX(0,MIN(AN99/10%-1,1))+($Y99-$Z99)*MAX(0,AN99/10%-2),$AB99*MIN(-AN99/10%,1)+($AC99-$AB99)*MAX(0,MIN(-AN99/10%-1,1))+($AD99-$AC99)*MAX(0,-AN99/10%-2)),0),"")</f>
        <v/>
      </c>
      <c r="AR99" s="324" t="n">
        <f aca="false">IF(AH99,xASN(AL99,Strike1,AE99,AP99,0,N99,0,P99,Q99,IF(OptControl=4,0,1),0),0)</f>
        <v>0</v>
      </c>
      <c r="AS99" s="324" t="n">
        <f aca="false">IF(AH99,xASN(AL99,Strike1,AE99,AP99,0,N99,0,P99,Q99,IF(OptControl=4,0,1),1),0)</f>
        <v>0</v>
      </c>
      <c r="AT99" s="324" t="n">
        <f aca="false">IF(AH99,xASN(AL99,Strike1,AE99,AP99,0,N99,0,P99,Q99,IF(OptControl=4,0,1),2),0)</f>
        <v>0</v>
      </c>
      <c r="AU99" s="324" t="n">
        <f aca="false">IF(AH99,xASN(AL99,Strike1,AE99,AP99,0,N99,0,P99,Q99,IF(OptControl=4,0,1),3)/100,0)</f>
        <v>0</v>
      </c>
      <c r="AV99" s="324" t="n">
        <f aca="false">IF(AH99,xASN(AL99,Strike1,AE99,AP99,0,N99,0,P99-DaysForThetaCalculation/365.25,Q99-DaysForThetaCalculation/365.25,IF(OptControl=4,0,1),0)-xASN(AL99,Strike1,AE99,AP99,0,N99,0,P99,Q99,IF(OptControl=4,0,1),0),0)</f>
        <v>0</v>
      </c>
      <c r="AW99" s="324" t="n">
        <f aca="false">IF(AH99,xASN(AL99,Strike2,AE99,AQ99,0,N99,0,P99,Q99,IF(OptControl=3,1,0),0),0)</f>
        <v>0</v>
      </c>
      <c r="AX99" s="324" t="n">
        <f aca="false">IF(AH99,xASN(AL99,Strike2,AE99,AQ99,0,N99,0,P99,Q99,IF(OptControl=3,1,0),1),0)</f>
        <v>0</v>
      </c>
      <c r="AY99" s="324" t="n">
        <f aca="false">IF(AH99,xASN(AL99,Strike2,AE99,AQ99,0,N99,0,P99,Q99,IF(OptControl=3,1,0),2),0)</f>
        <v>0</v>
      </c>
      <c r="AZ99" s="324" t="n">
        <f aca="false">IF(AH99,xASN(AL99,Strike2,AE99,AQ99,0,N99,0,P99,Q99,IF(OptControl=3,1,0),3)/100,0)</f>
        <v>0</v>
      </c>
      <c r="BA99" s="324" t="n">
        <f aca="false">IF(AH99,xASN(AL99,Strike2,AE99,AQ99,0,N99,0,P99-DaysForThetaCalculation/365.25,Q99-DaysForThetaCalculation/365.25,IF(OptControl=3,1,0),0)-xASN(AL99,Strike2,AE99,AQ99,0,N99,0,P99,Q99,IF(OptControl=3,1,0),0),0)</f>
        <v>0</v>
      </c>
      <c r="BB99" s="325" t="str">
        <f aca="false">IF(AH99,IF(ProductGroup=1,IF(Product=1,BX99+PriceSpreadEuro,IF(Product=3,CK99+PriceSpreadEuro,"N/A")),"N/A"),"")</f>
        <v/>
      </c>
      <c r="BC99" s="316" t="str">
        <f aca="false">IF(AH99,Strike1/BB99-1,"")</f>
        <v/>
      </c>
      <c r="BD99" s="316" t="str">
        <f aca="false">IF(AH99,Strike2/BB99-1,"")</f>
        <v/>
      </c>
      <c r="BE99" s="326" t="str">
        <f aca="false">IF(AH99,IF(VolOverrideEuro,VolOverrideEuro,IF(ProductGroup=1,IF(Product&lt;3,DA99,DE99)+VolSpreadEuro,"N/A")),"")</f>
        <v/>
      </c>
      <c r="BF99" s="323" t="str">
        <f aca="false">IF($AH99,$BE99+IF(SkewFlag=1,IF(BC99&gt;0,$AA99*MIN(BC99/10%,1)+($Z99-$AA99)*MAX(0,MIN(BC99/10%-1,1))+($Y99-$Z99)*MAX(0,BC99/10%-2),$AB99*MIN(-BC99/10%,1)+($AC99-$AB99)*MAX(0,MIN(-BC99/10%-1,1))+($AD99-$AC99)*MAX(0,-BC99/10%-2)),0),"")</f>
        <v/>
      </c>
      <c r="BG99" s="323" t="str">
        <f aca="false">IF($AH99,$BE99+IF(SkewFlag=1,IF(BD99&gt;0,$AA99*MIN(BD99/10%,1)+($Z99-$AA99)*MAX(0,MIN(BD99/10%-1,1))+($Y99-$Z99)*MAX(0,BD99/10%-2),$AB99*MIN(-BD99/10%,1)+($AC99-$AB99)*MAX(0,MIN(-BD99/10%-1,1))+($AD99-$AC99)*MAX(0,-BD99/10%-2)),0),"")</f>
        <v/>
      </c>
      <c r="BH99" s="324" t="n">
        <f aca="false">IF(AH99,xEURO(BB99,Strike1,AE99,AE99,BF99,O99,IF(OptControl=4,0,1),0),0)</f>
        <v>0</v>
      </c>
      <c r="BI99" s="324" t="n">
        <f aca="false">IF(AH99,xEURO(BB99,Strike1,AE99,AE99,BF99,O99,IF(OptControl=4,0,1),1),0)</f>
        <v>0</v>
      </c>
      <c r="BJ99" s="324" t="n">
        <f aca="false">IF(AH99,xEURO(BB99,Strike1,AE99,AE99,BF99,O99,IF(OptControl=4,0,1),2),0)</f>
        <v>0</v>
      </c>
      <c r="BK99" s="324" t="n">
        <f aca="false">IF(AH99,xEURO(BB99,Strike1,AE99,AE99,BF99,O99,IF(OptControl=4,0,1),3)/100,0)</f>
        <v>0</v>
      </c>
      <c r="BL99" s="324" t="n">
        <f aca="false">IF(AH99,xEURO(BB99,Strike1,AE99,AE99,BF99,O99-DaysForThetaCalculation,IF(OptControl=4,0,1),0)-xEURO(BB99,Strike1,AE99,AE99,BF99,O99,IF(OptControl=4,0,1),0),0)</f>
        <v>0</v>
      </c>
      <c r="BM99" s="324" t="n">
        <f aca="false">IF(AH99,xEURO(BB99,Strike2,AE99,AE99,BG99,O99,IF(OptControl=3,1,0),0),0)</f>
        <v>0</v>
      </c>
      <c r="BN99" s="324" t="n">
        <f aca="false">IF(AH99,xEURO(BB99,Strike2,AE99,AE99,BG99,O99,IF(OptControl=3,1,0),1),0)</f>
        <v>0</v>
      </c>
      <c r="BO99" s="324" t="n">
        <f aca="false">IF(AH99,xEURO(BB99,Strike2,AE99,AE99,BG99,O99,IF(OptControl=3,1,0),2),0)</f>
        <v>0</v>
      </c>
      <c r="BP99" s="324" t="n">
        <f aca="false">IF(AH99,xEURO(BB99,Strike2,AE99,AE99,BG99,O99,IF(OptControl=3,1,0),3)/100,0)</f>
        <v>0</v>
      </c>
      <c r="BQ99" s="327" t="n">
        <f aca="false">IF(AH99,xEURO(BB99,Strike2,AE99,AE99,BG99,O99-DaysForThetaCalculation,IF(OptControl=3,1,0),0)-xEURO(BB99,Strike2,AE99,AE99,BG99,O99,IF(OptControl=3,1,0),0),0)</f>
        <v>0</v>
      </c>
      <c r="BR99" s="343"/>
      <c r="BS99" s="314" t="n">
        <v>24.373</v>
      </c>
      <c r="BT99" s="329" t="n">
        <f aca="false">BS99*100/42</f>
        <v>58.0309523809524</v>
      </c>
      <c r="BU99" s="329" t="n">
        <f aca="false">BS100-$U99</f>
        <v>0.371238095238166</v>
      </c>
      <c r="BV99" s="224"/>
      <c r="BW99" s="329" t="n">
        <f aca="false">BW87+VLOOKUP(1900+$L99,ProductSpreadTable,2)</f>
        <v>12.0238260869565</v>
      </c>
      <c r="BX99" s="329" t="n">
        <f aca="false">($V98+BW98)*100/42</f>
        <v>87.3939393939391</v>
      </c>
      <c r="BY99" s="332" t="n">
        <f aca="false">BX100</f>
        <v>88.1633047421866</v>
      </c>
      <c r="BZ99" s="314" t="n">
        <v>23.171</v>
      </c>
      <c r="CA99" s="329" t="n">
        <f aca="false">BZ99*100/42</f>
        <v>55.1690476190476</v>
      </c>
      <c r="CB99" s="329" t="n">
        <f aca="false">BZ99-$U99</f>
        <v>-1.83376190476184</v>
      </c>
      <c r="CC99" s="329" t="n">
        <f aca="false">CC87+VLOOKUP(1900+$L99,ProductSpreadTable,3)</f>
        <v>10.5118260869565</v>
      </c>
      <c r="CD99" s="329" t="n">
        <f aca="false">($V99+CC99)*100/42</f>
        <v>84.5633047421866</v>
      </c>
      <c r="CE99" s="333" t="n">
        <f aca="false">CD99-BY99</f>
        <v>-3.59999999999999</v>
      </c>
      <c r="CF99" s="314" t="n">
        <v>24.331</v>
      </c>
      <c r="CG99" s="329" t="n">
        <f aca="false">CF99*100/42</f>
        <v>57.9309523809524</v>
      </c>
      <c r="CH99" s="329" t="n">
        <f aca="false">CF100-$U99</f>
        <v>-1.05176190476183</v>
      </c>
      <c r="CI99" s="224"/>
      <c r="CJ99" s="329" t="n">
        <f aca="false">CJ87+VLOOKUP(1900+$L99,ProductSpreadTable,4)</f>
        <v>11.3438260869565</v>
      </c>
      <c r="CK99" s="329" t="n">
        <f aca="false">($V98+CJ98)*100/42</f>
        <v>86.8248917748914</v>
      </c>
      <c r="CL99" s="329" t="n">
        <f aca="false">CK100</f>
        <v>86.544257123139</v>
      </c>
      <c r="CM99" s="314" t="n">
        <v>22.819</v>
      </c>
      <c r="CN99" s="329" t="n">
        <f aca="false">CM99*100/42</f>
        <v>54.3309523809524</v>
      </c>
      <c r="CO99" s="329" t="n">
        <f aca="false">CM99-$U99</f>
        <v>-2.18576190476183</v>
      </c>
      <c r="CP99" s="329" t="n">
        <f aca="false">CP87+VLOOKUP(1900+$L99,ProductSpreadTable,5)</f>
        <v>10.2308260869565</v>
      </c>
      <c r="CQ99" s="329" t="n">
        <f aca="false">($V99+CP99)*100/42</f>
        <v>83.894257123139</v>
      </c>
      <c r="CR99" s="333" t="n">
        <f aca="false">CQ99-CL99</f>
        <v>-2.65000000000001</v>
      </c>
      <c r="CS99" s="314" t="n">
        <v>24.079</v>
      </c>
      <c r="CT99" s="329" t="n">
        <f aca="false">CS99*100/42</f>
        <v>57.3309523809524</v>
      </c>
      <c r="CU99" s="329" t="n">
        <f aca="false">CT99-CG100</f>
        <v>0.299999999999997</v>
      </c>
      <c r="CV99" s="329" t="n">
        <f aca="false">CV87+VLOOKUP(1900+$L99,ProductSpreadTable,6)</f>
        <v>1.65000000000001</v>
      </c>
      <c r="CW99" s="333" t="n">
        <f aca="false">CL99+CV99</f>
        <v>88.194257123139</v>
      </c>
      <c r="CX99" s="318" t="n">
        <v>0.18</v>
      </c>
      <c r="CY99" s="326" t="n">
        <f aca="false">CX99-$W99</f>
        <v>-0.000200000000000006</v>
      </c>
      <c r="CZ99" s="326" t="n">
        <f aca="false">VLOOKUP(1900+$L99,ProductSpreadTable,7)</f>
        <v>-0.03</v>
      </c>
      <c r="DA99" s="365" t="n">
        <f aca="false">$W99+CZ99</f>
        <v>0.1502</v>
      </c>
      <c r="DB99" s="318" t="n">
        <v>0.18</v>
      </c>
      <c r="DC99" s="326" t="n">
        <f aca="false">DB99-$W99</f>
        <v>-0.000200000000000006</v>
      </c>
      <c r="DD99" s="326" t="n">
        <f aca="false">VLOOKUP(1900+$L99,ProductSpreadTable,8)</f>
        <v>0.03</v>
      </c>
      <c r="DE99" s="365" t="n">
        <f aca="false">$W99+DD99</f>
        <v>0.2102</v>
      </c>
      <c r="DG99" s="336"/>
      <c r="DH99" s="314"/>
      <c r="DI99" s="325" t="n">
        <f aca="false">DH99-$U99</f>
        <v>-25.0047619047618</v>
      </c>
      <c r="DJ99" s="325" t="n">
        <f aca="false">VLOOKUP(1900+$L99,ResidSpreadTable,2)</f>
        <v>-2</v>
      </c>
      <c r="DK99" s="337" t="n">
        <f aca="false">$V99+DJ99</f>
        <v>23.0047619047618</v>
      </c>
      <c r="DL99" s="314"/>
      <c r="DM99" s="325" t="n">
        <f aca="false">DL99-$U99</f>
        <v>-25.0047619047618</v>
      </c>
      <c r="DN99" s="325" t="n">
        <f aca="false">VLOOKUP(1900+$L99,ResidSpreadTable,3)</f>
        <v>-3</v>
      </c>
      <c r="DO99" s="337" t="n">
        <f aca="false">$V99+DN99</f>
        <v>22.0047619047618</v>
      </c>
      <c r="DP99" s="314"/>
      <c r="DQ99" s="325" t="n">
        <f aca="false">DP99-$U99</f>
        <v>-25.0047619047618</v>
      </c>
      <c r="DR99" s="325" t="n">
        <f aca="false">VLOOKUP(1900+$L99,ResidSpreadTable,4)</f>
        <v>-6</v>
      </c>
      <c r="DS99" s="337" t="n">
        <f aca="false">$V99+DR99</f>
        <v>19.0047619047618</v>
      </c>
      <c r="DT99" s="314"/>
      <c r="DU99" s="325" t="n">
        <f aca="false">DT99-$U99</f>
        <v>-25.0047619047618</v>
      </c>
      <c r="DV99" s="325" t="n">
        <f aca="false">VLOOKUP(1900+$L99,ResidSpreadTable,5)</f>
        <v>-5</v>
      </c>
      <c r="DW99" s="337" t="n">
        <f aca="false">$V99+DV99</f>
        <v>20.0047619047618</v>
      </c>
    </row>
    <row r="100" customFormat="false" ht="12.75" hidden="false" customHeight="false" outlineLevel="0" collapsed="false">
      <c r="B100" s="371" t="n">
        <v>38596</v>
      </c>
      <c r="C100" s="391" t="n">
        <v>38585</v>
      </c>
      <c r="I100" s="338" t="n">
        <f aca="false">EOMONTH(I99,0)+1</f>
        <v>48792</v>
      </c>
      <c r="J100" s="389" t="n">
        <f aca="false">VLOOKUP(I100,$B$12:$C$332,2)</f>
        <v>45644</v>
      </c>
      <c r="K100" s="339" t="n">
        <f aca="false">NETWORKDAYS(I100,J101)/N100</f>
        <v>-97.7826086956522</v>
      </c>
      <c r="L100" s="309" t="n">
        <f aca="false">YEAR(I100)-1900</f>
        <v>133</v>
      </c>
      <c r="M100" s="310" t="n">
        <f aca="false">MONTH(I100)</f>
        <v>8</v>
      </c>
      <c r="N100" s="340" t="n">
        <f aca="false">NETWORKDAYS(I100,I101-1)</f>
        <v>23</v>
      </c>
      <c r="O100" s="341" t="n">
        <f aca="false">I100-DateToday-IF(EuroExpDateToggle=1,3+IF(WEEKDAY(I100-1)=7,1,IF(WEEKDAY(I100-1)&lt;5,2,0)),1+IF(WEEKDAY(I100-1)=7,1,IF(WEEKDAY(I100-1)&lt;3,2,0)))</f>
        <v>2861</v>
      </c>
      <c r="P100" s="342" t="n">
        <f aca="false">(I100-DateToday+1)/365.25</f>
        <v>7.84941820670773</v>
      </c>
      <c r="Q100" s="342" t="n">
        <f aca="false">(I101-DateToday)/365.25</f>
        <v>7.9315537303217</v>
      </c>
      <c r="R100" s="314" t="n">
        <v>19.65</v>
      </c>
      <c r="S100" s="347" t="n">
        <v>0</v>
      </c>
      <c r="T100" s="316" t="n">
        <f aca="false">R100+S100/100</f>
        <v>19.65</v>
      </c>
      <c r="U100" s="325" t="n">
        <f aca="false">R101*K100+R102*(1-K100)</f>
        <v>24.6391304347828</v>
      </c>
      <c r="V100" s="337" t="n">
        <f aca="false">T101*K100+T102*(1-K100)</f>
        <v>24.6391304347828</v>
      </c>
      <c r="W100" s="318" t="n">
        <v>0.1797</v>
      </c>
      <c r="X100" s="319" t="str">
        <f aca="false">IF($I100-DateToday+1&gt;=$A$10,"",IF($I100-DateToday+1&lt;$A$5,1,MATCH($I100-DateToday+1,$A$5:$A$10)))</f>
        <v/>
      </c>
      <c r="Y100" s="348" t="n">
        <f aca="false">IF($X100="",Y99^2/Y98,INDEX(B$5:B$10,$X100)^((INDEX($A$5:$A$10,$X100+1)-($I100-DateToday+1))/(INDEX($A$5:$A$10,$X100+1)-INDEX($A$5:$A$10,$X100)))/INDEX(B$5:B$10,$X100+1)^((INDEX($A$5:$A$10,$X100)-($I100-DateToday+1))/(INDEX($A$5:$A$10,$X100+1)-INDEX($A$5:$A$10,$X100))))</f>
        <v>0.00200483760623512</v>
      </c>
      <c r="Z100" s="348" t="n">
        <f aca="false">IF($X100="",Z99^2/Z98,INDEX(C$5:C$10,$X100)^((INDEX($A$5:$A$10,$X100+1)-($I100-DateToday+1))/(INDEX($A$5:$A$10,$X100+1)-INDEX($A$5:$A$10,$X100)))/INDEX(C$5:C$10,$X100+1)^((INDEX($A$5:$A$10,$X100)-($I100-DateToday+1))/(INDEX($A$5:$A$10,$X100+1)-INDEX($A$5:$A$10,$X100))))</f>
        <v>0.00074521647117048</v>
      </c>
      <c r="AA100" s="348" t="n">
        <f aca="false">IF($X100="",AA99^2/AA98,INDEX(D$5:D$10,$X100)^((INDEX($A$5:$A$10,$X100+1)-($I100-DateToday+1))/(INDEX($A$5:$A$10,$X100+1)-INDEX($A$5:$A$10,$X100)))/INDEX(D$5:D$10,$X100+1)^((INDEX($A$5:$A$10,$X100)-($I100-DateToday+1))/(INDEX($A$5:$A$10,$X100+1)-INDEX($A$5:$A$10,$X100))))</f>
        <v>0.000275852317683947</v>
      </c>
      <c r="AB100" s="348" t="n">
        <f aca="false">IF($X100="",AB99^2/AB98,INDEX(E$5:E$10,$X100)^((INDEX($A$5:$A$10,$X100+1)-($I100-DateToday+1))/(INDEX($A$5:$A$10,$X100+1)-INDEX($A$5:$A$10,$X100)))/INDEX(E$5:E$10,$X100+1)^((INDEX($A$5:$A$10,$X100)-($I100-DateToday+1))/(INDEX($A$5:$A$10,$X100+1)-INDEX($A$5:$A$10,$X100))))</f>
        <v>0.000621440101278406</v>
      </c>
      <c r="AC100" s="348" t="n">
        <f aca="false">IF($X100="",AC99^2/AC98,INDEX(F$5:F$10,$X100)^((INDEX($A$5:$A$10,$X100+1)-($I100-DateToday+1))/(INDEX($A$5:$A$10,$X100+1)-INDEX($A$5:$A$10,$X100)))/INDEX(F$5:F$10,$X100+1)^((INDEX($A$5:$A$10,$X100)-($I100-DateToday+1))/(INDEX($A$5:$A$10,$X100+1)-INDEX($A$5:$A$10,$X100))))</f>
        <v>0.00167882366625286</v>
      </c>
      <c r="AD100" s="348" t="n">
        <f aca="false">IF($X100="",AD99^2/AD98,INDEX(G$5:G$10,$X100)^((INDEX($A$5:$A$10,$X100+1)-($I100-DateToday+1))/(INDEX($A$5:$A$10,$X100+1)-INDEX($A$5:$A$10,$X100)))/INDEX(G$5:G$10,$X100+1)^((INDEX($A$5:$A$10,$X100)-($I100-DateToday+1))/(INDEX($A$5:$A$10,$X100+1)-INDEX($A$5:$A$10,$X100))))</f>
        <v>0.00451649815932623</v>
      </c>
      <c r="AE100" s="321" t="n">
        <v>0.073586522829838</v>
      </c>
      <c r="AF100" s="316" t="n">
        <f aca="false">(1+AE100/2)^(-2*(I101-DateToday)/365.25)</f>
        <v>0.563733036621797</v>
      </c>
      <c r="AG100" s="316" t="n">
        <f aca="false">AG99*(1+IF(AND(M100=1,L100&gt;YearStart),Escalation,0))</f>
        <v>1</v>
      </c>
      <c r="AH100" s="322" t="n">
        <f aca="false">IF(OR(DateStart&gt;=I101,DateEnd&lt;I100),0,Volume*AG100)</f>
        <v>0</v>
      </c>
      <c r="AI100" s="322" t="n">
        <f aca="false">AH100*AF100</f>
        <v>0</v>
      </c>
      <c r="AJ100" s="322" t="n">
        <f aca="false">IF(OR(DateStart2&gt;=I101,DateEnd2&lt;I100),0,VolumeSwaption*AG100)</f>
        <v>0</v>
      </c>
      <c r="AK100" s="322" t="n">
        <f aca="false">AJ100*AF100</f>
        <v>0</v>
      </c>
      <c r="AL100" s="316" t="str">
        <f aca="true">IF(AH100,OFFSET(BY100,0,HorizontalPriceOffset)+PriceSpreadAsian,"")</f>
        <v/>
      </c>
      <c r="AM100" s="316" t="str">
        <f aca="false">IF(AH100,Strike1/AL100-1,"")</f>
        <v/>
      </c>
      <c r="AN100" s="316" t="str">
        <f aca="false">IF(AH100,Strike2/AL100-1,"")</f>
        <v/>
      </c>
      <c r="AO100" s="323" t="str">
        <f aca="false">IF(AH100,IF(VolOverrideAsian,VolOverrideAsian,IF(ProductGroup=1,IF(Product&lt;3,DA101,DE101),W101)+VolSpreadAsian),"")</f>
        <v/>
      </c>
      <c r="AP100" s="323" t="str">
        <f aca="false">IF($AH100,$AO100+IF(SkewFlag=1,IF(AM100&gt;0,$AA100*MIN(AM100/10%,1)+($Z100-$AA100)*MAX(0,MIN(AM100/10%-1,1))+($Y100-$Z100)*MAX(0,AM100/10%-2),$AB100*MIN(-AM100/10%,1)+($AC100-$AB100)*MAX(0,MIN(-AM100/10%-1,1))+($AD100-$AC100)*MAX(0,-AM100/10%-2)),0),"")</f>
        <v/>
      </c>
      <c r="AQ100" s="323" t="str">
        <f aca="false">IF($AH100,$AO100+IF(SkewFlag=1,IF(AN100&gt;0,$AA100*MIN(AN100/10%,1)+($Z100-$AA100)*MAX(0,MIN(AN100/10%-1,1))+($Y100-$Z100)*MAX(0,AN100/10%-2),$AB100*MIN(-AN100/10%,1)+($AC100-$AB100)*MAX(0,MIN(-AN100/10%-1,1))+($AD100-$AC100)*MAX(0,-AN100/10%-2)),0),"")</f>
        <v/>
      </c>
      <c r="AR100" s="324" t="n">
        <f aca="false">IF(AH100,xASN(AL100,Strike1,AE100,AP100,0,N100,0,P100,Q100,IF(OptControl=4,0,1),0),0)</f>
        <v>0</v>
      </c>
      <c r="AS100" s="324" t="n">
        <f aca="false">IF(AH100,xASN(AL100,Strike1,AE100,AP100,0,N100,0,P100,Q100,IF(OptControl=4,0,1),1),0)</f>
        <v>0</v>
      </c>
      <c r="AT100" s="324" t="n">
        <f aca="false">IF(AH100,xASN(AL100,Strike1,AE100,AP100,0,N100,0,P100,Q100,IF(OptControl=4,0,1),2),0)</f>
        <v>0</v>
      </c>
      <c r="AU100" s="324" t="n">
        <f aca="false">IF(AH100,xASN(AL100,Strike1,AE100,AP100,0,N100,0,P100,Q100,IF(OptControl=4,0,1),3)/100,0)</f>
        <v>0</v>
      </c>
      <c r="AV100" s="324" t="n">
        <f aca="false">IF(AH100,xASN(AL100,Strike1,AE100,AP100,0,N100,0,P100-DaysForThetaCalculation/365.25,Q100-DaysForThetaCalculation/365.25,IF(OptControl=4,0,1),0)-xASN(AL100,Strike1,AE100,AP100,0,N100,0,P100,Q100,IF(OptControl=4,0,1),0),0)</f>
        <v>0</v>
      </c>
      <c r="AW100" s="324" t="n">
        <f aca="false">IF(AH100,xASN(AL100,Strike2,AE100,AQ100,0,N100,0,P100,Q100,IF(OptControl=3,1,0),0),0)</f>
        <v>0</v>
      </c>
      <c r="AX100" s="324" t="n">
        <f aca="false">IF(AH100,xASN(AL100,Strike2,AE100,AQ100,0,N100,0,P100,Q100,IF(OptControl=3,1,0),1),0)</f>
        <v>0</v>
      </c>
      <c r="AY100" s="324" t="n">
        <f aca="false">IF(AH100,xASN(AL100,Strike2,AE100,AQ100,0,N100,0,P100,Q100,IF(OptControl=3,1,0),2),0)</f>
        <v>0</v>
      </c>
      <c r="AZ100" s="324" t="n">
        <f aca="false">IF(AH100,xASN(AL100,Strike2,AE100,AQ100,0,N100,0,P100,Q100,IF(OptControl=3,1,0),3)/100,0)</f>
        <v>0</v>
      </c>
      <c r="BA100" s="324" t="n">
        <f aca="false">IF(AH100,xASN(AL100,Strike2,AE100,AQ100,0,N100,0,P100-DaysForThetaCalculation/365.25,Q100-DaysForThetaCalculation/365.25,IF(OptControl=3,1,0),0)-xASN(AL100,Strike2,AE100,AQ100,0,N100,0,P100,Q100,IF(OptControl=3,1,0),0),0)</f>
        <v>0</v>
      </c>
      <c r="BB100" s="325" t="str">
        <f aca="false">IF(AH100,IF(ProductGroup=1,IF(Product=1,BX100+PriceSpreadEuro,IF(Product=3,CK100+PriceSpreadEuro,"N/A")),"N/A"),"")</f>
        <v/>
      </c>
      <c r="BC100" s="316" t="str">
        <f aca="false">IF(AH100,Strike1/BB100-1,"")</f>
        <v/>
      </c>
      <c r="BD100" s="316" t="str">
        <f aca="false">IF(AH100,Strike2/BB100-1,"")</f>
        <v/>
      </c>
      <c r="BE100" s="326" t="str">
        <f aca="false">IF(AH100,IF(VolOverrideEuro,VolOverrideEuro,IF(ProductGroup=1,IF(Product&lt;3,DA100,DE100)+VolSpreadEuro,"N/A")),"")</f>
        <v/>
      </c>
      <c r="BF100" s="323" t="str">
        <f aca="false">IF($AH100,$BE100+IF(SkewFlag=1,IF(BC100&gt;0,$AA100*MIN(BC100/10%,1)+($Z100-$AA100)*MAX(0,MIN(BC100/10%-1,1))+($Y100-$Z100)*MAX(0,BC100/10%-2),$AB100*MIN(-BC100/10%,1)+($AC100-$AB100)*MAX(0,MIN(-BC100/10%-1,1))+($AD100-$AC100)*MAX(0,-BC100/10%-2)),0),"")</f>
        <v/>
      </c>
      <c r="BG100" s="323" t="str">
        <f aca="false">IF($AH100,$BE100+IF(SkewFlag=1,IF(BD100&gt;0,$AA100*MIN(BD100/10%,1)+($Z100-$AA100)*MAX(0,MIN(BD100/10%-1,1))+($Y100-$Z100)*MAX(0,BD100/10%-2),$AB100*MIN(-BD100/10%,1)+($AC100-$AB100)*MAX(0,MIN(-BD100/10%-1,1))+($AD100-$AC100)*MAX(0,-BD100/10%-2)),0),"")</f>
        <v/>
      </c>
      <c r="BH100" s="324" t="n">
        <f aca="false">IF(AH100,xEURO(BB100,Strike1,AE100,AE100,BF100,O100,IF(OptControl=4,0,1),0),0)</f>
        <v>0</v>
      </c>
      <c r="BI100" s="324" t="n">
        <f aca="false">IF(AH100,xEURO(BB100,Strike1,AE100,AE100,BF100,O100,IF(OptControl=4,0,1),1),0)</f>
        <v>0</v>
      </c>
      <c r="BJ100" s="324" t="n">
        <f aca="false">IF(AH100,xEURO(BB100,Strike1,AE100,AE100,BF100,O100,IF(OptControl=4,0,1),2),0)</f>
        <v>0</v>
      </c>
      <c r="BK100" s="324" t="n">
        <f aca="false">IF(AH100,xEURO(BB100,Strike1,AE100,AE100,BF100,O100,IF(OptControl=4,0,1),3)/100,0)</f>
        <v>0</v>
      </c>
      <c r="BL100" s="324" t="n">
        <f aca="false">IF(AH100,xEURO(BB100,Strike1,AE100,AE100,BF100,O100-DaysForThetaCalculation,IF(OptControl=4,0,1),0)-xEURO(BB100,Strike1,AE100,AE100,BF100,O100,IF(OptControl=4,0,1),0),0)</f>
        <v>0</v>
      </c>
      <c r="BM100" s="324" t="n">
        <f aca="false">IF(AH100,xEURO(BB100,Strike2,AE100,AE100,BG100,O100,IF(OptControl=3,1,0),0),0)</f>
        <v>0</v>
      </c>
      <c r="BN100" s="324" t="n">
        <f aca="false">IF(AH100,xEURO(BB100,Strike2,AE100,AE100,BG100,O100,IF(OptControl=3,1,0),1),0)</f>
        <v>0</v>
      </c>
      <c r="BO100" s="324" t="n">
        <f aca="false">IF(AH100,xEURO(BB100,Strike2,AE100,AE100,BG100,O100,IF(OptControl=3,1,0),2),0)</f>
        <v>0</v>
      </c>
      <c r="BP100" s="324" t="n">
        <f aca="false">IF(AH100,xEURO(BB100,Strike2,AE100,AE100,BG100,O100,IF(OptControl=3,1,0),3)/100,0)</f>
        <v>0</v>
      </c>
      <c r="BQ100" s="327" t="n">
        <f aca="false">IF(AH100,xEURO(BB100,Strike2,AE100,AE100,BG100,O100-DaysForThetaCalculation,IF(OptControl=3,1,0),0)-xEURO(BB100,Strike2,AE100,AE100,BG100,O100,IF(OptControl=3,1,0),0),0)</f>
        <v>0</v>
      </c>
      <c r="BR100" s="343"/>
      <c r="BS100" s="314" t="n">
        <v>25.376</v>
      </c>
      <c r="BT100" s="329" t="n">
        <f aca="false">BS100*100/42</f>
        <v>60.4190476190476</v>
      </c>
      <c r="BU100" s="329" t="n">
        <f aca="false">BS101-$U100</f>
        <v>1.11486956521717</v>
      </c>
      <c r="BV100" s="224"/>
      <c r="BW100" s="329" t="n">
        <f aca="false">BW88+VLOOKUP(1900+$L100,ProductSpreadTable,2)</f>
        <v>13.3265714285714</v>
      </c>
      <c r="BX100" s="329" t="n">
        <f aca="false">($V99+BW99)*100/42</f>
        <v>88.1633047421866</v>
      </c>
      <c r="BY100" s="332" t="n">
        <f aca="false">BX101</f>
        <v>90.3945282460816</v>
      </c>
      <c r="BZ100" s="314" t="n">
        <v>23.549</v>
      </c>
      <c r="CA100" s="329" t="n">
        <f aca="false">BZ100*100/42</f>
        <v>56.0690476190476</v>
      </c>
      <c r="CB100" s="329" t="n">
        <f aca="false">BZ100-$U100</f>
        <v>-1.09013043478283</v>
      </c>
      <c r="CC100" s="329" t="n">
        <f aca="false">CC88+VLOOKUP(1900+$L100,ProductSpreadTable,3)</f>
        <v>11.7685714285714</v>
      </c>
      <c r="CD100" s="329" t="n">
        <f aca="false">($V100+CC100)*100/42</f>
        <v>86.6850044365578</v>
      </c>
      <c r="CE100" s="333" t="n">
        <f aca="false">CD100-BY100</f>
        <v>-3.7095238095238</v>
      </c>
      <c r="CF100" s="314" t="n">
        <v>23.953</v>
      </c>
      <c r="CG100" s="329" t="n">
        <f aca="false">CF100*100/42</f>
        <v>57.0309523809524</v>
      </c>
      <c r="CH100" s="329" t="n">
        <f aca="false">CF101-$U100</f>
        <v>-1.35413043478283</v>
      </c>
      <c r="CI100" s="224"/>
      <c r="CJ100" s="329" t="n">
        <f aca="false">CJ88+VLOOKUP(1900+$L100,ProductSpreadTable,4)</f>
        <v>11.5545714285714</v>
      </c>
      <c r="CK100" s="329" t="n">
        <f aca="false">($V99+CJ99)*100/42</f>
        <v>86.544257123139</v>
      </c>
      <c r="CL100" s="329" t="n">
        <f aca="false">CK101</f>
        <v>86.175480627034</v>
      </c>
      <c r="CM100" s="314" t="n">
        <v>22.151</v>
      </c>
      <c r="CN100" s="329" t="n">
        <f aca="false">CM100*100/42</f>
        <v>52.7404761904762</v>
      </c>
      <c r="CO100" s="329" t="n">
        <f aca="false">CM100-$U100</f>
        <v>-2.48813043478283</v>
      </c>
      <c r="CP100" s="329" t="n">
        <f aca="false">CP88+VLOOKUP(1900+$L100,ProductSpreadTable,5)</f>
        <v>10.4415714285714</v>
      </c>
      <c r="CQ100" s="329" t="n">
        <f aca="false">($V100+CP100)*100/42</f>
        <v>83.525480627034</v>
      </c>
      <c r="CR100" s="333" t="n">
        <f aca="false">CQ100-CL100</f>
        <v>-2.64999999999998</v>
      </c>
      <c r="CS100" s="314" t="n">
        <v>23.411</v>
      </c>
      <c r="CT100" s="329" t="n">
        <f aca="false">CS100*100/42</f>
        <v>55.7404761904762</v>
      </c>
      <c r="CU100" s="329" t="n">
        <f aca="false">CT100-CG101</f>
        <v>0.299999999999997</v>
      </c>
      <c r="CV100" s="329" t="n">
        <f aca="false">CV88+VLOOKUP(1900+$L100,ProductSpreadTable,6)</f>
        <v>1.65000000000001</v>
      </c>
      <c r="CW100" s="333" t="n">
        <f aca="false">CL100+CV100</f>
        <v>87.825480627034</v>
      </c>
      <c r="CX100" s="318" t="n">
        <v>0.18</v>
      </c>
      <c r="CY100" s="326" t="n">
        <f aca="false">CX100-$W100</f>
        <v>0.000299999999999995</v>
      </c>
      <c r="CZ100" s="326" t="n">
        <f aca="false">VLOOKUP(1900+$L100,ProductSpreadTable,7)</f>
        <v>-0.03</v>
      </c>
      <c r="DA100" s="365" t="n">
        <f aca="false">$W100+CZ100</f>
        <v>0.1497</v>
      </c>
      <c r="DB100" s="318" t="n">
        <v>0.18</v>
      </c>
      <c r="DC100" s="326" t="n">
        <f aca="false">DB100-$W100</f>
        <v>0.000299999999999995</v>
      </c>
      <c r="DD100" s="326" t="n">
        <f aca="false">VLOOKUP(1900+$L100,ProductSpreadTable,8)</f>
        <v>0.03</v>
      </c>
      <c r="DE100" s="365" t="n">
        <f aca="false">$W100+DD100</f>
        <v>0.2097</v>
      </c>
      <c r="DG100" s="336"/>
      <c r="DH100" s="314"/>
      <c r="DI100" s="325" t="n">
        <f aca="false">DH100-$U100</f>
        <v>-24.6391304347828</v>
      </c>
      <c r="DJ100" s="325" t="n">
        <f aca="false">VLOOKUP(1900+$L100,ResidSpreadTable,2)</f>
        <v>-2</v>
      </c>
      <c r="DK100" s="337" t="n">
        <f aca="false">$V100+DJ100</f>
        <v>22.6391304347828</v>
      </c>
      <c r="DL100" s="314"/>
      <c r="DM100" s="325" t="n">
        <f aca="false">DL100-$U100</f>
        <v>-24.6391304347828</v>
      </c>
      <c r="DN100" s="325" t="n">
        <f aca="false">VLOOKUP(1900+$L100,ResidSpreadTable,3)</f>
        <v>-3</v>
      </c>
      <c r="DO100" s="337" t="n">
        <f aca="false">$V100+DN100</f>
        <v>21.6391304347828</v>
      </c>
      <c r="DP100" s="314"/>
      <c r="DQ100" s="325" t="n">
        <f aca="false">DP100-$U100</f>
        <v>-24.6391304347828</v>
      </c>
      <c r="DR100" s="325" t="n">
        <f aca="false">VLOOKUP(1900+$L100,ResidSpreadTable,4)</f>
        <v>-6</v>
      </c>
      <c r="DS100" s="337" t="n">
        <f aca="false">$V100+DR100</f>
        <v>18.6391304347828</v>
      </c>
      <c r="DT100" s="314"/>
      <c r="DU100" s="325" t="n">
        <f aca="false">DT100-$U100</f>
        <v>-24.6391304347828</v>
      </c>
      <c r="DV100" s="325" t="n">
        <f aca="false">VLOOKUP(1900+$L100,ResidSpreadTable,5)</f>
        <v>-5</v>
      </c>
      <c r="DW100" s="337" t="n">
        <f aca="false">$V100+DV100</f>
        <v>19.6391304347828</v>
      </c>
    </row>
    <row r="101" customFormat="false" ht="12.75" hidden="false" customHeight="false" outlineLevel="0" collapsed="false">
      <c r="B101" s="371" t="n">
        <v>38626</v>
      </c>
      <c r="C101" s="391" t="n">
        <v>38615</v>
      </c>
      <c r="I101" s="338" t="n">
        <f aca="false">EOMONTH(I100,0)+1</f>
        <v>48823</v>
      </c>
      <c r="J101" s="389" t="n">
        <f aca="false">VLOOKUP(I101,$B$12:$C$332,2)</f>
        <v>45644</v>
      </c>
      <c r="K101" s="339" t="n">
        <f aca="false">NETWORKDAYS(I101,J102)/N101</f>
        <v>-103.272727272727</v>
      </c>
      <c r="L101" s="309" t="n">
        <f aca="false">YEAR(I101)-1900</f>
        <v>133</v>
      </c>
      <c r="M101" s="310" t="n">
        <f aca="false">MONTH(I101)</f>
        <v>9</v>
      </c>
      <c r="N101" s="340" t="n">
        <f aca="false">NETWORKDAYS(I101,I102-1)</f>
        <v>22</v>
      </c>
      <c r="O101" s="341" t="n">
        <f aca="false">I101-DateToday-IF(EuroExpDateToggle=1,3+IF(WEEKDAY(I101-1)=7,1,IF(WEEKDAY(I101-1)&lt;5,2,0)),1+IF(WEEKDAY(I101-1)=7,1,IF(WEEKDAY(I101-1)&lt;3,2,0)))</f>
        <v>2892</v>
      </c>
      <c r="P101" s="342" t="n">
        <f aca="false">(I101-DateToday+1)/365.25</f>
        <v>7.93429158110883</v>
      </c>
      <c r="Q101" s="342" t="n">
        <f aca="false">(I102-DateToday)/365.25</f>
        <v>8.01368925393566</v>
      </c>
      <c r="R101" s="314" t="n">
        <v>19.7</v>
      </c>
      <c r="S101" s="347" t="n">
        <v>0</v>
      </c>
      <c r="T101" s="316" t="n">
        <f aca="false">R101+S101/100</f>
        <v>19.7</v>
      </c>
      <c r="U101" s="325" t="n">
        <f aca="false">R102*K101+R103*(1-K101)</f>
        <v>24.9636363636364</v>
      </c>
      <c r="V101" s="337" t="n">
        <f aca="false">T102*K101+T103*(1-K101)</f>
        <v>24.9636363636364</v>
      </c>
      <c r="W101" s="318" t="n">
        <v>0.1793</v>
      </c>
      <c r="X101" s="319" t="str">
        <f aca="false">IF($I101-DateToday+1&gt;=$A$10,"",IF($I101-DateToday+1&lt;$A$5,1,MATCH($I101-DateToday+1,$A$5:$A$10)))</f>
        <v/>
      </c>
      <c r="Y101" s="348" t="n">
        <f aca="false">IF($X101="",Y100^2/Y99,INDEX(B$5:B$10,$X101)^((INDEX($A$5:$A$10,$X101+1)-($I101-DateToday+1))/(INDEX($A$5:$A$10,$X101+1)-INDEX($A$5:$A$10,$X101)))/INDEX(B$5:B$10,$X101+1)^((INDEX($A$5:$A$10,$X101)-($I101-DateToday+1))/(INDEX($A$5:$A$10,$X101+1)-INDEX($A$5:$A$10,$X101))))</f>
        <v>0.00196191708229782</v>
      </c>
      <c r="Z101" s="348" t="n">
        <f aca="false">IF($X101="",Z100^2/Z99,INDEX(C$5:C$10,$X101)^((INDEX($A$5:$A$10,$X101+1)-($I101-DateToday+1))/(INDEX($A$5:$A$10,$X101+1)-INDEX($A$5:$A$10,$X101)))/INDEX(C$5:C$10,$X101+1)^((INDEX($A$5:$A$10,$X101)-($I101-DateToday+1))/(INDEX($A$5:$A$10,$X101+1)-INDEX($A$5:$A$10,$X101))))</f>
        <v>0.00072535801053169</v>
      </c>
      <c r="AA101" s="348" t="n">
        <f aca="false">IF($X101="",AA100^2/AA99,INDEX(D$5:D$10,$X101)^((INDEX($A$5:$A$10,$X101+1)-($I101-DateToday+1))/(INDEX($A$5:$A$10,$X101+1)-INDEX($A$5:$A$10,$X101)))/INDEX(D$5:D$10,$X101+1)^((INDEX($A$5:$A$10,$X101)-($I101-DateToday+1))/(INDEX($A$5:$A$10,$X101+1)-INDEX($A$5:$A$10,$X101))))</f>
        <v>0.000267781418261732</v>
      </c>
      <c r="AB101" s="348" t="n">
        <f aca="false">IF($X101="",AB100^2/AB99,INDEX(E$5:E$10,$X101)^((INDEX($A$5:$A$10,$X101+1)-($I101-DateToday+1))/(INDEX($A$5:$A$10,$X101+1)-INDEX($A$5:$A$10,$X101)))/INDEX(E$5:E$10,$X101+1)^((INDEX($A$5:$A$10,$X101)-($I101-DateToday+1))/(INDEX($A$5:$A$10,$X101+1)-INDEX($A$5:$A$10,$X101))))</f>
        <v>0.000603257979060039</v>
      </c>
      <c r="AC101" s="348" t="n">
        <f aca="false">IF($X101="",AC100^2/AC99,INDEX(F$5:F$10,$X101)^((INDEX($A$5:$A$10,$X101+1)-($I101-DateToday+1))/(INDEX($A$5:$A$10,$X101+1)-INDEX($A$5:$A$10,$X101)))/INDEX(F$5:F$10,$X101+1)^((INDEX($A$5:$A$10,$X101)-($I101-DateToday+1))/(INDEX($A$5:$A$10,$X101+1)-INDEX($A$5:$A$10,$X101))))</f>
        <v>0.00163408652612579</v>
      </c>
      <c r="AD101" s="348" t="n">
        <f aca="false">IF($X101="",AD100^2/AD99,INDEX(G$5:G$10,$X101)^((INDEX($A$5:$A$10,$X101+1)-($I101-DateToday+1))/(INDEX($A$5:$A$10,$X101+1)-INDEX($A$5:$A$10,$X101)))/INDEX(G$5:G$10,$X101+1)^((INDEX($A$5:$A$10,$X101)-($I101-DateToday+1))/(INDEX($A$5:$A$10,$X101+1)-INDEX($A$5:$A$10,$X101))))</f>
        <v>0.00441980680300029</v>
      </c>
      <c r="AE101" s="321" t="n">
        <v>0.073593623217921</v>
      </c>
      <c r="AF101" s="316" t="n">
        <f aca="false">(1+AE101/2)^(-2*(I102-DateToday)/365.25)</f>
        <v>0.560366137916837</v>
      </c>
      <c r="AG101" s="316" t="n">
        <f aca="false">AG100*(1+IF(AND(M101=1,L101&gt;YearStart),Escalation,0))</f>
        <v>1</v>
      </c>
      <c r="AH101" s="322" t="n">
        <f aca="false">IF(OR(DateStart&gt;=I102,DateEnd&lt;I101),0,Volume*AG101)</f>
        <v>0</v>
      </c>
      <c r="AI101" s="322" t="n">
        <f aca="false">AH101*AF101</f>
        <v>0</v>
      </c>
      <c r="AJ101" s="322" t="n">
        <f aca="false">IF(OR(DateStart2&gt;=I102,DateEnd2&lt;I101),0,VolumeSwaption*AG101)</f>
        <v>0</v>
      </c>
      <c r="AK101" s="322" t="n">
        <f aca="false">AJ101*AF101</f>
        <v>0</v>
      </c>
      <c r="AL101" s="316" t="str">
        <f aca="true">IF(AH101,OFFSET(BY101,0,HorizontalPriceOffset)+PriceSpreadAsian,"")</f>
        <v/>
      </c>
      <c r="AM101" s="316" t="str">
        <f aca="false">IF(AH101,Strike1/AL101-1,"")</f>
        <v/>
      </c>
      <c r="AN101" s="316" t="str">
        <f aca="false">IF(AH101,Strike2/AL101-1,"")</f>
        <v/>
      </c>
      <c r="AO101" s="323" t="str">
        <f aca="false">IF(AH101,IF(VolOverrideAsian,VolOverrideAsian,IF(ProductGroup=1,IF(Product&lt;3,DA102,DE102),W102)+VolSpreadAsian),"")</f>
        <v/>
      </c>
      <c r="AP101" s="323" t="str">
        <f aca="false">IF($AH101,$AO101+IF(SkewFlag=1,IF(AM101&gt;0,$AA101*MIN(AM101/10%,1)+($Z101-$AA101)*MAX(0,MIN(AM101/10%-1,1))+($Y101-$Z101)*MAX(0,AM101/10%-2),$AB101*MIN(-AM101/10%,1)+($AC101-$AB101)*MAX(0,MIN(-AM101/10%-1,1))+($AD101-$AC101)*MAX(0,-AM101/10%-2)),0),"")</f>
        <v/>
      </c>
      <c r="AQ101" s="323" t="str">
        <f aca="false">IF($AH101,$AO101+IF(SkewFlag=1,IF(AN101&gt;0,$AA101*MIN(AN101/10%,1)+($Z101-$AA101)*MAX(0,MIN(AN101/10%-1,1))+($Y101-$Z101)*MAX(0,AN101/10%-2),$AB101*MIN(-AN101/10%,1)+($AC101-$AB101)*MAX(0,MIN(-AN101/10%-1,1))+($AD101-$AC101)*MAX(0,-AN101/10%-2)),0),"")</f>
        <v/>
      </c>
      <c r="AR101" s="324" t="n">
        <f aca="false">IF(AH101,xASN(AL101,Strike1,AE101,AP101,0,N101,0,P101,Q101,IF(OptControl=4,0,1),0),0)</f>
        <v>0</v>
      </c>
      <c r="AS101" s="324" t="n">
        <f aca="false">IF(AH101,xASN(AL101,Strike1,AE101,AP101,0,N101,0,P101,Q101,IF(OptControl=4,0,1),1),0)</f>
        <v>0</v>
      </c>
      <c r="AT101" s="324" t="n">
        <f aca="false">IF(AH101,xASN(AL101,Strike1,AE101,AP101,0,N101,0,P101,Q101,IF(OptControl=4,0,1),2),0)</f>
        <v>0</v>
      </c>
      <c r="AU101" s="324" t="n">
        <f aca="false">IF(AH101,xASN(AL101,Strike1,AE101,AP101,0,N101,0,P101,Q101,IF(OptControl=4,0,1),3)/100,0)</f>
        <v>0</v>
      </c>
      <c r="AV101" s="324" t="n">
        <f aca="false">IF(AH101,xASN(AL101,Strike1,AE101,AP101,0,N101,0,P101-DaysForThetaCalculation/365.25,Q101-DaysForThetaCalculation/365.25,IF(OptControl=4,0,1),0)-xASN(AL101,Strike1,AE101,AP101,0,N101,0,P101,Q101,IF(OptControl=4,0,1),0),0)</f>
        <v>0</v>
      </c>
      <c r="AW101" s="324" t="n">
        <f aca="false">IF(AH101,xASN(AL101,Strike2,AE101,AQ101,0,N101,0,P101,Q101,IF(OptControl=3,1,0),0),0)</f>
        <v>0</v>
      </c>
      <c r="AX101" s="324" t="n">
        <f aca="false">IF(AH101,xASN(AL101,Strike2,AE101,AQ101,0,N101,0,P101,Q101,IF(OptControl=3,1,0),1),0)</f>
        <v>0</v>
      </c>
      <c r="AY101" s="324" t="n">
        <f aca="false">IF(AH101,xASN(AL101,Strike2,AE101,AQ101,0,N101,0,P101,Q101,IF(OptControl=3,1,0),2),0)</f>
        <v>0</v>
      </c>
      <c r="AZ101" s="324" t="n">
        <f aca="false">IF(AH101,xASN(AL101,Strike2,AE101,AQ101,0,N101,0,P101,Q101,IF(OptControl=3,1,0),3)/100,0)</f>
        <v>0</v>
      </c>
      <c r="BA101" s="324" t="n">
        <f aca="false">IF(AH101,xASN(AL101,Strike2,AE101,AQ101,0,N101,0,P101-DaysForThetaCalculation/365.25,Q101-DaysForThetaCalculation/365.25,IF(OptControl=3,1,0),0)-xASN(AL101,Strike2,AE101,AQ101,0,N101,0,P101,Q101,IF(OptControl=3,1,0),0),0)</f>
        <v>0</v>
      </c>
      <c r="BB101" s="325" t="str">
        <f aca="false">IF(AH101,IF(ProductGroup=1,IF(Product=1,BX101+PriceSpreadEuro,IF(Product=3,CK101+PriceSpreadEuro,"N/A")),"N/A"),"")</f>
        <v/>
      </c>
      <c r="BC101" s="316" t="str">
        <f aca="false">IF(AH101,Strike1/BB101-1,"")</f>
        <v/>
      </c>
      <c r="BD101" s="316" t="str">
        <f aca="false">IF(AH101,Strike2/BB101-1,"")</f>
        <v/>
      </c>
      <c r="BE101" s="326" t="str">
        <f aca="false">IF(AH101,IF(VolOverrideEuro,VolOverrideEuro,IF(ProductGroup=1,IF(Product&lt;3,DA101,DE101)+VolSpreadEuro,"N/A")),"")</f>
        <v/>
      </c>
      <c r="BF101" s="323" t="str">
        <f aca="false">IF($AH101,$BE101+IF(SkewFlag=1,IF(BC101&gt;0,$AA101*MIN(BC101/10%,1)+($Z101-$AA101)*MAX(0,MIN(BC101/10%-1,1))+($Y101-$Z101)*MAX(0,BC101/10%-2),$AB101*MIN(-BC101/10%,1)+($AC101-$AB101)*MAX(0,MIN(-BC101/10%-1,1))+($AD101-$AC101)*MAX(0,-BC101/10%-2)),0),"")</f>
        <v/>
      </c>
      <c r="BG101" s="323" t="str">
        <f aca="false">IF($AH101,$BE101+IF(SkewFlag=1,IF(BD101&gt;0,$AA101*MIN(BD101/10%,1)+($Z101-$AA101)*MAX(0,MIN(BD101/10%-1,1))+($Y101-$Z101)*MAX(0,BD101/10%-2),$AB101*MIN(-BD101/10%,1)+($AC101-$AB101)*MAX(0,MIN(-BD101/10%-1,1))+($AD101-$AC101)*MAX(0,-BD101/10%-2)),0),"")</f>
        <v/>
      </c>
      <c r="BH101" s="324" t="n">
        <f aca="false">IF(AH101,xEURO(BB101,Strike1,AE101,AE101,BF101,O101,IF(OptControl=4,0,1),0),0)</f>
        <v>0</v>
      </c>
      <c r="BI101" s="324" t="n">
        <f aca="false">IF(AH101,xEURO(BB101,Strike1,AE101,AE101,BF101,O101,IF(OptControl=4,0,1),1),0)</f>
        <v>0</v>
      </c>
      <c r="BJ101" s="324" t="n">
        <f aca="false">IF(AH101,xEURO(BB101,Strike1,AE101,AE101,BF101,O101,IF(OptControl=4,0,1),2),0)</f>
        <v>0</v>
      </c>
      <c r="BK101" s="324" t="n">
        <f aca="false">IF(AH101,xEURO(BB101,Strike1,AE101,AE101,BF101,O101,IF(OptControl=4,0,1),3)/100,0)</f>
        <v>0</v>
      </c>
      <c r="BL101" s="324" t="n">
        <f aca="false">IF(AH101,xEURO(BB101,Strike1,AE101,AE101,BF101,O101-DaysForThetaCalculation,IF(OptControl=4,0,1),0)-xEURO(BB101,Strike1,AE101,AE101,BF101,O101,IF(OptControl=4,0,1),0),0)</f>
        <v>0</v>
      </c>
      <c r="BM101" s="324" t="n">
        <f aca="false">IF(AH101,xEURO(BB101,Strike2,AE101,AE101,BG101,O101,IF(OptControl=3,1,0),0),0)</f>
        <v>0</v>
      </c>
      <c r="BN101" s="324" t="n">
        <f aca="false">IF(AH101,xEURO(BB101,Strike2,AE101,AE101,BG101,O101,IF(OptControl=3,1,0),1),0)</f>
        <v>0</v>
      </c>
      <c r="BO101" s="324" t="n">
        <f aca="false">IF(AH101,xEURO(BB101,Strike2,AE101,AE101,BG101,O101,IF(OptControl=3,1,0),2),0)</f>
        <v>0</v>
      </c>
      <c r="BP101" s="324" t="n">
        <f aca="false">IF(AH101,xEURO(BB101,Strike2,AE101,AE101,BG101,O101,IF(OptControl=3,1,0),3)/100,0)</f>
        <v>0</v>
      </c>
      <c r="BQ101" s="327" t="n">
        <f aca="false">IF(AH101,xEURO(BB101,Strike2,AE101,AE101,BG101,O101-DaysForThetaCalculation,IF(OptControl=3,1,0),0)-xEURO(BB101,Strike2,AE101,AE101,BG101,O101,IF(OptControl=3,1,0),0),0)</f>
        <v>0</v>
      </c>
      <c r="BR101" s="343"/>
      <c r="BS101" s="314" t="n">
        <v>25.754</v>
      </c>
      <c r="BT101" s="329" t="n">
        <f aca="false">BS101*100/42</f>
        <v>61.3190476190476</v>
      </c>
      <c r="BU101" s="329" t="n">
        <f aca="false">BS102-$U101</f>
        <v>4.5913636363636</v>
      </c>
      <c r="BV101" s="224"/>
      <c r="BW101" s="329" t="n">
        <f aca="false">BW89+VLOOKUP(1900+$L101,ProductSpreadTable,2)</f>
        <v>11.392</v>
      </c>
      <c r="BX101" s="329" t="n">
        <f aca="false">($V100+BW100)*100/42</f>
        <v>90.3945282460816</v>
      </c>
      <c r="BY101" s="332" t="n">
        <f aca="false">BX102</f>
        <v>86.5610389610391</v>
      </c>
      <c r="BZ101" s="314" t="n">
        <v>25.775</v>
      </c>
      <c r="CA101" s="329" t="n">
        <f aca="false">BZ101*100/42</f>
        <v>61.3690476190476</v>
      </c>
      <c r="CB101" s="329" t="n">
        <f aca="false">BZ101-$U101</f>
        <v>0.811363636363602</v>
      </c>
      <c r="CC101" s="329" t="n">
        <f aca="false">CC89+VLOOKUP(1900+$L101,ProductSpreadTable,3)</f>
        <v>13.743</v>
      </c>
      <c r="CD101" s="329" t="n">
        <f aca="false">($V101+CC101)*100/42</f>
        <v>92.158658008658</v>
      </c>
      <c r="CE101" s="333" t="n">
        <f aca="false">CD101-BY101</f>
        <v>5.59761904761896</v>
      </c>
      <c r="CF101" s="314" t="n">
        <v>23.285</v>
      </c>
      <c r="CG101" s="329" t="n">
        <f aca="false">CF101*100/42</f>
        <v>55.4404761904762</v>
      </c>
      <c r="CH101" s="329" t="n">
        <f aca="false">CF102-$U101</f>
        <v>-2.2586363636364</v>
      </c>
      <c r="CI101" s="224"/>
      <c r="CJ101" s="329" t="n">
        <f aca="false">CJ89+VLOOKUP(1900+$L101,ProductSpreadTable,4)</f>
        <v>10.724</v>
      </c>
      <c r="CK101" s="329" t="n">
        <f aca="false">($V100+CJ100)*100/42</f>
        <v>86.175480627034</v>
      </c>
      <c r="CL101" s="329" t="n">
        <f aca="false">CK102</f>
        <v>84.9705627705628</v>
      </c>
      <c r="CM101" s="314" t="n">
        <v>21.571</v>
      </c>
      <c r="CN101" s="329" t="n">
        <f aca="false">CM101*100/42</f>
        <v>51.3595238095238</v>
      </c>
      <c r="CO101" s="329" t="n">
        <f aca="false">CM101-$U101</f>
        <v>-3.3926363636364</v>
      </c>
      <c r="CP101" s="329" t="n">
        <f aca="false">CP89+VLOOKUP(1900+$L101,ProductSpreadTable,5)</f>
        <v>9.61099999999997</v>
      </c>
      <c r="CQ101" s="329" t="n">
        <f aca="false">($V101+CP101)*100/42</f>
        <v>82.3205627705628</v>
      </c>
      <c r="CR101" s="333" t="n">
        <f aca="false">CQ101-CL101</f>
        <v>-2.65000000000001</v>
      </c>
      <c r="CS101" s="314" t="n">
        <v>22.831</v>
      </c>
      <c r="CT101" s="329" t="n">
        <f aca="false">CS101*100/42</f>
        <v>54.3595238095238</v>
      </c>
      <c r="CU101" s="329" t="n">
        <f aca="false">CT101-CG102</f>
        <v>0.299999999999997</v>
      </c>
      <c r="CV101" s="329" t="n">
        <f aca="false">CV89+VLOOKUP(1900+$L101,ProductSpreadTable,6)</f>
        <v>1.64999999999999</v>
      </c>
      <c r="CW101" s="333" t="n">
        <f aca="false">CL101+CV101</f>
        <v>86.6205627705628</v>
      </c>
      <c r="CX101" s="318" t="n">
        <v>0.179</v>
      </c>
      <c r="CY101" s="326" t="n">
        <f aca="false">CX101-$W101</f>
        <v>-0.000299999999999967</v>
      </c>
      <c r="CZ101" s="326" t="n">
        <f aca="false">VLOOKUP(1900+$L101,ProductSpreadTable,7)</f>
        <v>-0.03</v>
      </c>
      <c r="DA101" s="365" t="n">
        <f aca="false">$W101+CZ101</f>
        <v>0.1493</v>
      </c>
      <c r="DB101" s="318" t="n">
        <v>0.179</v>
      </c>
      <c r="DC101" s="326" t="n">
        <f aca="false">DB101-$W101</f>
        <v>-0.000299999999999967</v>
      </c>
      <c r="DD101" s="326" t="n">
        <f aca="false">VLOOKUP(1900+$L101,ProductSpreadTable,8)</f>
        <v>0.03</v>
      </c>
      <c r="DE101" s="365" t="n">
        <f aca="false">$W101+DD101</f>
        <v>0.2093</v>
      </c>
      <c r="DG101" s="336"/>
      <c r="DH101" s="314"/>
      <c r="DI101" s="325" t="n">
        <f aca="false">DH101-$U101</f>
        <v>-24.9636363636364</v>
      </c>
      <c r="DJ101" s="325" t="n">
        <f aca="false">VLOOKUP(1900+$L101,ResidSpreadTable,2)</f>
        <v>-2</v>
      </c>
      <c r="DK101" s="337" t="n">
        <f aca="false">$V101+DJ101</f>
        <v>22.9636363636364</v>
      </c>
      <c r="DL101" s="314"/>
      <c r="DM101" s="325" t="n">
        <f aca="false">DL101-$U101</f>
        <v>-24.9636363636364</v>
      </c>
      <c r="DN101" s="325" t="n">
        <f aca="false">VLOOKUP(1900+$L101,ResidSpreadTable,3)</f>
        <v>-3</v>
      </c>
      <c r="DO101" s="337" t="n">
        <f aca="false">$V101+DN101</f>
        <v>21.9636363636364</v>
      </c>
      <c r="DP101" s="314"/>
      <c r="DQ101" s="325" t="n">
        <f aca="false">DP101-$U101</f>
        <v>-24.9636363636364</v>
      </c>
      <c r="DR101" s="325" t="n">
        <f aca="false">VLOOKUP(1900+$L101,ResidSpreadTable,4)</f>
        <v>-6</v>
      </c>
      <c r="DS101" s="337" t="n">
        <f aca="false">$V101+DR101</f>
        <v>18.9636363636364</v>
      </c>
      <c r="DT101" s="314"/>
      <c r="DU101" s="325" t="n">
        <f aca="false">DT101-$U101</f>
        <v>-24.9636363636364</v>
      </c>
      <c r="DV101" s="325" t="n">
        <f aca="false">VLOOKUP(1900+$L101,ResidSpreadTable,5)</f>
        <v>-5</v>
      </c>
      <c r="DW101" s="337" t="n">
        <f aca="false">$V101+DV101</f>
        <v>19.9636363636364</v>
      </c>
    </row>
    <row r="102" customFormat="false" ht="12.75" hidden="false" customHeight="false" outlineLevel="0" collapsed="false">
      <c r="B102" s="371" t="n">
        <v>38657</v>
      </c>
      <c r="C102" s="391" t="n">
        <v>38647</v>
      </c>
      <c r="I102" s="338" t="n">
        <f aca="false">EOMONTH(I101,0)+1</f>
        <v>48853</v>
      </c>
      <c r="J102" s="389" t="n">
        <f aca="false">VLOOKUP(I102,$B$12:$C$332,2)</f>
        <v>45644</v>
      </c>
      <c r="K102" s="339" t="n">
        <f aca="false">NETWORKDAYS(I102,J103)/N102</f>
        <v>-109.190476190476</v>
      </c>
      <c r="L102" s="309" t="n">
        <f aca="false">YEAR(I102)-1900</f>
        <v>133</v>
      </c>
      <c r="M102" s="310" t="n">
        <f aca="false">MONTH(I102)</f>
        <v>10</v>
      </c>
      <c r="N102" s="340" t="n">
        <f aca="false">NETWORKDAYS(I102,I103-1)</f>
        <v>21</v>
      </c>
      <c r="O102" s="341" t="n">
        <f aca="false">I102-DateToday-IF(EuroExpDateToggle=1,3+IF(WEEKDAY(I102-1)=7,1,IF(WEEKDAY(I102-1)&lt;5,2,0)),1+IF(WEEKDAY(I102-1)=7,1,IF(WEEKDAY(I102-1)&lt;3,2,0)))</f>
        <v>2924</v>
      </c>
      <c r="P102" s="342" t="n">
        <f aca="false">(I102-DateToday+1)/365.25</f>
        <v>8.01642710472279</v>
      </c>
      <c r="Q102" s="342" t="n">
        <f aca="false">(I103-DateToday)/365.25</f>
        <v>8.09856262833676</v>
      </c>
      <c r="R102" s="314" t="n">
        <v>19.75</v>
      </c>
      <c r="S102" s="347" t="n">
        <v>0</v>
      </c>
      <c r="T102" s="316" t="n">
        <f aca="false">R102+S102/100</f>
        <v>19.75</v>
      </c>
      <c r="U102" s="325" t="n">
        <f aca="false">R103*K102+R104*(1-K102)</f>
        <v>25.3095238095239</v>
      </c>
      <c r="V102" s="337" t="n">
        <f aca="false">T103*K102+T104*(1-K102)</f>
        <v>25.3095238095239</v>
      </c>
      <c r="W102" s="318" t="n">
        <v>0.1789</v>
      </c>
      <c r="X102" s="319" t="str">
        <f aca="false">IF($I102-DateToday+1&gt;=$A$10,"",IF($I102-DateToday+1&lt;$A$5,1,MATCH($I102-DateToday+1,$A$5:$A$10)))</f>
        <v/>
      </c>
      <c r="Y102" s="348" t="n">
        <f aca="false">IF($X102="",Y101^2/Y100,INDEX(B$5:B$10,$X102)^((INDEX($A$5:$A$10,$X102+1)-($I102-DateToday+1))/(INDEX($A$5:$A$10,$X102+1)-INDEX($A$5:$A$10,$X102)))/INDEX(B$5:B$10,$X102+1)^((INDEX($A$5:$A$10,$X102)-($I102-DateToday+1))/(INDEX($A$5:$A$10,$X102+1)-INDEX($A$5:$A$10,$X102))))</f>
        <v>0.00191991542149903</v>
      </c>
      <c r="Z102" s="348" t="n">
        <f aca="false">IF($X102="",Z101^2/Z100,INDEX(C$5:C$10,$X102)^((INDEX($A$5:$A$10,$X102+1)-($I102-DateToday+1))/(INDEX($A$5:$A$10,$X102+1)-INDEX($A$5:$A$10,$X102)))/INDEX(C$5:C$10,$X102+1)^((INDEX($A$5:$A$10,$X102)-($I102-DateToday+1))/(INDEX($A$5:$A$10,$X102+1)-INDEX($A$5:$A$10,$X102))))</f>
        <v>0.000706028736343011</v>
      </c>
      <c r="AA102" s="348" t="n">
        <f aca="false">IF($X102="",AA101^2/AA100,INDEX(D$5:D$10,$X102)^((INDEX($A$5:$A$10,$X102+1)-($I102-DateToday+1))/(INDEX($A$5:$A$10,$X102+1)-INDEX($A$5:$A$10,$X102)))/INDEX(D$5:D$10,$X102+1)^((INDEX($A$5:$A$10,$X102)-($I102-DateToday+1))/(INDEX($A$5:$A$10,$X102+1)-INDEX($A$5:$A$10,$X102))))</f>
        <v>0.00025994665757502</v>
      </c>
      <c r="AB102" s="348" t="n">
        <f aca="false">IF($X102="",AB101^2/AB100,INDEX(E$5:E$10,$X102)^((INDEX($A$5:$A$10,$X102+1)-($I102-DateToday+1))/(INDEX($A$5:$A$10,$X102+1)-INDEX($A$5:$A$10,$X102)))/INDEX(E$5:E$10,$X102+1)^((INDEX($A$5:$A$10,$X102)-($I102-DateToday+1))/(INDEX($A$5:$A$10,$X102+1)-INDEX($A$5:$A$10,$X102))))</f>
        <v>0.000585607830185014</v>
      </c>
      <c r="AC102" s="348" t="n">
        <f aca="false">IF($X102="",AC101^2/AC100,INDEX(F$5:F$10,$X102)^((INDEX($A$5:$A$10,$X102+1)-($I102-DateToday+1))/(INDEX($A$5:$A$10,$X102+1)-INDEX($A$5:$A$10,$X102)))/INDEX(F$5:F$10,$X102+1)^((INDEX($A$5:$A$10,$X102)-($I102-DateToday+1))/(INDEX($A$5:$A$10,$X102+1)-INDEX($A$5:$A$10,$X102))))</f>
        <v>0.00159054153723353</v>
      </c>
      <c r="AD102" s="348" t="n">
        <f aca="false">IF($X102="",AD101^2/AD100,INDEX(G$5:G$10,$X102)^((INDEX($A$5:$A$10,$X102+1)-($I102-DateToday+1))/(INDEX($A$5:$A$10,$X102+1)-INDEX($A$5:$A$10,$X102)))/INDEX(G$5:G$10,$X102+1)^((INDEX($A$5:$A$10,$X102)-($I102-DateToday+1))/(INDEX($A$5:$A$10,$X102+1)-INDEX($A$5:$A$10,$X102))))</f>
        <v>0.00432518546155278</v>
      </c>
      <c r="AE102" s="321" t="n">
        <v>0.07360121328796</v>
      </c>
      <c r="AF102" s="316" t="n">
        <f aca="false">(1+AE102/2)^(-2*(I103-DateToday)/365.25)</f>
        <v>0.556906374628578</v>
      </c>
      <c r="AG102" s="316" t="n">
        <f aca="false">AG101*(1+IF(AND(M102=1,L102&gt;YearStart),Escalation,0))</f>
        <v>1</v>
      </c>
      <c r="AH102" s="322" t="n">
        <f aca="false">IF(OR(DateStart&gt;=I103,DateEnd&lt;I102),0,Volume*AG102)</f>
        <v>0</v>
      </c>
      <c r="AI102" s="322" t="n">
        <f aca="false">AH102*AF102</f>
        <v>0</v>
      </c>
      <c r="AJ102" s="322" t="n">
        <f aca="false">IF(OR(DateStart2&gt;=I103,DateEnd2&lt;I102),0,VolumeSwaption*AG102)</f>
        <v>0</v>
      </c>
      <c r="AK102" s="322" t="n">
        <f aca="false">AJ102*AF102</f>
        <v>0</v>
      </c>
      <c r="AL102" s="316" t="str">
        <f aca="true">IF(AH102,OFFSET(BY102,0,HorizontalPriceOffset)+PriceSpreadAsian,"")</f>
        <v/>
      </c>
      <c r="AM102" s="316" t="str">
        <f aca="false">IF(AH102,Strike1/AL102-1,"")</f>
        <v/>
      </c>
      <c r="AN102" s="316" t="str">
        <f aca="false">IF(AH102,Strike2/AL102-1,"")</f>
        <v/>
      </c>
      <c r="AO102" s="323" t="str">
        <f aca="false">IF(AH102,IF(VolOverrideAsian,VolOverrideAsian,IF(ProductGroup=1,IF(Product&lt;3,DA103,DE103),W103)+VolSpreadAsian),"")</f>
        <v/>
      </c>
      <c r="AP102" s="323" t="str">
        <f aca="false">IF($AH102,$AO102+IF(SkewFlag=1,IF(AM102&gt;0,$AA102*MIN(AM102/10%,1)+($Z102-$AA102)*MAX(0,MIN(AM102/10%-1,1))+($Y102-$Z102)*MAX(0,AM102/10%-2),$AB102*MIN(-AM102/10%,1)+($AC102-$AB102)*MAX(0,MIN(-AM102/10%-1,1))+($AD102-$AC102)*MAX(0,-AM102/10%-2)),0),"")</f>
        <v/>
      </c>
      <c r="AQ102" s="323" t="str">
        <f aca="false">IF($AH102,$AO102+IF(SkewFlag=1,IF(AN102&gt;0,$AA102*MIN(AN102/10%,1)+($Z102-$AA102)*MAX(0,MIN(AN102/10%-1,1))+($Y102-$Z102)*MAX(0,AN102/10%-2),$AB102*MIN(-AN102/10%,1)+($AC102-$AB102)*MAX(0,MIN(-AN102/10%-1,1))+($AD102-$AC102)*MAX(0,-AN102/10%-2)),0),"")</f>
        <v/>
      </c>
      <c r="AR102" s="324" t="n">
        <f aca="false">IF(AH102,xASN(AL102,Strike1,AE102,AP102,0,N102,0,P102,Q102,IF(OptControl=4,0,1),0),0)</f>
        <v>0</v>
      </c>
      <c r="AS102" s="324" t="n">
        <f aca="false">IF(AH102,xASN(AL102,Strike1,AE102,AP102,0,N102,0,P102,Q102,IF(OptControl=4,0,1),1),0)</f>
        <v>0</v>
      </c>
      <c r="AT102" s="324" t="n">
        <f aca="false">IF(AH102,xASN(AL102,Strike1,AE102,AP102,0,N102,0,P102,Q102,IF(OptControl=4,0,1),2),0)</f>
        <v>0</v>
      </c>
      <c r="AU102" s="324" t="n">
        <f aca="false">IF(AH102,xASN(AL102,Strike1,AE102,AP102,0,N102,0,P102,Q102,IF(OptControl=4,0,1),3)/100,0)</f>
        <v>0</v>
      </c>
      <c r="AV102" s="324" t="n">
        <f aca="false">IF(AH102,xASN(AL102,Strike1,AE102,AP102,0,N102,0,P102-DaysForThetaCalculation/365.25,Q102-DaysForThetaCalculation/365.25,IF(OptControl=4,0,1),0)-xASN(AL102,Strike1,AE102,AP102,0,N102,0,P102,Q102,IF(OptControl=4,0,1),0),0)</f>
        <v>0</v>
      </c>
      <c r="AW102" s="324" t="n">
        <f aca="false">IF(AH102,xASN(AL102,Strike2,AE102,AQ102,0,N102,0,P102,Q102,IF(OptControl=3,1,0),0),0)</f>
        <v>0</v>
      </c>
      <c r="AX102" s="324" t="n">
        <f aca="false">IF(AH102,xASN(AL102,Strike2,AE102,AQ102,0,N102,0,P102,Q102,IF(OptControl=3,1,0),1),0)</f>
        <v>0</v>
      </c>
      <c r="AY102" s="324" t="n">
        <f aca="false">IF(AH102,xASN(AL102,Strike2,AE102,AQ102,0,N102,0,P102,Q102,IF(OptControl=3,1,0),2),0)</f>
        <v>0</v>
      </c>
      <c r="AZ102" s="324" t="n">
        <f aca="false">IF(AH102,xASN(AL102,Strike2,AE102,AQ102,0,N102,0,P102,Q102,IF(OptControl=3,1,0),3)/100,0)</f>
        <v>0</v>
      </c>
      <c r="BA102" s="324" t="n">
        <f aca="false">IF(AH102,xASN(AL102,Strike2,AE102,AQ102,0,N102,0,P102-DaysForThetaCalculation/365.25,Q102-DaysForThetaCalculation/365.25,IF(OptControl=3,1,0),0)-xASN(AL102,Strike2,AE102,AQ102,0,N102,0,P102,Q102,IF(OptControl=3,1,0),0),0)</f>
        <v>0</v>
      </c>
      <c r="BB102" s="325" t="str">
        <f aca="false">IF(AH102,IF(ProductGroup=1,IF(Product=1,BX102+PriceSpreadEuro,IF(Product=3,CK102+PriceSpreadEuro,"N/A")),"N/A"),"")</f>
        <v/>
      </c>
      <c r="BC102" s="316" t="str">
        <f aca="false">IF(AH102,Strike1/BB102-1,"")</f>
        <v/>
      </c>
      <c r="BD102" s="316" t="str">
        <f aca="false">IF(AH102,Strike2/BB102-1,"")</f>
        <v/>
      </c>
      <c r="BE102" s="326" t="str">
        <f aca="false">IF(AH102,IF(VolOverrideEuro,VolOverrideEuro,IF(ProductGroup=1,IF(Product&lt;3,DA102,DE102)+VolSpreadEuro,"N/A")),"")</f>
        <v/>
      </c>
      <c r="BF102" s="323" t="str">
        <f aca="false">IF($AH102,$BE102+IF(SkewFlag=1,IF(BC102&gt;0,$AA102*MIN(BC102/10%,1)+($Z102-$AA102)*MAX(0,MIN(BC102/10%-1,1))+($Y102-$Z102)*MAX(0,BC102/10%-2),$AB102*MIN(-BC102/10%,1)+($AC102-$AB102)*MAX(0,MIN(-BC102/10%-1,1))+($AD102-$AC102)*MAX(0,-BC102/10%-2)),0),"")</f>
        <v/>
      </c>
      <c r="BG102" s="323" t="str">
        <f aca="false">IF($AH102,$BE102+IF(SkewFlag=1,IF(BD102&gt;0,$AA102*MIN(BD102/10%,1)+($Z102-$AA102)*MAX(0,MIN(BD102/10%-1,1))+($Y102-$Z102)*MAX(0,BD102/10%-2),$AB102*MIN(-BD102/10%,1)+($AC102-$AB102)*MAX(0,MIN(-BD102/10%-1,1))+($AD102-$AC102)*MAX(0,-BD102/10%-2)),0),"")</f>
        <v/>
      </c>
      <c r="BH102" s="324" t="n">
        <f aca="false">IF(AH102,xEURO(BB102,Strike1,AE102,AE102,BF102,O102,IF(OptControl=4,0,1),0),0)</f>
        <v>0</v>
      </c>
      <c r="BI102" s="324" t="n">
        <f aca="false">IF(AH102,xEURO(BB102,Strike1,AE102,AE102,BF102,O102,IF(OptControl=4,0,1),1),0)</f>
        <v>0</v>
      </c>
      <c r="BJ102" s="324" t="n">
        <f aca="false">IF(AH102,xEURO(BB102,Strike1,AE102,AE102,BF102,O102,IF(OptControl=4,0,1),2),0)</f>
        <v>0</v>
      </c>
      <c r="BK102" s="324" t="n">
        <f aca="false">IF(AH102,xEURO(BB102,Strike1,AE102,AE102,BF102,O102,IF(OptControl=4,0,1),3)/100,0)</f>
        <v>0</v>
      </c>
      <c r="BL102" s="324" t="n">
        <f aca="false">IF(AH102,xEURO(BB102,Strike1,AE102,AE102,BF102,O102-DaysForThetaCalculation,IF(OptControl=4,0,1),0)-xEURO(BB102,Strike1,AE102,AE102,BF102,O102,IF(OptControl=4,0,1),0),0)</f>
        <v>0</v>
      </c>
      <c r="BM102" s="324" t="n">
        <f aca="false">IF(AH102,xEURO(BB102,Strike2,AE102,AE102,BG102,O102,IF(OptControl=3,1,0),0),0)</f>
        <v>0</v>
      </c>
      <c r="BN102" s="324" t="n">
        <f aca="false">IF(AH102,xEURO(BB102,Strike2,AE102,AE102,BG102,O102,IF(OptControl=3,1,0),1),0)</f>
        <v>0</v>
      </c>
      <c r="BO102" s="324" t="n">
        <f aca="false">IF(AH102,xEURO(BB102,Strike2,AE102,AE102,BG102,O102,IF(OptControl=3,1,0),2),0)</f>
        <v>0</v>
      </c>
      <c r="BP102" s="324" t="n">
        <f aca="false">IF(AH102,xEURO(BB102,Strike2,AE102,AE102,BG102,O102,IF(OptControl=3,1,0),3)/100,0)</f>
        <v>0</v>
      </c>
      <c r="BQ102" s="327" t="n">
        <f aca="false">IF(AH102,xEURO(BB102,Strike2,AE102,AE102,BG102,O102-DaysForThetaCalculation,IF(OptControl=3,1,0),0)-xEURO(BB102,Strike2,AE102,AE102,BG102,O102,IF(OptControl=3,1,0),0),0)</f>
        <v>0</v>
      </c>
      <c r="BR102" s="343"/>
      <c r="BS102" s="314" t="n">
        <v>29.555</v>
      </c>
      <c r="BT102" s="329" t="n">
        <f aca="false">BS102*100/42</f>
        <v>70.3690476190476</v>
      </c>
      <c r="BU102" s="329" t="n">
        <f aca="false">BS103-$U102</f>
        <v>2.79247619047615</v>
      </c>
      <c r="BV102" s="224"/>
      <c r="BW102" s="329" t="n">
        <f aca="false">BW90+VLOOKUP(1900+$L102,ProductSpreadTable,2)</f>
        <v>21.624347826087</v>
      </c>
      <c r="BX102" s="329" t="n">
        <f aca="false">($V101+BW101)*100/42</f>
        <v>86.5610389610391</v>
      </c>
      <c r="BY102" s="332" t="n">
        <f aca="false">BX103</f>
        <v>111.747313418121</v>
      </c>
      <c r="BZ102" s="314" t="n">
        <v>26.212</v>
      </c>
      <c r="CA102" s="329" t="n">
        <f aca="false">BZ102*100/42</f>
        <v>62.4095238095238</v>
      </c>
      <c r="CB102" s="329" t="n">
        <f aca="false">BZ102-$U102</f>
        <v>0.902476190476151</v>
      </c>
      <c r="CC102" s="329" t="n">
        <f aca="false">CC90+VLOOKUP(1900+$L102,ProductSpreadTable,3)</f>
        <v>18.999347826087</v>
      </c>
      <c r="CD102" s="329" t="n">
        <f aca="false">($V102+CC102)*100/42</f>
        <v>105.497313418121</v>
      </c>
      <c r="CE102" s="333" t="n">
        <f aca="false">CD102-BY102</f>
        <v>-6.25</v>
      </c>
      <c r="CF102" s="314" t="n">
        <v>22.705</v>
      </c>
      <c r="CG102" s="329" t="n">
        <f aca="false">CF102*100/42</f>
        <v>54.0595238095238</v>
      </c>
      <c r="CH102" s="329" t="n">
        <f aca="false">CF103-$U102</f>
        <v>-3.12552380952385</v>
      </c>
      <c r="CI102" s="224"/>
      <c r="CJ102" s="329" t="n">
        <f aca="false">CJ90+VLOOKUP(1900+$L102,ProductSpreadTable,4)</f>
        <v>9.41163636363635</v>
      </c>
      <c r="CK102" s="329" t="n">
        <f aca="false">($V101+CJ101)*100/42</f>
        <v>84.9705627705628</v>
      </c>
      <c r="CL102" s="329" t="n">
        <f aca="false">CK103</f>
        <v>82.6694289837148</v>
      </c>
      <c r="CM102" s="314" t="n">
        <v>21.365</v>
      </c>
      <c r="CN102" s="329" t="n">
        <f aca="false">CM102*100/42</f>
        <v>50.8690476190476</v>
      </c>
      <c r="CO102" s="329" t="n">
        <f aca="false">CM102-$U102</f>
        <v>-3.94452380952385</v>
      </c>
      <c r="CP102" s="329" t="n">
        <f aca="false">CP90+VLOOKUP(1900+$L102,ProductSpreadTable,5)</f>
        <v>8.48763636363634</v>
      </c>
      <c r="CQ102" s="329" t="n">
        <f aca="false">($V102+CP102)*100/42</f>
        <v>80.4694289837147</v>
      </c>
      <c r="CR102" s="333" t="n">
        <f aca="false">CQ102-CL102</f>
        <v>-2.20000000000003</v>
      </c>
      <c r="CS102" s="314" t="n">
        <v>22.31</v>
      </c>
      <c r="CT102" s="329" t="n">
        <f aca="false">CS102*100/42</f>
        <v>53.1190476190476</v>
      </c>
      <c r="CU102" s="329" t="n">
        <f aca="false">CT102-CG103</f>
        <v>0.299999999999997</v>
      </c>
      <c r="CV102" s="329" t="n">
        <f aca="false">CV90+VLOOKUP(1900+$L102,ProductSpreadTable,6)</f>
        <v>1.64999999999999</v>
      </c>
      <c r="CW102" s="333" t="n">
        <f aca="false">CL102+CV102</f>
        <v>84.3194289837148</v>
      </c>
      <c r="CX102" s="318" t="n">
        <v>0.179</v>
      </c>
      <c r="CY102" s="326" t="n">
        <f aca="false">CX102-$W102</f>
        <v>0.000100000000000017</v>
      </c>
      <c r="CZ102" s="326" t="n">
        <f aca="false">VLOOKUP(1900+$L102,ProductSpreadTable,7)</f>
        <v>-0.03</v>
      </c>
      <c r="DA102" s="365" t="n">
        <f aca="false">$W102+CZ102</f>
        <v>0.1489</v>
      </c>
      <c r="DB102" s="318" t="n">
        <v>0.179</v>
      </c>
      <c r="DC102" s="326" t="n">
        <f aca="false">DB102-$W102</f>
        <v>0.000100000000000017</v>
      </c>
      <c r="DD102" s="326" t="n">
        <f aca="false">VLOOKUP(1900+$L102,ProductSpreadTable,8)</f>
        <v>0.03</v>
      </c>
      <c r="DE102" s="365" t="n">
        <f aca="false">$W102+DD102</f>
        <v>0.2089</v>
      </c>
      <c r="DG102" s="336"/>
      <c r="DH102" s="314"/>
      <c r="DI102" s="325" t="n">
        <f aca="false">DH102-$U102</f>
        <v>-25.3095238095239</v>
      </c>
      <c r="DJ102" s="325" t="n">
        <f aca="false">VLOOKUP(1900+$L102,ResidSpreadTable,2)</f>
        <v>-2</v>
      </c>
      <c r="DK102" s="337" t="n">
        <f aca="false">$V102+DJ102</f>
        <v>23.3095238095239</v>
      </c>
      <c r="DL102" s="314"/>
      <c r="DM102" s="325" t="n">
        <f aca="false">DL102-$U102</f>
        <v>-25.3095238095239</v>
      </c>
      <c r="DN102" s="325" t="n">
        <f aca="false">VLOOKUP(1900+$L102,ResidSpreadTable,3)</f>
        <v>-3</v>
      </c>
      <c r="DO102" s="337" t="n">
        <f aca="false">$V102+DN102</f>
        <v>22.3095238095239</v>
      </c>
      <c r="DP102" s="314"/>
      <c r="DQ102" s="325" t="n">
        <f aca="false">DP102-$U102</f>
        <v>-25.3095238095239</v>
      </c>
      <c r="DR102" s="325" t="n">
        <f aca="false">VLOOKUP(1900+$L102,ResidSpreadTable,4)</f>
        <v>-6</v>
      </c>
      <c r="DS102" s="337" t="n">
        <f aca="false">$V102+DR102</f>
        <v>19.3095238095239</v>
      </c>
      <c r="DT102" s="314"/>
      <c r="DU102" s="325" t="n">
        <f aca="false">DT102-$U102</f>
        <v>-25.3095238095239</v>
      </c>
      <c r="DV102" s="325" t="n">
        <f aca="false">VLOOKUP(1900+$L102,ResidSpreadTable,5)</f>
        <v>-5</v>
      </c>
      <c r="DW102" s="337" t="n">
        <f aca="false">$V102+DV102</f>
        <v>20.3095238095239</v>
      </c>
    </row>
    <row r="103" customFormat="false" ht="12.75" hidden="false" customHeight="false" outlineLevel="0" collapsed="false">
      <c r="B103" s="371" t="n">
        <v>38687</v>
      </c>
      <c r="C103" s="391" t="n">
        <v>38675</v>
      </c>
      <c r="I103" s="338" t="n">
        <f aca="false">EOMONTH(I102,0)+1</f>
        <v>48884</v>
      </c>
      <c r="J103" s="389" t="n">
        <f aca="false">VLOOKUP(I103,$B$12:$C$332,2)</f>
        <v>45644</v>
      </c>
      <c r="K103" s="339" t="n">
        <f aca="false">NETWORKDAYS(I103,J104)/N103</f>
        <v>-105.227272727273</v>
      </c>
      <c r="L103" s="309" t="n">
        <f aca="false">YEAR(I103)-1900</f>
        <v>133</v>
      </c>
      <c r="M103" s="310" t="n">
        <f aca="false">MONTH(I103)</f>
        <v>11</v>
      </c>
      <c r="N103" s="340" t="n">
        <f aca="false">NETWORKDAYS(I103,I104-1)</f>
        <v>22</v>
      </c>
      <c r="O103" s="341" t="n">
        <f aca="false">I103-DateToday-IF(EuroExpDateToggle=1,3+IF(WEEKDAY(I103-1)=7,1,IF(WEEKDAY(I103-1)&lt;5,2,0)),1+IF(WEEKDAY(I103-1)=7,1,IF(WEEKDAY(I103-1)&lt;3,2,0)))</f>
        <v>2953</v>
      </c>
      <c r="P103" s="342" t="n">
        <f aca="false">(I103-DateToday+1)/365.25</f>
        <v>8.10130047912389</v>
      </c>
      <c r="Q103" s="342" t="n">
        <f aca="false">(I104-DateToday)/365.25</f>
        <v>8.18069815195072</v>
      </c>
      <c r="R103" s="314" t="n">
        <v>19.8</v>
      </c>
      <c r="S103" s="347" t="n">
        <v>0</v>
      </c>
      <c r="T103" s="316" t="n">
        <f aca="false">R103+S103/100</f>
        <v>19.8</v>
      </c>
      <c r="U103" s="325" t="n">
        <f aca="false">R104*K103+R105*(1-K103)</f>
        <v>25.1613636363632</v>
      </c>
      <c r="V103" s="337" t="n">
        <f aca="false">T104*K103+T105*(1-K103)</f>
        <v>25.1613636363632</v>
      </c>
      <c r="W103" s="318" t="n">
        <v>0.1785</v>
      </c>
      <c r="X103" s="319" t="str">
        <f aca="false">IF($I103-DateToday+1&gt;=$A$10,"",IF($I103-DateToday+1&lt;$A$5,1,MATCH($I103-DateToday+1,$A$5:$A$10)))</f>
        <v/>
      </c>
      <c r="Y103" s="348" t="n">
        <f aca="false">IF($X103="",Y102^2/Y101,INDEX(B$5:B$10,$X103)^((INDEX($A$5:$A$10,$X103+1)-($I103-DateToday+1))/(INDEX($A$5:$A$10,$X103+1)-INDEX($A$5:$A$10,$X103)))/INDEX(B$5:B$10,$X103+1)^((INDEX($A$5:$A$10,$X103)-($I103-DateToday+1))/(INDEX($A$5:$A$10,$X103+1)-INDEX($A$5:$A$10,$X103))))</f>
        <v>0.00187881295237647</v>
      </c>
      <c r="Z103" s="348" t="n">
        <f aca="false">IF($X103="",Z102^2/Z101,INDEX(C$5:C$10,$X103)^((INDEX($A$5:$A$10,$X103+1)-($I103-DateToday+1))/(INDEX($A$5:$A$10,$X103+1)-INDEX($A$5:$A$10,$X103)))/INDEX(C$5:C$10,$X103+1)^((INDEX($A$5:$A$10,$X103)-($I103-DateToday+1))/(INDEX($A$5:$A$10,$X103+1)-INDEX($A$5:$A$10,$X103))))</f>
        <v>0.000687214546892125</v>
      </c>
      <c r="AA103" s="348" t="n">
        <f aca="false">IF($X103="",AA102^2/AA101,INDEX(D$5:D$10,$X103)^((INDEX($A$5:$A$10,$X103+1)-($I103-DateToday+1))/(INDEX($A$5:$A$10,$X103+1)-INDEX($A$5:$A$10,$X103)))/INDEX(D$5:D$10,$X103+1)^((INDEX($A$5:$A$10,$X103)-($I103-DateToday+1))/(INDEX($A$5:$A$10,$X103+1)-INDEX($A$5:$A$10,$X103))))</f>
        <v>0.000252341126666148</v>
      </c>
      <c r="AB103" s="348" t="n">
        <f aca="false">IF($X103="",AB102^2/AB101,INDEX(E$5:E$10,$X103)^((INDEX($A$5:$A$10,$X103+1)-($I103-DateToday+1))/(INDEX($A$5:$A$10,$X103+1)-INDEX($A$5:$A$10,$X103)))/INDEX(E$5:E$10,$X103+1)^((INDEX($A$5:$A$10,$X103)-($I103-DateToday+1))/(INDEX($A$5:$A$10,$X103+1)-INDEX($A$5:$A$10,$X103))))</f>
        <v>0.000568474090153509</v>
      </c>
      <c r="AC103" s="348" t="n">
        <f aca="false">IF($X103="",AC102^2/AC101,INDEX(F$5:F$10,$X103)^((INDEX($A$5:$A$10,$X103+1)-($I103-DateToday+1))/(INDEX($A$5:$A$10,$X103+1)-INDEX($A$5:$A$10,$X103)))/INDEX(F$5:F$10,$X103+1)^((INDEX($A$5:$A$10,$X103)-($I103-DateToday+1))/(INDEX($A$5:$A$10,$X103+1)-INDEX($A$5:$A$10,$X103))))</f>
        <v>0.00154815693123858</v>
      </c>
      <c r="AD103" s="348" t="n">
        <f aca="false">IF($X103="",AD102^2/AD101,INDEX(G$5:G$10,$X103)^((INDEX($A$5:$A$10,$X103+1)-($I103-DateToday+1))/(INDEX($A$5:$A$10,$X103+1)-INDEX($A$5:$A$10,$X103)))/INDEX(G$5:G$10,$X103+1)^((INDEX($A$5:$A$10,$X103)-($I103-DateToday+1))/(INDEX($A$5:$A$10,$X103+1)-INDEX($A$5:$A$10,$X103))))</f>
        <v>0.00423258981911347</v>
      </c>
      <c r="AE103" s="321" t="n">
        <v>0.073608558517047</v>
      </c>
      <c r="AF103" s="316" t="n">
        <f aca="false">(1+AE103/2)^(-2*(I104-DateToday)/365.25)</f>
        <v>0.553577901578111</v>
      </c>
      <c r="AG103" s="316" t="n">
        <f aca="false">AG102*(1+IF(AND(M103=1,L103&gt;YearStart),Escalation,0))</f>
        <v>1</v>
      </c>
      <c r="AH103" s="322" t="n">
        <f aca="false">IF(OR(DateStart&gt;=I104,DateEnd&lt;I103),0,Volume*AG103)</f>
        <v>0</v>
      </c>
      <c r="AI103" s="322" t="n">
        <f aca="false">AH103*AF103</f>
        <v>0</v>
      </c>
      <c r="AJ103" s="322" t="n">
        <f aca="false">IF(OR(DateStart2&gt;=I104,DateEnd2&lt;I103),0,VolumeSwaption*AG103)</f>
        <v>0</v>
      </c>
      <c r="AK103" s="322" t="n">
        <f aca="false">AJ103*AF103</f>
        <v>0</v>
      </c>
      <c r="AL103" s="316" t="str">
        <f aca="true">IF(AH103,OFFSET(BY103,0,HorizontalPriceOffset)+PriceSpreadAsian,"")</f>
        <v/>
      </c>
      <c r="AM103" s="316" t="str">
        <f aca="false">IF(AH103,Strike1/AL103-1,"")</f>
        <v/>
      </c>
      <c r="AN103" s="316" t="str">
        <f aca="false">IF(AH103,Strike2/AL103-1,"")</f>
        <v/>
      </c>
      <c r="AO103" s="323" t="str">
        <f aca="false">IF(AH103,IF(VolOverrideAsian,VolOverrideAsian,IF(ProductGroup=1,IF(Product&lt;3,DA104,DE104),W104)+VolSpreadAsian),"")</f>
        <v/>
      </c>
      <c r="AP103" s="323" t="str">
        <f aca="false">IF($AH103,$AO103+IF(SkewFlag=1,IF(AM103&gt;0,$AA103*MIN(AM103/10%,1)+($Z103-$AA103)*MAX(0,MIN(AM103/10%-1,1))+($Y103-$Z103)*MAX(0,AM103/10%-2),$AB103*MIN(-AM103/10%,1)+($AC103-$AB103)*MAX(0,MIN(-AM103/10%-1,1))+($AD103-$AC103)*MAX(0,-AM103/10%-2)),0),"")</f>
        <v/>
      </c>
      <c r="AQ103" s="323" t="str">
        <f aca="false">IF($AH103,$AO103+IF(SkewFlag=1,IF(AN103&gt;0,$AA103*MIN(AN103/10%,1)+($Z103-$AA103)*MAX(0,MIN(AN103/10%-1,1))+($Y103-$Z103)*MAX(0,AN103/10%-2),$AB103*MIN(-AN103/10%,1)+($AC103-$AB103)*MAX(0,MIN(-AN103/10%-1,1))+($AD103-$AC103)*MAX(0,-AN103/10%-2)),0),"")</f>
        <v/>
      </c>
      <c r="AR103" s="324" t="n">
        <f aca="false">IF(AH103,xASN(AL103,Strike1,AE103,AP103,0,N103,0,P103,Q103,IF(OptControl=4,0,1),0),0)</f>
        <v>0</v>
      </c>
      <c r="AS103" s="324" t="n">
        <f aca="false">IF(AH103,xASN(AL103,Strike1,AE103,AP103,0,N103,0,P103,Q103,IF(OptControl=4,0,1),1),0)</f>
        <v>0</v>
      </c>
      <c r="AT103" s="324" t="n">
        <f aca="false">IF(AH103,xASN(AL103,Strike1,AE103,AP103,0,N103,0,P103,Q103,IF(OptControl=4,0,1),2),0)</f>
        <v>0</v>
      </c>
      <c r="AU103" s="324" t="n">
        <f aca="false">IF(AH103,xASN(AL103,Strike1,AE103,AP103,0,N103,0,P103,Q103,IF(OptControl=4,0,1),3)/100,0)</f>
        <v>0</v>
      </c>
      <c r="AV103" s="324" t="n">
        <f aca="false">IF(AH103,xASN(AL103,Strike1,AE103,AP103,0,N103,0,P103-DaysForThetaCalculation/365.25,Q103-DaysForThetaCalculation/365.25,IF(OptControl=4,0,1),0)-xASN(AL103,Strike1,AE103,AP103,0,N103,0,P103,Q103,IF(OptControl=4,0,1),0),0)</f>
        <v>0</v>
      </c>
      <c r="AW103" s="324" t="n">
        <f aca="false">IF(AH103,xASN(AL103,Strike2,AE103,AQ103,0,N103,0,P103,Q103,IF(OptControl=3,1,0),0),0)</f>
        <v>0</v>
      </c>
      <c r="AX103" s="324" t="n">
        <f aca="false">IF(AH103,xASN(AL103,Strike2,AE103,AQ103,0,N103,0,P103,Q103,IF(OptControl=3,1,0),1),0)</f>
        <v>0</v>
      </c>
      <c r="AY103" s="324" t="n">
        <f aca="false">IF(AH103,xASN(AL103,Strike2,AE103,AQ103,0,N103,0,P103,Q103,IF(OptControl=3,1,0),2),0)</f>
        <v>0</v>
      </c>
      <c r="AZ103" s="324" t="n">
        <f aca="false">IF(AH103,xASN(AL103,Strike2,AE103,AQ103,0,N103,0,P103,Q103,IF(OptControl=3,1,0),3)/100,0)</f>
        <v>0</v>
      </c>
      <c r="BA103" s="324" t="n">
        <f aca="false">IF(AH103,xASN(AL103,Strike2,AE103,AQ103,0,N103,0,P103-DaysForThetaCalculation/365.25,Q103-DaysForThetaCalculation/365.25,IF(OptControl=3,1,0),0)-xASN(AL103,Strike2,AE103,AQ103,0,N103,0,P103,Q103,IF(OptControl=3,1,0),0),0)</f>
        <v>0</v>
      </c>
      <c r="BB103" s="325" t="str">
        <f aca="false">IF(AH103,IF(ProductGroup=1,IF(Product=1,BX103+PriceSpreadEuro,IF(Product=3,CK103+PriceSpreadEuro,"N/A")),"N/A"),"")</f>
        <v/>
      </c>
      <c r="BC103" s="316" t="str">
        <f aca="false">IF(AH103,Strike1/BB103-1,"")</f>
        <v/>
      </c>
      <c r="BD103" s="316" t="str">
        <f aca="false">IF(AH103,Strike2/BB103-1,"")</f>
        <v/>
      </c>
      <c r="BE103" s="326" t="str">
        <f aca="false">IF(AH103,IF(VolOverrideEuro,VolOverrideEuro,IF(ProductGroup=1,IF(Product&lt;3,DA103,DE103)+VolSpreadEuro,"N/A")),"")</f>
        <v/>
      </c>
      <c r="BF103" s="323" t="str">
        <f aca="false">IF($AH103,$BE103+IF(SkewFlag=1,IF(BC103&gt;0,$AA103*MIN(BC103/10%,1)+($Z103-$AA103)*MAX(0,MIN(BC103/10%-1,1))+($Y103-$Z103)*MAX(0,BC103/10%-2),$AB103*MIN(-BC103/10%,1)+($AC103-$AB103)*MAX(0,MIN(-BC103/10%-1,1))+($AD103-$AC103)*MAX(0,-BC103/10%-2)),0),"")</f>
        <v/>
      </c>
      <c r="BG103" s="323" t="str">
        <f aca="false">IF($AH103,$BE103+IF(SkewFlag=1,IF(BD103&gt;0,$AA103*MIN(BD103/10%,1)+($Z103-$AA103)*MAX(0,MIN(BD103/10%-1,1))+($Y103-$Z103)*MAX(0,BD103/10%-2),$AB103*MIN(-BD103/10%,1)+($AC103-$AB103)*MAX(0,MIN(-BD103/10%-1,1))+($AD103-$AC103)*MAX(0,-BD103/10%-2)),0),"")</f>
        <v/>
      </c>
      <c r="BH103" s="324" t="n">
        <f aca="false">IF(AH103,xEURO(BB103,Strike1,AE103,AE103,BF103,O103,IF(OptControl=4,0,1),0),0)</f>
        <v>0</v>
      </c>
      <c r="BI103" s="324" t="n">
        <f aca="false">IF(AH103,xEURO(BB103,Strike1,AE103,AE103,BF103,O103,IF(OptControl=4,0,1),1),0)</f>
        <v>0</v>
      </c>
      <c r="BJ103" s="324" t="n">
        <f aca="false">IF(AH103,xEURO(BB103,Strike1,AE103,AE103,BF103,O103,IF(OptControl=4,0,1),2),0)</f>
        <v>0</v>
      </c>
      <c r="BK103" s="324" t="n">
        <f aca="false">IF(AH103,xEURO(BB103,Strike1,AE103,AE103,BF103,O103,IF(OptControl=4,0,1),3)/100,0)</f>
        <v>0</v>
      </c>
      <c r="BL103" s="324" t="n">
        <f aca="false">IF(AH103,xEURO(BB103,Strike1,AE103,AE103,BF103,O103-DaysForThetaCalculation,IF(OptControl=4,0,1),0)-xEURO(BB103,Strike1,AE103,AE103,BF103,O103,IF(OptControl=4,0,1),0),0)</f>
        <v>0</v>
      </c>
      <c r="BM103" s="324" t="n">
        <f aca="false">IF(AH103,xEURO(BB103,Strike2,AE103,AE103,BG103,O103,IF(OptControl=3,1,0),0),0)</f>
        <v>0</v>
      </c>
      <c r="BN103" s="324" t="n">
        <f aca="false">IF(AH103,xEURO(BB103,Strike2,AE103,AE103,BG103,O103,IF(OptControl=3,1,0),1),0)</f>
        <v>0</v>
      </c>
      <c r="BO103" s="324" t="n">
        <f aca="false">IF(AH103,xEURO(BB103,Strike2,AE103,AE103,BG103,O103,IF(OptControl=3,1,0),2),0)</f>
        <v>0</v>
      </c>
      <c r="BP103" s="324" t="n">
        <f aca="false">IF(AH103,xEURO(BB103,Strike2,AE103,AE103,BG103,O103,IF(OptControl=3,1,0),3)/100,0)</f>
        <v>0</v>
      </c>
      <c r="BQ103" s="327" t="n">
        <f aca="false">IF(AH103,xEURO(BB103,Strike2,AE103,AE103,BG103,O103-DaysForThetaCalculation,IF(OptControl=3,1,0),0)-xEURO(BB103,Strike2,AE103,AE103,BG103,O103,IF(OptControl=3,1,0),0),0)</f>
        <v>0</v>
      </c>
      <c r="BR103" s="343"/>
      <c r="BS103" s="314" t="n">
        <v>28.102</v>
      </c>
      <c r="BT103" s="329" t="n">
        <f aca="false">BS103*100/42</f>
        <v>66.9095238095238</v>
      </c>
      <c r="BU103" s="329" t="n">
        <f aca="false">BS104-$U103</f>
        <v>2.43263636363685</v>
      </c>
      <c r="BV103" s="224"/>
      <c r="BW103" s="329" t="n">
        <f aca="false">BW91+VLOOKUP(1900+$L103,ProductSpreadTable,2)</f>
        <v>19.64</v>
      </c>
      <c r="BX103" s="329" t="n">
        <f aca="false">($V102+BW102)*100/42</f>
        <v>111.747313418121</v>
      </c>
      <c r="BY103" s="332" t="n">
        <f aca="false">BX104</f>
        <v>106.669913419912</v>
      </c>
      <c r="BZ103" s="314" t="n">
        <v>25.704</v>
      </c>
      <c r="CA103" s="329" t="n">
        <f aca="false">BZ103*100/42</f>
        <v>61.2</v>
      </c>
      <c r="CB103" s="329" t="n">
        <f aca="false">BZ103-$U103</f>
        <v>0.542636363636852</v>
      </c>
      <c r="CC103" s="329" t="n">
        <f aca="false">CC91+VLOOKUP(1900+$L103,ProductSpreadTable,3)</f>
        <v>17.015</v>
      </c>
      <c r="CD103" s="329" t="n">
        <f aca="false">($V103+CC103)*100/42</f>
        <v>100.419913419912</v>
      </c>
      <c r="CE103" s="333" t="n">
        <f aca="false">CD103-BY103</f>
        <v>-6.25</v>
      </c>
      <c r="CF103" s="314" t="n">
        <v>22.184</v>
      </c>
      <c r="CG103" s="329" t="n">
        <f aca="false">CF103*100/42</f>
        <v>52.8190476190476</v>
      </c>
      <c r="CH103" s="329" t="n">
        <f aca="false">CF104-$U103</f>
        <v>-3.32136363636315</v>
      </c>
      <c r="CI103" s="224"/>
      <c r="CJ103" s="329" t="n">
        <f aca="false">CJ91+VLOOKUP(1900+$L103,ProductSpreadTable,4)</f>
        <v>8.85552380952372</v>
      </c>
      <c r="CK103" s="329" t="n">
        <f aca="false">($V102+CJ102)*100/42</f>
        <v>82.6694289837148</v>
      </c>
      <c r="CL103" s="329" t="n">
        <f aca="false">CK104</f>
        <v>80.9925891568735</v>
      </c>
      <c r="CM103" s="314" t="n">
        <v>21.021</v>
      </c>
      <c r="CN103" s="329" t="n">
        <f aca="false">CM103*100/42</f>
        <v>50.05</v>
      </c>
      <c r="CO103" s="329" t="n">
        <f aca="false">CM103-$U103</f>
        <v>-4.14036363636315</v>
      </c>
      <c r="CP103" s="329" t="n">
        <f aca="false">CP91+VLOOKUP(1900+$L103,ProductSpreadTable,5)</f>
        <v>7.93152380952373</v>
      </c>
      <c r="CQ103" s="329" t="n">
        <f aca="false">($V103+CP103)*100/42</f>
        <v>78.7925891568735</v>
      </c>
      <c r="CR103" s="333" t="n">
        <f aca="false">CQ103-CL103</f>
        <v>-2.2</v>
      </c>
      <c r="CS103" s="314" t="n">
        <v>21.966</v>
      </c>
      <c r="CT103" s="329" t="n">
        <f aca="false">CS103*100/42</f>
        <v>52.3</v>
      </c>
      <c r="CU103" s="329" t="n">
        <f aca="false">CT103-CG104</f>
        <v>0.299999999999997</v>
      </c>
      <c r="CV103" s="329" t="n">
        <f aca="false">CV91+VLOOKUP(1900+$L103,ProductSpreadTable,6)</f>
        <v>1.65000000000001</v>
      </c>
      <c r="CW103" s="333" t="n">
        <f aca="false">CL103+CV103</f>
        <v>82.6425891568735</v>
      </c>
      <c r="CX103" s="318" t="n">
        <v>0.179</v>
      </c>
      <c r="CY103" s="326" t="n">
        <f aca="false">CX103-$W103</f>
        <v>0.0005</v>
      </c>
      <c r="CZ103" s="326" t="n">
        <f aca="false">VLOOKUP(1900+$L103,ProductSpreadTable,7)</f>
        <v>-0.03</v>
      </c>
      <c r="DA103" s="365" t="n">
        <f aca="false">$W103+CZ103</f>
        <v>0.1485</v>
      </c>
      <c r="DB103" s="318" t="n">
        <v>0.179</v>
      </c>
      <c r="DC103" s="326" t="n">
        <f aca="false">DB103-$W103</f>
        <v>0.0005</v>
      </c>
      <c r="DD103" s="326" t="n">
        <f aca="false">VLOOKUP(1900+$L103,ProductSpreadTable,8)</f>
        <v>0.03</v>
      </c>
      <c r="DE103" s="365" t="n">
        <f aca="false">$W103+DD103</f>
        <v>0.2085</v>
      </c>
      <c r="DG103" s="336"/>
      <c r="DH103" s="314"/>
      <c r="DI103" s="325" t="n">
        <f aca="false">DH103-$U103</f>
        <v>-25.1613636363632</v>
      </c>
      <c r="DJ103" s="325" t="n">
        <f aca="false">VLOOKUP(1900+$L103,ResidSpreadTable,2)</f>
        <v>-2</v>
      </c>
      <c r="DK103" s="337" t="n">
        <f aca="false">$V103+DJ103</f>
        <v>23.1613636363632</v>
      </c>
      <c r="DL103" s="314"/>
      <c r="DM103" s="325" t="n">
        <f aca="false">DL103-$U103</f>
        <v>-25.1613636363632</v>
      </c>
      <c r="DN103" s="325" t="n">
        <f aca="false">VLOOKUP(1900+$L103,ResidSpreadTable,3)</f>
        <v>-3</v>
      </c>
      <c r="DO103" s="337" t="n">
        <f aca="false">$V103+DN103</f>
        <v>22.1613636363632</v>
      </c>
      <c r="DP103" s="314"/>
      <c r="DQ103" s="325" t="n">
        <f aca="false">DP103-$U103</f>
        <v>-25.1613636363632</v>
      </c>
      <c r="DR103" s="325" t="n">
        <f aca="false">VLOOKUP(1900+$L103,ResidSpreadTable,4)</f>
        <v>-6</v>
      </c>
      <c r="DS103" s="337" t="n">
        <f aca="false">$V103+DR103</f>
        <v>19.1613636363632</v>
      </c>
      <c r="DT103" s="314"/>
      <c r="DU103" s="325" t="n">
        <f aca="false">DT103-$U103</f>
        <v>-25.1613636363632</v>
      </c>
      <c r="DV103" s="325" t="n">
        <f aca="false">VLOOKUP(1900+$L103,ResidSpreadTable,5)</f>
        <v>-5</v>
      </c>
      <c r="DW103" s="337" t="n">
        <f aca="false">$V103+DV103</f>
        <v>20.1613636363632</v>
      </c>
    </row>
    <row r="104" customFormat="false" ht="12.75" hidden="false" customHeight="false" outlineLevel="0" collapsed="false">
      <c r="B104" s="371" t="n">
        <v>38718</v>
      </c>
      <c r="C104" s="391" t="n">
        <v>38705</v>
      </c>
      <c r="I104" s="338" t="n">
        <f aca="false">EOMONTH(I103,0)+1</f>
        <v>48914</v>
      </c>
      <c r="J104" s="389" t="n">
        <f aca="false">VLOOKUP(I104,$B$12:$C$332,2)</f>
        <v>45644</v>
      </c>
      <c r="K104" s="339" t="n">
        <f aca="false">NETWORKDAYS(I104,J105)/N104</f>
        <v>-106.227272727273</v>
      </c>
      <c r="L104" s="309" t="n">
        <f aca="false">YEAR(I104)-1900</f>
        <v>133</v>
      </c>
      <c r="M104" s="310" t="n">
        <f aca="false">MONTH(I104)</f>
        <v>12</v>
      </c>
      <c r="N104" s="340" t="n">
        <f aca="false">NETWORKDAYS(I104,I105-1)</f>
        <v>22</v>
      </c>
      <c r="O104" s="341" t="n">
        <f aca="false">I104-DateToday-IF(EuroExpDateToggle=1,3+IF(WEEKDAY(I104-1)=7,1,IF(WEEKDAY(I104-1)&lt;5,2,0)),1+IF(WEEKDAY(I104-1)=7,1,IF(WEEKDAY(I104-1)&lt;3,2,0)))</f>
        <v>2983</v>
      </c>
      <c r="P104" s="342" t="n">
        <f aca="false">(I104-DateToday+1)/365.25</f>
        <v>8.18343600273785</v>
      </c>
      <c r="Q104" s="342" t="n">
        <f aca="false">(I105-DateToday)/365.25</f>
        <v>8.26557152635181</v>
      </c>
      <c r="R104" s="314" t="n">
        <v>19.85</v>
      </c>
      <c r="S104" s="347" t="n">
        <v>0</v>
      </c>
      <c r="T104" s="316" t="n">
        <f aca="false">R104+S104/100</f>
        <v>19.85</v>
      </c>
      <c r="U104" s="325" t="n">
        <f aca="false">R105*K104+R106*(1-K104)</f>
        <v>25.261363636364</v>
      </c>
      <c r="V104" s="337" t="n">
        <f aca="false">T105*K104+T106*(1-K104)</f>
        <v>25.261363636364</v>
      </c>
      <c r="W104" s="318" t="n">
        <v>0.1781</v>
      </c>
      <c r="X104" s="319" t="str">
        <f aca="false">IF($I104-DateToday+1&gt;=$A$10,"",IF($I104-DateToday+1&lt;$A$5,1,MATCH($I104-DateToday+1,$A$5:$A$10)))</f>
        <v/>
      </c>
      <c r="Y104" s="348" t="n">
        <f aca="false">IF($X104="",Y103^2/Y102,INDEX(B$5:B$10,$X104)^((INDEX($A$5:$A$10,$X104+1)-($I104-DateToday+1))/(INDEX($A$5:$A$10,$X104+1)-INDEX($A$5:$A$10,$X104)))/INDEX(B$5:B$10,$X104+1)^((INDEX($A$5:$A$10,$X104)-($I104-DateToday+1))/(INDEX($A$5:$A$10,$X104+1)-INDEX($A$5:$A$10,$X104))))</f>
        <v>0.00183859042460395</v>
      </c>
      <c r="Z104" s="348" t="n">
        <f aca="false">IF($X104="",Z103^2/Z102,INDEX(C$5:C$10,$X104)^((INDEX($A$5:$A$10,$X104+1)-($I104-DateToday+1))/(INDEX($A$5:$A$10,$X104+1)-INDEX($A$5:$A$10,$X104)))/INDEX(C$5:C$10,$X104+1)^((INDEX($A$5:$A$10,$X104)-($I104-DateToday+1))/(INDEX($A$5:$A$10,$X104+1)-INDEX($A$5:$A$10,$X104))))</f>
        <v>0.000668901716247861</v>
      </c>
      <c r="AA104" s="348" t="n">
        <f aca="false">IF($X104="",AA103^2/AA102,INDEX(D$5:D$10,$X104)^((INDEX($A$5:$A$10,$X104+1)-($I104-DateToday+1))/(INDEX($A$5:$A$10,$X104+1)-INDEX($A$5:$A$10,$X104)))/INDEX(D$5:D$10,$X104+1)^((INDEX($A$5:$A$10,$X104)-($I104-DateToday+1))/(INDEX($A$5:$A$10,$X104+1)-INDEX($A$5:$A$10,$X104))))</f>
        <v>0.000244958118720047</v>
      </c>
      <c r="AB104" s="348" t="n">
        <f aca="false">IF($X104="",AB103^2/AB102,INDEX(E$5:E$10,$X104)^((INDEX($A$5:$A$10,$X104+1)-($I104-DateToday+1))/(INDEX($A$5:$A$10,$X104+1)-INDEX($A$5:$A$10,$X104)))/INDEX(E$5:E$10,$X104+1)^((INDEX($A$5:$A$10,$X104)-($I104-DateToday+1))/(INDEX($A$5:$A$10,$X104+1)-INDEX($A$5:$A$10,$X104))))</f>
        <v>0.000551841649852532</v>
      </c>
      <c r="AC104" s="348" t="n">
        <f aca="false">IF($X104="",AC103^2/AC102,INDEX(F$5:F$10,$X104)^((INDEX($A$5:$A$10,$X104+1)-($I104-DateToday+1))/(INDEX($A$5:$A$10,$X104+1)-INDEX($A$5:$A$10,$X104)))/INDEX(F$5:F$10,$X104+1)^((INDEX($A$5:$A$10,$X104)-($I104-DateToday+1))/(INDEX($A$5:$A$10,$X104+1)-INDEX($A$5:$A$10,$X104))))</f>
        <v>0.00150690178636318</v>
      </c>
      <c r="AD104" s="348" t="n">
        <f aca="false">IF($X104="",AD103^2/AD102,INDEX(G$5:G$10,$X104)^((INDEX($A$5:$A$10,$X104+1)-($I104-DateToday+1))/(INDEX($A$5:$A$10,$X104+1)-INDEX($A$5:$A$10,$X104)))/INDEX(G$5:G$10,$X104+1)^((INDEX($A$5:$A$10,$X104)-($I104-DateToday+1))/(INDEX($A$5:$A$10,$X104+1)-INDEX($A$5:$A$10,$X104))))</f>
        <v>0.00414197650854755</v>
      </c>
      <c r="AE104" s="321" t="n">
        <v>0.073616148587122</v>
      </c>
      <c r="AF104" s="316" t="n">
        <f aca="false">(1+AE104/2)^(-2*(I105-DateToday)/365.25)</f>
        <v>0.550158704591983</v>
      </c>
      <c r="AG104" s="316" t="n">
        <f aca="false">AG103*(1+IF(AND(M104=1,L104&gt;YearStart),Escalation,0))</f>
        <v>1</v>
      </c>
      <c r="AH104" s="322" t="n">
        <f aca="false">IF(OR(DateStart&gt;=I105,DateEnd&lt;I104),0,Volume*AG104)</f>
        <v>0</v>
      </c>
      <c r="AI104" s="322" t="n">
        <f aca="false">AH104*AF104</f>
        <v>0</v>
      </c>
      <c r="AJ104" s="322" t="n">
        <f aca="false">IF(OR(DateStart2&gt;=I105,DateEnd2&lt;I104),0,VolumeSwaption*AG104)</f>
        <v>0</v>
      </c>
      <c r="AK104" s="322" t="n">
        <f aca="false">AJ104*AF104</f>
        <v>0</v>
      </c>
      <c r="AL104" s="316" t="str">
        <f aca="true">IF(AH104,OFFSET(BY104,0,HorizontalPriceOffset)+PriceSpreadAsian,"")</f>
        <v/>
      </c>
      <c r="AM104" s="316" t="str">
        <f aca="false">IF(AH104,Strike1/AL104-1,"")</f>
        <v/>
      </c>
      <c r="AN104" s="316" t="str">
        <f aca="false">IF(AH104,Strike2/AL104-1,"")</f>
        <v/>
      </c>
      <c r="AO104" s="323" t="str">
        <f aca="false">IF(AH104,IF(VolOverrideAsian,VolOverrideAsian,IF(ProductGroup=1,IF(Product&lt;3,DA105,DE105),W105)+VolSpreadAsian),"")</f>
        <v/>
      </c>
      <c r="AP104" s="323" t="str">
        <f aca="false">IF($AH104,$AO104+IF(SkewFlag=1,IF(AM104&gt;0,$AA104*MIN(AM104/10%,1)+($Z104-$AA104)*MAX(0,MIN(AM104/10%-1,1))+($Y104-$Z104)*MAX(0,AM104/10%-2),$AB104*MIN(-AM104/10%,1)+($AC104-$AB104)*MAX(0,MIN(-AM104/10%-1,1))+($AD104-$AC104)*MAX(0,-AM104/10%-2)),0),"")</f>
        <v/>
      </c>
      <c r="AQ104" s="323" t="str">
        <f aca="false">IF($AH104,$AO104+IF(SkewFlag=1,IF(AN104&gt;0,$AA104*MIN(AN104/10%,1)+($Z104-$AA104)*MAX(0,MIN(AN104/10%-1,1))+($Y104-$Z104)*MAX(0,AN104/10%-2),$AB104*MIN(-AN104/10%,1)+($AC104-$AB104)*MAX(0,MIN(-AN104/10%-1,1))+($AD104-$AC104)*MAX(0,-AN104/10%-2)),0),"")</f>
        <v/>
      </c>
      <c r="AR104" s="324" t="n">
        <f aca="false">IF(AH104,xASN(AL104,Strike1,AE104,AP104,0,N104,0,P104,Q104,IF(OptControl=4,0,1),0),0)</f>
        <v>0</v>
      </c>
      <c r="AS104" s="324" t="n">
        <f aca="false">IF(AH104,xASN(AL104,Strike1,AE104,AP104,0,N104,0,P104,Q104,IF(OptControl=4,0,1),1),0)</f>
        <v>0</v>
      </c>
      <c r="AT104" s="324" t="n">
        <f aca="false">IF(AH104,xASN(AL104,Strike1,AE104,AP104,0,N104,0,P104,Q104,IF(OptControl=4,0,1),2),0)</f>
        <v>0</v>
      </c>
      <c r="AU104" s="324" t="n">
        <f aca="false">IF(AH104,xASN(AL104,Strike1,AE104,AP104,0,N104,0,P104,Q104,IF(OptControl=4,0,1),3)/100,0)</f>
        <v>0</v>
      </c>
      <c r="AV104" s="324" t="n">
        <f aca="false">IF(AH104,xASN(AL104,Strike1,AE104,AP104,0,N104,0,P104-DaysForThetaCalculation/365.25,Q104-DaysForThetaCalculation/365.25,IF(OptControl=4,0,1),0)-xASN(AL104,Strike1,AE104,AP104,0,N104,0,P104,Q104,IF(OptControl=4,0,1),0),0)</f>
        <v>0</v>
      </c>
      <c r="AW104" s="324" t="n">
        <f aca="false">IF(AH104,xASN(AL104,Strike2,AE104,AQ104,0,N104,0,P104,Q104,IF(OptControl=3,1,0),0),0)</f>
        <v>0</v>
      </c>
      <c r="AX104" s="324" t="n">
        <f aca="false">IF(AH104,xASN(AL104,Strike2,AE104,AQ104,0,N104,0,P104,Q104,IF(OptControl=3,1,0),1),0)</f>
        <v>0</v>
      </c>
      <c r="AY104" s="324" t="n">
        <f aca="false">IF(AH104,xASN(AL104,Strike2,AE104,AQ104,0,N104,0,P104,Q104,IF(OptControl=3,1,0),2),0)</f>
        <v>0</v>
      </c>
      <c r="AZ104" s="324" t="n">
        <f aca="false">IF(AH104,xASN(AL104,Strike2,AE104,AQ104,0,N104,0,P104,Q104,IF(OptControl=3,1,0),3)/100,0)</f>
        <v>0</v>
      </c>
      <c r="BA104" s="324" t="n">
        <f aca="false">IF(AH104,xASN(AL104,Strike2,AE104,AQ104,0,N104,0,P104-DaysForThetaCalculation/365.25,Q104-DaysForThetaCalculation/365.25,IF(OptControl=3,1,0),0)-xASN(AL104,Strike2,AE104,AQ104,0,N104,0,P104,Q104,IF(OptControl=3,1,0),0),0)</f>
        <v>0</v>
      </c>
      <c r="BB104" s="325" t="str">
        <f aca="false">IF(AH104,IF(ProductGroup=1,IF(Product=1,BX104+PriceSpreadEuro,IF(Product=3,CK104+PriceSpreadEuro,"N/A")),"N/A"),"")</f>
        <v/>
      </c>
      <c r="BC104" s="316" t="str">
        <f aca="false">IF(AH104,Strike1/BB104-1,"")</f>
        <v/>
      </c>
      <c r="BD104" s="316" t="str">
        <f aca="false">IF(AH104,Strike2/BB104-1,"")</f>
        <v/>
      </c>
      <c r="BE104" s="326" t="str">
        <f aca="false">IF(AH104,IF(VolOverrideEuro,VolOverrideEuro,IF(ProductGroup=1,IF(Product&lt;3,DA104,DE104)+VolSpreadEuro,"N/A")),"")</f>
        <v/>
      </c>
      <c r="BF104" s="323" t="str">
        <f aca="false">IF($AH104,$BE104+IF(SkewFlag=1,IF(BC104&gt;0,$AA104*MIN(BC104/10%,1)+($Z104-$AA104)*MAX(0,MIN(BC104/10%-1,1))+($Y104-$Z104)*MAX(0,BC104/10%-2),$AB104*MIN(-BC104/10%,1)+($AC104-$AB104)*MAX(0,MIN(-BC104/10%-1,1))+($AD104-$AC104)*MAX(0,-BC104/10%-2)),0),"")</f>
        <v/>
      </c>
      <c r="BG104" s="323" t="str">
        <f aca="false">IF($AH104,$BE104+IF(SkewFlag=1,IF(BD104&gt;0,$AA104*MIN(BD104/10%,1)+($Z104-$AA104)*MAX(0,MIN(BD104/10%-1,1))+($Y104-$Z104)*MAX(0,BD104/10%-2),$AB104*MIN(-BD104/10%,1)+($AC104-$AB104)*MAX(0,MIN(-BD104/10%-1,1))+($AD104-$AC104)*MAX(0,-BD104/10%-2)),0),"")</f>
        <v/>
      </c>
      <c r="BH104" s="324" t="n">
        <f aca="false">IF(AH104,xEURO(BB104,Strike1,AE104,AE104,BF104,O104,IF(OptControl=4,0,1),0),0)</f>
        <v>0</v>
      </c>
      <c r="BI104" s="324" t="n">
        <f aca="false">IF(AH104,xEURO(BB104,Strike1,AE104,AE104,BF104,O104,IF(OptControl=4,0,1),1),0)</f>
        <v>0</v>
      </c>
      <c r="BJ104" s="324" t="n">
        <f aca="false">IF(AH104,xEURO(BB104,Strike1,AE104,AE104,BF104,O104,IF(OptControl=4,0,1),2),0)</f>
        <v>0</v>
      </c>
      <c r="BK104" s="324" t="n">
        <f aca="false">IF(AH104,xEURO(BB104,Strike1,AE104,AE104,BF104,O104,IF(OptControl=4,0,1),3)/100,0)</f>
        <v>0</v>
      </c>
      <c r="BL104" s="324" t="n">
        <f aca="false">IF(AH104,xEURO(BB104,Strike1,AE104,AE104,BF104,O104-DaysForThetaCalculation,IF(OptControl=4,0,1),0)-xEURO(BB104,Strike1,AE104,AE104,BF104,O104,IF(OptControl=4,0,1),0),0)</f>
        <v>0</v>
      </c>
      <c r="BM104" s="324" t="n">
        <f aca="false">IF(AH104,xEURO(BB104,Strike2,AE104,AE104,BG104,O104,IF(OptControl=3,1,0),0),0)</f>
        <v>0</v>
      </c>
      <c r="BN104" s="324" t="n">
        <f aca="false">IF(AH104,xEURO(BB104,Strike2,AE104,AE104,BG104,O104,IF(OptControl=3,1,0),1),0)</f>
        <v>0</v>
      </c>
      <c r="BO104" s="324" t="n">
        <f aca="false">IF(AH104,xEURO(BB104,Strike2,AE104,AE104,BG104,O104,IF(OptControl=3,1,0),2),0)</f>
        <v>0</v>
      </c>
      <c r="BP104" s="324" t="n">
        <f aca="false">IF(AH104,xEURO(BB104,Strike2,AE104,AE104,BG104,O104,IF(OptControl=3,1,0),3)/100,0)</f>
        <v>0</v>
      </c>
      <c r="BQ104" s="327" t="n">
        <f aca="false">IF(AH104,xEURO(BB104,Strike2,AE104,AE104,BG104,O104-DaysForThetaCalculation,IF(OptControl=3,1,0),0)-xEURO(BB104,Strike2,AE104,AE104,BG104,O104,IF(OptControl=3,1,0),0),0)</f>
        <v>0</v>
      </c>
      <c r="BR104" s="343"/>
      <c r="BS104" s="314" t="n">
        <v>27.594</v>
      </c>
      <c r="BT104" s="329" t="n">
        <f aca="false">BS104*100/42</f>
        <v>65.7</v>
      </c>
      <c r="BU104" s="329" t="n">
        <f aca="false">BS105-$U104</f>
        <v>1.94663636363603</v>
      </c>
      <c r="BV104" s="224"/>
      <c r="BW104" s="329" t="n">
        <f aca="false">BW92+VLOOKUP(1900+$L104,ProductSpreadTable,2)</f>
        <v>15.7439565217392</v>
      </c>
      <c r="BX104" s="329" t="n">
        <f aca="false">($V103+BW103)*100/42</f>
        <v>106.669913419912</v>
      </c>
      <c r="BY104" s="332" t="n">
        <f aca="false">BX105</f>
        <v>97.6317146621504</v>
      </c>
      <c r="BZ104" s="314" t="n">
        <v>25.318</v>
      </c>
      <c r="CA104" s="329" t="n">
        <f aca="false">BZ104*100/42</f>
        <v>60.2809523809524</v>
      </c>
      <c r="CB104" s="329" t="n">
        <f aca="false">BZ104-$U104</f>
        <v>0.0566363636360343</v>
      </c>
      <c r="CC104" s="329" t="n">
        <f aca="false">CC92+VLOOKUP(1900+$L104,ProductSpreadTable,3)</f>
        <v>13.1189565217392</v>
      </c>
      <c r="CD104" s="329" t="n">
        <f aca="false">($V104+CC104)*100/42</f>
        <v>91.3817146621504</v>
      </c>
      <c r="CE104" s="333" t="n">
        <f aca="false">CD104-BY104</f>
        <v>-6.24999999999999</v>
      </c>
      <c r="CF104" s="314" t="n">
        <v>21.84</v>
      </c>
      <c r="CG104" s="329" t="n">
        <f aca="false">CF104*100/42</f>
        <v>52</v>
      </c>
      <c r="CH104" s="329" t="n">
        <f aca="false">CF105-$U104</f>
        <v>-3.29136363636397</v>
      </c>
      <c r="CI104" s="224"/>
      <c r="CJ104" s="329" t="n">
        <f aca="false">CJ92+VLOOKUP(1900+$L104,ProductSpreadTable,4)</f>
        <v>8.20800000000003</v>
      </c>
      <c r="CK104" s="329" t="n">
        <f aca="false">($V103+CJ103)*100/42</f>
        <v>80.9925891568735</v>
      </c>
      <c r="CL104" s="329" t="n">
        <f aca="false">CK105</f>
        <v>79.6889610389619</v>
      </c>
      <c r="CM104" s="314" t="n">
        <v>21.151</v>
      </c>
      <c r="CN104" s="329" t="n">
        <f aca="false">CM104*100/42</f>
        <v>50.3595238095238</v>
      </c>
      <c r="CO104" s="329" t="n">
        <f aca="false">CM104-$U104</f>
        <v>-4.11036363636397</v>
      </c>
      <c r="CP104" s="329" t="n">
        <f aca="false">CP92+VLOOKUP(1900+$L104,ProductSpreadTable,5)</f>
        <v>7.28400000000003</v>
      </c>
      <c r="CQ104" s="329" t="n">
        <f aca="false">($V104+CP104)*100/42</f>
        <v>77.4889610389619</v>
      </c>
      <c r="CR104" s="333" t="n">
        <f aca="false">CQ104-CL104</f>
        <v>-2.2</v>
      </c>
      <c r="CS104" s="314" t="n">
        <v>22.096</v>
      </c>
      <c r="CT104" s="329" t="n">
        <f aca="false">CS104*100/42</f>
        <v>52.6095238095238</v>
      </c>
      <c r="CU104" s="329" t="n">
        <f aca="false">CT104-CG105</f>
        <v>0.299999999999997</v>
      </c>
      <c r="CV104" s="329" t="n">
        <f aca="false">CV92+VLOOKUP(1900+$L104,ProductSpreadTable,6)</f>
        <v>1.64999999999999</v>
      </c>
      <c r="CW104" s="333" t="n">
        <f aca="false">CL104+CV104</f>
        <v>81.3389610389619</v>
      </c>
      <c r="CX104" s="318" t="n">
        <v>0.178</v>
      </c>
      <c r="CY104" s="326" t="n">
        <f aca="false">CX104-$W104</f>
        <v>-9.99999999999612E-005</v>
      </c>
      <c r="CZ104" s="326" t="n">
        <f aca="false">VLOOKUP(1900+$L104,ProductSpreadTable,7)</f>
        <v>-0.03</v>
      </c>
      <c r="DA104" s="365" t="n">
        <f aca="false">$W104+CZ104</f>
        <v>0.1481</v>
      </c>
      <c r="DB104" s="318" t="n">
        <v>0.178</v>
      </c>
      <c r="DC104" s="326" t="n">
        <f aca="false">DB104-$W104</f>
        <v>-9.99999999999612E-005</v>
      </c>
      <c r="DD104" s="326" t="n">
        <f aca="false">VLOOKUP(1900+$L104,ProductSpreadTable,8)</f>
        <v>0.03</v>
      </c>
      <c r="DE104" s="365" t="n">
        <f aca="false">$W104+DD104</f>
        <v>0.2081</v>
      </c>
      <c r="DG104" s="336"/>
      <c r="DH104" s="314"/>
      <c r="DI104" s="325" t="n">
        <f aca="false">DH104-$U104</f>
        <v>-25.261363636364</v>
      </c>
      <c r="DJ104" s="325" t="n">
        <f aca="false">VLOOKUP(1900+$L104,ResidSpreadTable,2)</f>
        <v>-2</v>
      </c>
      <c r="DK104" s="337" t="n">
        <f aca="false">$V104+DJ104</f>
        <v>23.261363636364</v>
      </c>
      <c r="DL104" s="314"/>
      <c r="DM104" s="325" t="n">
        <f aca="false">DL104-$U104</f>
        <v>-25.261363636364</v>
      </c>
      <c r="DN104" s="325" t="n">
        <f aca="false">VLOOKUP(1900+$L104,ResidSpreadTable,3)</f>
        <v>-3</v>
      </c>
      <c r="DO104" s="337" t="n">
        <f aca="false">$V104+DN104</f>
        <v>22.261363636364</v>
      </c>
      <c r="DP104" s="314"/>
      <c r="DQ104" s="325" t="n">
        <f aca="false">DP104-$U104</f>
        <v>-25.261363636364</v>
      </c>
      <c r="DR104" s="325" t="n">
        <f aca="false">VLOOKUP(1900+$L104,ResidSpreadTable,4)</f>
        <v>-6</v>
      </c>
      <c r="DS104" s="337" t="n">
        <f aca="false">$V104+DR104</f>
        <v>19.261363636364</v>
      </c>
      <c r="DT104" s="314"/>
      <c r="DU104" s="325" t="n">
        <f aca="false">DT104-$U104</f>
        <v>-25.261363636364</v>
      </c>
      <c r="DV104" s="325" t="n">
        <f aca="false">VLOOKUP(1900+$L104,ResidSpreadTable,5)</f>
        <v>-5</v>
      </c>
      <c r="DW104" s="337" t="n">
        <f aca="false">$V104+DV104</f>
        <v>20.261363636364</v>
      </c>
    </row>
    <row r="105" customFormat="false" ht="12.75" hidden="false" customHeight="false" outlineLevel="0" collapsed="false">
      <c r="B105" s="371" t="n">
        <v>38749</v>
      </c>
      <c r="C105" s="391" t="n">
        <v>38739</v>
      </c>
      <c r="I105" s="338" t="n">
        <f aca="false">EOMONTH(I104,0)+1</f>
        <v>48945</v>
      </c>
      <c r="J105" s="389" t="n">
        <f aca="false">VLOOKUP(I105,$B$12:$C$332,2)</f>
        <v>45644</v>
      </c>
      <c r="K105" s="339" t="n">
        <f aca="false">NETWORKDAYS(I105,J106)/N105</f>
        <v>-107.181818181818</v>
      </c>
      <c r="L105" s="309" t="n">
        <f aca="false">YEAR(I105)-1900</f>
        <v>134</v>
      </c>
      <c r="M105" s="310" t="n">
        <f aca="false">MONTH(I105)</f>
        <v>1</v>
      </c>
      <c r="N105" s="340" t="n">
        <f aca="false">NETWORKDAYS(I105,I106-1)</f>
        <v>22</v>
      </c>
      <c r="O105" s="341" t="n">
        <f aca="false">I105-DateToday-IF(EuroExpDateToggle=1,3+IF(WEEKDAY(I105-1)=7,1,IF(WEEKDAY(I105-1)&lt;5,2,0)),1+IF(WEEKDAY(I105-1)=7,1,IF(WEEKDAY(I105-1)&lt;3,2,0)))</f>
        <v>3015</v>
      </c>
      <c r="P105" s="342" t="n">
        <f aca="false">(I105-DateToday+1)/365.25</f>
        <v>8.26830937713895</v>
      </c>
      <c r="Q105" s="342" t="n">
        <f aca="false">(I106-DateToday)/365.25</f>
        <v>8.35044490075291</v>
      </c>
      <c r="R105" s="314" t="n">
        <v>19.9</v>
      </c>
      <c r="S105" s="347" t="n">
        <v>0</v>
      </c>
      <c r="T105" s="316" t="n">
        <f aca="false">R105+S105/100</f>
        <v>19.9</v>
      </c>
      <c r="U105" s="325" t="n">
        <f aca="false">R106*K105+R107*(1-K105)</f>
        <v>25.3590909090913</v>
      </c>
      <c r="V105" s="337" t="n">
        <f aca="false">T106*K105+T107*(1-K105)</f>
        <v>25.3590909090913</v>
      </c>
      <c r="W105" s="318" t="n">
        <v>0.1777</v>
      </c>
      <c r="X105" s="319" t="str">
        <f aca="false">IF($I105-DateToday+1&gt;=$A$10,"",IF($I105-DateToday+1&lt;$A$5,1,MATCH($I105-DateToday+1,$A$5:$A$10)))</f>
        <v/>
      </c>
      <c r="Y105" s="348" t="n">
        <f aca="false">IF($X105="",Y104^2/Y103,INDEX(B$5:B$10,$X105)^((INDEX($A$5:$A$10,$X105+1)-($I105-DateToday+1))/(INDEX($A$5:$A$10,$X105+1)-INDEX($A$5:$A$10,$X105)))/INDEX(B$5:B$10,$X105+1)^((INDEX($A$5:$A$10,$X105)-($I105-DateToday+1))/(INDEX($A$5:$A$10,$X105+1)-INDEX($A$5:$A$10,$X105))))</f>
        <v>0.00179922899997551</v>
      </c>
      <c r="Z105" s="348" t="n">
        <f aca="false">IF($X105="",Z104^2/Z103,INDEX(C$5:C$10,$X105)^((INDEX($A$5:$A$10,$X105+1)-($I105-DateToday+1))/(INDEX($A$5:$A$10,$X105+1)-INDEX($A$5:$A$10,$X105)))/INDEX(C$5:C$10,$X105+1)^((INDEX($A$5:$A$10,$X105)-($I105-DateToday+1))/(INDEX($A$5:$A$10,$X105+1)-INDEX($A$5:$A$10,$X105))))</f>
        <v>0.000651076884246411</v>
      </c>
      <c r="AA105" s="348" t="n">
        <f aca="false">IF($X105="",AA104^2/AA103,INDEX(D$5:D$10,$X105)^((INDEX($A$5:$A$10,$X105+1)-($I105-DateToday+1))/(INDEX($A$5:$A$10,$X105+1)-INDEX($A$5:$A$10,$X105)))/INDEX(D$5:D$10,$X105+1)^((INDEX($A$5:$A$10,$X105)-($I105-DateToday+1))/(INDEX($A$5:$A$10,$X105+1)-INDEX($A$5:$A$10,$X105))))</f>
        <v>0.00023779112314994</v>
      </c>
      <c r="AB105" s="348" t="n">
        <f aca="false">IF($X105="",AB104^2/AB103,INDEX(E$5:E$10,$X105)^((INDEX($A$5:$A$10,$X105+1)-($I105-DateToday+1))/(INDEX($A$5:$A$10,$X105+1)-INDEX($A$5:$A$10,$X105)))/INDEX(E$5:E$10,$X105+1)^((INDEX($A$5:$A$10,$X105)-($I105-DateToday+1))/(INDEX($A$5:$A$10,$X105+1)-INDEX($A$5:$A$10,$X105))))</f>
        <v>0.000535695842232195</v>
      </c>
      <c r="AC105" s="348" t="n">
        <f aca="false">IF($X105="",AC104^2/AC103,INDEX(F$5:F$10,$X105)^((INDEX($A$5:$A$10,$X105+1)-($I105-DateToday+1))/(INDEX($A$5:$A$10,$X105+1)-INDEX($A$5:$A$10,$X105)))/INDEX(F$5:F$10,$X105+1)^((INDEX($A$5:$A$10,$X105)-($I105-DateToday+1))/(INDEX($A$5:$A$10,$X105+1)-INDEX($A$5:$A$10,$X105))))</f>
        <v>0.00146674600483031</v>
      </c>
      <c r="AD105" s="348" t="n">
        <f aca="false">IF($X105="",AD104^2/AD103,INDEX(G$5:G$10,$X105)^((INDEX($A$5:$A$10,$X105+1)-($I105-DateToday+1))/(INDEX($A$5:$A$10,$X105+1)-INDEX($A$5:$A$10,$X105)))/INDEX(G$5:G$10,$X105+1)^((INDEX($A$5:$A$10,$X105)-($I105-DateToday+1))/(INDEX($A$5:$A$10,$X105+1)-INDEX($A$5:$A$10,$X105))))</f>
        <v>0.0040533030911446</v>
      </c>
      <c r="AE105" s="321" t="n">
        <v>0.073623493816246</v>
      </c>
      <c r="AF105" s="316" t="n">
        <f aca="false">(1+AE105/2)^(-2*(I106-DateToday)/365.25)</f>
        <v>0.546761025286892</v>
      </c>
      <c r="AG105" s="316" t="n">
        <f aca="false">AG104*(1+IF(AND(M105=1,L105&gt;YearStart),Escalation,0))</f>
        <v>1</v>
      </c>
      <c r="AH105" s="322" t="n">
        <f aca="false">IF(OR(DateStart&gt;=I106,DateEnd&lt;I105),0,Volume*AG105)</f>
        <v>0</v>
      </c>
      <c r="AI105" s="322" t="n">
        <f aca="false">AH105*AF105</f>
        <v>0</v>
      </c>
      <c r="AJ105" s="322" t="n">
        <f aca="false">IF(OR(DateStart2&gt;=I106,DateEnd2&lt;I105),0,VolumeSwaption*AG105)</f>
        <v>0</v>
      </c>
      <c r="AK105" s="322" t="n">
        <f aca="false">AJ105*AF105</f>
        <v>0</v>
      </c>
      <c r="AL105" s="316" t="str">
        <f aca="true">IF(AH105,OFFSET(BY105,0,HorizontalPriceOffset)+PriceSpreadAsian,"")</f>
        <v/>
      </c>
      <c r="AM105" s="316" t="str">
        <f aca="false">IF(AH105,Strike1/AL105-1,"")</f>
        <v/>
      </c>
      <c r="AN105" s="316" t="str">
        <f aca="false">IF(AH105,Strike2/AL105-1,"")</f>
        <v/>
      </c>
      <c r="AO105" s="323" t="str">
        <f aca="false">IF(AH105,IF(VolOverrideAsian,VolOverrideAsian,IF(ProductGroup=1,IF(Product&lt;3,DA106,DE106),W106)+VolSpreadAsian),"")</f>
        <v/>
      </c>
      <c r="AP105" s="323" t="str">
        <f aca="false">IF($AH105,$AO105+IF(SkewFlag=1,IF(AM105&gt;0,$AA105*MIN(AM105/10%,1)+($Z105-$AA105)*MAX(0,MIN(AM105/10%-1,1))+($Y105-$Z105)*MAX(0,AM105/10%-2),$AB105*MIN(-AM105/10%,1)+($AC105-$AB105)*MAX(0,MIN(-AM105/10%-1,1))+($AD105-$AC105)*MAX(0,-AM105/10%-2)),0),"")</f>
        <v/>
      </c>
      <c r="AQ105" s="323" t="str">
        <f aca="false">IF($AH105,$AO105+IF(SkewFlag=1,IF(AN105&gt;0,$AA105*MIN(AN105/10%,1)+($Z105-$AA105)*MAX(0,MIN(AN105/10%-1,1))+($Y105-$Z105)*MAX(0,AN105/10%-2),$AB105*MIN(-AN105/10%,1)+($AC105-$AB105)*MAX(0,MIN(-AN105/10%-1,1))+($AD105-$AC105)*MAX(0,-AN105/10%-2)),0),"")</f>
        <v/>
      </c>
      <c r="AR105" s="324" t="n">
        <f aca="false">IF(AH105,xASN(AL105,Strike1,AE105,AP105,0,N105,0,P105,Q105,IF(OptControl=4,0,1),0),0)</f>
        <v>0</v>
      </c>
      <c r="AS105" s="324" t="n">
        <f aca="false">IF(AH105,xASN(AL105,Strike1,AE105,AP105,0,N105,0,P105,Q105,IF(OptControl=4,0,1),1),0)</f>
        <v>0</v>
      </c>
      <c r="AT105" s="324" t="n">
        <f aca="false">IF(AH105,xASN(AL105,Strike1,AE105,AP105,0,N105,0,P105,Q105,IF(OptControl=4,0,1),2),0)</f>
        <v>0</v>
      </c>
      <c r="AU105" s="324" t="n">
        <f aca="false">IF(AH105,xASN(AL105,Strike1,AE105,AP105,0,N105,0,P105,Q105,IF(OptControl=4,0,1),3)/100,0)</f>
        <v>0</v>
      </c>
      <c r="AV105" s="324" t="n">
        <f aca="false">IF(AH105,xASN(AL105,Strike1,AE105,AP105,0,N105,0,P105-DaysForThetaCalculation/365.25,Q105-DaysForThetaCalculation/365.25,IF(OptControl=4,0,1),0)-xASN(AL105,Strike1,AE105,AP105,0,N105,0,P105,Q105,IF(OptControl=4,0,1),0),0)</f>
        <v>0</v>
      </c>
      <c r="AW105" s="324" t="n">
        <f aca="false">IF(AH105,xASN(AL105,Strike2,AE105,AQ105,0,N105,0,P105,Q105,IF(OptControl=3,1,0),0),0)</f>
        <v>0</v>
      </c>
      <c r="AX105" s="324" t="n">
        <f aca="false">IF(AH105,xASN(AL105,Strike2,AE105,AQ105,0,N105,0,P105,Q105,IF(OptControl=3,1,0),1),0)</f>
        <v>0</v>
      </c>
      <c r="AY105" s="324" t="n">
        <f aca="false">IF(AH105,xASN(AL105,Strike2,AE105,AQ105,0,N105,0,P105,Q105,IF(OptControl=3,1,0),2),0)</f>
        <v>0</v>
      </c>
      <c r="AZ105" s="324" t="n">
        <f aca="false">IF(AH105,xASN(AL105,Strike2,AE105,AQ105,0,N105,0,P105,Q105,IF(OptControl=3,1,0),3)/100,0)</f>
        <v>0</v>
      </c>
      <c r="BA105" s="324" t="n">
        <f aca="false">IF(AH105,xASN(AL105,Strike2,AE105,AQ105,0,N105,0,P105-DaysForThetaCalculation/365.25,Q105-DaysForThetaCalculation/365.25,IF(OptControl=3,1,0),0)-xASN(AL105,Strike2,AE105,AQ105,0,N105,0,P105,Q105,IF(OptControl=3,1,0),0),0)</f>
        <v>0</v>
      </c>
      <c r="BB105" s="325" t="str">
        <f aca="false">IF(AH105,IF(ProductGroup=1,IF(Product=1,BX105+PriceSpreadEuro,IF(Product=3,CK105+PriceSpreadEuro,"N/A")),"N/A"),"")</f>
        <v/>
      </c>
      <c r="BC105" s="316" t="str">
        <f aca="false">IF(AH105,Strike1/BB105-1,"")</f>
        <v/>
      </c>
      <c r="BD105" s="316" t="str">
        <f aca="false">IF(AH105,Strike2/BB105-1,"")</f>
        <v/>
      </c>
      <c r="BE105" s="326" t="str">
        <f aca="false">IF(AH105,IF(VolOverrideEuro,VolOverrideEuro,IF(ProductGroup=1,IF(Product&lt;3,DA105,DE105)+VolSpreadEuro,"N/A")),"")</f>
        <v/>
      </c>
      <c r="BF105" s="323" t="str">
        <f aca="false">IF($AH105,$BE105+IF(SkewFlag=1,IF(BC105&gt;0,$AA105*MIN(BC105/10%,1)+($Z105-$AA105)*MAX(0,MIN(BC105/10%-1,1))+($Y105-$Z105)*MAX(0,BC105/10%-2),$AB105*MIN(-BC105/10%,1)+($AC105-$AB105)*MAX(0,MIN(-BC105/10%-1,1))+($AD105-$AC105)*MAX(0,-BC105/10%-2)),0),"")</f>
        <v/>
      </c>
      <c r="BG105" s="323" t="str">
        <f aca="false">IF($AH105,$BE105+IF(SkewFlag=1,IF(BD105&gt;0,$AA105*MIN(BD105/10%,1)+($Z105-$AA105)*MAX(0,MIN(BD105/10%-1,1))+($Y105-$Z105)*MAX(0,BD105/10%-2),$AB105*MIN(-BD105/10%,1)+($AC105-$AB105)*MAX(0,MIN(-BD105/10%-1,1))+($AD105-$AC105)*MAX(0,-BD105/10%-2)),0),"")</f>
        <v/>
      </c>
      <c r="BH105" s="324" t="n">
        <f aca="false">IF(AH105,xEURO(BB105,Strike1,AE105,AE105,BF105,O105,IF(OptControl=4,0,1),0),0)</f>
        <v>0</v>
      </c>
      <c r="BI105" s="324" t="n">
        <f aca="false">IF(AH105,xEURO(BB105,Strike1,AE105,AE105,BF105,O105,IF(OptControl=4,0,1),1),0)</f>
        <v>0</v>
      </c>
      <c r="BJ105" s="324" t="n">
        <f aca="false">IF(AH105,xEURO(BB105,Strike1,AE105,AE105,BF105,O105,IF(OptControl=4,0,1),2),0)</f>
        <v>0</v>
      </c>
      <c r="BK105" s="324" t="n">
        <f aca="false">IF(AH105,xEURO(BB105,Strike1,AE105,AE105,BF105,O105,IF(OptControl=4,0,1),3)/100,0)</f>
        <v>0</v>
      </c>
      <c r="BL105" s="324" t="n">
        <f aca="false">IF(AH105,xEURO(BB105,Strike1,AE105,AE105,BF105,O105-DaysForThetaCalculation,IF(OptControl=4,0,1),0)-xEURO(BB105,Strike1,AE105,AE105,BF105,O105,IF(OptControl=4,0,1),0),0)</f>
        <v>0</v>
      </c>
      <c r="BM105" s="324" t="n">
        <f aca="false">IF(AH105,xEURO(BB105,Strike2,AE105,AE105,BG105,O105,IF(OptControl=3,1,0),0),0)</f>
        <v>0</v>
      </c>
      <c r="BN105" s="324" t="n">
        <f aca="false">IF(AH105,xEURO(BB105,Strike2,AE105,AE105,BG105,O105,IF(OptControl=3,1,0),1),0)</f>
        <v>0</v>
      </c>
      <c r="BO105" s="324" t="n">
        <f aca="false">IF(AH105,xEURO(BB105,Strike2,AE105,AE105,BG105,O105,IF(OptControl=3,1,0),2),0)</f>
        <v>0</v>
      </c>
      <c r="BP105" s="324" t="n">
        <f aca="false">IF(AH105,xEURO(BB105,Strike2,AE105,AE105,BG105,O105,IF(OptControl=3,1,0),3)/100,0)</f>
        <v>0</v>
      </c>
      <c r="BQ105" s="327" t="n">
        <f aca="false">IF(AH105,xEURO(BB105,Strike2,AE105,AE105,BG105,O105-DaysForThetaCalculation,IF(OptControl=3,1,0),0)-xEURO(BB105,Strike2,AE105,AE105,BG105,O105,IF(OptControl=3,1,0),0),0)</f>
        <v>0</v>
      </c>
      <c r="BR105" s="343"/>
      <c r="BS105" s="314" t="n">
        <v>27.208</v>
      </c>
      <c r="BT105" s="329" t="n">
        <f aca="false">BS105*100/42</f>
        <v>64.7809523809524</v>
      </c>
      <c r="BU105" s="329" t="n">
        <f aca="false">BS106-$U105</f>
        <v>1.37390909090874</v>
      </c>
      <c r="BV105" s="224"/>
      <c r="BW105" s="329" t="n">
        <f aca="false">BW93+VLOOKUP(1900+$L105,ProductSpreadTable,2)</f>
        <v>15.1692727272728</v>
      </c>
      <c r="BX105" s="329" t="n">
        <f aca="false">($V104+BW104)*100/42</f>
        <v>97.6317146621504</v>
      </c>
      <c r="BY105" s="332" t="n">
        <f aca="false">BX106</f>
        <v>96.4961038961048</v>
      </c>
      <c r="BZ105" s="314" t="n">
        <v>24.843</v>
      </c>
      <c r="CA105" s="329" t="n">
        <f aca="false">BZ105*100/42</f>
        <v>59.15</v>
      </c>
      <c r="CB105" s="329" t="n">
        <f aca="false">BZ105-$U105</f>
        <v>-0.516090909091261</v>
      </c>
      <c r="CC105" s="329" t="n">
        <f aca="false">CC93+VLOOKUP(1900+$L105,ProductSpreadTable,3)</f>
        <v>12.7542727272728</v>
      </c>
      <c r="CD105" s="329" t="n">
        <f aca="false">($V105+CC105)*100/42</f>
        <v>90.7461038961048</v>
      </c>
      <c r="CE105" s="333" t="n">
        <f aca="false">CD105-BY105</f>
        <v>-5.75000000000001</v>
      </c>
      <c r="CF105" s="314" t="n">
        <v>21.97</v>
      </c>
      <c r="CG105" s="329" t="n">
        <f aca="false">CF105*100/42</f>
        <v>52.3095238095238</v>
      </c>
      <c r="CH105" s="329" t="n">
        <f aca="false">CF106-$U105</f>
        <v>-3.00709090909126</v>
      </c>
      <c r="CI105" s="224"/>
      <c r="CJ105" s="329" t="n">
        <f aca="false">CJ93+VLOOKUP(1900+$L105,ProductSpreadTable,4)</f>
        <v>8.75299999999997</v>
      </c>
      <c r="CK105" s="329" t="n">
        <f aca="false">($V104+CJ104)*100/42</f>
        <v>79.6889610389619</v>
      </c>
      <c r="CL105" s="329" t="n">
        <f aca="false">CK106</f>
        <v>81.2192640692648</v>
      </c>
      <c r="CM105" s="314" t="n">
        <v>21.428</v>
      </c>
      <c r="CN105" s="329" t="n">
        <f aca="false">CM105*100/42</f>
        <v>51.0190476190476</v>
      </c>
      <c r="CO105" s="329" t="n">
        <f aca="false">CM105-$U105</f>
        <v>-3.93109090909126</v>
      </c>
      <c r="CP105" s="329" t="n">
        <f aca="false">CP93+VLOOKUP(1900+$L105,ProductSpreadTable,5)</f>
        <v>7.82899999999997</v>
      </c>
      <c r="CQ105" s="329" t="n">
        <f aca="false">($V105+CP105)*100/42</f>
        <v>79.0192640692648</v>
      </c>
      <c r="CR105" s="333" t="n">
        <f aca="false">CQ105-CL105</f>
        <v>-2.2</v>
      </c>
      <c r="CS105" s="314" t="n">
        <v>22.478</v>
      </c>
      <c r="CT105" s="329" t="n">
        <f aca="false">CS105*100/42</f>
        <v>53.5190476190476</v>
      </c>
      <c r="CU105" s="329" t="n">
        <f aca="false">CT105-CG106</f>
        <v>0.299999999999997</v>
      </c>
      <c r="CV105" s="329" t="n">
        <f aca="false">CV93+VLOOKUP(1900+$L105,ProductSpreadTable,6)</f>
        <v>1.64999999999999</v>
      </c>
      <c r="CW105" s="333" t="n">
        <f aca="false">CL105+CV105</f>
        <v>82.8692640692648</v>
      </c>
      <c r="CX105" s="318" t="n">
        <v>0.178</v>
      </c>
      <c r="CY105" s="326" t="n">
        <f aca="false">CX105-$W105</f>
        <v>0.000300000000000022</v>
      </c>
      <c r="CZ105" s="326" t="n">
        <f aca="false">VLOOKUP(1900+$L105,ProductSpreadTable,7)</f>
        <v>-0.03</v>
      </c>
      <c r="DA105" s="365" t="n">
        <f aca="false">$W105+CZ105</f>
        <v>0.1477</v>
      </c>
      <c r="DB105" s="318" t="n">
        <v>0.178</v>
      </c>
      <c r="DC105" s="326" t="n">
        <f aca="false">DB105-$W105</f>
        <v>0.000300000000000022</v>
      </c>
      <c r="DD105" s="326" t="n">
        <f aca="false">VLOOKUP(1900+$L105,ProductSpreadTable,8)</f>
        <v>0.03</v>
      </c>
      <c r="DE105" s="365" t="n">
        <f aca="false">$W105+DD105</f>
        <v>0.2077</v>
      </c>
      <c r="DG105" s="336"/>
      <c r="DH105" s="314"/>
      <c r="DI105" s="325" t="n">
        <f aca="false">DH105-$U105</f>
        <v>-25.3590909090913</v>
      </c>
      <c r="DJ105" s="325" t="n">
        <f aca="false">VLOOKUP(1900+$L105,ResidSpreadTable,2)</f>
        <v>-2</v>
      </c>
      <c r="DK105" s="337" t="n">
        <f aca="false">$V105+DJ105</f>
        <v>23.3590909090913</v>
      </c>
      <c r="DL105" s="314"/>
      <c r="DM105" s="325" t="n">
        <f aca="false">DL105-$U105</f>
        <v>-25.3590909090913</v>
      </c>
      <c r="DN105" s="325" t="n">
        <f aca="false">VLOOKUP(1900+$L105,ResidSpreadTable,3)</f>
        <v>-3</v>
      </c>
      <c r="DO105" s="337" t="n">
        <f aca="false">$V105+DN105</f>
        <v>22.3590909090913</v>
      </c>
      <c r="DP105" s="314"/>
      <c r="DQ105" s="325" t="n">
        <f aca="false">DP105-$U105</f>
        <v>-25.3590909090913</v>
      </c>
      <c r="DR105" s="325" t="n">
        <f aca="false">VLOOKUP(1900+$L105,ResidSpreadTable,4)</f>
        <v>-6</v>
      </c>
      <c r="DS105" s="337" t="n">
        <f aca="false">$V105+DR105</f>
        <v>19.3590909090913</v>
      </c>
      <c r="DT105" s="314"/>
      <c r="DU105" s="325" t="n">
        <f aca="false">DT105-$U105</f>
        <v>-25.3590909090913</v>
      </c>
      <c r="DV105" s="325" t="n">
        <f aca="false">VLOOKUP(1900+$L105,ResidSpreadTable,5)</f>
        <v>-5</v>
      </c>
      <c r="DW105" s="337" t="n">
        <f aca="false">$V105+DV105</f>
        <v>20.3590909090913</v>
      </c>
    </row>
    <row r="106" customFormat="false" ht="12.75" hidden="false" customHeight="false" outlineLevel="0" collapsed="false">
      <c r="B106" s="371" t="n">
        <v>38777</v>
      </c>
      <c r="C106" s="391" t="n">
        <v>38768</v>
      </c>
      <c r="I106" s="338" t="n">
        <f aca="false">EOMONTH(I105,0)+1</f>
        <v>48976</v>
      </c>
      <c r="J106" s="389" t="n">
        <f aca="false">VLOOKUP(I106,$B$12:$C$332,2)</f>
        <v>45644</v>
      </c>
      <c r="K106" s="339" t="n">
        <f aca="false">NETWORKDAYS(I106,J107)/N106</f>
        <v>-119.05</v>
      </c>
      <c r="L106" s="309" t="n">
        <f aca="false">YEAR(I106)-1900</f>
        <v>134</v>
      </c>
      <c r="M106" s="310" t="n">
        <f aca="false">MONTH(I106)</f>
        <v>2</v>
      </c>
      <c r="N106" s="340" t="n">
        <f aca="false">NETWORKDAYS(I106,I107-1)</f>
        <v>20</v>
      </c>
      <c r="O106" s="341" t="n">
        <f aca="false">I106-DateToday-IF(EuroExpDateToggle=1,3+IF(WEEKDAY(I106-1)=7,1,IF(WEEKDAY(I106-1)&lt;5,2,0)),1+IF(WEEKDAY(I106-1)=7,1,IF(WEEKDAY(I106-1)&lt;3,2,0)))</f>
        <v>3045</v>
      </c>
      <c r="P106" s="342" t="n">
        <f aca="false">(I106-DateToday+1)/365.25</f>
        <v>8.35318275154004</v>
      </c>
      <c r="Q106" s="342" t="n">
        <f aca="false">(I107-DateToday)/365.25</f>
        <v>8.42710472279261</v>
      </c>
      <c r="R106" s="314" t="n">
        <v>19.95</v>
      </c>
      <c r="S106" s="347" t="n">
        <v>0</v>
      </c>
      <c r="T106" s="316" t="n">
        <f aca="false">R106+S106/100</f>
        <v>19.95</v>
      </c>
      <c r="U106" s="325" t="n">
        <f aca="false">R107*K106+R108*(1-K106)</f>
        <v>26.0025000000001</v>
      </c>
      <c r="V106" s="337" t="n">
        <f aca="false">T107*K106+T108*(1-K106)</f>
        <v>26.0025000000001</v>
      </c>
      <c r="W106" s="318" t="n">
        <v>0.177299999999999</v>
      </c>
      <c r="X106" s="319" t="str">
        <f aca="false">IF($I106-DateToday+1&gt;=$A$10,"",IF($I106-DateToday+1&lt;$A$5,1,MATCH($I106-DateToday+1,$A$5:$A$10)))</f>
        <v/>
      </c>
      <c r="Y106" s="348" t="n">
        <f aca="false">IF($X106="",Y105^2/Y104,INDEX(B$5:B$10,$X106)^((INDEX($A$5:$A$10,$X106+1)-($I106-DateToday+1))/(INDEX($A$5:$A$10,$X106+1)-INDEX($A$5:$A$10,$X106)))/INDEX(B$5:B$10,$X106+1)^((INDEX($A$5:$A$10,$X106)-($I106-DateToday+1))/(INDEX($A$5:$A$10,$X106+1)-INDEX($A$5:$A$10,$X106))))</f>
        <v>0.0017607102435825</v>
      </c>
      <c r="Z106" s="348" t="n">
        <f aca="false">IF($X106="",Z105^2/Z104,INDEX(C$5:C$10,$X106)^((INDEX($A$5:$A$10,$X106+1)-($I106-DateToday+1))/(INDEX($A$5:$A$10,$X106+1)-INDEX($A$5:$A$10,$X106)))/INDEX(C$5:C$10,$X106+1)^((INDEX($A$5:$A$10,$X106)-($I106-DateToday+1))/(INDEX($A$5:$A$10,$X106+1)-INDEX($A$5:$A$10,$X106))))</f>
        <v>0.000633727046744395</v>
      </c>
      <c r="AA106" s="348" t="n">
        <f aca="false">IF($X106="",AA105^2/AA104,INDEX(D$5:D$10,$X106)^((INDEX($A$5:$A$10,$X106+1)-($I106-DateToday+1))/(INDEX($A$5:$A$10,$X106+1)-INDEX($A$5:$A$10,$X106)))/INDEX(D$5:D$10,$X106+1)^((INDEX($A$5:$A$10,$X106)-($I106-DateToday+1))/(INDEX($A$5:$A$10,$X106+1)-INDEX($A$5:$A$10,$X106))))</f>
        <v>0.00023083381985609</v>
      </c>
      <c r="AB106" s="348" t="n">
        <f aca="false">IF($X106="",AB105^2/AB104,INDEX(E$5:E$10,$X106)^((INDEX($A$5:$A$10,$X106+1)-($I106-DateToday+1))/(INDEX($A$5:$A$10,$X106+1)-INDEX($A$5:$A$10,$X106)))/INDEX(E$5:E$10,$X106+1)^((INDEX($A$5:$A$10,$X106)-($I106-DateToday+1))/(INDEX($A$5:$A$10,$X106+1)-INDEX($A$5:$A$10,$X106))))</f>
        <v>0.000520022429371809</v>
      </c>
      <c r="AC106" s="348" t="n">
        <f aca="false">IF($X106="",AC105^2/AC104,INDEX(F$5:F$10,$X106)^((INDEX($A$5:$A$10,$X106+1)-($I106-DateToday+1))/(INDEX($A$5:$A$10,$X106+1)-INDEX($A$5:$A$10,$X106)))/INDEX(F$5:F$10,$X106+1)^((INDEX($A$5:$A$10,$X106)-($I106-DateToday+1))/(INDEX($A$5:$A$10,$X106+1)-INDEX($A$5:$A$10,$X106))))</f>
        <v>0.00142766029090577</v>
      </c>
      <c r="AD106" s="348" t="n">
        <f aca="false">IF($X106="",AD105^2/AD104,INDEX(G$5:G$10,$X106)^((INDEX($A$5:$A$10,$X106+1)-($I106-DateToday+1))/(INDEX($A$5:$A$10,$X106+1)-INDEX($A$5:$A$10,$X106)))/INDEX(G$5:G$10,$X106+1)^((INDEX($A$5:$A$10,$X106)-($I106-DateToday+1))/(INDEX($A$5:$A$10,$X106+1)-INDEX($A$5:$A$10,$X106))))</f>
        <v>0.00396652803674242</v>
      </c>
      <c r="AE106" s="321" t="n">
        <v>0.073631083886359</v>
      </c>
      <c r="AF106" s="316" t="n">
        <f aca="false">(1+AE106/2)^(-2*(I107-DateToday)/365.25)</f>
        <v>0.543705407796536</v>
      </c>
      <c r="AG106" s="316" t="n">
        <f aca="false">AG105*(1+IF(AND(M106=1,L106&gt;YearStart),Escalation,0))</f>
        <v>1</v>
      </c>
      <c r="AH106" s="322" t="n">
        <f aca="false">IF(OR(DateStart&gt;=I107,DateEnd&lt;I106),0,Volume*AG106)</f>
        <v>0</v>
      </c>
      <c r="AI106" s="322" t="n">
        <f aca="false">AH106*AF106</f>
        <v>0</v>
      </c>
      <c r="AJ106" s="322" t="n">
        <f aca="false">IF(OR(DateStart2&gt;=I107,DateEnd2&lt;I106),0,VolumeSwaption*AG106)</f>
        <v>0</v>
      </c>
      <c r="AK106" s="322" t="n">
        <f aca="false">AJ106*AF106</f>
        <v>0</v>
      </c>
      <c r="AL106" s="316" t="str">
        <f aca="true">IF(AH106,OFFSET(BY106,0,HorizontalPriceOffset)+PriceSpreadAsian,"")</f>
        <v/>
      </c>
      <c r="AM106" s="316" t="str">
        <f aca="false">IF(AH106,Strike1/AL106-1,"")</f>
        <v/>
      </c>
      <c r="AN106" s="316" t="str">
        <f aca="false">IF(AH106,Strike2/AL106-1,"")</f>
        <v/>
      </c>
      <c r="AO106" s="323" t="str">
        <f aca="false">IF(AH106,IF(VolOverrideAsian,VolOverrideAsian,IF(ProductGroup=1,IF(Product&lt;3,DA107,DE107),W107)+VolSpreadAsian),"")</f>
        <v/>
      </c>
      <c r="AP106" s="323" t="str">
        <f aca="false">IF($AH106,$AO106+IF(SkewFlag=1,IF(AM106&gt;0,$AA106*MIN(AM106/10%,1)+($Z106-$AA106)*MAX(0,MIN(AM106/10%-1,1))+($Y106-$Z106)*MAX(0,AM106/10%-2),$AB106*MIN(-AM106/10%,1)+($AC106-$AB106)*MAX(0,MIN(-AM106/10%-1,1))+($AD106-$AC106)*MAX(0,-AM106/10%-2)),0),"")</f>
        <v/>
      </c>
      <c r="AQ106" s="323" t="str">
        <f aca="false">IF($AH106,$AO106+IF(SkewFlag=1,IF(AN106&gt;0,$AA106*MIN(AN106/10%,1)+($Z106-$AA106)*MAX(0,MIN(AN106/10%-1,1))+($Y106-$Z106)*MAX(0,AN106/10%-2),$AB106*MIN(-AN106/10%,1)+($AC106-$AB106)*MAX(0,MIN(-AN106/10%-1,1))+($AD106-$AC106)*MAX(0,-AN106/10%-2)),0),"")</f>
        <v/>
      </c>
      <c r="AR106" s="324" t="n">
        <f aca="false">IF(AH106,xASN(AL106,Strike1,AE106,AP106,0,N106,0,P106,Q106,IF(OptControl=4,0,1),0),0)</f>
        <v>0</v>
      </c>
      <c r="AS106" s="324" t="n">
        <f aca="false">IF(AH106,xASN(AL106,Strike1,AE106,AP106,0,N106,0,P106,Q106,IF(OptControl=4,0,1),1),0)</f>
        <v>0</v>
      </c>
      <c r="AT106" s="324" t="n">
        <f aca="false">IF(AH106,xASN(AL106,Strike1,AE106,AP106,0,N106,0,P106,Q106,IF(OptControl=4,0,1),2),0)</f>
        <v>0</v>
      </c>
      <c r="AU106" s="324" t="n">
        <f aca="false">IF(AH106,xASN(AL106,Strike1,AE106,AP106,0,N106,0,P106,Q106,IF(OptControl=4,0,1),3)/100,0)</f>
        <v>0</v>
      </c>
      <c r="AV106" s="324" t="n">
        <f aca="false">IF(AH106,xASN(AL106,Strike1,AE106,AP106,0,N106,0,P106-DaysForThetaCalculation/365.25,Q106-DaysForThetaCalculation/365.25,IF(OptControl=4,0,1),0)-xASN(AL106,Strike1,AE106,AP106,0,N106,0,P106,Q106,IF(OptControl=4,0,1),0),0)</f>
        <v>0</v>
      </c>
      <c r="AW106" s="324" t="n">
        <f aca="false">IF(AH106,xASN(AL106,Strike2,AE106,AQ106,0,N106,0,P106,Q106,IF(OptControl=3,1,0),0),0)</f>
        <v>0</v>
      </c>
      <c r="AX106" s="324" t="n">
        <f aca="false">IF(AH106,xASN(AL106,Strike2,AE106,AQ106,0,N106,0,P106,Q106,IF(OptControl=3,1,0),1),0)</f>
        <v>0</v>
      </c>
      <c r="AY106" s="324" t="n">
        <f aca="false">IF(AH106,xASN(AL106,Strike2,AE106,AQ106,0,N106,0,P106,Q106,IF(OptControl=3,1,0),2),0)</f>
        <v>0</v>
      </c>
      <c r="AZ106" s="324" t="n">
        <f aca="false">IF(AH106,xASN(AL106,Strike2,AE106,AQ106,0,N106,0,P106,Q106,IF(OptControl=3,1,0),3)/100,0)</f>
        <v>0</v>
      </c>
      <c r="BA106" s="324" t="n">
        <f aca="false">IF(AH106,xASN(AL106,Strike2,AE106,AQ106,0,N106,0,P106-DaysForThetaCalculation/365.25,Q106-DaysForThetaCalculation/365.25,IF(OptControl=3,1,0),0)-xASN(AL106,Strike2,AE106,AQ106,0,N106,0,P106,Q106,IF(OptControl=3,1,0),0),0)</f>
        <v>0</v>
      </c>
      <c r="BB106" s="325" t="str">
        <f aca="false">IF(AH106,IF(ProductGroup=1,IF(Product=1,BX106+PriceSpreadEuro,IF(Product=3,CK106+PriceSpreadEuro,"N/A")),"N/A"),"")</f>
        <v/>
      </c>
      <c r="BC106" s="316" t="str">
        <f aca="false">IF(AH106,Strike1/BB106-1,"")</f>
        <v/>
      </c>
      <c r="BD106" s="316" t="str">
        <f aca="false">IF(AH106,Strike2/BB106-1,"")</f>
        <v/>
      </c>
      <c r="BE106" s="326" t="str">
        <f aca="false">IF(AH106,IF(VolOverrideEuro,VolOverrideEuro,IF(ProductGroup=1,IF(Product&lt;3,DA106,DE106)+VolSpreadEuro,"N/A")),"")</f>
        <v/>
      </c>
      <c r="BF106" s="323" t="str">
        <f aca="false">IF($AH106,$BE106+IF(SkewFlag=1,IF(BC106&gt;0,$AA106*MIN(BC106/10%,1)+($Z106-$AA106)*MAX(0,MIN(BC106/10%-1,1))+($Y106-$Z106)*MAX(0,BC106/10%-2),$AB106*MIN(-BC106/10%,1)+($AC106-$AB106)*MAX(0,MIN(-BC106/10%-1,1))+($AD106-$AC106)*MAX(0,-BC106/10%-2)),0),"")</f>
        <v/>
      </c>
      <c r="BG106" s="323" t="str">
        <f aca="false">IF($AH106,$BE106+IF(SkewFlag=1,IF(BD106&gt;0,$AA106*MIN(BD106/10%,1)+($Z106-$AA106)*MAX(0,MIN(BD106/10%-1,1))+($Y106-$Z106)*MAX(0,BD106/10%-2),$AB106*MIN(-BD106/10%,1)+($AC106-$AB106)*MAX(0,MIN(-BD106/10%-1,1))+($AD106-$AC106)*MAX(0,-BD106/10%-2)),0),"")</f>
        <v/>
      </c>
      <c r="BH106" s="324" t="n">
        <f aca="false">IF(AH106,xEURO(BB106,Strike1,AE106,AE106,BF106,O106,IF(OptControl=4,0,1),0),0)</f>
        <v>0</v>
      </c>
      <c r="BI106" s="324" t="n">
        <f aca="false">IF(AH106,xEURO(BB106,Strike1,AE106,AE106,BF106,O106,IF(OptControl=4,0,1),1),0)</f>
        <v>0</v>
      </c>
      <c r="BJ106" s="324" t="n">
        <f aca="false">IF(AH106,xEURO(BB106,Strike1,AE106,AE106,BF106,O106,IF(OptControl=4,0,1),2),0)</f>
        <v>0</v>
      </c>
      <c r="BK106" s="324" t="n">
        <f aca="false">IF(AH106,xEURO(BB106,Strike1,AE106,AE106,BF106,O106,IF(OptControl=4,0,1),3)/100,0)</f>
        <v>0</v>
      </c>
      <c r="BL106" s="324" t="n">
        <f aca="false">IF(AH106,xEURO(BB106,Strike1,AE106,AE106,BF106,O106-DaysForThetaCalculation,IF(OptControl=4,0,1),0)-xEURO(BB106,Strike1,AE106,AE106,BF106,O106,IF(OptControl=4,0,1),0),0)</f>
        <v>0</v>
      </c>
      <c r="BM106" s="324" t="n">
        <f aca="false">IF(AH106,xEURO(BB106,Strike2,AE106,AE106,BG106,O106,IF(OptControl=3,1,0),0),0)</f>
        <v>0</v>
      </c>
      <c r="BN106" s="324" t="n">
        <f aca="false">IF(AH106,xEURO(BB106,Strike2,AE106,AE106,BG106,O106,IF(OptControl=3,1,0),1),0)</f>
        <v>0</v>
      </c>
      <c r="BO106" s="324" t="n">
        <f aca="false">IF(AH106,xEURO(BB106,Strike2,AE106,AE106,BG106,O106,IF(OptControl=3,1,0),2),0)</f>
        <v>0</v>
      </c>
      <c r="BP106" s="324" t="n">
        <f aca="false">IF(AH106,xEURO(BB106,Strike2,AE106,AE106,BG106,O106,IF(OptControl=3,1,0),3)/100,0)</f>
        <v>0</v>
      </c>
      <c r="BQ106" s="327" t="n">
        <f aca="false">IF(AH106,xEURO(BB106,Strike2,AE106,AE106,BG106,O106-DaysForThetaCalculation,IF(OptControl=3,1,0),0)-xEURO(BB106,Strike2,AE106,AE106,BG106,O106,IF(OptControl=3,1,0),0),0)</f>
        <v>0</v>
      </c>
      <c r="BR106" s="343"/>
      <c r="BS106" s="314" t="n">
        <v>26.733</v>
      </c>
      <c r="BT106" s="329" t="n">
        <f aca="false">BS106*100/42</f>
        <v>63.65</v>
      </c>
      <c r="BU106" s="329" t="n">
        <f aca="false">BS107-$U106</f>
        <v>0.222499999999947</v>
      </c>
      <c r="BV106" s="224"/>
      <c r="BW106" s="329" t="n">
        <f aca="false">BW94+VLOOKUP(1900+$L106,ProductSpreadTable,2)</f>
        <v>15.189</v>
      </c>
      <c r="BX106" s="329" t="n">
        <f aca="false">($V105+BW105)*100/42</f>
        <v>96.4961038961048</v>
      </c>
      <c r="BY106" s="332" t="n">
        <f aca="false">BX107</f>
        <v>98.0750000000001</v>
      </c>
      <c r="BZ106" s="314" t="n">
        <v>24.335</v>
      </c>
      <c r="CA106" s="329" t="n">
        <f aca="false">BZ106*100/42</f>
        <v>57.9404761904762</v>
      </c>
      <c r="CB106" s="329" t="n">
        <f aca="false">BZ106-$U106</f>
        <v>-1.66750000000005</v>
      </c>
      <c r="CC106" s="329" t="n">
        <f aca="false">CC94+VLOOKUP(1900+$L106,ProductSpreadTable,3)</f>
        <v>12.774</v>
      </c>
      <c r="CD106" s="329" t="n">
        <f aca="false">($V106+CC106)*100/42</f>
        <v>92.3250000000001</v>
      </c>
      <c r="CE106" s="333" t="n">
        <f aca="false">CD106-BY106</f>
        <v>-5.74999999999997</v>
      </c>
      <c r="CF106" s="314" t="n">
        <v>22.352</v>
      </c>
      <c r="CG106" s="329" t="n">
        <f aca="false">CF106*100/42</f>
        <v>53.2190476190476</v>
      </c>
      <c r="CH106" s="329" t="n">
        <f aca="false">CF107-$U106</f>
        <v>-3.18850000000005</v>
      </c>
      <c r="CI106" s="224"/>
      <c r="CJ106" s="329" t="n">
        <f aca="false">CJ94+VLOOKUP(1900+$L106,ProductSpreadTable,4)</f>
        <v>9.0859999999999</v>
      </c>
      <c r="CK106" s="329" t="n">
        <f aca="false">($V105+CJ105)*100/42</f>
        <v>81.2192640692648</v>
      </c>
      <c r="CL106" s="329" t="n">
        <f aca="false">CK107</f>
        <v>83.5440476190475</v>
      </c>
      <c r="CM106" s="314" t="n">
        <v>21.89</v>
      </c>
      <c r="CN106" s="329" t="n">
        <f aca="false">CM106*100/42</f>
        <v>52.1190476190476</v>
      </c>
      <c r="CO106" s="329" t="n">
        <f aca="false">CM106-$U106</f>
        <v>-4.11250000000005</v>
      </c>
      <c r="CP106" s="329" t="n">
        <f aca="false">CP94+VLOOKUP(1900+$L106,ProductSpreadTable,5)</f>
        <v>8.1619999999999</v>
      </c>
      <c r="CQ106" s="329" t="n">
        <f aca="false">($V106+CP106)*100/42</f>
        <v>81.3440476190475</v>
      </c>
      <c r="CR106" s="333" t="n">
        <f aca="false">CQ106-CL106</f>
        <v>-2.2</v>
      </c>
      <c r="CS106" s="314" t="n">
        <v>22.94</v>
      </c>
      <c r="CT106" s="329" t="n">
        <f aca="false">CS106*100/42</f>
        <v>54.6190476190476</v>
      </c>
      <c r="CU106" s="329" t="n">
        <f aca="false">CT106-CG107</f>
        <v>0.299999999999997</v>
      </c>
      <c r="CV106" s="329" t="n">
        <f aca="false">CV94+VLOOKUP(1900+$L106,ProductSpreadTable,6)</f>
        <v>1.64999999999999</v>
      </c>
      <c r="CW106" s="333" t="n">
        <f aca="false">CL106+CV106</f>
        <v>85.1940476190475</v>
      </c>
      <c r="CX106" s="318" t="n">
        <v>0.177</v>
      </c>
      <c r="CY106" s="326" t="n">
        <f aca="false">CX106-$W106</f>
        <v>-0.000299999999999023</v>
      </c>
      <c r="CZ106" s="326" t="n">
        <f aca="false">VLOOKUP(1900+$L106,ProductSpreadTable,7)</f>
        <v>-0.03</v>
      </c>
      <c r="DA106" s="365" t="n">
        <f aca="false">$W106+CZ106</f>
        <v>0.147299999999999</v>
      </c>
      <c r="DB106" s="318" t="n">
        <v>0.177</v>
      </c>
      <c r="DC106" s="326" t="n">
        <f aca="false">DB106-$W106</f>
        <v>-0.000299999999999023</v>
      </c>
      <c r="DD106" s="326" t="n">
        <f aca="false">VLOOKUP(1900+$L106,ProductSpreadTable,8)</f>
        <v>0.03</v>
      </c>
      <c r="DE106" s="365" t="n">
        <f aca="false">$W106+DD106</f>
        <v>0.207299999999999</v>
      </c>
      <c r="DG106" s="336"/>
      <c r="DH106" s="314"/>
      <c r="DI106" s="325" t="n">
        <f aca="false">DH106-$U106</f>
        <v>-26.0025000000001</v>
      </c>
      <c r="DJ106" s="325" t="n">
        <f aca="false">VLOOKUP(1900+$L106,ResidSpreadTable,2)</f>
        <v>-2</v>
      </c>
      <c r="DK106" s="337" t="n">
        <f aca="false">$V106+DJ106</f>
        <v>24.0025000000001</v>
      </c>
      <c r="DL106" s="314"/>
      <c r="DM106" s="325" t="n">
        <f aca="false">DL106-$U106</f>
        <v>-26.0025000000001</v>
      </c>
      <c r="DN106" s="325" t="n">
        <f aca="false">VLOOKUP(1900+$L106,ResidSpreadTable,3)</f>
        <v>-3</v>
      </c>
      <c r="DO106" s="337" t="n">
        <f aca="false">$V106+DN106</f>
        <v>23.0025000000001</v>
      </c>
      <c r="DP106" s="314"/>
      <c r="DQ106" s="325" t="n">
        <f aca="false">DP106-$U106</f>
        <v>-26.0025000000001</v>
      </c>
      <c r="DR106" s="325" t="n">
        <f aca="false">VLOOKUP(1900+$L106,ResidSpreadTable,4)</f>
        <v>-6</v>
      </c>
      <c r="DS106" s="337" t="n">
        <f aca="false">$V106+DR106</f>
        <v>20.0025000000001</v>
      </c>
      <c r="DT106" s="314"/>
      <c r="DU106" s="325" t="n">
        <f aca="false">DT106-$U106</f>
        <v>-26.0025000000001</v>
      </c>
      <c r="DV106" s="325" t="n">
        <f aca="false">VLOOKUP(1900+$L106,ResidSpreadTable,5)</f>
        <v>-5</v>
      </c>
      <c r="DW106" s="337" t="n">
        <f aca="false">$V106+DV106</f>
        <v>21.0025000000001</v>
      </c>
    </row>
    <row r="107" customFormat="false" ht="12.75" hidden="false" customHeight="false" outlineLevel="0" collapsed="false">
      <c r="B107" s="371" t="n">
        <v>38808</v>
      </c>
      <c r="C107" s="391" t="n">
        <v>38796</v>
      </c>
      <c r="I107" s="338" t="n">
        <f aca="false">EOMONTH(I106,0)+1</f>
        <v>49004</v>
      </c>
      <c r="J107" s="389" t="n">
        <f aca="false">VLOOKUP(I107,$B$12:$C$332,2)</f>
        <v>45644</v>
      </c>
      <c r="K107" s="339" t="n">
        <f aca="false">NETWORKDAYS(I107,J108)/N107</f>
        <v>-104.391304347826</v>
      </c>
      <c r="L107" s="309" t="n">
        <f aca="false">YEAR(I107)-1900</f>
        <v>134</v>
      </c>
      <c r="M107" s="310" t="n">
        <f aca="false">MONTH(I107)</f>
        <v>3</v>
      </c>
      <c r="N107" s="340" t="n">
        <f aca="false">NETWORKDAYS(I107,I108-1)</f>
        <v>23</v>
      </c>
      <c r="O107" s="341" t="n">
        <f aca="false">I107-DateToday-IF(EuroExpDateToggle=1,3+IF(WEEKDAY(I107-1)=7,1,IF(WEEKDAY(I107-1)&lt;5,2,0)),1+IF(WEEKDAY(I107-1)=7,1,IF(WEEKDAY(I107-1)&lt;3,2,0)))</f>
        <v>3073</v>
      </c>
      <c r="P107" s="342" t="n">
        <f aca="false">(I107-DateToday+1)/365.25</f>
        <v>8.42984257357974</v>
      </c>
      <c r="Q107" s="342" t="n">
        <f aca="false">(I108-DateToday)/365.25</f>
        <v>8.5119780971937</v>
      </c>
      <c r="R107" s="314" t="n">
        <v>20</v>
      </c>
      <c r="S107" s="347" t="n">
        <v>0</v>
      </c>
      <c r="T107" s="316" t="n">
        <f aca="false">R107+S107/100</f>
        <v>20</v>
      </c>
      <c r="U107" s="325" t="n">
        <f aca="false">R108*K107+R109*(1-K107)</f>
        <v>25.3195652173913</v>
      </c>
      <c r="V107" s="337" t="n">
        <f aca="false">T108*K107+T109*(1-K107)</f>
        <v>25.3195652173913</v>
      </c>
      <c r="W107" s="318" t="n">
        <v>0.176899999999999</v>
      </c>
      <c r="X107" s="319" t="str">
        <f aca="false">IF($I107-DateToday+1&gt;=$A$10,"",IF($I107-DateToday+1&lt;$A$5,1,MATCH($I107-DateToday+1,$A$5:$A$10)))</f>
        <v/>
      </c>
      <c r="Y107" s="348" t="n">
        <f aca="false">IF($X107="",Y106^2/Y105,INDEX(B$5:B$10,$X107)^((INDEX($A$5:$A$10,$X107+1)-($I107-DateToday+1))/(INDEX($A$5:$A$10,$X107+1)-INDEX($A$5:$A$10,$X107)))/INDEX(B$5:B$10,$X107+1)^((INDEX($A$5:$A$10,$X107)-($I107-DateToday+1))/(INDEX($A$5:$A$10,$X107+1)-INDEX($A$5:$A$10,$X107))))</f>
        <v>0.00172301611517963</v>
      </c>
      <c r="Z107" s="348" t="n">
        <f aca="false">IF($X107="",Z106^2/Z105,INDEX(C$5:C$10,$X107)^((INDEX($A$5:$A$10,$X107+1)-($I107-DateToday+1))/(INDEX($A$5:$A$10,$X107+1)-INDEX($A$5:$A$10,$X107)))/INDEX(C$5:C$10,$X107+1)^((INDEX($A$5:$A$10,$X107)-($I107-DateToday+1))/(INDEX($A$5:$A$10,$X107+1)-INDEX($A$5:$A$10,$X107))))</f>
        <v>0.000616839546131663</v>
      </c>
      <c r="AA107" s="348" t="n">
        <f aca="false">IF($X107="",AA106^2/AA105,INDEX(D$5:D$10,$X107)^((INDEX($A$5:$A$10,$X107+1)-($I107-DateToday+1))/(INDEX($A$5:$A$10,$X107+1)-INDEX($A$5:$A$10,$X107)))/INDEX(D$5:D$10,$X107+1)^((INDEX($A$5:$A$10,$X107)-($I107-DateToday+1))/(INDEX($A$5:$A$10,$X107+1)-INDEX($A$5:$A$10,$X107))))</f>
        <v>0.000224080073652519</v>
      </c>
      <c r="AB107" s="348" t="n">
        <f aca="false">IF($X107="",AB106^2/AB105,INDEX(E$5:E$10,$X107)^((INDEX($A$5:$A$10,$X107+1)-($I107-DateToday+1))/(INDEX($A$5:$A$10,$X107+1)-INDEX($A$5:$A$10,$X107)))/INDEX(E$5:E$10,$X107+1)^((INDEX($A$5:$A$10,$X107)-($I107-DateToday+1))/(INDEX($A$5:$A$10,$X107+1)-INDEX($A$5:$A$10,$X107))))</f>
        <v>0.000504807589924404</v>
      </c>
      <c r="AC107" s="348" t="n">
        <f aca="false">IF($X107="",AC106^2/AC105,INDEX(F$5:F$10,$X107)^((INDEX($A$5:$A$10,$X107+1)-($I107-DateToday+1))/(INDEX($A$5:$A$10,$X107+1)-INDEX($A$5:$A$10,$X107)))/INDEX(F$5:F$10,$X107+1)^((INDEX($A$5:$A$10,$X107)-($I107-DateToday+1))/(INDEX($A$5:$A$10,$X107+1)-INDEX($A$5:$A$10,$X107))))</f>
        <v>0.00138961612952541</v>
      </c>
      <c r="AD107" s="348" t="n">
        <f aca="false">IF($X107="",AD106^2/AD105,INDEX(G$5:G$10,$X107)^((INDEX($A$5:$A$10,$X107+1)-($I107-DateToday+1))/(INDEX($A$5:$A$10,$X107+1)-INDEX($A$5:$A$10,$X107)))/INDEX(G$5:G$10,$X107+1)^((INDEX($A$5:$A$10,$X107)-($I107-DateToday+1))/(INDEX($A$5:$A$10,$X107+1)-INDEX($A$5:$A$10,$X107))))</f>
        <v>0.00388161070427644</v>
      </c>
      <c r="AE107" s="321" t="n">
        <v>0.073638673956491</v>
      </c>
      <c r="AF107" s="316" t="n">
        <f aca="false">(1+AE107/2)^(-2*(I108-DateToday)/365.25)</f>
        <v>0.540345217981483</v>
      </c>
      <c r="AG107" s="316" t="n">
        <f aca="false">AG106*(1+IF(AND(M107=1,L107&gt;YearStart),Escalation,0))</f>
        <v>1</v>
      </c>
      <c r="AH107" s="322" t="n">
        <f aca="false">IF(OR(DateStart&gt;=I108,DateEnd&lt;I107),0,Volume*AG107)</f>
        <v>0</v>
      </c>
      <c r="AI107" s="322" t="n">
        <f aca="false">AH107*AF107</f>
        <v>0</v>
      </c>
      <c r="AJ107" s="322" t="n">
        <f aca="false">IF(OR(DateStart2&gt;=I108,DateEnd2&lt;I107),0,VolumeSwaption*AG107)</f>
        <v>0</v>
      </c>
      <c r="AK107" s="322" t="n">
        <f aca="false">AJ107*AF107</f>
        <v>0</v>
      </c>
      <c r="AL107" s="316" t="str">
        <f aca="true">IF(AH107,OFFSET(BY107,0,HorizontalPriceOffset)+PriceSpreadAsian,"")</f>
        <v/>
      </c>
      <c r="AM107" s="316" t="str">
        <f aca="false">IF(AH107,Strike1/AL107-1,"")</f>
        <v/>
      </c>
      <c r="AN107" s="316" t="str">
        <f aca="false">IF(AH107,Strike2/AL107-1,"")</f>
        <v/>
      </c>
      <c r="AO107" s="323" t="str">
        <f aca="false">IF(AH107,IF(VolOverrideAsian,VolOverrideAsian,IF(ProductGroup=1,IF(Product&lt;3,DA108,DE108),W108)+VolSpreadAsian),"")</f>
        <v/>
      </c>
      <c r="AP107" s="323" t="str">
        <f aca="false">IF($AH107,$AO107+IF(SkewFlag=1,IF(AM107&gt;0,$AA107*MIN(AM107/10%,1)+($Z107-$AA107)*MAX(0,MIN(AM107/10%-1,1))+($Y107-$Z107)*MAX(0,AM107/10%-2),$AB107*MIN(-AM107/10%,1)+($AC107-$AB107)*MAX(0,MIN(-AM107/10%-1,1))+($AD107-$AC107)*MAX(0,-AM107/10%-2)),0),"")</f>
        <v/>
      </c>
      <c r="AQ107" s="323" t="str">
        <f aca="false">IF($AH107,$AO107+IF(SkewFlag=1,IF(AN107&gt;0,$AA107*MIN(AN107/10%,1)+($Z107-$AA107)*MAX(0,MIN(AN107/10%-1,1))+($Y107-$Z107)*MAX(0,AN107/10%-2),$AB107*MIN(-AN107/10%,1)+($AC107-$AB107)*MAX(0,MIN(-AN107/10%-1,1))+($AD107-$AC107)*MAX(0,-AN107/10%-2)),0),"")</f>
        <v/>
      </c>
      <c r="AR107" s="324" t="n">
        <f aca="false">IF(AH107,xASN(AL107,Strike1,AE107,AP107,0,N107,0,P107,Q107,IF(OptControl=4,0,1),0),0)</f>
        <v>0</v>
      </c>
      <c r="AS107" s="324" t="n">
        <f aca="false">IF(AH107,xASN(AL107,Strike1,AE107,AP107,0,N107,0,P107,Q107,IF(OptControl=4,0,1),1),0)</f>
        <v>0</v>
      </c>
      <c r="AT107" s="324" t="n">
        <f aca="false">IF(AH107,xASN(AL107,Strike1,AE107,AP107,0,N107,0,P107,Q107,IF(OptControl=4,0,1),2),0)</f>
        <v>0</v>
      </c>
      <c r="AU107" s="324" t="n">
        <f aca="false">IF(AH107,xASN(AL107,Strike1,AE107,AP107,0,N107,0,P107,Q107,IF(OptControl=4,0,1),3)/100,0)</f>
        <v>0</v>
      </c>
      <c r="AV107" s="324" t="n">
        <f aca="false">IF(AH107,xASN(AL107,Strike1,AE107,AP107,0,N107,0,P107-DaysForThetaCalculation/365.25,Q107-DaysForThetaCalculation/365.25,IF(OptControl=4,0,1),0)-xASN(AL107,Strike1,AE107,AP107,0,N107,0,P107,Q107,IF(OptControl=4,0,1),0),0)</f>
        <v>0</v>
      </c>
      <c r="AW107" s="324" t="n">
        <f aca="false">IF(AH107,xASN(AL107,Strike2,AE107,AQ107,0,N107,0,P107,Q107,IF(OptControl=3,1,0),0),0)</f>
        <v>0</v>
      </c>
      <c r="AX107" s="324" t="n">
        <f aca="false">IF(AH107,xASN(AL107,Strike2,AE107,AQ107,0,N107,0,P107,Q107,IF(OptControl=3,1,0),1),0)</f>
        <v>0</v>
      </c>
      <c r="AY107" s="324" t="n">
        <f aca="false">IF(AH107,xASN(AL107,Strike2,AE107,AQ107,0,N107,0,P107,Q107,IF(OptControl=3,1,0),2),0)</f>
        <v>0</v>
      </c>
      <c r="AZ107" s="324" t="n">
        <f aca="false">IF(AH107,xASN(AL107,Strike2,AE107,AQ107,0,N107,0,P107,Q107,IF(OptControl=3,1,0),3)/100,0)</f>
        <v>0</v>
      </c>
      <c r="BA107" s="324" t="n">
        <f aca="false">IF(AH107,xASN(AL107,Strike2,AE107,AQ107,0,N107,0,P107-DaysForThetaCalculation/365.25,Q107-DaysForThetaCalculation/365.25,IF(OptControl=3,1,0),0)-xASN(AL107,Strike2,AE107,AQ107,0,N107,0,P107,Q107,IF(OptControl=3,1,0),0),0)</f>
        <v>0</v>
      </c>
      <c r="BB107" s="325" t="str">
        <f aca="false">IF(AH107,IF(ProductGroup=1,IF(Product=1,BX107+PriceSpreadEuro,IF(Product=3,CK107+PriceSpreadEuro,"N/A")),"N/A"),"")</f>
        <v/>
      </c>
      <c r="BC107" s="316" t="str">
        <f aca="false">IF(AH107,Strike1/BB107-1,"")</f>
        <v/>
      </c>
      <c r="BD107" s="316" t="str">
        <f aca="false">IF(AH107,Strike2/BB107-1,"")</f>
        <v/>
      </c>
      <c r="BE107" s="326" t="str">
        <f aca="false">IF(AH107,IF(VolOverrideEuro,VolOverrideEuro,IF(ProductGroup=1,IF(Product&lt;3,DA107,DE107)+VolSpreadEuro,"N/A")),"")</f>
        <v/>
      </c>
      <c r="BF107" s="323" t="str">
        <f aca="false">IF($AH107,$BE107+IF(SkewFlag=1,IF(BC107&gt;0,$AA107*MIN(BC107/10%,1)+($Z107-$AA107)*MAX(0,MIN(BC107/10%-1,1))+($Y107-$Z107)*MAX(0,BC107/10%-2),$AB107*MIN(-BC107/10%,1)+($AC107-$AB107)*MAX(0,MIN(-BC107/10%-1,1))+($AD107-$AC107)*MAX(0,-BC107/10%-2)),0),"")</f>
        <v/>
      </c>
      <c r="BG107" s="323" t="str">
        <f aca="false">IF($AH107,$BE107+IF(SkewFlag=1,IF(BD107&gt;0,$AA107*MIN(BD107/10%,1)+($Z107-$AA107)*MAX(0,MIN(BD107/10%-1,1))+($Y107-$Z107)*MAX(0,BD107/10%-2),$AB107*MIN(-BD107/10%,1)+($AC107-$AB107)*MAX(0,MIN(-BD107/10%-1,1))+($AD107-$AC107)*MAX(0,-BD107/10%-2)),0),"")</f>
        <v/>
      </c>
      <c r="BH107" s="324" t="n">
        <f aca="false">IF(AH107,xEURO(BB107,Strike1,AE107,AE107,BF107,O107,IF(OptControl=4,0,1),0),0)</f>
        <v>0</v>
      </c>
      <c r="BI107" s="324" t="n">
        <f aca="false">IF(AH107,xEURO(BB107,Strike1,AE107,AE107,BF107,O107,IF(OptControl=4,0,1),1),0)</f>
        <v>0</v>
      </c>
      <c r="BJ107" s="324" t="n">
        <f aca="false">IF(AH107,xEURO(BB107,Strike1,AE107,AE107,BF107,O107,IF(OptControl=4,0,1),2),0)</f>
        <v>0</v>
      </c>
      <c r="BK107" s="324" t="n">
        <f aca="false">IF(AH107,xEURO(BB107,Strike1,AE107,AE107,BF107,O107,IF(OptControl=4,0,1),3)/100,0)</f>
        <v>0</v>
      </c>
      <c r="BL107" s="324" t="n">
        <f aca="false">IF(AH107,xEURO(BB107,Strike1,AE107,AE107,BF107,O107-DaysForThetaCalculation,IF(OptControl=4,0,1),0)-xEURO(BB107,Strike1,AE107,AE107,BF107,O107,IF(OptControl=4,0,1),0),0)</f>
        <v>0</v>
      </c>
      <c r="BM107" s="324" t="n">
        <f aca="false">IF(AH107,xEURO(BB107,Strike2,AE107,AE107,BG107,O107,IF(OptControl=3,1,0),0),0)</f>
        <v>0</v>
      </c>
      <c r="BN107" s="324" t="n">
        <f aca="false">IF(AH107,xEURO(BB107,Strike2,AE107,AE107,BG107,O107,IF(OptControl=3,1,0),1),0)</f>
        <v>0</v>
      </c>
      <c r="BO107" s="324" t="n">
        <f aca="false">IF(AH107,xEURO(BB107,Strike2,AE107,AE107,BG107,O107,IF(OptControl=3,1,0),2),0)</f>
        <v>0</v>
      </c>
      <c r="BP107" s="324" t="n">
        <f aca="false">IF(AH107,xEURO(BB107,Strike2,AE107,AE107,BG107,O107,IF(OptControl=3,1,0),3)/100,0)</f>
        <v>0</v>
      </c>
      <c r="BQ107" s="327" t="n">
        <f aca="false">IF(AH107,xEURO(BB107,Strike2,AE107,AE107,BG107,O107-DaysForThetaCalculation,IF(OptControl=3,1,0),0)-xEURO(BB107,Strike2,AE107,AE107,BG107,O107,IF(OptControl=3,1,0),0),0)</f>
        <v>0</v>
      </c>
      <c r="BR107" s="343"/>
      <c r="BS107" s="314" t="n">
        <v>26.225</v>
      </c>
      <c r="BT107" s="329" t="n">
        <f aca="false">BS107*100/42</f>
        <v>62.4404761904762</v>
      </c>
      <c r="BU107" s="329" t="n">
        <f aca="false">BS108-$U107</f>
        <v>-0.0905652173912976</v>
      </c>
      <c r="BV107" s="224"/>
      <c r="BW107" s="329" t="n">
        <f aca="false">BW95+VLOOKUP(1900+$L107,ProductSpreadTable,2)</f>
        <v>12.7169999999999</v>
      </c>
      <c r="BX107" s="329" t="n">
        <f aca="false">($V106+BW106)*100/42</f>
        <v>98.0750000000001</v>
      </c>
      <c r="BY107" s="332" t="n">
        <f aca="false">BX108</f>
        <v>90.5632505175982</v>
      </c>
      <c r="BZ107" s="314" t="n">
        <v>23.339</v>
      </c>
      <c r="CA107" s="329" t="n">
        <f aca="false">BZ107*100/42</f>
        <v>55.5690476190476</v>
      </c>
      <c r="CB107" s="329" t="n">
        <f aca="false">BZ107-$U107</f>
        <v>-1.9805652173913</v>
      </c>
      <c r="CC107" s="329" t="n">
        <f aca="false">CC95+VLOOKUP(1900+$L107,ProductSpreadTable,3)</f>
        <v>10.3019999999999</v>
      </c>
      <c r="CD107" s="329" t="n">
        <f aca="false">($V107+CC107)*100/42</f>
        <v>84.8132505175982</v>
      </c>
      <c r="CE107" s="333" t="n">
        <f aca="false">CD107-BY107</f>
        <v>-5.75000000000001</v>
      </c>
      <c r="CF107" s="314" t="n">
        <v>22.814</v>
      </c>
      <c r="CG107" s="329" t="n">
        <f aca="false">CF107*100/42</f>
        <v>54.3190476190476</v>
      </c>
      <c r="CH107" s="329" t="n">
        <f aca="false">CF108-$U107</f>
        <v>-1.9965652173913</v>
      </c>
      <c r="CI107" s="224"/>
      <c r="CJ107" s="329" t="n">
        <f aca="false">CJ95+VLOOKUP(1900+$L107,ProductSpreadTable,4)</f>
        <v>10.6089999999999</v>
      </c>
      <c r="CK107" s="329" t="n">
        <f aca="false">($V106+CJ106)*100/42</f>
        <v>83.5440476190475</v>
      </c>
      <c r="CL107" s="329" t="n">
        <f aca="false">CK108</f>
        <v>85.5442028985505</v>
      </c>
      <c r="CM107" s="314" t="n">
        <v>22.399</v>
      </c>
      <c r="CN107" s="329" t="n">
        <f aca="false">CM107*100/42</f>
        <v>53.3309523809524</v>
      </c>
      <c r="CO107" s="329" t="n">
        <f aca="false">CM107-$U107</f>
        <v>-2.9205652173913</v>
      </c>
      <c r="CP107" s="329" t="n">
        <f aca="false">CP95+VLOOKUP(1900+$L107,ProductSpreadTable,5)</f>
        <v>8.10773913043481</v>
      </c>
      <c r="CQ107" s="329" t="n">
        <f aca="false">($V107+CP107)*100/42</f>
        <v>79.5888198757765</v>
      </c>
      <c r="CR107" s="333" t="n">
        <f aca="false">CQ107-CL107</f>
        <v>-5.95538302277407</v>
      </c>
      <c r="CS107" s="314" t="n">
        <v>23.449</v>
      </c>
      <c r="CT107" s="329" t="n">
        <f aca="false">CS107*100/42</f>
        <v>55.8309523809524</v>
      </c>
      <c r="CU107" s="329" t="n">
        <f aca="false">CT107-CG108</f>
        <v>0.299999999999997</v>
      </c>
      <c r="CV107" s="329" t="n">
        <f aca="false">CV95+VLOOKUP(1900+$L107,ProductSpreadTable,6)</f>
        <v>1.65000000000001</v>
      </c>
      <c r="CW107" s="333" t="n">
        <f aca="false">CL107+CV107</f>
        <v>87.1942028985505</v>
      </c>
      <c r="CX107" s="318" t="n">
        <v>0.177</v>
      </c>
      <c r="CY107" s="326" t="n">
        <f aca="false">CX107-$W107</f>
        <v>0.00010000000000096</v>
      </c>
      <c r="CZ107" s="326" t="n">
        <f aca="false">VLOOKUP(1900+$L107,ProductSpreadTable,7)</f>
        <v>-0.03</v>
      </c>
      <c r="DA107" s="365" t="n">
        <f aca="false">$W107+CZ107</f>
        <v>0.146899999999999</v>
      </c>
      <c r="DB107" s="318" t="n">
        <v>0.177</v>
      </c>
      <c r="DC107" s="326" t="n">
        <f aca="false">DB107-$W107</f>
        <v>0.00010000000000096</v>
      </c>
      <c r="DD107" s="326" t="n">
        <f aca="false">VLOOKUP(1900+$L107,ProductSpreadTable,8)</f>
        <v>0.03</v>
      </c>
      <c r="DE107" s="365" t="n">
        <f aca="false">$W107+DD107</f>
        <v>0.206899999999999</v>
      </c>
      <c r="DG107" s="336"/>
      <c r="DH107" s="314"/>
      <c r="DI107" s="325" t="n">
        <f aca="false">DH107-$U107</f>
        <v>-25.3195652173913</v>
      </c>
      <c r="DJ107" s="325" t="n">
        <f aca="false">VLOOKUP(1900+$L107,ResidSpreadTable,2)</f>
        <v>-2</v>
      </c>
      <c r="DK107" s="337" t="n">
        <f aca="false">$V107+DJ107</f>
        <v>23.3195652173913</v>
      </c>
      <c r="DL107" s="314"/>
      <c r="DM107" s="325" t="n">
        <f aca="false">DL107-$U107</f>
        <v>-25.3195652173913</v>
      </c>
      <c r="DN107" s="325" t="n">
        <f aca="false">VLOOKUP(1900+$L107,ResidSpreadTable,3)</f>
        <v>-3</v>
      </c>
      <c r="DO107" s="337" t="n">
        <f aca="false">$V107+DN107</f>
        <v>22.3195652173913</v>
      </c>
      <c r="DP107" s="314"/>
      <c r="DQ107" s="325" t="n">
        <f aca="false">DP107-$U107</f>
        <v>-25.3195652173913</v>
      </c>
      <c r="DR107" s="325" t="n">
        <f aca="false">VLOOKUP(1900+$L107,ResidSpreadTable,4)</f>
        <v>-6</v>
      </c>
      <c r="DS107" s="337" t="n">
        <f aca="false">$V107+DR107</f>
        <v>19.3195652173913</v>
      </c>
      <c r="DT107" s="314"/>
      <c r="DU107" s="325" t="n">
        <f aca="false">DT107-$U107</f>
        <v>-25.3195652173913</v>
      </c>
      <c r="DV107" s="325" t="n">
        <f aca="false">VLOOKUP(1900+$L107,ResidSpreadTable,5)</f>
        <v>-5</v>
      </c>
      <c r="DW107" s="337" t="n">
        <f aca="false">$V107+DV107</f>
        <v>20.3195652173913</v>
      </c>
    </row>
    <row r="108" customFormat="false" ht="12.75" hidden="false" customHeight="false" outlineLevel="0" collapsed="false">
      <c r="B108" s="371" t="n">
        <v>38838</v>
      </c>
      <c r="C108" s="391" t="n">
        <v>38827</v>
      </c>
      <c r="I108" s="338" t="n">
        <f aca="false">EOMONTH(I107,0)+1</f>
        <v>49035</v>
      </c>
      <c r="J108" s="389" t="n">
        <f aca="false">VLOOKUP(I108,$B$12:$C$332,2)</f>
        <v>45644</v>
      </c>
      <c r="K108" s="339" t="n">
        <f aca="false">NETWORKDAYS(I108,J109)/N108</f>
        <v>-121.15</v>
      </c>
      <c r="L108" s="309" t="n">
        <f aca="false">YEAR(I108)-1900</f>
        <v>134</v>
      </c>
      <c r="M108" s="310" t="n">
        <f aca="false">MONTH(I108)</f>
        <v>4</v>
      </c>
      <c r="N108" s="340" t="n">
        <f aca="false">NETWORKDAYS(I108,I109-1)</f>
        <v>20</v>
      </c>
      <c r="O108" s="341" t="n">
        <f aca="false">I108-DateToday-IF(EuroExpDateToggle=1,3+IF(WEEKDAY(I108-1)=7,1,IF(WEEKDAY(I108-1)&lt;5,2,0)),1+IF(WEEKDAY(I108-1)=7,1,IF(WEEKDAY(I108-1)&lt;3,2,0)))</f>
        <v>3106</v>
      </c>
      <c r="P108" s="342" t="n">
        <f aca="false">(I108-DateToday+1)/365.25</f>
        <v>8.51471594798084</v>
      </c>
      <c r="Q108" s="342" t="n">
        <f aca="false">(I109-DateToday)/365.25</f>
        <v>8.59411362080767</v>
      </c>
      <c r="R108" s="314" t="n">
        <v>20.05</v>
      </c>
      <c r="S108" s="347" t="n">
        <v>0</v>
      </c>
      <c r="T108" s="316" t="n">
        <f aca="false">R108+S108/100</f>
        <v>20.05</v>
      </c>
      <c r="U108" s="325" t="n">
        <f aca="false">R109*K108+R110*(1-K108)</f>
        <v>26.2074999999995</v>
      </c>
      <c r="V108" s="337" t="n">
        <f aca="false">T109*K108+T110*(1-K108)</f>
        <v>26.2074999999995</v>
      </c>
      <c r="W108" s="318" t="n">
        <v>0.176499999999999</v>
      </c>
      <c r="X108" s="319" t="str">
        <f aca="false">IF($I108-DateToday+1&gt;=$A$10,"",IF($I108-DateToday+1&lt;$A$5,1,MATCH($I108-DateToday+1,$A$5:$A$10)))</f>
        <v/>
      </c>
      <c r="Y108" s="348" t="n">
        <f aca="false">IF($X108="",Y107^2/Y106,INDEX(B$5:B$10,$X108)^((INDEX($A$5:$A$10,$X108+1)-($I108-DateToday+1))/(INDEX($A$5:$A$10,$X108+1)-INDEX($A$5:$A$10,$X108)))/INDEX(B$5:B$10,$X108+1)^((INDEX($A$5:$A$10,$X108)-($I108-DateToday+1))/(INDEX($A$5:$A$10,$X108+1)-INDEX($A$5:$A$10,$X108))))</f>
        <v>0.00168612896073584</v>
      </c>
      <c r="Z108" s="348" t="n">
        <f aca="false">IF($X108="",Z107^2/Z106,INDEX(C$5:C$10,$X108)^((INDEX($A$5:$A$10,$X108+1)-($I108-DateToday+1))/(INDEX($A$5:$A$10,$X108+1)-INDEX($A$5:$A$10,$X108)))/INDEX(C$5:C$10,$X108+1)^((INDEX($A$5:$A$10,$X108)-($I108-DateToday+1))/(INDEX($A$5:$A$10,$X108+1)-INDEX($A$5:$A$10,$X108))))</f>
        <v>0.000600402062096903</v>
      </c>
      <c r="AA108" s="348" t="n">
        <f aca="false">IF($X108="",AA107^2/AA106,INDEX(D$5:D$10,$X108)^((INDEX($A$5:$A$10,$X108+1)-($I108-DateToday+1))/(INDEX($A$5:$A$10,$X108+1)-INDEX($A$5:$A$10,$X108)))/INDEX(D$5:D$10,$X108+1)^((INDEX($A$5:$A$10,$X108)-($I108-DateToday+1))/(INDEX($A$5:$A$10,$X108+1)-INDEX($A$5:$A$10,$X108))))</f>
        <v>0.000217523928856795</v>
      </c>
      <c r="AB108" s="348" t="n">
        <f aca="false">IF($X108="",AB107^2/AB106,INDEX(E$5:E$10,$X108)^((INDEX($A$5:$A$10,$X108+1)-($I108-DateToday+1))/(INDEX($A$5:$A$10,$X108+1)-INDEX($A$5:$A$10,$X108)))/INDEX(E$5:E$10,$X108+1)^((INDEX($A$5:$A$10,$X108)-($I108-DateToday+1))/(INDEX($A$5:$A$10,$X108+1)-INDEX($A$5:$A$10,$X108))))</f>
        <v>0.000490037906928596</v>
      </c>
      <c r="AC108" s="348" t="n">
        <f aca="false">IF($X108="",AC107^2/AC106,INDEX(F$5:F$10,$X108)^((INDEX($A$5:$A$10,$X108+1)-($I108-DateToday+1))/(INDEX($A$5:$A$10,$X108+1)-INDEX($A$5:$A$10,$X108)))/INDEX(F$5:F$10,$X108+1)^((INDEX($A$5:$A$10,$X108)-($I108-DateToday+1))/(INDEX($A$5:$A$10,$X108+1)-INDEX($A$5:$A$10,$X108))))</f>
        <v>0.0013525857654919</v>
      </c>
      <c r="AD108" s="348" t="n">
        <f aca="false">IF($X108="",AD107^2/AD106,INDEX(G$5:G$10,$X108)^((INDEX($A$5:$A$10,$X108+1)-($I108-DateToday+1))/(INDEX($A$5:$A$10,$X108+1)-INDEX($A$5:$A$10,$X108)))/INDEX(G$5:G$10,$X108+1)^((INDEX($A$5:$A$10,$X108)-($I108-DateToday+1))/(INDEX($A$5:$A$10,$X108+1)-INDEX($A$5:$A$10,$X108))))</f>
        <v>0.00379851132274548</v>
      </c>
      <c r="AE108" s="321" t="n">
        <v>0.073646019185669</v>
      </c>
      <c r="AF108" s="316" t="n">
        <f aca="false">(1+AE108/2)^(-2*(I109-DateToday)/365.25)</f>
        <v>0.537112559834902</v>
      </c>
      <c r="AG108" s="316" t="n">
        <f aca="false">AG107*(1+IF(AND(M108=1,L108&gt;YearStart),Escalation,0))</f>
        <v>1</v>
      </c>
      <c r="AH108" s="322" t="n">
        <f aca="false">IF(OR(DateStart&gt;=I109,DateEnd&lt;I108),0,Volume*AG108)</f>
        <v>0</v>
      </c>
      <c r="AI108" s="322" t="n">
        <f aca="false">AH108*AF108</f>
        <v>0</v>
      </c>
      <c r="AJ108" s="322" t="n">
        <f aca="false">IF(OR(DateStart2&gt;=I109,DateEnd2&lt;I108),0,VolumeSwaption*AG108)</f>
        <v>0</v>
      </c>
      <c r="AK108" s="322" t="n">
        <f aca="false">AJ108*AF108</f>
        <v>0</v>
      </c>
      <c r="AL108" s="316" t="str">
        <f aca="true">IF(AH108,OFFSET(BY108,0,HorizontalPriceOffset)+PriceSpreadAsian,"")</f>
        <v/>
      </c>
      <c r="AM108" s="316" t="str">
        <f aca="false">IF(AH108,Strike1/AL108-1,"")</f>
        <v/>
      </c>
      <c r="AN108" s="316" t="str">
        <f aca="false">IF(AH108,Strike2/AL108-1,"")</f>
        <v/>
      </c>
      <c r="AO108" s="323" t="str">
        <f aca="false">IF(AH108,IF(VolOverrideAsian,VolOverrideAsian,IF(ProductGroup=1,IF(Product&lt;3,DA109,DE109),W109)+VolSpreadAsian),"")</f>
        <v/>
      </c>
      <c r="AP108" s="323" t="str">
        <f aca="false">IF($AH108,$AO108+IF(SkewFlag=1,IF(AM108&gt;0,$AA108*MIN(AM108/10%,1)+($Z108-$AA108)*MAX(0,MIN(AM108/10%-1,1))+($Y108-$Z108)*MAX(0,AM108/10%-2),$AB108*MIN(-AM108/10%,1)+($AC108-$AB108)*MAX(0,MIN(-AM108/10%-1,1))+($AD108-$AC108)*MAX(0,-AM108/10%-2)),0),"")</f>
        <v/>
      </c>
      <c r="AQ108" s="323" t="str">
        <f aca="false">IF($AH108,$AO108+IF(SkewFlag=1,IF(AN108&gt;0,$AA108*MIN(AN108/10%,1)+($Z108-$AA108)*MAX(0,MIN(AN108/10%-1,1))+($Y108-$Z108)*MAX(0,AN108/10%-2),$AB108*MIN(-AN108/10%,1)+($AC108-$AB108)*MAX(0,MIN(-AN108/10%-1,1))+($AD108-$AC108)*MAX(0,-AN108/10%-2)),0),"")</f>
        <v/>
      </c>
      <c r="AR108" s="324" t="n">
        <f aca="false">IF(AH108,xASN(AL108,Strike1,AE108,AP108,0,N108,0,P108,Q108,IF(OptControl=4,0,1),0),0)</f>
        <v>0</v>
      </c>
      <c r="AS108" s="324" t="n">
        <f aca="false">IF(AH108,xASN(AL108,Strike1,AE108,AP108,0,N108,0,P108,Q108,IF(OptControl=4,0,1),1),0)</f>
        <v>0</v>
      </c>
      <c r="AT108" s="324" t="n">
        <f aca="false">IF(AH108,xASN(AL108,Strike1,AE108,AP108,0,N108,0,P108,Q108,IF(OptControl=4,0,1),2),0)</f>
        <v>0</v>
      </c>
      <c r="AU108" s="324" t="n">
        <f aca="false">IF(AH108,xASN(AL108,Strike1,AE108,AP108,0,N108,0,P108,Q108,IF(OptControl=4,0,1),3)/100,0)</f>
        <v>0</v>
      </c>
      <c r="AV108" s="324" t="n">
        <f aca="false">IF(AH108,xASN(AL108,Strike1,AE108,AP108,0,N108,0,P108-DaysForThetaCalculation/365.25,Q108-DaysForThetaCalculation/365.25,IF(OptControl=4,0,1),0)-xASN(AL108,Strike1,AE108,AP108,0,N108,0,P108,Q108,IF(OptControl=4,0,1),0),0)</f>
        <v>0</v>
      </c>
      <c r="AW108" s="324" t="n">
        <f aca="false">IF(AH108,xASN(AL108,Strike2,AE108,AQ108,0,N108,0,P108,Q108,IF(OptControl=3,1,0),0),0)</f>
        <v>0</v>
      </c>
      <c r="AX108" s="324" t="n">
        <f aca="false">IF(AH108,xASN(AL108,Strike2,AE108,AQ108,0,N108,0,P108,Q108,IF(OptControl=3,1,0),1),0)</f>
        <v>0</v>
      </c>
      <c r="AY108" s="324" t="n">
        <f aca="false">IF(AH108,xASN(AL108,Strike2,AE108,AQ108,0,N108,0,P108,Q108,IF(OptControl=3,1,0),2),0)</f>
        <v>0</v>
      </c>
      <c r="AZ108" s="324" t="n">
        <f aca="false">IF(AH108,xASN(AL108,Strike2,AE108,AQ108,0,N108,0,P108,Q108,IF(OptControl=3,1,0),3)/100,0)</f>
        <v>0</v>
      </c>
      <c r="BA108" s="324" t="n">
        <f aca="false">IF(AH108,xASN(AL108,Strike2,AE108,AQ108,0,N108,0,P108-DaysForThetaCalculation/365.25,Q108-DaysForThetaCalculation/365.25,IF(OptControl=3,1,0),0)-xASN(AL108,Strike2,AE108,AQ108,0,N108,0,P108,Q108,IF(OptControl=3,1,0),0),0)</f>
        <v>0</v>
      </c>
      <c r="BB108" s="325" t="str">
        <f aca="false">IF(AH108,IF(ProductGroup=1,IF(Product=1,BX108+PriceSpreadEuro,IF(Product=3,CK108+PriceSpreadEuro,"N/A")),"N/A"),"")</f>
        <v/>
      </c>
      <c r="BC108" s="316" t="str">
        <f aca="false">IF(AH108,Strike1/BB108-1,"")</f>
        <v/>
      </c>
      <c r="BD108" s="316" t="str">
        <f aca="false">IF(AH108,Strike2/BB108-1,"")</f>
        <v/>
      </c>
      <c r="BE108" s="326" t="str">
        <f aca="false">IF(AH108,IF(VolOverrideEuro,VolOverrideEuro,IF(ProductGroup=1,IF(Product&lt;3,DA108,DE108)+VolSpreadEuro,"N/A")),"")</f>
        <v/>
      </c>
      <c r="BF108" s="323" t="str">
        <f aca="false">IF($AH108,$BE108+IF(SkewFlag=1,IF(BC108&gt;0,$AA108*MIN(BC108/10%,1)+($Z108-$AA108)*MAX(0,MIN(BC108/10%-1,1))+($Y108-$Z108)*MAX(0,BC108/10%-2),$AB108*MIN(-BC108/10%,1)+($AC108-$AB108)*MAX(0,MIN(-BC108/10%-1,1))+($AD108-$AC108)*MAX(0,-BC108/10%-2)),0),"")</f>
        <v/>
      </c>
      <c r="BG108" s="323" t="str">
        <f aca="false">IF($AH108,$BE108+IF(SkewFlag=1,IF(BD108&gt;0,$AA108*MIN(BD108/10%,1)+($Z108-$AA108)*MAX(0,MIN(BD108/10%-1,1))+($Y108-$Z108)*MAX(0,BD108/10%-2),$AB108*MIN(-BD108/10%,1)+($AC108-$AB108)*MAX(0,MIN(-BD108/10%-1,1))+($AD108-$AC108)*MAX(0,-BD108/10%-2)),0),"")</f>
        <v/>
      </c>
      <c r="BH108" s="324" t="n">
        <f aca="false">IF(AH108,xEURO(BB108,Strike1,AE108,AE108,BF108,O108,IF(OptControl=4,0,1),0),0)</f>
        <v>0</v>
      </c>
      <c r="BI108" s="324" t="n">
        <f aca="false">IF(AH108,xEURO(BB108,Strike1,AE108,AE108,BF108,O108,IF(OptControl=4,0,1),1),0)</f>
        <v>0</v>
      </c>
      <c r="BJ108" s="324" t="n">
        <f aca="false">IF(AH108,xEURO(BB108,Strike1,AE108,AE108,BF108,O108,IF(OptControl=4,0,1),2),0)</f>
        <v>0</v>
      </c>
      <c r="BK108" s="324" t="n">
        <f aca="false">IF(AH108,xEURO(BB108,Strike1,AE108,AE108,BF108,O108,IF(OptControl=4,0,1),3)/100,0)</f>
        <v>0</v>
      </c>
      <c r="BL108" s="324" t="n">
        <f aca="false">IF(AH108,xEURO(BB108,Strike1,AE108,AE108,BF108,O108-DaysForThetaCalculation,IF(OptControl=4,0,1),0)-xEURO(BB108,Strike1,AE108,AE108,BF108,O108,IF(OptControl=4,0,1),0),0)</f>
        <v>0</v>
      </c>
      <c r="BM108" s="324" t="n">
        <f aca="false">IF(AH108,xEURO(BB108,Strike2,AE108,AE108,BG108,O108,IF(OptControl=3,1,0),0),0)</f>
        <v>0</v>
      </c>
      <c r="BN108" s="324" t="n">
        <f aca="false">IF(AH108,xEURO(BB108,Strike2,AE108,AE108,BG108,O108,IF(OptControl=3,1,0),1),0)</f>
        <v>0</v>
      </c>
      <c r="BO108" s="324" t="n">
        <f aca="false">IF(AH108,xEURO(BB108,Strike2,AE108,AE108,BG108,O108,IF(OptControl=3,1,0),2),0)</f>
        <v>0</v>
      </c>
      <c r="BP108" s="324" t="n">
        <f aca="false">IF(AH108,xEURO(BB108,Strike2,AE108,AE108,BG108,O108,IF(OptControl=3,1,0),3)/100,0)</f>
        <v>0</v>
      </c>
      <c r="BQ108" s="327" t="n">
        <f aca="false">IF(AH108,xEURO(BB108,Strike2,AE108,AE108,BG108,O108-DaysForThetaCalculation,IF(OptControl=3,1,0),0)-xEURO(BB108,Strike2,AE108,AE108,BG108,O108,IF(OptControl=3,1,0),0),0)</f>
        <v>0</v>
      </c>
      <c r="BR108" s="343"/>
      <c r="BS108" s="314" t="n">
        <v>25.229</v>
      </c>
      <c r="BT108" s="329" t="n">
        <f aca="false">BS108*100/42</f>
        <v>60.0690476190476</v>
      </c>
      <c r="BU108" s="329" t="n">
        <f aca="false">BS109-$U108</f>
        <v>-1.33949999999953</v>
      </c>
      <c r="BV108" s="224"/>
      <c r="BW108" s="329" t="n">
        <f aca="false">BW96+VLOOKUP(1900+$L108,ProductSpreadTable,2)</f>
        <v>12.2888181818182</v>
      </c>
      <c r="BX108" s="329" t="n">
        <f aca="false">($V107+BW107)*100/42</f>
        <v>90.5632505175982</v>
      </c>
      <c r="BY108" s="332" t="n">
        <f aca="false">BX109</f>
        <v>91.6579004328993</v>
      </c>
      <c r="BZ108" s="314" t="n">
        <v>22.558</v>
      </c>
      <c r="CA108" s="329" t="n">
        <f aca="false">BZ108*100/42</f>
        <v>53.7095238095238</v>
      </c>
      <c r="CB108" s="329" t="n">
        <f aca="false">BZ108-$U108</f>
        <v>-3.64949999999952</v>
      </c>
      <c r="CC108" s="329" t="n">
        <f aca="false">CC96+VLOOKUP(1900+$L108,ProductSpreadTable,3)</f>
        <v>9.97881818181819</v>
      </c>
      <c r="CD108" s="329" t="n">
        <f aca="false">($V108+CC108)*100/42</f>
        <v>86.1579004328993</v>
      </c>
      <c r="CE108" s="333" t="n">
        <f aca="false">CD108-BY108</f>
        <v>-5.50000000000001</v>
      </c>
      <c r="CF108" s="314" t="n">
        <v>23.323</v>
      </c>
      <c r="CG108" s="329" t="n">
        <f aca="false">CF108*100/42</f>
        <v>55.5309523809524</v>
      </c>
      <c r="CH108" s="329" t="n">
        <f aca="false">CF109-$U108</f>
        <v>-2.28449999999953</v>
      </c>
      <c r="CI108" s="224"/>
      <c r="CJ108" s="329" t="n">
        <f aca="false">CJ96+VLOOKUP(1900+$L108,ProductSpreadTable,4)</f>
        <v>11.1468181818182</v>
      </c>
      <c r="CK108" s="329" t="n">
        <f aca="false">($V107+CJ107)*100/42</f>
        <v>85.5442028985505</v>
      </c>
      <c r="CL108" s="329" t="n">
        <f aca="false">CK109</f>
        <v>88.9388528138517</v>
      </c>
      <c r="CM108" s="314" t="n">
        <v>22.684</v>
      </c>
      <c r="CN108" s="329" t="n">
        <f aca="false">CM108*100/42</f>
        <v>54.0095238095238</v>
      </c>
      <c r="CO108" s="329" t="n">
        <f aca="false">CM108-$U108</f>
        <v>-3.52349999999953</v>
      </c>
      <c r="CP108" s="329" t="n">
        <f aca="false">CP96+VLOOKUP(1900+$L108,ProductSpreadTable,5)</f>
        <v>9.94981818181818</v>
      </c>
      <c r="CQ108" s="329" t="n">
        <f aca="false">($V108+CP108)*100/42</f>
        <v>86.0888528138517</v>
      </c>
      <c r="CR108" s="333" t="n">
        <f aca="false">CQ108-CL108</f>
        <v>-2.84999999999999</v>
      </c>
      <c r="CS108" s="314" t="n">
        <v>24.049</v>
      </c>
      <c r="CT108" s="329" t="n">
        <f aca="false">CS108*100/42</f>
        <v>57.2595238095238</v>
      </c>
      <c r="CU108" s="329" t="n">
        <f aca="false">CT108-CG109</f>
        <v>0.299999999999997</v>
      </c>
      <c r="CV108" s="329" t="n">
        <f aca="false">CV96+VLOOKUP(1900+$L108,ProductSpreadTable,6)</f>
        <v>1.80000000000001</v>
      </c>
      <c r="CW108" s="333" t="n">
        <f aca="false">CL108+CV108</f>
        <v>90.7388528138517</v>
      </c>
      <c r="CX108" s="318" t="n">
        <v>0.177</v>
      </c>
      <c r="CY108" s="326" t="n">
        <f aca="false">CX108-$W108</f>
        <v>0.000500000000000972</v>
      </c>
      <c r="CZ108" s="326" t="n">
        <f aca="false">VLOOKUP(1900+$L108,ProductSpreadTable,7)</f>
        <v>-0.03</v>
      </c>
      <c r="DA108" s="365" t="n">
        <f aca="false">$W108+CZ108</f>
        <v>0.146499999999999</v>
      </c>
      <c r="DB108" s="318" t="n">
        <v>0.176</v>
      </c>
      <c r="DC108" s="326" t="n">
        <f aca="false">DB108-$W108</f>
        <v>-0.000499999999999001</v>
      </c>
      <c r="DD108" s="326" t="n">
        <f aca="false">VLOOKUP(1900+$L108,ProductSpreadTable,8)</f>
        <v>0.03</v>
      </c>
      <c r="DE108" s="365" t="n">
        <f aca="false">$W108+DD108</f>
        <v>0.206499999999999</v>
      </c>
      <c r="DG108" s="336"/>
      <c r="DH108" s="314"/>
      <c r="DI108" s="325" t="n">
        <f aca="false">DH108-$U108</f>
        <v>-26.2074999999995</v>
      </c>
      <c r="DJ108" s="325" t="n">
        <f aca="false">VLOOKUP(1900+$L108,ResidSpreadTable,2)</f>
        <v>-2</v>
      </c>
      <c r="DK108" s="337" t="n">
        <f aca="false">$V108+DJ108</f>
        <v>24.2074999999995</v>
      </c>
      <c r="DL108" s="314"/>
      <c r="DM108" s="325" t="n">
        <f aca="false">DL108-$U108</f>
        <v>-26.2074999999995</v>
      </c>
      <c r="DN108" s="325" t="n">
        <f aca="false">VLOOKUP(1900+$L108,ResidSpreadTable,3)</f>
        <v>-3</v>
      </c>
      <c r="DO108" s="337" t="n">
        <f aca="false">$V108+DN108</f>
        <v>23.2074999999995</v>
      </c>
      <c r="DP108" s="314"/>
      <c r="DQ108" s="325" t="n">
        <f aca="false">DP108-$U108</f>
        <v>-26.2074999999995</v>
      </c>
      <c r="DR108" s="325" t="n">
        <f aca="false">VLOOKUP(1900+$L108,ResidSpreadTable,4)</f>
        <v>-6</v>
      </c>
      <c r="DS108" s="337" t="n">
        <f aca="false">$V108+DR108</f>
        <v>20.2074999999995</v>
      </c>
      <c r="DT108" s="314"/>
      <c r="DU108" s="325" t="n">
        <f aca="false">DT108-$U108</f>
        <v>-26.2074999999995</v>
      </c>
      <c r="DV108" s="325" t="n">
        <f aca="false">VLOOKUP(1900+$L108,ResidSpreadTable,5)</f>
        <v>-5</v>
      </c>
      <c r="DW108" s="337" t="n">
        <f aca="false">$V108+DV108</f>
        <v>21.2074999999995</v>
      </c>
    </row>
    <row r="109" customFormat="false" ht="12.75" hidden="false" customHeight="false" outlineLevel="0" collapsed="false">
      <c r="B109" s="371" t="n">
        <v>38869</v>
      </c>
      <c r="C109" s="391" t="n">
        <v>38859</v>
      </c>
      <c r="I109" s="338" t="n">
        <f aca="false">EOMONTH(I108,0)+1</f>
        <v>49065</v>
      </c>
      <c r="J109" s="389" t="n">
        <f aca="false">VLOOKUP(I109,$B$12:$C$332,2)</f>
        <v>45644</v>
      </c>
      <c r="K109" s="339" t="n">
        <f aca="false">NETWORKDAYS(I109,J110)/N109</f>
        <v>-106.260869565217</v>
      </c>
      <c r="L109" s="309" t="n">
        <f aca="false">YEAR(I109)-1900</f>
        <v>134</v>
      </c>
      <c r="M109" s="310" t="n">
        <f aca="false">MONTH(I109)</f>
        <v>5</v>
      </c>
      <c r="N109" s="340" t="n">
        <f aca="false">NETWORKDAYS(I109,I110-1)</f>
        <v>23</v>
      </c>
      <c r="O109" s="341" t="n">
        <f aca="false">I109-DateToday-IF(EuroExpDateToggle=1,3+IF(WEEKDAY(I109-1)=7,1,IF(WEEKDAY(I109-1)&lt;5,2,0)),1+IF(WEEKDAY(I109-1)=7,1,IF(WEEKDAY(I109-1)&lt;3,2,0)))</f>
        <v>3134</v>
      </c>
      <c r="P109" s="342" t="n">
        <f aca="false">(I109-DateToday+1)/365.25</f>
        <v>8.5968514715948</v>
      </c>
      <c r="Q109" s="342" t="n">
        <f aca="false">(I110-DateToday)/365.25</f>
        <v>8.67898699520876</v>
      </c>
      <c r="R109" s="314" t="n">
        <v>20.1</v>
      </c>
      <c r="S109" s="347" t="n">
        <v>0</v>
      </c>
      <c r="T109" s="316" t="n">
        <f aca="false">R109+S109/100</f>
        <v>20.1</v>
      </c>
      <c r="U109" s="325" t="n">
        <f aca="false">R110*K109+R111*(1-K109)</f>
        <v>25.5130434782609</v>
      </c>
      <c r="V109" s="337" t="n">
        <f aca="false">T110*K109+T111*(1-K109)</f>
        <v>25.5130434782609</v>
      </c>
      <c r="W109" s="318" t="n">
        <v>0.176099999999999</v>
      </c>
      <c r="X109" s="319" t="str">
        <f aca="false">IF($I109-DateToday+1&gt;=$A$10,"",IF($I109-DateToday+1&lt;$A$5,1,MATCH($I109-DateToday+1,$A$5:$A$10)))</f>
        <v/>
      </c>
      <c r="Y109" s="348" t="n">
        <f aca="false">IF($X109="",Y108^2/Y107,INDEX(B$5:B$10,$X109)^((INDEX($A$5:$A$10,$X109+1)-($I109-DateToday+1))/(INDEX($A$5:$A$10,$X109+1)-INDEX($A$5:$A$10,$X109)))/INDEX(B$5:B$10,$X109+1)^((INDEX($A$5:$A$10,$X109)-($I109-DateToday+1))/(INDEX($A$5:$A$10,$X109+1)-INDEX($A$5:$A$10,$X109))))</f>
        <v>0.00165003150416601</v>
      </c>
      <c r="Z109" s="348" t="n">
        <f aca="false">IF($X109="",Z108^2/Z107,INDEX(C$5:C$10,$X109)^((INDEX($A$5:$A$10,$X109+1)-($I109-DateToday+1))/(INDEX($A$5:$A$10,$X109+1)-INDEX($A$5:$A$10,$X109)))/INDEX(C$5:C$10,$X109+1)^((INDEX($A$5:$A$10,$X109)-($I109-DateToday+1))/(INDEX($A$5:$A$10,$X109+1)-INDEX($A$5:$A$10,$X109))))</f>
        <v>0.000584402602639341</v>
      </c>
      <c r="AA109" s="348" t="n">
        <f aca="false">IF($X109="",AA108^2/AA107,INDEX(D$5:D$10,$X109)^((INDEX($A$5:$A$10,$X109+1)-($I109-DateToday+1))/(INDEX($A$5:$A$10,$X109+1)-INDEX($A$5:$A$10,$X109)))/INDEX(D$5:D$10,$X109+1)^((INDEX($A$5:$A$10,$X109)-($I109-DateToday+1))/(INDEX($A$5:$A$10,$X109+1)-INDEX($A$5:$A$10,$X109))))</f>
        <v>0.000211159604038107</v>
      </c>
      <c r="AB109" s="348" t="n">
        <f aca="false">IF($X109="",AB108^2/AB107,INDEX(E$5:E$10,$X109)^((INDEX($A$5:$A$10,$X109+1)-($I109-DateToday+1))/(INDEX($A$5:$A$10,$X109+1)-INDEX($A$5:$A$10,$X109)))/INDEX(E$5:E$10,$X109+1)^((INDEX($A$5:$A$10,$X109)-($I109-DateToday+1))/(INDEX($A$5:$A$10,$X109+1)-INDEX($A$5:$A$10,$X109))))</f>
        <v>0.000475700355977057</v>
      </c>
      <c r="AC109" s="348" t="n">
        <f aca="false">IF($X109="",AC108^2/AC107,INDEX(F$5:F$10,$X109)^((INDEX($A$5:$A$10,$X109+1)-($I109-DateToday+1))/(INDEX($A$5:$A$10,$X109+1)-INDEX($A$5:$A$10,$X109)))/INDEX(F$5:F$10,$X109+1)^((INDEX($A$5:$A$10,$X109)-($I109-DateToday+1))/(INDEX($A$5:$A$10,$X109+1)-INDEX($A$5:$A$10,$X109))))</f>
        <v>0.0013165421832259</v>
      </c>
      <c r="AD109" s="348" t="n">
        <f aca="false">IF($X109="",AD108^2/AD107,INDEX(G$5:G$10,$X109)^((INDEX($A$5:$A$10,$X109+1)-($I109-DateToday+1))/(INDEX($A$5:$A$10,$X109+1)-INDEX($A$5:$A$10,$X109)))/INDEX(G$5:G$10,$X109+1)^((INDEX($A$5:$A$10,$X109)-($I109-DateToday+1))/(INDEX($A$5:$A$10,$X109+1)-INDEX($A$5:$A$10,$X109))))</f>
        <v>0.00371719097258497</v>
      </c>
      <c r="AE109" s="321" t="n">
        <v>0.073653609255838</v>
      </c>
      <c r="AF109" s="316" t="n">
        <f aca="false">(1+AE109/2)^(-2*(I110-DateToday)/365.25)</f>
        <v>0.533791809936152</v>
      </c>
      <c r="AG109" s="316" t="n">
        <f aca="false">AG108*(1+IF(AND(M109=1,L109&gt;YearStart),Escalation,0))</f>
        <v>1</v>
      </c>
      <c r="AH109" s="322" t="n">
        <f aca="false">IF(OR(DateStart&gt;=I110,DateEnd&lt;I109),0,Volume*AG109)</f>
        <v>0</v>
      </c>
      <c r="AI109" s="322" t="n">
        <f aca="false">AH109*AF109</f>
        <v>0</v>
      </c>
      <c r="AJ109" s="322" t="n">
        <f aca="false">IF(OR(DateStart2&gt;=I110,DateEnd2&lt;I109),0,VolumeSwaption*AG109)</f>
        <v>0</v>
      </c>
      <c r="AK109" s="322" t="n">
        <f aca="false">AJ109*AF109</f>
        <v>0</v>
      </c>
      <c r="AL109" s="316" t="str">
        <f aca="true">IF(AH109,OFFSET(BY109,0,HorizontalPriceOffset)+PriceSpreadAsian,"")</f>
        <v/>
      </c>
      <c r="AM109" s="316" t="str">
        <f aca="false">IF(AH109,Strike1/AL109-1,"")</f>
        <v/>
      </c>
      <c r="AN109" s="316" t="str">
        <f aca="false">IF(AH109,Strike2/AL109-1,"")</f>
        <v/>
      </c>
      <c r="AO109" s="323" t="str">
        <f aca="false">IF(AH109,IF(VolOverrideAsian,VolOverrideAsian,IF(ProductGroup=1,IF(Product&lt;3,DA110,DE110),W110)+VolSpreadAsian),"")</f>
        <v/>
      </c>
      <c r="AP109" s="323" t="str">
        <f aca="false">IF($AH109,$AO109+IF(SkewFlag=1,IF(AM109&gt;0,$AA109*MIN(AM109/10%,1)+($Z109-$AA109)*MAX(0,MIN(AM109/10%-1,1))+($Y109-$Z109)*MAX(0,AM109/10%-2),$AB109*MIN(-AM109/10%,1)+($AC109-$AB109)*MAX(0,MIN(-AM109/10%-1,1))+($AD109-$AC109)*MAX(0,-AM109/10%-2)),0),"")</f>
        <v/>
      </c>
      <c r="AQ109" s="323" t="str">
        <f aca="false">IF($AH109,$AO109+IF(SkewFlag=1,IF(AN109&gt;0,$AA109*MIN(AN109/10%,1)+($Z109-$AA109)*MAX(0,MIN(AN109/10%-1,1))+($Y109-$Z109)*MAX(0,AN109/10%-2),$AB109*MIN(-AN109/10%,1)+($AC109-$AB109)*MAX(0,MIN(-AN109/10%-1,1))+($AD109-$AC109)*MAX(0,-AN109/10%-2)),0),"")</f>
        <v/>
      </c>
      <c r="AR109" s="324" t="n">
        <f aca="false">IF(AH109,xASN(AL109,Strike1,AE109,AP109,0,N109,0,P109,Q109,IF(OptControl=4,0,1),0),0)</f>
        <v>0</v>
      </c>
      <c r="AS109" s="324" t="n">
        <f aca="false">IF(AH109,xASN(AL109,Strike1,AE109,AP109,0,N109,0,P109,Q109,IF(OptControl=4,0,1),1),0)</f>
        <v>0</v>
      </c>
      <c r="AT109" s="324" t="n">
        <f aca="false">IF(AH109,xASN(AL109,Strike1,AE109,AP109,0,N109,0,P109,Q109,IF(OptControl=4,0,1),2),0)</f>
        <v>0</v>
      </c>
      <c r="AU109" s="324" t="n">
        <f aca="false">IF(AH109,xASN(AL109,Strike1,AE109,AP109,0,N109,0,P109,Q109,IF(OptControl=4,0,1),3)/100,0)</f>
        <v>0</v>
      </c>
      <c r="AV109" s="324" t="n">
        <f aca="false">IF(AH109,xASN(AL109,Strike1,AE109,AP109,0,N109,0,P109-DaysForThetaCalculation/365.25,Q109-DaysForThetaCalculation/365.25,IF(OptControl=4,0,1),0)-xASN(AL109,Strike1,AE109,AP109,0,N109,0,P109,Q109,IF(OptControl=4,0,1),0),0)</f>
        <v>0</v>
      </c>
      <c r="AW109" s="324" t="n">
        <f aca="false">IF(AH109,xASN(AL109,Strike2,AE109,AQ109,0,N109,0,P109,Q109,IF(OptControl=3,1,0),0),0)</f>
        <v>0</v>
      </c>
      <c r="AX109" s="324" t="n">
        <f aca="false">IF(AH109,xASN(AL109,Strike2,AE109,AQ109,0,N109,0,P109,Q109,IF(OptControl=3,1,0),1),0)</f>
        <v>0</v>
      </c>
      <c r="AY109" s="324" t="n">
        <f aca="false">IF(AH109,xASN(AL109,Strike2,AE109,AQ109,0,N109,0,P109,Q109,IF(OptControl=3,1,0),2),0)</f>
        <v>0</v>
      </c>
      <c r="AZ109" s="324" t="n">
        <f aca="false">IF(AH109,xASN(AL109,Strike2,AE109,AQ109,0,N109,0,P109,Q109,IF(OptControl=3,1,0),3)/100,0)</f>
        <v>0</v>
      </c>
      <c r="BA109" s="324" t="n">
        <f aca="false">IF(AH109,xASN(AL109,Strike2,AE109,AQ109,0,N109,0,P109-DaysForThetaCalculation/365.25,Q109-DaysForThetaCalculation/365.25,IF(OptControl=3,1,0),0)-xASN(AL109,Strike2,AE109,AQ109,0,N109,0,P109,Q109,IF(OptControl=3,1,0),0),0)</f>
        <v>0</v>
      </c>
      <c r="BB109" s="325" t="str">
        <f aca="false">IF(AH109,IF(ProductGroup=1,IF(Product=1,BX109+PriceSpreadEuro,IF(Product=3,CK109+PriceSpreadEuro,"N/A")),"N/A"),"")</f>
        <v/>
      </c>
      <c r="BC109" s="316" t="str">
        <f aca="false">IF(AH109,Strike1/BB109-1,"")</f>
        <v/>
      </c>
      <c r="BD109" s="316" t="str">
        <f aca="false">IF(AH109,Strike2/BB109-1,"")</f>
        <v/>
      </c>
      <c r="BE109" s="326" t="str">
        <f aca="false">IF(AH109,IF(VolOverrideEuro,VolOverrideEuro,IF(ProductGroup=1,IF(Product&lt;3,DA109,DE109)+VolSpreadEuro,"N/A")),"")</f>
        <v/>
      </c>
      <c r="BF109" s="323" t="str">
        <f aca="false">IF($AH109,$BE109+IF(SkewFlag=1,IF(BC109&gt;0,$AA109*MIN(BC109/10%,1)+($Z109-$AA109)*MAX(0,MIN(BC109/10%-1,1))+($Y109-$Z109)*MAX(0,BC109/10%-2),$AB109*MIN(-BC109/10%,1)+($AC109-$AB109)*MAX(0,MIN(-BC109/10%-1,1))+($AD109-$AC109)*MAX(0,-BC109/10%-2)),0),"")</f>
        <v/>
      </c>
      <c r="BG109" s="323" t="str">
        <f aca="false">IF($AH109,$BE109+IF(SkewFlag=1,IF(BD109&gt;0,$AA109*MIN(BD109/10%,1)+($Z109-$AA109)*MAX(0,MIN(BD109/10%-1,1))+($Y109-$Z109)*MAX(0,BD109/10%-2),$AB109*MIN(-BD109/10%,1)+($AC109-$AB109)*MAX(0,MIN(-BD109/10%-1,1))+($AD109-$AC109)*MAX(0,-BD109/10%-2)),0),"")</f>
        <v/>
      </c>
      <c r="BH109" s="324" t="n">
        <f aca="false">IF(AH109,xEURO(BB109,Strike1,AE109,AE109,BF109,O109,IF(OptControl=4,0,1),0),0)</f>
        <v>0</v>
      </c>
      <c r="BI109" s="324" t="n">
        <f aca="false">IF(AH109,xEURO(BB109,Strike1,AE109,AE109,BF109,O109,IF(OptControl=4,0,1),1),0)</f>
        <v>0</v>
      </c>
      <c r="BJ109" s="324" t="n">
        <f aca="false">IF(AH109,xEURO(BB109,Strike1,AE109,AE109,BF109,O109,IF(OptControl=4,0,1),2),0)</f>
        <v>0</v>
      </c>
      <c r="BK109" s="324" t="n">
        <f aca="false">IF(AH109,xEURO(BB109,Strike1,AE109,AE109,BF109,O109,IF(OptControl=4,0,1),3)/100,0)</f>
        <v>0</v>
      </c>
      <c r="BL109" s="324" t="n">
        <f aca="false">IF(AH109,xEURO(BB109,Strike1,AE109,AE109,BF109,O109-DaysForThetaCalculation,IF(OptControl=4,0,1),0)-xEURO(BB109,Strike1,AE109,AE109,BF109,O109,IF(OptControl=4,0,1),0),0)</f>
        <v>0</v>
      </c>
      <c r="BM109" s="324" t="n">
        <f aca="false">IF(AH109,xEURO(BB109,Strike2,AE109,AE109,BG109,O109,IF(OptControl=3,1,0),0),0)</f>
        <v>0</v>
      </c>
      <c r="BN109" s="324" t="n">
        <f aca="false">IF(AH109,xEURO(BB109,Strike2,AE109,AE109,BG109,O109,IF(OptControl=3,1,0),1),0)</f>
        <v>0</v>
      </c>
      <c r="BO109" s="324" t="n">
        <f aca="false">IF(AH109,xEURO(BB109,Strike2,AE109,AE109,BG109,O109,IF(OptControl=3,1,0),2),0)</f>
        <v>0</v>
      </c>
      <c r="BP109" s="324" t="n">
        <f aca="false">IF(AH109,xEURO(BB109,Strike2,AE109,AE109,BG109,O109,IF(OptControl=3,1,0),3)/100,0)</f>
        <v>0</v>
      </c>
      <c r="BQ109" s="327" t="n">
        <f aca="false">IF(AH109,xEURO(BB109,Strike2,AE109,AE109,BG109,O109-DaysForThetaCalculation,IF(OptControl=3,1,0),0)-xEURO(BB109,Strike2,AE109,AE109,BG109,O109,IF(OptControl=3,1,0),0),0)</f>
        <v>0</v>
      </c>
      <c r="BR109" s="343"/>
      <c r="BS109" s="314" t="n">
        <v>24.868</v>
      </c>
      <c r="BT109" s="329" t="n">
        <f aca="false">BS109*100/42</f>
        <v>59.2095238095238</v>
      </c>
      <c r="BU109" s="329" t="n">
        <f aca="false">BS110-$U109</f>
        <v>-0.754043478260897</v>
      </c>
      <c r="BV109" s="224"/>
      <c r="BW109" s="329" t="n">
        <f aca="false">BW97+VLOOKUP(1900+$L109,ProductSpreadTable,2)</f>
        <v>12.2970952380953</v>
      </c>
      <c r="BX109" s="329" t="n">
        <f aca="false">($V108+BW108)*100/42</f>
        <v>91.6579004328993</v>
      </c>
      <c r="BY109" s="332" t="n">
        <f aca="false">BX110</f>
        <v>90.0241398008481</v>
      </c>
      <c r="BZ109" s="314" t="n">
        <v>22.449</v>
      </c>
      <c r="CA109" s="329" t="n">
        <f aca="false">BZ109*100/42</f>
        <v>53.45</v>
      </c>
      <c r="CB109" s="329" t="n">
        <f aca="false">BZ109-$U109</f>
        <v>-3.0640434782609</v>
      </c>
      <c r="CC109" s="329" t="n">
        <f aca="false">CC97+VLOOKUP(1900+$L109,ProductSpreadTable,3)</f>
        <v>9.98709523809531</v>
      </c>
      <c r="CD109" s="329" t="n">
        <f aca="false">($V109+CC109)*100/42</f>
        <v>84.5241398008481</v>
      </c>
      <c r="CE109" s="333" t="n">
        <f aca="false">CD109-BY109</f>
        <v>-5.50000000000001</v>
      </c>
      <c r="CF109" s="314" t="n">
        <v>23.923</v>
      </c>
      <c r="CG109" s="329" t="n">
        <f aca="false">CF109*100/42</f>
        <v>56.9595238095238</v>
      </c>
      <c r="CH109" s="329" t="n">
        <f aca="false">CF110-$U109</f>
        <v>-0.981043478260894</v>
      </c>
      <c r="CI109" s="224"/>
      <c r="CJ109" s="329" t="n">
        <f aca="false">CJ97+VLOOKUP(1900+$L109,ProductSpreadTable,4)</f>
        <v>11.8690952380953</v>
      </c>
      <c r="CK109" s="329" t="n">
        <f aca="false">($V108+CJ108)*100/42</f>
        <v>88.9388528138517</v>
      </c>
      <c r="CL109" s="329" t="n">
        <f aca="false">CK110</f>
        <v>89.0050921818005</v>
      </c>
      <c r="CM109" s="314" t="n">
        <v>23.293</v>
      </c>
      <c r="CN109" s="329" t="n">
        <f aca="false">CM109*100/42</f>
        <v>55.4595238095238</v>
      </c>
      <c r="CO109" s="329" t="n">
        <f aca="false">CM109-$U109</f>
        <v>-2.22004347826089</v>
      </c>
      <c r="CP109" s="329" t="n">
        <f aca="false">CP97+VLOOKUP(1900+$L109,ProductSpreadTable,5)</f>
        <v>10.6720952380953</v>
      </c>
      <c r="CQ109" s="329" t="n">
        <f aca="false">($V109+CP109)*100/42</f>
        <v>86.1550921818005</v>
      </c>
      <c r="CR109" s="333" t="n">
        <f aca="false">CQ109-CL109</f>
        <v>-2.84999999999998</v>
      </c>
      <c r="CS109" s="314" t="n">
        <v>24.658</v>
      </c>
      <c r="CT109" s="329" t="n">
        <f aca="false">CS109*100/42</f>
        <v>58.7095238095238</v>
      </c>
      <c r="CU109" s="329" t="n">
        <f aca="false">CT109-CG110</f>
        <v>0.299999999999997</v>
      </c>
      <c r="CV109" s="329" t="n">
        <f aca="false">CV97+VLOOKUP(1900+$L109,ProductSpreadTable,6)</f>
        <v>1.80000000000001</v>
      </c>
      <c r="CW109" s="333" t="n">
        <f aca="false">CL109+CV109</f>
        <v>90.8050921818005</v>
      </c>
      <c r="CX109" s="318" t="n">
        <v>0.176</v>
      </c>
      <c r="CY109" s="326" t="n">
        <f aca="false">CX109-$W109</f>
        <v>-9.99999999990175E-005</v>
      </c>
      <c r="CZ109" s="326" t="n">
        <f aca="false">VLOOKUP(1900+$L109,ProductSpreadTable,7)</f>
        <v>-0.03</v>
      </c>
      <c r="DA109" s="365" t="n">
        <f aca="false">$W109+CZ109</f>
        <v>0.146099999999999</v>
      </c>
      <c r="DB109" s="318" t="n">
        <v>0.176</v>
      </c>
      <c r="DC109" s="326" t="n">
        <f aca="false">DB109-$W109</f>
        <v>-9.99999999990175E-005</v>
      </c>
      <c r="DD109" s="326" t="n">
        <f aca="false">VLOOKUP(1900+$L109,ProductSpreadTable,8)</f>
        <v>0.03</v>
      </c>
      <c r="DE109" s="365" t="n">
        <f aca="false">$W109+DD109</f>
        <v>0.206099999999999</v>
      </c>
      <c r="DG109" s="336"/>
      <c r="DH109" s="314"/>
      <c r="DI109" s="325" t="n">
        <f aca="false">DH109-$U109</f>
        <v>-25.5130434782609</v>
      </c>
      <c r="DJ109" s="325" t="n">
        <f aca="false">VLOOKUP(1900+$L109,ResidSpreadTable,2)</f>
        <v>-2</v>
      </c>
      <c r="DK109" s="337" t="n">
        <f aca="false">$V109+DJ109</f>
        <v>23.5130434782609</v>
      </c>
      <c r="DL109" s="314"/>
      <c r="DM109" s="325" t="n">
        <f aca="false">DL109-$U109</f>
        <v>-25.5130434782609</v>
      </c>
      <c r="DN109" s="325" t="n">
        <f aca="false">VLOOKUP(1900+$L109,ResidSpreadTable,3)</f>
        <v>-3</v>
      </c>
      <c r="DO109" s="337" t="n">
        <f aca="false">$V109+DN109</f>
        <v>22.5130434782609</v>
      </c>
      <c r="DP109" s="314"/>
      <c r="DQ109" s="325" t="n">
        <f aca="false">DP109-$U109</f>
        <v>-25.5130434782609</v>
      </c>
      <c r="DR109" s="325" t="n">
        <f aca="false">VLOOKUP(1900+$L109,ResidSpreadTable,4)</f>
        <v>-6</v>
      </c>
      <c r="DS109" s="337" t="n">
        <f aca="false">$V109+DR109</f>
        <v>19.5130434782609</v>
      </c>
      <c r="DT109" s="314"/>
      <c r="DU109" s="325" t="n">
        <f aca="false">DT109-$U109</f>
        <v>-25.5130434782609</v>
      </c>
      <c r="DV109" s="325" t="n">
        <f aca="false">VLOOKUP(1900+$L109,ResidSpreadTable,5)</f>
        <v>-5</v>
      </c>
      <c r="DW109" s="337" t="n">
        <f aca="false">$V109+DV109</f>
        <v>20.5130434782609</v>
      </c>
    </row>
    <row r="110" customFormat="false" ht="12.75" hidden="false" customHeight="false" outlineLevel="0" collapsed="false">
      <c r="B110" s="371" t="n">
        <v>38899</v>
      </c>
      <c r="C110" s="391" t="n">
        <v>38888</v>
      </c>
      <c r="I110" s="338" t="n">
        <f aca="false">EOMONTH(I109,0)+1</f>
        <v>49096</v>
      </c>
      <c r="J110" s="389" t="n">
        <f aca="false">VLOOKUP(I110,$B$12:$C$332,2)</f>
        <v>45644</v>
      </c>
      <c r="K110" s="339" t="n">
        <f aca="false">NETWORKDAYS(I110,J111)/N110</f>
        <v>-112.136363636364</v>
      </c>
      <c r="L110" s="309" t="n">
        <f aca="false">YEAR(I110)-1900</f>
        <v>134</v>
      </c>
      <c r="M110" s="310" t="n">
        <f aca="false">MONTH(I110)</f>
        <v>6</v>
      </c>
      <c r="N110" s="340" t="n">
        <f aca="false">NETWORKDAYS(I110,I111-1)</f>
        <v>22</v>
      </c>
      <c r="O110" s="341" t="n">
        <f aca="false">I110-DateToday-IF(EuroExpDateToggle=1,3+IF(WEEKDAY(I110-1)=7,1,IF(WEEKDAY(I110-1)&lt;5,2,0)),1+IF(WEEKDAY(I110-1)=7,1,IF(WEEKDAY(I110-1)&lt;3,2,0)))</f>
        <v>3165</v>
      </c>
      <c r="P110" s="342" t="n">
        <f aca="false">(I110-DateToday+1)/365.25</f>
        <v>8.68172484599589</v>
      </c>
      <c r="Q110" s="342" t="n">
        <f aca="false">(I111-DateToday)/365.25</f>
        <v>8.76112251882272</v>
      </c>
      <c r="R110" s="314" t="n">
        <v>20.15</v>
      </c>
      <c r="S110" s="347" t="n">
        <v>0</v>
      </c>
      <c r="T110" s="316" t="n">
        <f aca="false">R110+S110/100</f>
        <v>20.15</v>
      </c>
      <c r="U110" s="325" t="n">
        <f aca="false">R111*K110+R112*(1-K110)</f>
        <v>25.8568181818182</v>
      </c>
      <c r="V110" s="337" t="n">
        <f aca="false">T111*K110+T112*(1-K110)</f>
        <v>25.8568181818182</v>
      </c>
      <c r="W110" s="318" t="n">
        <v>0.175699999999999</v>
      </c>
      <c r="X110" s="319" t="str">
        <f aca="false">IF($I110-DateToday+1&gt;=$A$10,"",IF($I110-DateToday+1&lt;$A$5,1,MATCH($I110-DateToday+1,$A$5:$A$10)))</f>
        <v/>
      </c>
      <c r="Y110" s="348" t="n">
        <f aca="false">IF($X110="",Y109^2/Y108,INDEX(B$5:B$10,$X110)^((INDEX($A$5:$A$10,$X110+1)-($I110-DateToday+1))/(INDEX($A$5:$A$10,$X110+1)-INDEX($A$5:$A$10,$X110)))/INDEX(B$5:B$10,$X110+1)^((INDEX($A$5:$A$10,$X110)-($I110-DateToday+1))/(INDEX($A$5:$A$10,$X110+1)-INDEX($A$5:$A$10,$X110))))</f>
        <v>0.00161470683923974</v>
      </c>
      <c r="Z110" s="348" t="n">
        <f aca="false">IF($X110="",Z109^2/Z108,INDEX(C$5:C$10,$X110)^((INDEX($A$5:$A$10,$X110+1)-($I110-DateToday+1))/(INDEX($A$5:$A$10,$X110+1)-INDEX($A$5:$A$10,$X110)))/INDEX(C$5:C$10,$X110+1)^((INDEX($A$5:$A$10,$X110)-($I110-DateToday+1))/(INDEX($A$5:$A$10,$X110+1)-INDEX($A$5:$A$10,$X110))))</f>
        <v>0.000568829495319945</v>
      </c>
      <c r="AA110" s="348" t="n">
        <f aca="false">IF($X110="",AA109^2/AA108,INDEX(D$5:D$10,$X110)^((INDEX($A$5:$A$10,$X110+1)-($I110-DateToday+1))/(INDEX($A$5:$A$10,$X110+1)-INDEX($A$5:$A$10,$X110)))/INDEX(D$5:D$10,$X110+1)^((INDEX($A$5:$A$10,$X110)-($I110-DateToday+1))/(INDEX($A$5:$A$10,$X110+1)-INDEX($A$5:$A$10,$X110))))</f>
        <v>0.000204981486919008</v>
      </c>
      <c r="AB110" s="348" t="n">
        <f aca="false">IF($X110="",AB109^2/AB108,INDEX(E$5:E$10,$X110)^((INDEX($A$5:$A$10,$X110+1)-($I110-DateToday+1))/(INDEX($A$5:$A$10,$X110+1)-INDEX($A$5:$A$10,$X110)))/INDEX(E$5:E$10,$X110+1)^((INDEX($A$5:$A$10,$X110)-($I110-DateToday+1))/(INDEX($A$5:$A$10,$X110+1)-INDEX($A$5:$A$10,$X110))))</f>
        <v>0.000461782293731151</v>
      </c>
      <c r="AC110" s="348" t="n">
        <f aca="false">IF($X110="",AC109^2/AC108,INDEX(F$5:F$10,$X110)^((INDEX($A$5:$A$10,$X110+1)-($I110-DateToday+1))/(INDEX($A$5:$A$10,$X110+1)-INDEX($A$5:$A$10,$X110)))/INDEX(F$5:F$10,$X110+1)^((INDEX($A$5:$A$10,$X110)-($I110-DateToday+1))/(INDEX($A$5:$A$10,$X110+1)-INDEX($A$5:$A$10,$X110))))</f>
        <v>0.00128145908705677</v>
      </c>
      <c r="AD110" s="348" t="n">
        <f aca="false">IF($X110="",AD109^2/AD108,INDEX(G$5:G$10,$X110)^((INDEX($A$5:$A$10,$X110+1)-($I110-DateToday+1))/(INDEX($A$5:$A$10,$X110+1)-INDEX($A$5:$A$10,$X110)))/INDEX(G$5:G$10,$X110+1)^((INDEX($A$5:$A$10,$X110)-($I110-DateToday+1))/(INDEX($A$5:$A$10,$X110+1)-INDEX($A$5:$A$10,$X110))))</f>
        <v>0.00363761156743906</v>
      </c>
      <c r="AE110" s="321" t="n">
        <v>0.073660954485053</v>
      </c>
      <c r="AF110" s="316" t="n">
        <f aca="false">(1+AE110/2)^(-2*(I111-DateToday)/365.25)</f>
        <v>0.530597102754281</v>
      </c>
      <c r="AG110" s="316" t="n">
        <f aca="false">AG109*(1+IF(AND(M110=1,L110&gt;YearStart),Escalation,0))</f>
        <v>1</v>
      </c>
      <c r="AH110" s="322" t="n">
        <f aca="false">IF(OR(DateStart&gt;=I111,DateEnd&lt;I110),0,Volume*AG110)</f>
        <v>0</v>
      </c>
      <c r="AI110" s="322" t="n">
        <f aca="false">AH110*AF110</f>
        <v>0</v>
      </c>
      <c r="AJ110" s="322" t="n">
        <f aca="false">IF(OR(DateStart2&gt;=I111,DateEnd2&lt;I110),0,VolumeSwaption*AG110)</f>
        <v>0</v>
      </c>
      <c r="AK110" s="322" t="n">
        <f aca="false">AJ110*AF110</f>
        <v>0</v>
      </c>
      <c r="AL110" s="316" t="str">
        <f aca="true">IF(AH110,OFFSET(BY110,0,HorizontalPriceOffset)+PriceSpreadAsian,"")</f>
        <v/>
      </c>
      <c r="AM110" s="316" t="str">
        <f aca="false">IF(AH110,Strike1/AL110-1,"")</f>
        <v/>
      </c>
      <c r="AN110" s="316" t="str">
        <f aca="false">IF(AH110,Strike2/AL110-1,"")</f>
        <v/>
      </c>
      <c r="AO110" s="323" t="str">
        <f aca="false">IF(AH110,IF(VolOverrideAsian,VolOverrideAsian,IF(ProductGroup=1,IF(Product&lt;3,DA111,DE111),W111)+VolSpreadAsian),"")</f>
        <v/>
      </c>
      <c r="AP110" s="323" t="str">
        <f aca="false">IF($AH110,$AO110+IF(SkewFlag=1,IF(AM110&gt;0,$AA110*MIN(AM110/10%,1)+($Z110-$AA110)*MAX(0,MIN(AM110/10%-1,1))+($Y110-$Z110)*MAX(0,AM110/10%-2),$AB110*MIN(-AM110/10%,1)+($AC110-$AB110)*MAX(0,MIN(-AM110/10%-1,1))+($AD110-$AC110)*MAX(0,-AM110/10%-2)),0),"")</f>
        <v/>
      </c>
      <c r="AQ110" s="323" t="str">
        <f aca="false">IF($AH110,$AO110+IF(SkewFlag=1,IF(AN110&gt;0,$AA110*MIN(AN110/10%,1)+($Z110-$AA110)*MAX(0,MIN(AN110/10%-1,1))+($Y110-$Z110)*MAX(0,AN110/10%-2),$AB110*MIN(-AN110/10%,1)+($AC110-$AB110)*MAX(0,MIN(-AN110/10%-1,1))+($AD110-$AC110)*MAX(0,-AN110/10%-2)),0),"")</f>
        <v/>
      </c>
      <c r="AR110" s="324" t="n">
        <f aca="false">IF(AH110,xASN(AL110,Strike1,AE110,AP110,0,N110,0,P110,Q110,IF(OptControl=4,0,1),0),0)</f>
        <v>0</v>
      </c>
      <c r="AS110" s="324" t="n">
        <f aca="false">IF(AH110,xASN(AL110,Strike1,AE110,AP110,0,N110,0,P110,Q110,IF(OptControl=4,0,1),1),0)</f>
        <v>0</v>
      </c>
      <c r="AT110" s="324" t="n">
        <f aca="false">IF(AH110,xASN(AL110,Strike1,AE110,AP110,0,N110,0,P110,Q110,IF(OptControl=4,0,1),2),0)</f>
        <v>0</v>
      </c>
      <c r="AU110" s="324" t="n">
        <f aca="false">IF(AH110,xASN(AL110,Strike1,AE110,AP110,0,N110,0,P110,Q110,IF(OptControl=4,0,1),3)/100,0)</f>
        <v>0</v>
      </c>
      <c r="AV110" s="324" t="n">
        <f aca="false">IF(AH110,xASN(AL110,Strike1,AE110,AP110,0,N110,0,P110-DaysForThetaCalculation/365.25,Q110-DaysForThetaCalculation/365.25,IF(OptControl=4,0,1),0)-xASN(AL110,Strike1,AE110,AP110,0,N110,0,P110,Q110,IF(OptControl=4,0,1),0),0)</f>
        <v>0</v>
      </c>
      <c r="AW110" s="324" t="n">
        <f aca="false">IF(AH110,xASN(AL110,Strike2,AE110,AQ110,0,N110,0,P110,Q110,IF(OptControl=3,1,0),0),0)</f>
        <v>0</v>
      </c>
      <c r="AX110" s="324" t="n">
        <f aca="false">IF(AH110,xASN(AL110,Strike2,AE110,AQ110,0,N110,0,P110,Q110,IF(OptControl=3,1,0),1),0)</f>
        <v>0</v>
      </c>
      <c r="AY110" s="324" t="n">
        <f aca="false">IF(AH110,xASN(AL110,Strike2,AE110,AQ110,0,N110,0,P110,Q110,IF(OptControl=3,1,0),2),0)</f>
        <v>0</v>
      </c>
      <c r="AZ110" s="324" t="n">
        <f aca="false">IF(AH110,xASN(AL110,Strike2,AE110,AQ110,0,N110,0,P110,Q110,IF(OptControl=3,1,0),3)/100,0)</f>
        <v>0</v>
      </c>
      <c r="BA110" s="324" t="n">
        <f aca="false">IF(AH110,xASN(AL110,Strike2,AE110,AQ110,0,N110,0,P110-DaysForThetaCalculation/365.25,Q110-DaysForThetaCalculation/365.25,IF(OptControl=3,1,0),0)-xASN(AL110,Strike2,AE110,AQ110,0,N110,0,P110,Q110,IF(OptControl=3,1,0),0),0)</f>
        <v>0</v>
      </c>
      <c r="BB110" s="325" t="str">
        <f aca="false">IF(AH110,IF(ProductGroup=1,IF(Product=1,BX110+PriceSpreadEuro,IF(Product=3,CK110+PriceSpreadEuro,"N/A")),"N/A"),"")</f>
        <v/>
      </c>
      <c r="BC110" s="316" t="str">
        <f aca="false">IF(AH110,Strike1/BB110-1,"")</f>
        <v/>
      </c>
      <c r="BD110" s="316" t="str">
        <f aca="false">IF(AH110,Strike2/BB110-1,"")</f>
        <v/>
      </c>
      <c r="BE110" s="326" t="str">
        <f aca="false">IF(AH110,IF(VolOverrideEuro,VolOverrideEuro,IF(ProductGroup=1,IF(Product&lt;3,DA110,DE110)+VolSpreadEuro,"N/A")),"")</f>
        <v/>
      </c>
      <c r="BF110" s="323" t="str">
        <f aca="false">IF($AH110,$BE110+IF(SkewFlag=1,IF(BC110&gt;0,$AA110*MIN(BC110/10%,1)+($Z110-$AA110)*MAX(0,MIN(BC110/10%-1,1))+($Y110-$Z110)*MAX(0,BC110/10%-2),$AB110*MIN(-BC110/10%,1)+($AC110-$AB110)*MAX(0,MIN(-BC110/10%-1,1))+($AD110-$AC110)*MAX(0,-BC110/10%-2)),0),"")</f>
        <v/>
      </c>
      <c r="BG110" s="323" t="str">
        <f aca="false">IF($AH110,$BE110+IF(SkewFlag=1,IF(BD110&gt;0,$AA110*MIN(BD110/10%,1)+($Z110-$AA110)*MAX(0,MIN(BD110/10%-1,1))+($Y110-$Z110)*MAX(0,BD110/10%-2),$AB110*MIN(-BD110/10%,1)+($AC110-$AB110)*MAX(0,MIN(-BD110/10%-1,1))+($AD110-$AC110)*MAX(0,-BD110/10%-2)),0),"")</f>
        <v/>
      </c>
      <c r="BH110" s="324" t="n">
        <f aca="false">IF(AH110,xEURO(BB110,Strike1,AE110,AE110,BF110,O110,IF(OptControl=4,0,1),0),0)</f>
        <v>0</v>
      </c>
      <c r="BI110" s="324" t="n">
        <f aca="false">IF(AH110,xEURO(BB110,Strike1,AE110,AE110,BF110,O110,IF(OptControl=4,0,1),1),0)</f>
        <v>0</v>
      </c>
      <c r="BJ110" s="324" t="n">
        <f aca="false">IF(AH110,xEURO(BB110,Strike1,AE110,AE110,BF110,O110,IF(OptControl=4,0,1),2),0)</f>
        <v>0</v>
      </c>
      <c r="BK110" s="324" t="n">
        <f aca="false">IF(AH110,xEURO(BB110,Strike1,AE110,AE110,BF110,O110,IF(OptControl=4,0,1),3)/100,0)</f>
        <v>0</v>
      </c>
      <c r="BL110" s="324" t="n">
        <f aca="false">IF(AH110,xEURO(BB110,Strike1,AE110,AE110,BF110,O110-DaysForThetaCalculation,IF(OptControl=4,0,1),0)-xEURO(BB110,Strike1,AE110,AE110,BF110,O110,IF(OptControl=4,0,1),0),0)</f>
        <v>0</v>
      </c>
      <c r="BM110" s="324" t="n">
        <f aca="false">IF(AH110,xEURO(BB110,Strike2,AE110,AE110,BG110,O110,IF(OptControl=3,1,0),0),0)</f>
        <v>0</v>
      </c>
      <c r="BN110" s="324" t="n">
        <f aca="false">IF(AH110,xEURO(BB110,Strike2,AE110,AE110,BG110,O110,IF(OptControl=3,1,0),1),0)</f>
        <v>0</v>
      </c>
      <c r="BO110" s="324" t="n">
        <f aca="false">IF(AH110,xEURO(BB110,Strike2,AE110,AE110,BG110,O110,IF(OptControl=3,1,0),2),0)</f>
        <v>0</v>
      </c>
      <c r="BP110" s="324" t="n">
        <f aca="false">IF(AH110,xEURO(BB110,Strike2,AE110,AE110,BG110,O110,IF(OptControl=3,1,0),3)/100,0)</f>
        <v>0</v>
      </c>
      <c r="BQ110" s="327" t="n">
        <f aca="false">IF(AH110,xEURO(BB110,Strike2,AE110,AE110,BG110,O110-DaysForThetaCalculation,IF(OptControl=3,1,0),0)-xEURO(BB110,Strike2,AE110,AE110,BG110,O110,IF(OptControl=3,1,0),0),0)</f>
        <v>0</v>
      </c>
      <c r="BR110" s="343"/>
      <c r="BS110" s="314" t="n">
        <v>24.759</v>
      </c>
      <c r="BT110" s="329" t="n">
        <f aca="false">BS110*100/42</f>
        <v>58.95</v>
      </c>
      <c r="BU110" s="329" t="n">
        <f aca="false">BS111-$U110</f>
        <v>-25.8568181818182</v>
      </c>
      <c r="BV110" s="224"/>
      <c r="BW110" s="329" t="n">
        <f aca="false">BW98+VLOOKUP(1900+$L110,ProductSpreadTable,2)</f>
        <v>12.1918181818182</v>
      </c>
      <c r="BX110" s="329" t="n">
        <f aca="false">($V109+BW109)*100/42</f>
        <v>90.0241398008481</v>
      </c>
      <c r="BY110" s="332" t="n">
        <f aca="false">BX111</f>
        <v>90.5919913419914</v>
      </c>
      <c r="BZ110" s="314" t="n">
        <v>22.663</v>
      </c>
      <c r="CA110" s="329" t="n">
        <f aca="false">BZ110*100/42</f>
        <v>53.9595238095238</v>
      </c>
      <c r="CB110" s="329" t="n">
        <f aca="false">BZ110-$U110</f>
        <v>-3.19381818181819</v>
      </c>
      <c r="CC110" s="329" t="n">
        <f aca="false">CC98+VLOOKUP(1900+$L110,ProductSpreadTable,3)</f>
        <v>9.88181818181819</v>
      </c>
      <c r="CD110" s="329" t="n">
        <f aca="false">($V110+CC110)*100/42</f>
        <v>85.0919913419914</v>
      </c>
      <c r="CE110" s="333" t="n">
        <f aca="false">CD110-BY110</f>
        <v>-5.50000000000001</v>
      </c>
      <c r="CF110" s="314" t="n">
        <v>24.532</v>
      </c>
      <c r="CG110" s="329" t="n">
        <f aca="false">CF110*100/42</f>
        <v>58.4095238095238</v>
      </c>
      <c r="CH110" s="329" t="n">
        <f aca="false">CF111-$U110</f>
        <v>-25.8568181818182</v>
      </c>
      <c r="CI110" s="224"/>
      <c r="CJ110" s="329" t="n">
        <f aca="false">CJ98+VLOOKUP(1900+$L110,ProductSpreadTable,4)</f>
        <v>11.9528181818182</v>
      </c>
      <c r="CK110" s="329" t="n">
        <f aca="false">($V109+CJ109)*100/42</f>
        <v>89.0050921818005</v>
      </c>
      <c r="CL110" s="329" t="n">
        <f aca="false">CK111</f>
        <v>90.0229437229438</v>
      </c>
      <c r="CM110" s="314" t="n">
        <v>23.692</v>
      </c>
      <c r="CN110" s="329" t="n">
        <f aca="false">CM110*100/42</f>
        <v>56.4095238095238</v>
      </c>
      <c r="CO110" s="329" t="n">
        <f aca="false">CM110-$U110</f>
        <v>-2.16481818181819</v>
      </c>
      <c r="CP110" s="329" t="n">
        <f aca="false">CP98+VLOOKUP(1900+$L110,ProductSpreadTable,5)</f>
        <v>10.7558181818182</v>
      </c>
      <c r="CQ110" s="329" t="n">
        <f aca="false">($V110+CP110)*100/42</f>
        <v>87.1729437229438</v>
      </c>
      <c r="CR110" s="333" t="n">
        <f aca="false">CQ110-CL110</f>
        <v>-2.84999999999999</v>
      </c>
      <c r="CS110" s="314" t="n">
        <v>25.057</v>
      </c>
      <c r="CT110" s="329" t="n">
        <f aca="false">CS110*100/42</f>
        <v>59.6595238095238</v>
      </c>
      <c r="CU110" s="329" t="n">
        <f aca="false">CT110-CG111</f>
        <v>59.6595238095238</v>
      </c>
      <c r="CV110" s="329" t="n">
        <f aca="false">CV98+VLOOKUP(1900+$L110,ProductSpreadTable,6)</f>
        <v>1.80000000000001</v>
      </c>
      <c r="CW110" s="333" t="n">
        <f aca="false">CL110+CV110</f>
        <v>91.8229437229438</v>
      </c>
      <c r="CX110" s="318" t="n">
        <v>0.176</v>
      </c>
      <c r="CY110" s="326" t="n">
        <f aca="false">CX110-$W110</f>
        <v>0.000300000000000966</v>
      </c>
      <c r="CZ110" s="326" t="n">
        <f aca="false">VLOOKUP(1900+$L110,ProductSpreadTable,7)</f>
        <v>-0.03</v>
      </c>
      <c r="DA110" s="365" t="n">
        <f aca="false">$W110+CZ110</f>
        <v>0.145699999999999</v>
      </c>
      <c r="DB110" s="318" t="n">
        <v>0.176</v>
      </c>
      <c r="DC110" s="326" t="n">
        <f aca="false">DB110-$W110</f>
        <v>0.000300000000000966</v>
      </c>
      <c r="DD110" s="326" t="n">
        <f aca="false">VLOOKUP(1900+$L110,ProductSpreadTable,8)</f>
        <v>0.03</v>
      </c>
      <c r="DE110" s="365" t="n">
        <f aca="false">$W110+DD110</f>
        <v>0.205699999999999</v>
      </c>
      <c r="DG110" s="336"/>
      <c r="DH110" s="314"/>
      <c r="DI110" s="325" t="n">
        <f aca="false">DH110-$U110</f>
        <v>-25.8568181818182</v>
      </c>
      <c r="DJ110" s="325" t="n">
        <f aca="false">VLOOKUP(1900+$L110,ResidSpreadTable,2)</f>
        <v>-2</v>
      </c>
      <c r="DK110" s="337" t="n">
        <f aca="false">$V110+DJ110</f>
        <v>23.8568181818182</v>
      </c>
      <c r="DL110" s="314"/>
      <c r="DM110" s="325" t="n">
        <f aca="false">DL110-$U110</f>
        <v>-25.8568181818182</v>
      </c>
      <c r="DN110" s="325" t="n">
        <f aca="false">VLOOKUP(1900+$L110,ResidSpreadTable,3)</f>
        <v>-3</v>
      </c>
      <c r="DO110" s="337" t="n">
        <f aca="false">$V110+DN110</f>
        <v>22.8568181818182</v>
      </c>
      <c r="DP110" s="314"/>
      <c r="DQ110" s="325" t="n">
        <f aca="false">DP110-$U110</f>
        <v>-25.8568181818182</v>
      </c>
      <c r="DR110" s="325" t="n">
        <f aca="false">VLOOKUP(1900+$L110,ResidSpreadTable,4)</f>
        <v>-6</v>
      </c>
      <c r="DS110" s="337" t="n">
        <f aca="false">$V110+DR110</f>
        <v>19.8568181818182</v>
      </c>
      <c r="DT110" s="314"/>
      <c r="DU110" s="325" t="n">
        <f aca="false">DT110-$U110</f>
        <v>-25.8568181818182</v>
      </c>
      <c r="DV110" s="325" t="n">
        <f aca="false">VLOOKUP(1900+$L110,ResidSpreadTable,5)</f>
        <v>-5</v>
      </c>
      <c r="DW110" s="337" t="n">
        <f aca="false">$V110+DV110</f>
        <v>20.8568181818182</v>
      </c>
    </row>
    <row r="111" customFormat="false" ht="12.75" hidden="false" customHeight="false" outlineLevel="0" collapsed="false">
      <c r="B111" s="371" t="n">
        <v>38930</v>
      </c>
      <c r="C111" s="391" t="n">
        <v>38918</v>
      </c>
      <c r="I111" s="338" t="n">
        <f aca="false">EOMONTH(I110,0)+1</f>
        <v>49126</v>
      </c>
      <c r="J111" s="389" t="n">
        <f aca="false">VLOOKUP(I111,$B$12:$C$332,2)</f>
        <v>45644</v>
      </c>
      <c r="K111" s="339" t="n">
        <f aca="false">NETWORKDAYS(I111,J112)/N111</f>
        <v>-118.47619047619</v>
      </c>
      <c r="L111" s="309" t="n">
        <f aca="false">YEAR(I111)-1900</f>
        <v>134</v>
      </c>
      <c r="M111" s="310" t="n">
        <f aca="false">MONTH(I111)</f>
        <v>7</v>
      </c>
      <c r="N111" s="340" t="n">
        <f aca="false">NETWORKDAYS(I111,I112-1)</f>
        <v>21</v>
      </c>
      <c r="O111" s="341" t="n">
        <f aca="false">I111-DateToday-IF(EuroExpDateToggle=1,3+IF(WEEKDAY(I111-1)=7,1,IF(WEEKDAY(I111-1)&lt;5,2,0)),1+IF(WEEKDAY(I111-1)=7,1,IF(WEEKDAY(I111-1)&lt;3,2,0)))</f>
        <v>3197</v>
      </c>
      <c r="P111" s="342" t="n">
        <f aca="false">(I111-DateToday+1)/365.25</f>
        <v>8.76386036960986</v>
      </c>
      <c r="Q111" s="342" t="n">
        <f aca="false">(I112-DateToday)/365.25</f>
        <v>8.84599589322382</v>
      </c>
      <c r="R111" s="314" t="n">
        <v>20.2</v>
      </c>
      <c r="S111" s="347" t="n">
        <v>0</v>
      </c>
      <c r="T111" s="316" t="n">
        <f aca="false">R111+S111/100</f>
        <v>20.2</v>
      </c>
      <c r="U111" s="325" t="n">
        <f aca="false">R112*K111+R113*(1-K111)</f>
        <v>26.2238095238095</v>
      </c>
      <c r="V111" s="337" t="n">
        <f aca="false">T112*K111+T113*(1-K111)</f>
        <v>26.2238095238095</v>
      </c>
      <c r="W111" s="318" t="n">
        <v>0.175299999999999</v>
      </c>
      <c r="X111" s="319" t="str">
        <f aca="false">IF($I111-DateToday+1&gt;=$A$10,"",IF($I111-DateToday+1&lt;$A$5,1,MATCH($I111-DateToday+1,$A$5:$A$10)))</f>
        <v/>
      </c>
      <c r="Y111" s="348" t="n">
        <f aca="false">IF($X111="",Y110^2/Y109,INDEX(B$5:B$10,$X111)^((INDEX($A$5:$A$10,$X111+1)-($I111-DateToday+1))/(INDEX($A$5:$A$10,$X111+1)-INDEX($A$5:$A$10,$X111)))/INDEX(B$5:B$10,$X111+1)^((INDEX($A$5:$A$10,$X111)-($I111-DateToday+1))/(INDEX($A$5:$A$10,$X111+1)-INDEX($A$5:$A$10,$X111))))</f>
        <v>0.00158013842166329</v>
      </c>
      <c r="Z111" s="348" t="n">
        <f aca="false">IF($X111="",Z110^2/Z109,INDEX(C$5:C$10,$X111)^((INDEX($A$5:$A$10,$X111+1)-($I111-DateToday+1))/(INDEX($A$5:$A$10,$X111+1)-INDEX($A$5:$A$10,$X111)))/INDEX(C$5:C$10,$X111+1)^((INDEX($A$5:$A$10,$X111)-($I111-DateToday+1))/(INDEX($A$5:$A$10,$X111+1)-INDEX($A$5:$A$10,$X111))))</f>
        <v>0.000553671378745775</v>
      </c>
      <c r="AA111" s="348" t="n">
        <f aca="false">IF($X111="",AA110^2/AA109,INDEX(D$5:D$10,$X111)^((INDEX($A$5:$A$10,$X111+1)-($I111-DateToday+1))/(INDEX($A$5:$A$10,$X111+1)-INDEX($A$5:$A$10,$X111)))/INDEX(D$5:D$10,$X111+1)^((INDEX($A$5:$A$10,$X111)-($I111-DateToday+1))/(INDEX($A$5:$A$10,$X111+1)-INDEX($A$5:$A$10,$X111))))</f>
        <v>0.000198984129426312</v>
      </c>
      <c r="AB111" s="348" t="n">
        <f aca="false">IF($X111="",AB110^2/AB109,INDEX(E$5:E$10,$X111)^((INDEX($A$5:$A$10,$X111+1)-($I111-DateToday+1))/(INDEX($A$5:$A$10,$X111+1)-INDEX($A$5:$A$10,$X111)))/INDEX(E$5:E$10,$X111+1)^((INDEX($A$5:$A$10,$X111)-($I111-DateToday+1))/(INDEX($A$5:$A$10,$X111+1)-INDEX($A$5:$A$10,$X111))))</f>
        <v>0.000448271446771605</v>
      </c>
      <c r="AC111" s="348" t="n">
        <f aca="false">IF($X111="",AC110^2/AC109,INDEX(F$5:F$10,$X111)^((INDEX($A$5:$A$10,$X111+1)-($I111-DateToday+1))/(INDEX($A$5:$A$10,$X111+1)-INDEX($A$5:$A$10,$X111)))/INDEX(F$5:F$10,$X111+1)^((INDEX($A$5:$A$10,$X111)-($I111-DateToday+1))/(INDEX($A$5:$A$10,$X111+1)-INDEX($A$5:$A$10,$X111))))</f>
        <v>0.00124731088203848</v>
      </c>
      <c r="AD111" s="348" t="n">
        <f aca="false">IF($X111="",AD110^2/AD109,INDEX(G$5:G$10,$X111)^((INDEX($A$5:$A$10,$X111+1)-($I111-DateToday+1))/(INDEX($A$5:$A$10,$X111+1)-INDEX($A$5:$A$10,$X111)))/INDEX(G$5:G$10,$X111+1)^((INDEX($A$5:$A$10,$X111)-($I111-DateToday+1))/(INDEX($A$5:$A$10,$X111+1)-INDEX($A$5:$A$10,$X111))))</f>
        <v>0.00355973583632285</v>
      </c>
      <c r="AE111" s="321" t="n">
        <v>0.07366854455526</v>
      </c>
      <c r="AF111" s="316" t="n">
        <f aca="false">(1+AE111/2)^(-2*(I112-DateToday)/365.25)</f>
        <v>0.527315346160572</v>
      </c>
      <c r="AG111" s="316" t="n">
        <f aca="false">AG110*(1+IF(AND(M111=1,L111&gt;YearStart),Escalation,0))</f>
        <v>1</v>
      </c>
      <c r="AH111" s="322" t="n">
        <f aca="false">IF(OR(DateStart&gt;=I112,DateEnd&lt;I111),0,Volume*AG111)</f>
        <v>0</v>
      </c>
      <c r="AI111" s="322" t="n">
        <f aca="false">AH111*AF111</f>
        <v>0</v>
      </c>
      <c r="AJ111" s="322" t="n">
        <f aca="false">IF(OR(DateStart2&gt;=I112,DateEnd2&lt;I111),0,VolumeSwaption*AG111)</f>
        <v>0</v>
      </c>
      <c r="AK111" s="322" t="n">
        <f aca="false">AJ111*AF111</f>
        <v>0</v>
      </c>
      <c r="AL111" s="316" t="str">
        <f aca="true">IF(AH111,OFFSET(BY111,0,HorizontalPriceOffset)+PriceSpreadAsian,"")</f>
        <v/>
      </c>
      <c r="AM111" s="316" t="str">
        <f aca="false">IF(AH111,Strike1/AL111-1,"")</f>
        <v/>
      </c>
      <c r="AN111" s="316" t="str">
        <f aca="false">IF(AH111,Strike2/AL111-1,"")</f>
        <v/>
      </c>
      <c r="AO111" s="323" t="str">
        <f aca="false">IF(AH111,IF(VolOverrideAsian,VolOverrideAsian,IF(ProductGroup=1,IF(Product&lt;3,DA112,DE112),W112)+VolSpreadAsian),"")</f>
        <v/>
      </c>
      <c r="AP111" s="323" t="str">
        <f aca="false">IF($AH111,$AO111+IF(SkewFlag=1,IF(AM111&gt;0,$AA111*MIN(AM111/10%,1)+($Z111-$AA111)*MAX(0,MIN(AM111/10%-1,1))+($Y111-$Z111)*MAX(0,AM111/10%-2),$AB111*MIN(-AM111/10%,1)+($AC111-$AB111)*MAX(0,MIN(-AM111/10%-1,1))+($AD111-$AC111)*MAX(0,-AM111/10%-2)),0),"")</f>
        <v/>
      </c>
      <c r="AQ111" s="323" t="str">
        <f aca="false">IF($AH111,$AO111+IF(SkewFlag=1,IF(AN111&gt;0,$AA111*MIN(AN111/10%,1)+($Z111-$AA111)*MAX(0,MIN(AN111/10%-1,1))+($Y111-$Z111)*MAX(0,AN111/10%-2),$AB111*MIN(-AN111/10%,1)+($AC111-$AB111)*MAX(0,MIN(-AN111/10%-1,1))+($AD111-$AC111)*MAX(0,-AN111/10%-2)),0),"")</f>
        <v/>
      </c>
      <c r="AR111" s="324" t="n">
        <f aca="false">IF(AH111,xASN(AL111,Strike1,AE111,AP111,0,N111,0,P111,Q111,IF(OptControl=4,0,1),0),0)</f>
        <v>0</v>
      </c>
      <c r="AS111" s="324" t="n">
        <f aca="false">IF(AH111,xASN(AL111,Strike1,AE111,AP111,0,N111,0,P111,Q111,IF(OptControl=4,0,1),1),0)</f>
        <v>0</v>
      </c>
      <c r="AT111" s="324" t="n">
        <f aca="false">IF(AH111,xASN(AL111,Strike1,AE111,AP111,0,N111,0,P111,Q111,IF(OptControl=4,0,1),2),0)</f>
        <v>0</v>
      </c>
      <c r="AU111" s="324" t="n">
        <f aca="false">IF(AH111,xASN(AL111,Strike1,AE111,AP111,0,N111,0,P111,Q111,IF(OptControl=4,0,1),3)/100,0)</f>
        <v>0</v>
      </c>
      <c r="AV111" s="324" t="n">
        <f aca="false">IF(AH111,xASN(AL111,Strike1,AE111,AP111,0,N111,0,P111-DaysForThetaCalculation/365.25,Q111-DaysForThetaCalculation/365.25,IF(OptControl=4,0,1),0)-xASN(AL111,Strike1,AE111,AP111,0,N111,0,P111,Q111,IF(OptControl=4,0,1),0),0)</f>
        <v>0</v>
      </c>
      <c r="AW111" s="324" t="n">
        <f aca="false">IF(AH111,xASN(AL111,Strike2,AE111,AQ111,0,N111,0,P111,Q111,IF(OptControl=3,1,0),0),0)</f>
        <v>0</v>
      </c>
      <c r="AX111" s="324" t="n">
        <f aca="false">IF(AH111,xASN(AL111,Strike2,AE111,AQ111,0,N111,0,P111,Q111,IF(OptControl=3,1,0),1),0)</f>
        <v>0</v>
      </c>
      <c r="AY111" s="324" t="n">
        <f aca="false">IF(AH111,xASN(AL111,Strike2,AE111,AQ111,0,N111,0,P111,Q111,IF(OptControl=3,1,0),2),0)</f>
        <v>0</v>
      </c>
      <c r="AZ111" s="324" t="n">
        <f aca="false">IF(AH111,xASN(AL111,Strike2,AE111,AQ111,0,N111,0,P111,Q111,IF(OptControl=3,1,0),3)/100,0)</f>
        <v>0</v>
      </c>
      <c r="BA111" s="324" t="n">
        <f aca="false">IF(AH111,xASN(AL111,Strike2,AE111,AQ111,0,N111,0,P111-DaysForThetaCalculation/365.25,Q111-DaysForThetaCalculation/365.25,IF(OptControl=3,1,0),0)-xASN(AL111,Strike2,AE111,AQ111,0,N111,0,P111,Q111,IF(OptControl=3,1,0),0),0)</f>
        <v>0</v>
      </c>
      <c r="BB111" s="325" t="str">
        <f aca="false">IF(AH111,IF(ProductGroup=1,IF(Product=1,BX111+PriceSpreadEuro,IF(Product=3,CK111+PriceSpreadEuro,"N/A")),"N/A"),"")</f>
        <v/>
      </c>
      <c r="BC111" s="316" t="str">
        <f aca="false">IF(AH111,Strike1/BB111-1,"")</f>
        <v/>
      </c>
      <c r="BD111" s="316" t="str">
        <f aca="false">IF(AH111,Strike2/BB111-1,"")</f>
        <v/>
      </c>
      <c r="BE111" s="326" t="str">
        <f aca="false">IF(AH111,IF(VolOverrideEuro,VolOverrideEuro,IF(ProductGroup=1,IF(Product&lt;3,DA111,DE111)+VolSpreadEuro,"N/A")),"")</f>
        <v/>
      </c>
      <c r="BF111" s="323" t="str">
        <f aca="false">IF($AH111,$BE111+IF(SkewFlag=1,IF(BC111&gt;0,$AA111*MIN(BC111/10%,1)+($Z111-$AA111)*MAX(0,MIN(BC111/10%-1,1))+($Y111-$Z111)*MAX(0,BC111/10%-2),$AB111*MIN(-BC111/10%,1)+($AC111-$AB111)*MAX(0,MIN(-BC111/10%-1,1))+($AD111-$AC111)*MAX(0,-BC111/10%-2)),0),"")</f>
        <v/>
      </c>
      <c r="BG111" s="323" t="str">
        <f aca="false">IF($AH111,$BE111+IF(SkewFlag=1,IF(BD111&gt;0,$AA111*MIN(BD111/10%,1)+($Z111-$AA111)*MAX(0,MIN(BD111/10%-1,1))+($Y111-$Z111)*MAX(0,BD111/10%-2),$AB111*MIN(-BD111/10%,1)+($AC111-$AB111)*MAX(0,MIN(-BD111/10%-1,1))+($AD111-$AC111)*MAX(0,-BD111/10%-2)),0),"")</f>
        <v/>
      </c>
      <c r="BH111" s="324" t="n">
        <f aca="false">IF(AH111,xEURO(BB111,Strike1,AE111,AE111,BF111,O111,IF(OptControl=4,0,1),0),0)</f>
        <v>0</v>
      </c>
      <c r="BI111" s="324" t="n">
        <f aca="false">IF(AH111,xEURO(BB111,Strike1,AE111,AE111,BF111,O111,IF(OptControl=4,0,1),1),0)</f>
        <v>0</v>
      </c>
      <c r="BJ111" s="324" t="n">
        <f aca="false">IF(AH111,xEURO(BB111,Strike1,AE111,AE111,BF111,O111,IF(OptControl=4,0,1),2),0)</f>
        <v>0</v>
      </c>
      <c r="BK111" s="324" t="n">
        <f aca="false">IF(AH111,xEURO(BB111,Strike1,AE111,AE111,BF111,O111,IF(OptControl=4,0,1),3)/100,0)</f>
        <v>0</v>
      </c>
      <c r="BL111" s="324" t="n">
        <f aca="false">IF(AH111,xEURO(BB111,Strike1,AE111,AE111,BF111,O111-DaysForThetaCalculation,IF(OptControl=4,0,1),0)-xEURO(BB111,Strike1,AE111,AE111,BF111,O111,IF(OptControl=4,0,1),0),0)</f>
        <v>0</v>
      </c>
      <c r="BM111" s="324" t="n">
        <f aca="false">IF(AH111,xEURO(BB111,Strike2,AE111,AE111,BG111,O111,IF(OptControl=3,1,0),0),0)</f>
        <v>0</v>
      </c>
      <c r="BN111" s="324" t="n">
        <f aca="false">IF(AH111,xEURO(BB111,Strike2,AE111,AE111,BG111,O111,IF(OptControl=3,1,0),1),0)</f>
        <v>0</v>
      </c>
      <c r="BO111" s="324" t="n">
        <f aca="false">IF(AH111,xEURO(BB111,Strike2,AE111,AE111,BG111,O111,IF(OptControl=3,1,0),2),0)</f>
        <v>0</v>
      </c>
      <c r="BP111" s="324" t="n">
        <f aca="false">IF(AH111,xEURO(BB111,Strike2,AE111,AE111,BG111,O111,IF(OptControl=3,1,0),3)/100,0)</f>
        <v>0</v>
      </c>
      <c r="BQ111" s="327" t="n">
        <f aca="false">IF(AH111,xEURO(BB111,Strike2,AE111,AE111,BG111,O111-DaysForThetaCalculation,IF(OptControl=3,1,0),0)-xEURO(BB111,Strike2,AE111,AE111,BG111,O111,IF(OptControl=3,1,0),0),0)</f>
        <v>0</v>
      </c>
      <c r="BR111" s="343"/>
      <c r="BS111" s="314"/>
      <c r="BT111" s="329" t="n">
        <f aca="false">BS111*100/42</f>
        <v>0</v>
      </c>
      <c r="BU111" s="329" t="n">
        <f aca="false">BS112-$U111</f>
        <v>-26.2238095238095</v>
      </c>
      <c r="BV111" s="224"/>
      <c r="BW111" s="329" t="n">
        <f aca="false">BW99+VLOOKUP(1900+$L111,ProductSpreadTable,2)</f>
        <v>12.1738260869565</v>
      </c>
      <c r="BX111" s="329" t="n">
        <f aca="false">($V110+BW110)*100/42</f>
        <v>90.5919913419914</v>
      </c>
      <c r="BY111" s="332" t="n">
        <f aca="false">BX112</f>
        <v>91.4229419303952</v>
      </c>
      <c r="BZ111" s="314"/>
      <c r="CA111" s="329" t="n">
        <f aca="false">BZ111*100/42</f>
        <v>0</v>
      </c>
      <c r="CB111" s="329" t="n">
        <f aca="false">BZ111-$U111</f>
        <v>-26.2238095238095</v>
      </c>
      <c r="CC111" s="329" t="n">
        <f aca="false">CC99+VLOOKUP(1900+$L111,ProductSpreadTable,3)</f>
        <v>10.6618260869565</v>
      </c>
      <c r="CD111" s="329" t="n">
        <f aca="false">($V111+CC111)*100/42</f>
        <v>87.8229419303952</v>
      </c>
      <c r="CE111" s="333" t="n">
        <f aca="false">CD111-BY111</f>
        <v>-3.59999999999999</v>
      </c>
      <c r="CF111" s="314"/>
      <c r="CG111" s="329" t="n">
        <f aca="false">CF111*100/42</f>
        <v>0</v>
      </c>
      <c r="CH111" s="329" t="n">
        <f aca="false">CF112-$U111</f>
        <v>-26.2238095238095</v>
      </c>
      <c r="CI111" s="224"/>
      <c r="CJ111" s="329" t="n">
        <f aca="false">CJ99+VLOOKUP(1900+$L111,ProductSpreadTable,4)</f>
        <v>11.4938260869565</v>
      </c>
      <c r="CK111" s="329" t="n">
        <f aca="false">($V110+CJ110)*100/42</f>
        <v>90.0229437229438</v>
      </c>
      <c r="CL111" s="329" t="n">
        <f aca="false">CK112</f>
        <v>89.8038943113476</v>
      </c>
      <c r="CM111" s="314"/>
      <c r="CN111" s="329" t="n">
        <f aca="false">CM111*100/42</f>
        <v>0</v>
      </c>
      <c r="CO111" s="329" t="n">
        <f aca="false">CM111-$U111</f>
        <v>-26.2238095238095</v>
      </c>
      <c r="CP111" s="329" t="n">
        <f aca="false">CP99+VLOOKUP(1900+$L111,ProductSpreadTable,5)</f>
        <v>10.3808260869565</v>
      </c>
      <c r="CQ111" s="329" t="n">
        <f aca="false">($V111+CP111)*100/42</f>
        <v>87.1538943113476</v>
      </c>
      <c r="CR111" s="333" t="n">
        <f aca="false">CQ111-CL111</f>
        <v>-2.64999999999998</v>
      </c>
      <c r="CS111" s="314"/>
      <c r="CT111" s="329" t="n">
        <f aca="false">CS111*100/42</f>
        <v>0</v>
      </c>
      <c r="CU111" s="329" t="n">
        <f aca="false">CT111-CG112</f>
        <v>0</v>
      </c>
      <c r="CV111" s="329" t="n">
        <f aca="false">CV99+VLOOKUP(1900+$L111,ProductSpreadTable,6)</f>
        <v>1.80000000000001</v>
      </c>
      <c r="CW111" s="333" t="n">
        <f aca="false">CL111+CV111</f>
        <v>91.6038943113476</v>
      </c>
      <c r="CX111" s="318"/>
      <c r="CY111" s="326" t="n">
        <f aca="false">CX111-$W111</f>
        <v>-0.175299999999999</v>
      </c>
      <c r="CZ111" s="326" t="n">
        <f aca="false">VLOOKUP(1900+$L111,ProductSpreadTable,7)</f>
        <v>-0.03</v>
      </c>
      <c r="DA111" s="365" t="n">
        <f aca="false">$W111+CZ111</f>
        <v>0.145299999999999</v>
      </c>
      <c r="DB111" s="318"/>
      <c r="DC111" s="326" t="n">
        <f aca="false">DB111-$W111</f>
        <v>-0.175299999999999</v>
      </c>
      <c r="DD111" s="326" t="n">
        <f aca="false">VLOOKUP(1900+$L111,ProductSpreadTable,8)</f>
        <v>0.03</v>
      </c>
      <c r="DE111" s="365" t="n">
        <f aca="false">$W111+DD111</f>
        <v>0.205299999999999</v>
      </c>
      <c r="DG111" s="336"/>
      <c r="DH111" s="314"/>
      <c r="DI111" s="325" t="n">
        <f aca="false">DH111-$U111</f>
        <v>-26.2238095238095</v>
      </c>
      <c r="DJ111" s="325" t="n">
        <f aca="false">VLOOKUP(1900+$L111,ResidSpreadTable,2)</f>
        <v>-2</v>
      </c>
      <c r="DK111" s="337" t="n">
        <f aca="false">$V111+DJ111</f>
        <v>24.2238095238095</v>
      </c>
      <c r="DL111" s="314"/>
      <c r="DM111" s="325" t="n">
        <f aca="false">DL111-$U111</f>
        <v>-26.2238095238095</v>
      </c>
      <c r="DN111" s="325" t="n">
        <f aca="false">VLOOKUP(1900+$L111,ResidSpreadTable,3)</f>
        <v>-3</v>
      </c>
      <c r="DO111" s="337" t="n">
        <f aca="false">$V111+DN111</f>
        <v>23.2238095238095</v>
      </c>
      <c r="DP111" s="314"/>
      <c r="DQ111" s="325" t="n">
        <f aca="false">DP111-$U111</f>
        <v>-26.2238095238095</v>
      </c>
      <c r="DR111" s="325" t="n">
        <f aca="false">VLOOKUP(1900+$L111,ResidSpreadTable,4)</f>
        <v>-6</v>
      </c>
      <c r="DS111" s="337" t="n">
        <f aca="false">$V111+DR111</f>
        <v>20.2238095238095</v>
      </c>
      <c r="DT111" s="314"/>
      <c r="DU111" s="325" t="n">
        <f aca="false">DT111-$U111</f>
        <v>-26.2238095238095</v>
      </c>
      <c r="DV111" s="325" t="n">
        <f aca="false">VLOOKUP(1900+$L111,ResidSpreadTable,5)</f>
        <v>-5</v>
      </c>
      <c r="DW111" s="337" t="n">
        <f aca="false">$V111+DV111</f>
        <v>21.2238095238095</v>
      </c>
    </row>
    <row r="112" customFormat="false" ht="12.75" hidden="false" customHeight="false" outlineLevel="0" collapsed="false">
      <c r="B112" s="371" t="n">
        <v>38961</v>
      </c>
      <c r="C112" s="391" t="n">
        <v>38950</v>
      </c>
      <c r="I112" s="338" t="n">
        <f aca="false">EOMONTH(I111,0)+1</f>
        <v>49157</v>
      </c>
      <c r="J112" s="389" t="n">
        <f aca="false">VLOOKUP(I112,$B$12:$C$332,2)</f>
        <v>45644</v>
      </c>
      <c r="K112" s="339" t="n">
        <f aca="false">NETWORKDAYS(I112,J113)/N112</f>
        <v>-109.130434782609</v>
      </c>
      <c r="L112" s="309" t="n">
        <f aca="false">YEAR(I112)-1900</f>
        <v>134</v>
      </c>
      <c r="M112" s="310" t="n">
        <f aca="false">MONTH(I112)</f>
        <v>8</v>
      </c>
      <c r="N112" s="340" t="n">
        <f aca="false">NETWORKDAYS(I112,I113-1)</f>
        <v>23</v>
      </c>
      <c r="O112" s="341" t="n">
        <f aca="false">I112-DateToday-IF(EuroExpDateToggle=1,3+IF(WEEKDAY(I112-1)=7,1,IF(WEEKDAY(I112-1)&lt;5,2,0)),1+IF(WEEKDAY(I112-1)=7,1,IF(WEEKDAY(I112-1)&lt;3,2,0)))</f>
        <v>3226</v>
      </c>
      <c r="P112" s="342" t="n">
        <f aca="false">(I112-DateToday+1)/365.25</f>
        <v>8.84873374401095</v>
      </c>
      <c r="Q112" s="342" t="n">
        <f aca="false">(I113-DateToday)/365.25</f>
        <v>8.93086926762491</v>
      </c>
      <c r="R112" s="314" t="n">
        <v>20.25</v>
      </c>
      <c r="S112" s="347" t="n">
        <v>0</v>
      </c>
      <c r="T112" s="316" t="n">
        <f aca="false">R112+S112/100</f>
        <v>20.25</v>
      </c>
      <c r="U112" s="325" t="n">
        <f aca="false">R113*K112+R114*(1-K112)</f>
        <v>25.8065217391304</v>
      </c>
      <c r="V112" s="337" t="n">
        <f aca="false">T113*K112+T114*(1-K112)</f>
        <v>25.8065217391304</v>
      </c>
      <c r="W112" s="318" t="n">
        <v>0.174899999999999</v>
      </c>
      <c r="X112" s="319" t="str">
        <f aca="false">IF($I112-DateToday+1&gt;=$A$10,"",IF($I112-DateToday+1&lt;$A$5,1,MATCH($I112-DateToday+1,$A$5:$A$10)))</f>
        <v/>
      </c>
      <c r="Y112" s="348" t="n">
        <f aca="false">IF($X112="",Y111^2/Y110,INDEX(B$5:B$10,$X112)^((INDEX($A$5:$A$10,$X112+1)-($I112-DateToday+1))/(INDEX($A$5:$A$10,$X112+1)-INDEX($A$5:$A$10,$X112)))/INDEX(B$5:B$10,$X112+1)^((INDEX($A$5:$A$10,$X112)-($I112-DateToday+1))/(INDEX($A$5:$A$10,$X112+1)-INDEX($A$5:$A$10,$X112))))</f>
        <v>0.00154631006133111</v>
      </c>
      <c r="Z112" s="348" t="n">
        <f aca="false">IF($X112="",Z111^2/Z110,INDEX(C$5:C$10,$X112)^((INDEX($A$5:$A$10,$X112+1)-($I112-DateToday+1))/(INDEX($A$5:$A$10,$X112+1)-INDEX($A$5:$A$10,$X112)))/INDEX(C$5:C$10,$X112+1)^((INDEX($A$5:$A$10,$X112)-($I112-DateToday+1))/(INDEX($A$5:$A$10,$X112+1)-INDEX($A$5:$A$10,$X112))))</f>
        <v>0.000538917194281255</v>
      </c>
      <c r="AA112" s="348" t="n">
        <f aca="false">IF($X112="",AA111^2/AA110,INDEX(D$5:D$10,$X112)^((INDEX($A$5:$A$10,$X112+1)-($I112-DateToday+1))/(INDEX($A$5:$A$10,$X112+1)-INDEX($A$5:$A$10,$X112)))/INDEX(D$5:D$10,$X112+1)^((INDEX($A$5:$A$10,$X112)-($I112-DateToday+1))/(INDEX($A$5:$A$10,$X112+1)-INDEX($A$5:$A$10,$X112))))</f>
        <v>0.000193162242886802</v>
      </c>
      <c r="AB112" s="348" t="n">
        <f aca="false">IF($X112="",AB111^2/AB110,INDEX(E$5:E$10,$X112)^((INDEX($A$5:$A$10,$X112+1)-($I112-DateToday+1))/(INDEX($A$5:$A$10,$X112+1)-INDEX($A$5:$A$10,$X112)))/INDEX(E$5:E$10,$X112+1)^((INDEX($A$5:$A$10,$X112)-($I112-DateToday+1))/(INDEX($A$5:$A$10,$X112+1)-INDEX($A$5:$A$10,$X112))))</f>
        <v>0.000435155900775396</v>
      </c>
      <c r="AC112" s="348" t="n">
        <f aca="false">IF($X112="",AC111^2/AC110,INDEX(F$5:F$10,$X112)^((INDEX($A$5:$A$10,$X112+1)-($I112-DateToday+1))/(INDEX($A$5:$A$10,$X112+1)-INDEX($A$5:$A$10,$X112)))/INDEX(F$5:F$10,$X112+1)^((INDEX($A$5:$A$10,$X112)-($I112-DateToday+1))/(INDEX($A$5:$A$10,$X112+1)-INDEX($A$5:$A$10,$X112))))</f>
        <v>0.00121407265527681</v>
      </c>
      <c r="AD112" s="348" t="n">
        <f aca="false">IF($X112="",AD111^2/AD110,INDEX(G$5:G$10,$X112)^((INDEX($A$5:$A$10,$X112+1)-($I112-DateToday+1))/(INDEX($A$5:$A$10,$X112+1)-INDEX($A$5:$A$10,$X112)))/INDEX(G$5:G$10,$X112+1)^((INDEX($A$5:$A$10,$X112)-($I112-DateToday+1))/(INDEX($A$5:$A$10,$X112+1)-INDEX($A$5:$A$10,$X112))))</f>
        <v>0.0034835273061665</v>
      </c>
      <c r="AE112" s="321" t="n">
        <v>0.073676134625485</v>
      </c>
      <c r="AF112" s="316" t="n">
        <f aca="false">(1+AE112/2)^(-2*(I113-DateToday)/365.25)</f>
        <v>0.524053236240309</v>
      </c>
      <c r="AG112" s="316" t="n">
        <f aca="false">AG111*(1+IF(AND(M112=1,L112&gt;YearStart),Escalation,0))</f>
        <v>1</v>
      </c>
      <c r="AH112" s="322" t="n">
        <f aca="false">IF(OR(DateStart&gt;=I113,DateEnd&lt;I112),0,Volume*AG112)</f>
        <v>0</v>
      </c>
      <c r="AI112" s="322" t="n">
        <f aca="false">AH112*AF112</f>
        <v>0</v>
      </c>
      <c r="AJ112" s="322" t="n">
        <f aca="false">IF(OR(DateStart2&gt;=I113,DateEnd2&lt;I112),0,VolumeSwaption*AG112)</f>
        <v>0</v>
      </c>
      <c r="AK112" s="322" t="n">
        <f aca="false">AJ112*AF112</f>
        <v>0</v>
      </c>
      <c r="AL112" s="316" t="str">
        <f aca="true">IF(AH112,OFFSET(BY112,0,HorizontalPriceOffset)+PriceSpreadAsian,"")</f>
        <v/>
      </c>
      <c r="AM112" s="316" t="str">
        <f aca="false">IF(AH112,Strike1/AL112-1,"")</f>
        <v/>
      </c>
      <c r="AN112" s="316" t="str">
        <f aca="false">IF(AH112,Strike2/AL112-1,"")</f>
        <v/>
      </c>
      <c r="AO112" s="323" t="str">
        <f aca="false">IF(AH112,IF(VolOverrideAsian,VolOverrideAsian,IF(ProductGroup=1,IF(Product&lt;3,DA113,DE113),W113)+VolSpreadAsian),"")</f>
        <v/>
      </c>
      <c r="AP112" s="323" t="str">
        <f aca="false">IF($AH112,$AO112+IF(SkewFlag=1,IF(AM112&gt;0,$AA112*MIN(AM112/10%,1)+($Z112-$AA112)*MAX(0,MIN(AM112/10%-1,1))+($Y112-$Z112)*MAX(0,AM112/10%-2),$AB112*MIN(-AM112/10%,1)+($AC112-$AB112)*MAX(0,MIN(-AM112/10%-1,1))+($AD112-$AC112)*MAX(0,-AM112/10%-2)),0),"")</f>
        <v/>
      </c>
      <c r="AQ112" s="323" t="str">
        <f aca="false">IF($AH112,$AO112+IF(SkewFlag=1,IF(AN112&gt;0,$AA112*MIN(AN112/10%,1)+($Z112-$AA112)*MAX(0,MIN(AN112/10%-1,1))+($Y112-$Z112)*MAX(0,AN112/10%-2),$AB112*MIN(-AN112/10%,1)+($AC112-$AB112)*MAX(0,MIN(-AN112/10%-1,1))+($AD112-$AC112)*MAX(0,-AN112/10%-2)),0),"")</f>
        <v/>
      </c>
      <c r="AR112" s="324" t="n">
        <f aca="false">IF(AH112,xASN(AL112,Strike1,AE112,AP112,0,N112,0,P112,Q112,IF(OptControl=4,0,1),0),0)</f>
        <v>0</v>
      </c>
      <c r="AS112" s="324" t="n">
        <f aca="false">IF(AH112,xASN(AL112,Strike1,AE112,AP112,0,N112,0,P112,Q112,IF(OptControl=4,0,1),1),0)</f>
        <v>0</v>
      </c>
      <c r="AT112" s="324" t="n">
        <f aca="false">IF(AH112,xASN(AL112,Strike1,AE112,AP112,0,N112,0,P112,Q112,IF(OptControl=4,0,1),2),0)</f>
        <v>0</v>
      </c>
      <c r="AU112" s="324" t="n">
        <f aca="false">IF(AH112,xASN(AL112,Strike1,AE112,AP112,0,N112,0,P112,Q112,IF(OptControl=4,0,1),3)/100,0)</f>
        <v>0</v>
      </c>
      <c r="AV112" s="324" t="n">
        <f aca="false">IF(AH112,xASN(AL112,Strike1,AE112,AP112,0,N112,0,P112-DaysForThetaCalculation/365.25,Q112-DaysForThetaCalculation/365.25,IF(OptControl=4,0,1),0)-xASN(AL112,Strike1,AE112,AP112,0,N112,0,P112,Q112,IF(OptControl=4,0,1),0),0)</f>
        <v>0</v>
      </c>
      <c r="AW112" s="324" t="n">
        <f aca="false">IF(AH112,xASN(AL112,Strike2,AE112,AQ112,0,N112,0,P112,Q112,IF(OptControl=3,1,0),0),0)</f>
        <v>0</v>
      </c>
      <c r="AX112" s="324" t="n">
        <f aca="false">IF(AH112,xASN(AL112,Strike2,AE112,AQ112,0,N112,0,P112,Q112,IF(OptControl=3,1,0),1),0)</f>
        <v>0</v>
      </c>
      <c r="AY112" s="324" t="n">
        <f aca="false">IF(AH112,xASN(AL112,Strike2,AE112,AQ112,0,N112,0,P112,Q112,IF(OptControl=3,1,0),2),0)</f>
        <v>0</v>
      </c>
      <c r="AZ112" s="324" t="n">
        <f aca="false">IF(AH112,xASN(AL112,Strike2,AE112,AQ112,0,N112,0,P112,Q112,IF(OptControl=3,1,0),3)/100,0)</f>
        <v>0</v>
      </c>
      <c r="BA112" s="324" t="n">
        <f aca="false">IF(AH112,xASN(AL112,Strike2,AE112,AQ112,0,N112,0,P112-DaysForThetaCalculation/365.25,Q112-DaysForThetaCalculation/365.25,IF(OptControl=3,1,0),0)-xASN(AL112,Strike2,AE112,AQ112,0,N112,0,P112,Q112,IF(OptControl=3,1,0),0),0)</f>
        <v>0</v>
      </c>
      <c r="BB112" s="325" t="str">
        <f aca="false">IF(AH112,IF(ProductGroup=1,IF(Product=1,BX112+PriceSpreadEuro,IF(Product=3,CK112+PriceSpreadEuro,"N/A")),"N/A"),"")</f>
        <v/>
      </c>
      <c r="BC112" s="316" t="str">
        <f aca="false">IF(AH112,Strike1/BB112-1,"")</f>
        <v/>
      </c>
      <c r="BD112" s="316" t="str">
        <f aca="false">IF(AH112,Strike2/BB112-1,"")</f>
        <v/>
      </c>
      <c r="BE112" s="326" t="str">
        <f aca="false">IF(AH112,IF(VolOverrideEuro,VolOverrideEuro,IF(ProductGroup=1,IF(Product&lt;3,DA112,DE112)+VolSpreadEuro,"N/A")),"")</f>
        <v/>
      </c>
      <c r="BF112" s="323" t="str">
        <f aca="false">IF($AH112,$BE112+IF(SkewFlag=1,IF(BC112&gt;0,$AA112*MIN(BC112/10%,1)+($Z112-$AA112)*MAX(0,MIN(BC112/10%-1,1))+($Y112-$Z112)*MAX(0,BC112/10%-2),$AB112*MIN(-BC112/10%,1)+($AC112-$AB112)*MAX(0,MIN(-BC112/10%-1,1))+($AD112-$AC112)*MAX(0,-BC112/10%-2)),0),"")</f>
        <v/>
      </c>
      <c r="BG112" s="323" t="str">
        <f aca="false">IF($AH112,$BE112+IF(SkewFlag=1,IF(BD112&gt;0,$AA112*MIN(BD112/10%,1)+($Z112-$AA112)*MAX(0,MIN(BD112/10%-1,1))+($Y112-$Z112)*MAX(0,BD112/10%-2),$AB112*MIN(-BD112/10%,1)+($AC112-$AB112)*MAX(0,MIN(-BD112/10%-1,1))+($AD112-$AC112)*MAX(0,-BD112/10%-2)),0),"")</f>
        <v/>
      </c>
      <c r="BH112" s="324" t="n">
        <f aca="false">IF(AH112,xEURO(BB112,Strike1,AE112,AE112,BF112,O112,IF(OptControl=4,0,1),0),0)</f>
        <v>0</v>
      </c>
      <c r="BI112" s="324" t="n">
        <f aca="false">IF(AH112,xEURO(BB112,Strike1,AE112,AE112,BF112,O112,IF(OptControl=4,0,1),1),0)</f>
        <v>0</v>
      </c>
      <c r="BJ112" s="324" t="n">
        <f aca="false">IF(AH112,xEURO(BB112,Strike1,AE112,AE112,BF112,O112,IF(OptControl=4,0,1),2),0)</f>
        <v>0</v>
      </c>
      <c r="BK112" s="324" t="n">
        <f aca="false">IF(AH112,xEURO(BB112,Strike1,AE112,AE112,BF112,O112,IF(OptControl=4,0,1),3)/100,0)</f>
        <v>0</v>
      </c>
      <c r="BL112" s="324" t="n">
        <f aca="false">IF(AH112,xEURO(BB112,Strike1,AE112,AE112,BF112,O112-DaysForThetaCalculation,IF(OptControl=4,0,1),0)-xEURO(BB112,Strike1,AE112,AE112,BF112,O112,IF(OptControl=4,0,1),0),0)</f>
        <v>0</v>
      </c>
      <c r="BM112" s="324" t="n">
        <f aca="false">IF(AH112,xEURO(BB112,Strike2,AE112,AE112,BG112,O112,IF(OptControl=3,1,0),0),0)</f>
        <v>0</v>
      </c>
      <c r="BN112" s="324" t="n">
        <f aca="false">IF(AH112,xEURO(BB112,Strike2,AE112,AE112,BG112,O112,IF(OptControl=3,1,0),1),0)</f>
        <v>0</v>
      </c>
      <c r="BO112" s="324" t="n">
        <f aca="false">IF(AH112,xEURO(BB112,Strike2,AE112,AE112,BG112,O112,IF(OptControl=3,1,0),2),0)</f>
        <v>0</v>
      </c>
      <c r="BP112" s="324" t="n">
        <f aca="false">IF(AH112,xEURO(BB112,Strike2,AE112,AE112,BG112,O112,IF(OptControl=3,1,0),3)/100,0)</f>
        <v>0</v>
      </c>
      <c r="BQ112" s="327" t="n">
        <f aca="false">IF(AH112,xEURO(BB112,Strike2,AE112,AE112,BG112,O112-DaysForThetaCalculation,IF(OptControl=3,1,0),0)-xEURO(BB112,Strike2,AE112,AE112,BG112,O112,IF(OptControl=3,1,0),0),0)</f>
        <v>0</v>
      </c>
      <c r="BR112" s="343"/>
      <c r="BS112" s="314"/>
      <c r="BT112" s="329" t="n">
        <f aca="false">BS112*100/42</f>
        <v>0</v>
      </c>
      <c r="BU112" s="329" t="n">
        <f aca="false">BS113-$U112</f>
        <v>-25.8065217391304</v>
      </c>
      <c r="BV112" s="224"/>
      <c r="BW112" s="329" t="n">
        <f aca="false">BW100+VLOOKUP(1900+$L112,ProductSpreadTable,2)</f>
        <v>13.4765714285714</v>
      </c>
      <c r="BX112" s="329" t="n">
        <f aca="false">($V111+BW111)*100/42</f>
        <v>91.4229419303952</v>
      </c>
      <c r="BY112" s="332" t="n">
        <f aca="false">BX113</f>
        <v>93.5311742088139</v>
      </c>
      <c r="BZ112" s="314"/>
      <c r="CA112" s="329" t="n">
        <f aca="false">BZ112*100/42</f>
        <v>0</v>
      </c>
      <c r="CB112" s="329" t="n">
        <f aca="false">BZ112-$U112</f>
        <v>-25.8065217391304</v>
      </c>
      <c r="CC112" s="329" t="n">
        <f aca="false">CC100+VLOOKUP(1900+$L112,ProductSpreadTable,3)</f>
        <v>11.9185714285714</v>
      </c>
      <c r="CD112" s="329" t="n">
        <f aca="false">($V112+CC112)*100/42</f>
        <v>89.8216503992901</v>
      </c>
      <c r="CE112" s="333" t="n">
        <f aca="false">CD112-BY112</f>
        <v>-3.70952380952382</v>
      </c>
      <c r="CF112" s="314"/>
      <c r="CG112" s="329" t="n">
        <f aca="false">CF112*100/42</f>
        <v>0</v>
      </c>
      <c r="CH112" s="329" t="n">
        <f aca="false">CF113-$U112</f>
        <v>-25.8065217391304</v>
      </c>
      <c r="CI112" s="224"/>
      <c r="CJ112" s="329" t="n">
        <f aca="false">CJ100+VLOOKUP(1900+$L112,ProductSpreadTable,4)</f>
        <v>11.7045714285714</v>
      </c>
      <c r="CK112" s="329" t="n">
        <f aca="false">($V111+CJ111)*100/42</f>
        <v>89.8038943113476</v>
      </c>
      <c r="CL112" s="329" t="n">
        <f aca="false">CK113</f>
        <v>89.3121265897663</v>
      </c>
      <c r="CM112" s="314"/>
      <c r="CN112" s="329" t="n">
        <f aca="false">CM112*100/42</f>
        <v>0</v>
      </c>
      <c r="CO112" s="329" t="n">
        <f aca="false">CM112-$U112</f>
        <v>-25.8065217391304</v>
      </c>
      <c r="CP112" s="329" t="n">
        <f aca="false">CP100+VLOOKUP(1900+$L112,ProductSpreadTable,5)</f>
        <v>10.5915714285714</v>
      </c>
      <c r="CQ112" s="329" t="n">
        <f aca="false">($V112+CP112)*100/42</f>
        <v>86.6621265897663</v>
      </c>
      <c r="CR112" s="333" t="n">
        <f aca="false">CQ112-CL112</f>
        <v>-2.64999999999999</v>
      </c>
      <c r="CS112" s="314"/>
      <c r="CT112" s="329" t="n">
        <f aca="false">CS112*100/42</f>
        <v>0</v>
      </c>
      <c r="CU112" s="329" t="n">
        <f aca="false">CT112-CG113</f>
        <v>0</v>
      </c>
      <c r="CV112" s="329" t="n">
        <f aca="false">CV100+VLOOKUP(1900+$L112,ProductSpreadTable,6)</f>
        <v>1.80000000000001</v>
      </c>
      <c r="CW112" s="333" t="n">
        <f aca="false">CL112+CV112</f>
        <v>91.1121265897663</v>
      </c>
      <c r="CX112" s="318"/>
      <c r="CY112" s="326" t="n">
        <f aca="false">CX112-$W112</f>
        <v>-0.174899999999999</v>
      </c>
      <c r="CZ112" s="326" t="n">
        <f aca="false">VLOOKUP(1900+$L112,ProductSpreadTable,7)</f>
        <v>-0.03</v>
      </c>
      <c r="DA112" s="365" t="n">
        <f aca="false">$W112+CZ112</f>
        <v>0.144899999999999</v>
      </c>
      <c r="DB112" s="318"/>
      <c r="DC112" s="326" t="n">
        <f aca="false">DB112-$W112</f>
        <v>-0.174899999999999</v>
      </c>
      <c r="DD112" s="326" t="n">
        <f aca="false">VLOOKUP(1900+$L112,ProductSpreadTable,8)</f>
        <v>0.03</v>
      </c>
      <c r="DE112" s="365" t="n">
        <f aca="false">$W112+DD112</f>
        <v>0.204899999999999</v>
      </c>
      <c r="DG112" s="336"/>
      <c r="DH112" s="314"/>
      <c r="DI112" s="325" t="n">
        <f aca="false">DH112-$U112</f>
        <v>-25.8065217391304</v>
      </c>
      <c r="DJ112" s="325" t="n">
        <f aca="false">VLOOKUP(1900+$L112,ResidSpreadTable,2)</f>
        <v>-2</v>
      </c>
      <c r="DK112" s="337" t="n">
        <f aca="false">$V112+DJ112</f>
        <v>23.8065217391304</v>
      </c>
      <c r="DL112" s="314"/>
      <c r="DM112" s="325" t="n">
        <f aca="false">DL112-$U112</f>
        <v>-25.8065217391304</v>
      </c>
      <c r="DN112" s="325" t="n">
        <f aca="false">VLOOKUP(1900+$L112,ResidSpreadTable,3)</f>
        <v>-3</v>
      </c>
      <c r="DO112" s="337" t="n">
        <f aca="false">$V112+DN112</f>
        <v>22.8065217391304</v>
      </c>
      <c r="DP112" s="314"/>
      <c r="DQ112" s="325" t="n">
        <f aca="false">DP112-$U112</f>
        <v>-25.8065217391304</v>
      </c>
      <c r="DR112" s="325" t="n">
        <f aca="false">VLOOKUP(1900+$L112,ResidSpreadTable,4)</f>
        <v>-6</v>
      </c>
      <c r="DS112" s="337" t="n">
        <f aca="false">$V112+DR112</f>
        <v>19.8065217391304</v>
      </c>
      <c r="DT112" s="314"/>
      <c r="DU112" s="325" t="n">
        <f aca="false">DT112-$U112</f>
        <v>-25.8065217391304</v>
      </c>
      <c r="DV112" s="325" t="n">
        <f aca="false">VLOOKUP(1900+$L112,ResidSpreadTable,5)</f>
        <v>-5</v>
      </c>
      <c r="DW112" s="337" t="n">
        <f aca="false">$V112+DV112</f>
        <v>20.8065217391304</v>
      </c>
    </row>
    <row r="113" customFormat="false" ht="12.75" hidden="false" customHeight="false" outlineLevel="0" collapsed="false">
      <c r="B113" s="371" t="n">
        <v>38991</v>
      </c>
      <c r="C113" s="391" t="n">
        <v>38980</v>
      </c>
      <c r="I113" s="338" t="n">
        <f aca="false">EOMONTH(I112,0)+1</f>
        <v>49188</v>
      </c>
      <c r="J113" s="389" t="n">
        <f aca="false">VLOOKUP(I113,$B$12:$C$332,2)</f>
        <v>45644</v>
      </c>
      <c r="K113" s="339" t="n">
        <f aca="false">NETWORKDAYS(I113,J114)/N113</f>
        <v>-120.619047619048</v>
      </c>
      <c r="L113" s="309" t="n">
        <f aca="false">YEAR(I113)-1900</f>
        <v>134</v>
      </c>
      <c r="M113" s="310" t="n">
        <f aca="false">MONTH(I113)</f>
        <v>9</v>
      </c>
      <c r="N113" s="340" t="n">
        <f aca="false">NETWORKDAYS(I113,I114-1)</f>
        <v>21</v>
      </c>
      <c r="O113" s="341" t="n">
        <f aca="false">I113-DateToday-IF(EuroExpDateToggle=1,3+IF(WEEKDAY(I113-1)=7,1,IF(WEEKDAY(I113-1)&lt;5,2,0)),1+IF(WEEKDAY(I113-1)=7,1,IF(WEEKDAY(I113-1)&lt;3,2,0)))</f>
        <v>3259</v>
      </c>
      <c r="P113" s="342" t="n">
        <f aca="false">(I113-DateToday+1)/365.25</f>
        <v>8.93360711841205</v>
      </c>
      <c r="Q113" s="342" t="n">
        <f aca="false">(I114-DateToday)/365.25</f>
        <v>9.01300479123888</v>
      </c>
      <c r="R113" s="314" t="n">
        <v>20.3</v>
      </c>
      <c r="S113" s="347" t="n">
        <v>0</v>
      </c>
      <c r="T113" s="316" t="n">
        <f aca="false">R113+S113/100</f>
        <v>20.3</v>
      </c>
      <c r="U113" s="325" t="n">
        <f aca="false">R114*K113+R115*(1-K113)</f>
        <v>26.430952380952</v>
      </c>
      <c r="V113" s="337" t="n">
        <f aca="false">T114*K113+T115*(1-K113)</f>
        <v>26.430952380952</v>
      </c>
      <c r="W113" s="318" t="n">
        <v>0.174499999999999</v>
      </c>
      <c r="X113" s="319" t="str">
        <f aca="false">IF($I113-DateToday+1&gt;=$A$10,"",IF($I113-DateToday+1&lt;$A$5,1,MATCH($I113-DateToday+1,$A$5:$A$10)))</f>
        <v/>
      </c>
      <c r="Y113" s="348" t="n">
        <f aca="false">IF($X113="",Y112^2/Y111,INDEX(B$5:B$10,$X113)^((INDEX($A$5:$A$10,$X113+1)-($I113-DateToday+1))/(INDEX($A$5:$A$10,$X113+1)-INDEX($A$5:$A$10,$X113)))/INDEX(B$5:B$10,$X113+1)^((INDEX($A$5:$A$10,$X113)-($I113-DateToday+1))/(INDEX($A$5:$A$10,$X113+1)-INDEX($A$5:$A$10,$X113))))</f>
        <v>0.00151320591474316</v>
      </c>
      <c r="Z113" s="348" t="n">
        <f aca="false">IF($X113="",Z112^2/Z111,INDEX(C$5:C$10,$X113)^((INDEX($A$5:$A$10,$X113+1)-($I113-DateToday+1))/(INDEX($A$5:$A$10,$X113+1)-INDEX($A$5:$A$10,$X113)))/INDEX(C$5:C$10,$X113+1)^((INDEX($A$5:$A$10,$X113)-($I113-DateToday+1))/(INDEX($A$5:$A$10,$X113+1)-INDEX($A$5:$A$10,$X113))))</f>
        <v>0.000524556177980325</v>
      </c>
      <c r="AA113" s="348" t="n">
        <f aca="false">IF($X113="",AA112^2/AA111,INDEX(D$5:D$10,$X113)^((INDEX($A$5:$A$10,$X113+1)-($I113-DateToday+1))/(INDEX($A$5:$A$10,$X113+1)-INDEX($A$5:$A$10,$X113)))/INDEX(D$5:D$10,$X113+1)^((INDEX($A$5:$A$10,$X113)-($I113-DateToday+1))/(INDEX($A$5:$A$10,$X113+1)-INDEX($A$5:$A$10,$X113))))</f>
        <v>0.000187510693363498</v>
      </c>
      <c r="AB113" s="348" t="n">
        <f aca="false">IF($X113="",AB112^2/AB111,INDEX(E$5:E$10,$X113)^((INDEX($A$5:$A$10,$X113+1)-($I113-DateToday+1))/(INDEX($A$5:$A$10,$X113+1)-INDEX($A$5:$A$10,$X113)))/INDEX(E$5:E$10,$X113+1)^((INDEX($A$5:$A$10,$X113)-($I113-DateToday+1))/(INDEX($A$5:$A$10,$X113+1)-INDEX($A$5:$A$10,$X113))))</f>
        <v>0.000422424090009298</v>
      </c>
      <c r="AC113" s="348" t="n">
        <f aca="false">IF($X113="",AC112^2/AC111,INDEX(F$5:F$10,$X113)^((INDEX($A$5:$A$10,$X113+1)-($I113-DateToday+1))/(INDEX($A$5:$A$10,$X113+1)-INDEX($A$5:$A$10,$X113)))/INDEX(F$5:F$10,$X113+1)^((INDEX($A$5:$A$10,$X113)-($I113-DateToday+1))/(INDEX($A$5:$A$10,$X113+1)-INDEX($A$5:$A$10,$X113))))</f>
        <v>0.00118172015775407</v>
      </c>
      <c r="AD113" s="348" t="n">
        <f aca="false">IF($X113="",AD112^2/AD111,INDEX(G$5:G$10,$X113)^((INDEX($A$5:$A$10,$X113+1)-($I113-DateToday+1))/(INDEX($A$5:$A$10,$X113+1)-INDEX($A$5:$A$10,$X113)))/INDEX(G$5:G$10,$X113+1)^((INDEX($A$5:$A$10,$X113)-($I113-DateToday+1))/(INDEX($A$5:$A$10,$X113+1)-INDEX($A$5:$A$10,$X113))))</f>
        <v>0.00340895028473317</v>
      </c>
      <c r="AE113" s="321" t="n">
        <v>0.073682990172802</v>
      </c>
      <c r="AF113" s="316" t="n">
        <f aca="false">(1+AE113/2)^(-2*(I114-DateToday)/365.25)</f>
        <v>0.520917172428779</v>
      </c>
      <c r="AG113" s="316" t="n">
        <f aca="false">AG112*(1+IF(AND(M113=1,L113&gt;YearStart),Escalation,0))</f>
        <v>1</v>
      </c>
      <c r="AH113" s="322" t="n">
        <f aca="false">IF(OR(DateStart&gt;=I114,DateEnd&lt;I113),0,Volume*AG113)</f>
        <v>0</v>
      </c>
      <c r="AI113" s="322" t="n">
        <f aca="false">AH113*AF113</f>
        <v>0</v>
      </c>
      <c r="AJ113" s="322" t="n">
        <f aca="false">IF(OR(DateStart2&gt;=I114,DateEnd2&lt;I113),0,VolumeSwaption*AG113)</f>
        <v>0</v>
      </c>
      <c r="AK113" s="322" t="n">
        <f aca="false">AJ113*AF113</f>
        <v>0</v>
      </c>
      <c r="AL113" s="316" t="str">
        <f aca="true">IF(AH113,OFFSET(BY113,0,HorizontalPriceOffset)+PriceSpreadAsian,"")</f>
        <v/>
      </c>
      <c r="AM113" s="316" t="str">
        <f aca="false">IF(AH113,Strike1/AL113-1,"")</f>
        <v/>
      </c>
      <c r="AN113" s="316" t="str">
        <f aca="false">IF(AH113,Strike2/AL113-1,"")</f>
        <v/>
      </c>
      <c r="AO113" s="323" t="str">
        <f aca="false">IF(AH113,IF(VolOverrideAsian,VolOverrideAsian,IF(ProductGroup=1,IF(Product&lt;3,DA114,DE114),W114)+VolSpreadAsian),"")</f>
        <v/>
      </c>
      <c r="AP113" s="323" t="str">
        <f aca="false">IF($AH113,$AO113+IF(SkewFlag=1,IF(AM113&gt;0,$AA113*MIN(AM113/10%,1)+($Z113-$AA113)*MAX(0,MIN(AM113/10%-1,1))+($Y113-$Z113)*MAX(0,AM113/10%-2),$AB113*MIN(-AM113/10%,1)+($AC113-$AB113)*MAX(0,MIN(-AM113/10%-1,1))+($AD113-$AC113)*MAX(0,-AM113/10%-2)),0),"")</f>
        <v/>
      </c>
      <c r="AQ113" s="323" t="str">
        <f aca="false">IF($AH113,$AO113+IF(SkewFlag=1,IF(AN113&gt;0,$AA113*MIN(AN113/10%,1)+($Z113-$AA113)*MAX(0,MIN(AN113/10%-1,1))+($Y113-$Z113)*MAX(0,AN113/10%-2),$AB113*MIN(-AN113/10%,1)+($AC113-$AB113)*MAX(0,MIN(-AN113/10%-1,1))+($AD113-$AC113)*MAX(0,-AN113/10%-2)),0),"")</f>
        <v/>
      </c>
      <c r="AR113" s="324" t="n">
        <f aca="false">IF(AH113,xASN(AL113,Strike1,AE113,AP113,0,N113,0,P113,Q113,IF(OptControl=4,0,1),0),0)</f>
        <v>0</v>
      </c>
      <c r="AS113" s="324" t="n">
        <f aca="false">IF(AH113,xASN(AL113,Strike1,AE113,AP113,0,N113,0,P113,Q113,IF(OptControl=4,0,1),1),0)</f>
        <v>0</v>
      </c>
      <c r="AT113" s="324" t="n">
        <f aca="false">IF(AH113,xASN(AL113,Strike1,AE113,AP113,0,N113,0,P113,Q113,IF(OptControl=4,0,1),2),0)</f>
        <v>0</v>
      </c>
      <c r="AU113" s="324" t="n">
        <f aca="false">IF(AH113,xASN(AL113,Strike1,AE113,AP113,0,N113,0,P113,Q113,IF(OptControl=4,0,1),3)/100,0)</f>
        <v>0</v>
      </c>
      <c r="AV113" s="324" t="n">
        <f aca="false">IF(AH113,xASN(AL113,Strike1,AE113,AP113,0,N113,0,P113-DaysForThetaCalculation/365.25,Q113-DaysForThetaCalculation/365.25,IF(OptControl=4,0,1),0)-xASN(AL113,Strike1,AE113,AP113,0,N113,0,P113,Q113,IF(OptControl=4,0,1),0),0)</f>
        <v>0</v>
      </c>
      <c r="AW113" s="324" t="n">
        <f aca="false">IF(AH113,xASN(AL113,Strike2,AE113,AQ113,0,N113,0,P113,Q113,IF(OptControl=3,1,0),0),0)</f>
        <v>0</v>
      </c>
      <c r="AX113" s="324" t="n">
        <f aca="false">IF(AH113,xASN(AL113,Strike2,AE113,AQ113,0,N113,0,P113,Q113,IF(OptControl=3,1,0),1),0)</f>
        <v>0</v>
      </c>
      <c r="AY113" s="324" t="n">
        <f aca="false">IF(AH113,xASN(AL113,Strike2,AE113,AQ113,0,N113,0,P113,Q113,IF(OptControl=3,1,0),2),0)</f>
        <v>0</v>
      </c>
      <c r="AZ113" s="324" t="n">
        <f aca="false">IF(AH113,xASN(AL113,Strike2,AE113,AQ113,0,N113,0,P113,Q113,IF(OptControl=3,1,0),3)/100,0)</f>
        <v>0</v>
      </c>
      <c r="BA113" s="324" t="n">
        <f aca="false">IF(AH113,xASN(AL113,Strike2,AE113,AQ113,0,N113,0,P113-DaysForThetaCalculation/365.25,Q113-DaysForThetaCalculation/365.25,IF(OptControl=3,1,0),0)-xASN(AL113,Strike2,AE113,AQ113,0,N113,0,P113,Q113,IF(OptControl=3,1,0),0),0)</f>
        <v>0</v>
      </c>
      <c r="BB113" s="325" t="str">
        <f aca="false">IF(AH113,IF(ProductGroup=1,IF(Product=1,BX113+PriceSpreadEuro,IF(Product=3,CK113+PriceSpreadEuro,"N/A")),"N/A"),"")</f>
        <v/>
      </c>
      <c r="BC113" s="316" t="str">
        <f aca="false">IF(AH113,Strike1/BB113-1,"")</f>
        <v/>
      </c>
      <c r="BD113" s="316" t="str">
        <f aca="false">IF(AH113,Strike2/BB113-1,"")</f>
        <v/>
      </c>
      <c r="BE113" s="326" t="str">
        <f aca="false">IF(AH113,IF(VolOverrideEuro,VolOverrideEuro,IF(ProductGroup=1,IF(Product&lt;3,DA113,DE113)+VolSpreadEuro,"N/A")),"")</f>
        <v/>
      </c>
      <c r="BF113" s="323" t="str">
        <f aca="false">IF($AH113,$BE113+IF(SkewFlag=1,IF(BC113&gt;0,$AA113*MIN(BC113/10%,1)+($Z113-$AA113)*MAX(0,MIN(BC113/10%-1,1))+($Y113-$Z113)*MAX(0,BC113/10%-2),$AB113*MIN(-BC113/10%,1)+($AC113-$AB113)*MAX(0,MIN(-BC113/10%-1,1))+($AD113-$AC113)*MAX(0,-BC113/10%-2)),0),"")</f>
        <v/>
      </c>
      <c r="BG113" s="323" t="str">
        <f aca="false">IF($AH113,$BE113+IF(SkewFlag=1,IF(BD113&gt;0,$AA113*MIN(BD113/10%,1)+($Z113-$AA113)*MAX(0,MIN(BD113/10%-1,1))+($Y113-$Z113)*MAX(0,BD113/10%-2),$AB113*MIN(-BD113/10%,1)+($AC113-$AB113)*MAX(0,MIN(-BD113/10%-1,1))+($AD113-$AC113)*MAX(0,-BD113/10%-2)),0),"")</f>
        <v/>
      </c>
      <c r="BH113" s="324" t="n">
        <f aca="false">IF(AH113,xEURO(BB113,Strike1,AE113,AE113,BF113,O113,IF(OptControl=4,0,1),0),0)</f>
        <v>0</v>
      </c>
      <c r="BI113" s="324" t="n">
        <f aca="false">IF(AH113,xEURO(BB113,Strike1,AE113,AE113,BF113,O113,IF(OptControl=4,0,1),1),0)</f>
        <v>0</v>
      </c>
      <c r="BJ113" s="324" t="n">
        <f aca="false">IF(AH113,xEURO(BB113,Strike1,AE113,AE113,BF113,O113,IF(OptControl=4,0,1),2),0)</f>
        <v>0</v>
      </c>
      <c r="BK113" s="324" t="n">
        <f aca="false">IF(AH113,xEURO(BB113,Strike1,AE113,AE113,BF113,O113,IF(OptControl=4,0,1),3)/100,0)</f>
        <v>0</v>
      </c>
      <c r="BL113" s="324" t="n">
        <f aca="false">IF(AH113,xEURO(BB113,Strike1,AE113,AE113,BF113,O113-DaysForThetaCalculation,IF(OptControl=4,0,1),0)-xEURO(BB113,Strike1,AE113,AE113,BF113,O113,IF(OptControl=4,0,1),0),0)</f>
        <v>0</v>
      </c>
      <c r="BM113" s="324" t="n">
        <f aca="false">IF(AH113,xEURO(BB113,Strike2,AE113,AE113,BG113,O113,IF(OptControl=3,1,0),0),0)</f>
        <v>0</v>
      </c>
      <c r="BN113" s="324" t="n">
        <f aca="false">IF(AH113,xEURO(BB113,Strike2,AE113,AE113,BG113,O113,IF(OptControl=3,1,0),1),0)</f>
        <v>0</v>
      </c>
      <c r="BO113" s="324" t="n">
        <f aca="false">IF(AH113,xEURO(BB113,Strike2,AE113,AE113,BG113,O113,IF(OptControl=3,1,0),2),0)</f>
        <v>0</v>
      </c>
      <c r="BP113" s="324" t="n">
        <f aca="false">IF(AH113,xEURO(BB113,Strike2,AE113,AE113,BG113,O113,IF(OptControl=3,1,0),3)/100,0)</f>
        <v>0</v>
      </c>
      <c r="BQ113" s="327" t="n">
        <f aca="false">IF(AH113,xEURO(BB113,Strike2,AE113,AE113,BG113,O113-DaysForThetaCalculation,IF(OptControl=3,1,0),0)-xEURO(BB113,Strike2,AE113,AE113,BG113,O113,IF(OptControl=3,1,0),0),0)</f>
        <v>0</v>
      </c>
      <c r="BR113" s="343"/>
      <c r="BS113" s="314"/>
      <c r="BT113" s="329" t="n">
        <f aca="false">BS113*100/42</f>
        <v>0</v>
      </c>
      <c r="BU113" s="329" t="n">
        <f aca="false">BS114-$U113</f>
        <v>-26.430952380952</v>
      </c>
      <c r="BV113" s="224"/>
      <c r="BW113" s="329" t="n">
        <f aca="false">BW101+VLOOKUP(1900+$L113,ProductSpreadTable,2)</f>
        <v>11.542</v>
      </c>
      <c r="BX113" s="329" t="n">
        <f aca="false">($V112+BW112)*100/42</f>
        <v>93.5311742088139</v>
      </c>
      <c r="BY113" s="332" t="n">
        <f aca="false">BX114</f>
        <v>90.4117913832191</v>
      </c>
      <c r="BZ113" s="314"/>
      <c r="CA113" s="329" t="n">
        <f aca="false">BZ113*100/42</f>
        <v>0</v>
      </c>
      <c r="CB113" s="329" t="n">
        <f aca="false">BZ113-$U113</f>
        <v>-26.430952380952</v>
      </c>
      <c r="CC113" s="329" t="n">
        <f aca="false">CC101+VLOOKUP(1900+$L113,ProductSpreadTable,3)</f>
        <v>13.893</v>
      </c>
      <c r="CD113" s="329" t="n">
        <f aca="false">($V113+CC113)*100/42</f>
        <v>96.0094104308381</v>
      </c>
      <c r="CE113" s="333" t="n">
        <f aca="false">CD113-BY113</f>
        <v>5.59761904761898</v>
      </c>
      <c r="CF113" s="314"/>
      <c r="CG113" s="329" t="n">
        <f aca="false">CF113*100/42</f>
        <v>0</v>
      </c>
      <c r="CH113" s="329" t="n">
        <f aca="false">CF114-$U113</f>
        <v>-26.430952380952</v>
      </c>
      <c r="CI113" s="224"/>
      <c r="CJ113" s="329" t="n">
        <f aca="false">CJ101+VLOOKUP(1900+$L113,ProductSpreadTable,4)</f>
        <v>10.874</v>
      </c>
      <c r="CK113" s="329" t="n">
        <f aca="false">($V112+CJ112)*100/42</f>
        <v>89.3121265897663</v>
      </c>
      <c r="CL113" s="329" t="n">
        <f aca="false">CK114</f>
        <v>88.8213151927428</v>
      </c>
      <c r="CM113" s="314"/>
      <c r="CN113" s="329" t="n">
        <f aca="false">CM113*100/42</f>
        <v>0</v>
      </c>
      <c r="CO113" s="329" t="n">
        <f aca="false">CM113-$U113</f>
        <v>-26.430952380952</v>
      </c>
      <c r="CP113" s="329" t="n">
        <f aca="false">CP101+VLOOKUP(1900+$L113,ProductSpreadTable,5)</f>
        <v>9.76099999999997</v>
      </c>
      <c r="CQ113" s="329" t="n">
        <f aca="false">($V113+CP113)*100/42</f>
        <v>86.1713151927428</v>
      </c>
      <c r="CR113" s="333" t="n">
        <f aca="false">CQ113-CL113</f>
        <v>-2.65000000000001</v>
      </c>
      <c r="CS113" s="314"/>
      <c r="CT113" s="329" t="n">
        <f aca="false">CS113*100/42</f>
        <v>0</v>
      </c>
      <c r="CU113" s="329" t="n">
        <f aca="false">CT113-CG114</f>
        <v>0</v>
      </c>
      <c r="CV113" s="329" t="n">
        <f aca="false">CV101+VLOOKUP(1900+$L113,ProductSpreadTable,6)</f>
        <v>1.79999999999999</v>
      </c>
      <c r="CW113" s="333" t="n">
        <f aca="false">CL113+CV113</f>
        <v>90.6213151927428</v>
      </c>
      <c r="CX113" s="318"/>
      <c r="CY113" s="326" t="n">
        <f aca="false">CX113-$W113</f>
        <v>-0.174499999999999</v>
      </c>
      <c r="CZ113" s="326" t="n">
        <f aca="false">VLOOKUP(1900+$L113,ProductSpreadTable,7)</f>
        <v>-0.03</v>
      </c>
      <c r="DA113" s="365" t="n">
        <f aca="false">$W113+CZ113</f>
        <v>0.144499999999999</v>
      </c>
      <c r="DB113" s="318"/>
      <c r="DC113" s="326" t="n">
        <f aca="false">DB113-$W113</f>
        <v>-0.174499999999999</v>
      </c>
      <c r="DD113" s="326" t="n">
        <f aca="false">VLOOKUP(1900+$L113,ProductSpreadTable,8)</f>
        <v>0.03</v>
      </c>
      <c r="DE113" s="365" t="n">
        <f aca="false">$W113+DD113</f>
        <v>0.204499999999999</v>
      </c>
      <c r="DG113" s="336"/>
      <c r="DH113" s="314"/>
      <c r="DI113" s="325" t="n">
        <f aca="false">DH113-$U113</f>
        <v>-26.430952380952</v>
      </c>
      <c r="DJ113" s="325" t="n">
        <f aca="false">VLOOKUP(1900+$L113,ResidSpreadTable,2)</f>
        <v>-2</v>
      </c>
      <c r="DK113" s="337" t="n">
        <f aca="false">$V113+DJ113</f>
        <v>24.430952380952</v>
      </c>
      <c r="DL113" s="314"/>
      <c r="DM113" s="325" t="n">
        <f aca="false">DL113-$U113</f>
        <v>-26.430952380952</v>
      </c>
      <c r="DN113" s="325" t="n">
        <f aca="false">VLOOKUP(1900+$L113,ResidSpreadTable,3)</f>
        <v>-3</v>
      </c>
      <c r="DO113" s="337" t="n">
        <f aca="false">$V113+DN113</f>
        <v>23.430952380952</v>
      </c>
      <c r="DP113" s="314"/>
      <c r="DQ113" s="325" t="n">
        <f aca="false">DP113-$U113</f>
        <v>-26.430952380952</v>
      </c>
      <c r="DR113" s="325" t="n">
        <f aca="false">VLOOKUP(1900+$L113,ResidSpreadTable,4)</f>
        <v>-6</v>
      </c>
      <c r="DS113" s="337" t="n">
        <f aca="false">$V113+DR113</f>
        <v>20.430952380952</v>
      </c>
      <c r="DT113" s="314"/>
      <c r="DU113" s="325" t="n">
        <f aca="false">DT113-$U113</f>
        <v>-26.430952380952</v>
      </c>
      <c r="DV113" s="325" t="n">
        <f aca="false">VLOOKUP(1900+$L113,ResidSpreadTable,5)</f>
        <v>-5</v>
      </c>
      <c r="DW113" s="337" t="n">
        <f aca="false">$V113+DV113</f>
        <v>21.430952380952</v>
      </c>
    </row>
    <row r="114" customFormat="false" ht="12.75" hidden="false" customHeight="false" outlineLevel="0" collapsed="false">
      <c r="B114" s="371" t="n">
        <v>39022</v>
      </c>
      <c r="C114" s="391" t="n">
        <v>39012</v>
      </c>
      <c r="I114" s="338" t="n">
        <f aca="false">EOMONTH(I113,0)+1</f>
        <v>49218</v>
      </c>
      <c r="J114" s="389" t="n">
        <f aca="false">VLOOKUP(I114,$B$12:$C$332,2)</f>
        <v>45644</v>
      </c>
      <c r="K114" s="339" t="n">
        <f aca="false">NETWORKDAYS(I114,J115)/N114</f>
        <v>-116.045454545455</v>
      </c>
      <c r="L114" s="309" t="n">
        <f aca="false">YEAR(I114)-1900</f>
        <v>134</v>
      </c>
      <c r="M114" s="310" t="n">
        <f aca="false">MONTH(I114)</f>
        <v>10</v>
      </c>
      <c r="N114" s="340" t="n">
        <f aca="false">NETWORKDAYS(I114,I115-1)</f>
        <v>22</v>
      </c>
      <c r="O114" s="341" t="n">
        <f aca="false">I114-DateToday-IF(EuroExpDateToggle=1,3+IF(WEEKDAY(I114-1)=7,1,IF(WEEKDAY(I114-1)&lt;5,2,0)),1+IF(WEEKDAY(I114-1)=7,1,IF(WEEKDAY(I114-1)&lt;3,2,0)))</f>
        <v>3288</v>
      </c>
      <c r="P114" s="342" t="n">
        <f aca="false">(I114-DateToday+1)/365.25</f>
        <v>9.01574264202601</v>
      </c>
      <c r="Q114" s="342" t="n">
        <f aca="false">(I115-DateToday)/365.25</f>
        <v>9.09787816563997</v>
      </c>
      <c r="R114" s="314" t="n">
        <v>20.35</v>
      </c>
      <c r="S114" s="347" t="n">
        <v>0</v>
      </c>
      <c r="T114" s="316" t="n">
        <f aca="false">R114+S114/100</f>
        <v>20.35</v>
      </c>
      <c r="U114" s="325" t="n">
        <f aca="false">R115*K114+R116*(1-K114)</f>
        <v>26.2522727272731</v>
      </c>
      <c r="V114" s="337" t="n">
        <f aca="false">T115*K114+T116*(1-K114)</f>
        <v>26.2522727272731</v>
      </c>
      <c r="W114" s="318" t="n">
        <v>0.174099999999999</v>
      </c>
      <c r="X114" s="319" t="str">
        <f aca="false">IF($I114-DateToday+1&gt;=$A$10,"",IF($I114-DateToday+1&lt;$A$5,1,MATCH($I114-DateToday+1,$A$5:$A$10)))</f>
        <v/>
      </c>
      <c r="Y114" s="348" t="n">
        <f aca="false">IF($X114="",Y113^2/Y112,INDEX(B$5:B$10,$X114)^((INDEX($A$5:$A$10,$X114+1)-($I114-DateToday+1))/(INDEX($A$5:$A$10,$X114+1)-INDEX($A$5:$A$10,$X114)))/INDEX(B$5:B$10,$X114+1)^((INDEX($A$5:$A$10,$X114)-($I114-DateToday+1))/(INDEX($A$5:$A$10,$X114+1)-INDEX($A$5:$A$10,$X114))))</f>
        <v>0.00148081047758466</v>
      </c>
      <c r="Z114" s="348" t="n">
        <f aca="false">IF($X114="",Z113^2/Z112,INDEX(C$5:C$10,$X114)^((INDEX($A$5:$A$10,$X114+1)-($I114-DateToday+1))/(INDEX($A$5:$A$10,$X114+1)-INDEX($A$5:$A$10,$X114)))/INDEX(C$5:C$10,$X114+1)^((INDEX($A$5:$A$10,$X114)-($I114-DateToday+1))/(INDEX($A$5:$A$10,$X114+1)-INDEX($A$5:$A$10,$X114))))</f>
        <v>0.000510577852733574</v>
      </c>
      <c r="AA114" s="348" t="n">
        <f aca="false">IF($X114="",AA113^2/AA112,INDEX(D$5:D$10,$X114)^((INDEX($A$5:$A$10,$X114+1)-($I114-DateToday+1))/(INDEX($A$5:$A$10,$X114+1)-INDEX($A$5:$A$10,$X114)))/INDEX(D$5:D$10,$X114+1)^((INDEX($A$5:$A$10,$X114)-($I114-DateToday+1))/(INDEX($A$5:$A$10,$X114+1)-INDEX($A$5:$A$10,$X114))))</f>
        <v>0.000182024497128379</v>
      </c>
      <c r="AB114" s="348" t="n">
        <f aca="false">IF($X114="",AB113^2/AB112,INDEX(E$5:E$10,$X114)^((INDEX($A$5:$A$10,$X114+1)-($I114-DateToday+1))/(INDEX($A$5:$A$10,$X114+1)-INDEX($A$5:$A$10,$X114)))/INDEX(E$5:E$10,$X114+1)^((INDEX($A$5:$A$10,$X114)-($I114-DateToday+1))/(INDEX($A$5:$A$10,$X114+1)-INDEX($A$5:$A$10,$X114))))</f>
        <v>0.000410064787130821</v>
      </c>
      <c r="AC114" s="348" t="n">
        <f aca="false">IF($X114="",AC113^2/AC112,INDEX(F$5:F$10,$X114)^((INDEX($A$5:$A$10,$X114+1)-($I114-DateToday+1))/(INDEX($A$5:$A$10,$X114+1)-INDEX($A$5:$A$10,$X114)))/INDEX(F$5:F$10,$X114+1)^((INDEX($A$5:$A$10,$X114)-($I114-DateToday+1))/(INDEX($A$5:$A$10,$X114+1)-INDEX($A$5:$A$10,$X114))))</f>
        <v>0.00115022978663819</v>
      </c>
      <c r="AD114" s="348" t="n">
        <f aca="false">IF($X114="",AD113^2/AD112,INDEX(G$5:G$10,$X114)^((INDEX($A$5:$A$10,$X114+1)-($I114-DateToday+1))/(INDEX($A$5:$A$10,$X114+1)-INDEX($A$5:$A$10,$X114)))/INDEX(G$5:G$10,$X114+1)^((INDEX($A$5:$A$10,$X114)-($I114-DateToday+1))/(INDEX($A$5:$A$10,$X114+1)-INDEX($A$5:$A$10,$X114))))</f>
        <v>0.0033359698439025</v>
      </c>
      <c r="AE114" s="321" t="n">
        <v>0.073690580243065</v>
      </c>
      <c r="AF114" s="316" t="n">
        <f aca="false">(1+AE114/2)^(-2*(I115-DateToday)/365.25)</f>
        <v>0.517693398429457</v>
      </c>
      <c r="AG114" s="316" t="n">
        <f aca="false">AG113*(1+IF(AND(M114=1,L114&gt;YearStart),Escalation,0))</f>
        <v>1</v>
      </c>
      <c r="AH114" s="322" t="n">
        <f aca="false">IF(OR(DateStart&gt;=I115,DateEnd&lt;I114),0,Volume*AG114)</f>
        <v>0</v>
      </c>
      <c r="AI114" s="322" t="n">
        <f aca="false">AH114*AF114</f>
        <v>0</v>
      </c>
      <c r="AJ114" s="322" t="n">
        <f aca="false">IF(OR(DateStart2&gt;=I115,DateEnd2&lt;I114),0,VolumeSwaption*AG114)</f>
        <v>0</v>
      </c>
      <c r="AK114" s="322" t="n">
        <f aca="false">AJ114*AF114</f>
        <v>0</v>
      </c>
      <c r="AL114" s="316" t="str">
        <f aca="true">IF(AH114,OFFSET(BY114,0,HorizontalPriceOffset)+PriceSpreadAsian,"")</f>
        <v/>
      </c>
      <c r="AM114" s="316" t="str">
        <f aca="false">IF(AH114,Strike1/AL114-1,"")</f>
        <v/>
      </c>
      <c r="AN114" s="316" t="str">
        <f aca="false">IF(AH114,Strike2/AL114-1,"")</f>
        <v/>
      </c>
      <c r="AO114" s="323" t="str">
        <f aca="false">IF(AH114,IF(VolOverrideAsian,VolOverrideAsian,IF(ProductGroup=1,IF(Product&lt;3,DA115,DE115),W115)+VolSpreadAsian),"")</f>
        <v/>
      </c>
      <c r="AP114" s="323" t="str">
        <f aca="false">IF($AH114,$AO114+IF(SkewFlag=1,IF(AM114&gt;0,$AA114*MIN(AM114/10%,1)+($Z114-$AA114)*MAX(0,MIN(AM114/10%-1,1))+($Y114-$Z114)*MAX(0,AM114/10%-2),$AB114*MIN(-AM114/10%,1)+($AC114-$AB114)*MAX(0,MIN(-AM114/10%-1,1))+($AD114-$AC114)*MAX(0,-AM114/10%-2)),0),"")</f>
        <v/>
      </c>
      <c r="AQ114" s="323" t="str">
        <f aca="false">IF($AH114,$AO114+IF(SkewFlag=1,IF(AN114&gt;0,$AA114*MIN(AN114/10%,1)+($Z114-$AA114)*MAX(0,MIN(AN114/10%-1,1))+($Y114-$Z114)*MAX(0,AN114/10%-2),$AB114*MIN(-AN114/10%,1)+($AC114-$AB114)*MAX(0,MIN(-AN114/10%-1,1))+($AD114-$AC114)*MAX(0,-AN114/10%-2)),0),"")</f>
        <v/>
      </c>
      <c r="AR114" s="324" t="n">
        <f aca="false">IF(AH114,xASN(AL114,Strike1,AE114,AP114,0,N114,0,P114,Q114,IF(OptControl=4,0,1),0),0)</f>
        <v>0</v>
      </c>
      <c r="AS114" s="324" t="n">
        <f aca="false">IF(AH114,xASN(AL114,Strike1,AE114,AP114,0,N114,0,P114,Q114,IF(OptControl=4,0,1),1),0)</f>
        <v>0</v>
      </c>
      <c r="AT114" s="324" t="n">
        <f aca="false">IF(AH114,xASN(AL114,Strike1,AE114,AP114,0,N114,0,P114,Q114,IF(OptControl=4,0,1),2),0)</f>
        <v>0</v>
      </c>
      <c r="AU114" s="324" t="n">
        <f aca="false">IF(AH114,xASN(AL114,Strike1,AE114,AP114,0,N114,0,P114,Q114,IF(OptControl=4,0,1),3)/100,0)</f>
        <v>0</v>
      </c>
      <c r="AV114" s="324" t="n">
        <f aca="false">IF(AH114,xASN(AL114,Strike1,AE114,AP114,0,N114,0,P114-DaysForThetaCalculation/365.25,Q114-DaysForThetaCalculation/365.25,IF(OptControl=4,0,1),0)-xASN(AL114,Strike1,AE114,AP114,0,N114,0,P114,Q114,IF(OptControl=4,0,1),0),0)</f>
        <v>0</v>
      </c>
      <c r="AW114" s="324" t="n">
        <f aca="false">IF(AH114,xASN(AL114,Strike2,AE114,AQ114,0,N114,0,P114,Q114,IF(OptControl=3,1,0),0),0)</f>
        <v>0</v>
      </c>
      <c r="AX114" s="324" t="n">
        <f aca="false">IF(AH114,xASN(AL114,Strike2,AE114,AQ114,0,N114,0,P114,Q114,IF(OptControl=3,1,0),1),0)</f>
        <v>0</v>
      </c>
      <c r="AY114" s="324" t="n">
        <f aca="false">IF(AH114,xASN(AL114,Strike2,AE114,AQ114,0,N114,0,P114,Q114,IF(OptControl=3,1,0),2),0)</f>
        <v>0</v>
      </c>
      <c r="AZ114" s="324" t="n">
        <f aca="false">IF(AH114,xASN(AL114,Strike2,AE114,AQ114,0,N114,0,P114,Q114,IF(OptControl=3,1,0),3)/100,0)</f>
        <v>0</v>
      </c>
      <c r="BA114" s="324" t="n">
        <f aca="false">IF(AH114,xASN(AL114,Strike2,AE114,AQ114,0,N114,0,P114-DaysForThetaCalculation/365.25,Q114-DaysForThetaCalculation/365.25,IF(OptControl=3,1,0),0)-xASN(AL114,Strike2,AE114,AQ114,0,N114,0,P114,Q114,IF(OptControl=3,1,0),0),0)</f>
        <v>0</v>
      </c>
      <c r="BB114" s="325" t="str">
        <f aca="false">IF(AH114,IF(ProductGroup=1,IF(Product=1,BX114+PriceSpreadEuro,IF(Product=3,CK114+PriceSpreadEuro,"N/A")),"N/A"),"")</f>
        <v/>
      </c>
      <c r="BC114" s="316" t="str">
        <f aca="false">IF(AH114,Strike1/BB114-1,"")</f>
        <v/>
      </c>
      <c r="BD114" s="316" t="str">
        <f aca="false">IF(AH114,Strike2/BB114-1,"")</f>
        <v/>
      </c>
      <c r="BE114" s="326" t="str">
        <f aca="false">IF(AH114,IF(VolOverrideEuro,VolOverrideEuro,IF(ProductGroup=1,IF(Product&lt;3,DA114,DE114)+VolSpreadEuro,"N/A")),"")</f>
        <v/>
      </c>
      <c r="BF114" s="323" t="str">
        <f aca="false">IF($AH114,$BE114+IF(SkewFlag=1,IF(BC114&gt;0,$AA114*MIN(BC114/10%,1)+($Z114-$AA114)*MAX(0,MIN(BC114/10%-1,1))+($Y114-$Z114)*MAX(0,BC114/10%-2),$AB114*MIN(-BC114/10%,1)+($AC114-$AB114)*MAX(0,MIN(-BC114/10%-1,1))+($AD114-$AC114)*MAX(0,-BC114/10%-2)),0),"")</f>
        <v/>
      </c>
      <c r="BG114" s="323" t="str">
        <f aca="false">IF($AH114,$BE114+IF(SkewFlag=1,IF(BD114&gt;0,$AA114*MIN(BD114/10%,1)+($Z114-$AA114)*MAX(0,MIN(BD114/10%-1,1))+($Y114-$Z114)*MAX(0,BD114/10%-2),$AB114*MIN(-BD114/10%,1)+($AC114-$AB114)*MAX(0,MIN(-BD114/10%-1,1))+($AD114-$AC114)*MAX(0,-BD114/10%-2)),0),"")</f>
        <v/>
      </c>
      <c r="BH114" s="324" t="n">
        <f aca="false">IF(AH114,xEURO(BB114,Strike1,AE114,AE114,BF114,O114,IF(OptControl=4,0,1),0),0)</f>
        <v>0</v>
      </c>
      <c r="BI114" s="324" t="n">
        <f aca="false">IF(AH114,xEURO(BB114,Strike1,AE114,AE114,BF114,O114,IF(OptControl=4,0,1),1),0)</f>
        <v>0</v>
      </c>
      <c r="BJ114" s="324" t="n">
        <f aca="false">IF(AH114,xEURO(BB114,Strike1,AE114,AE114,BF114,O114,IF(OptControl=4,0,1),2),0)</f>
        <v>0</v>
      </c>
      <c r="BK114" s="324" t="n">
        <f aca="false">IF(AH114,xEURO(BB114,Strike1,AE114,AE114,BF114,O114,IF(OptControl=4,0,1),3)/100,0)</f>
        <v>0</v>
      </c>
      <c r="BL114" s="324" t="n">
        <f aca="false">IF(AH114,xEURO(BB114,Strike1,AE114,AE114,BF114,O114-DaysForThetaCalculation,IF(OptControl=4,0,1),0)-xEURO(BB114,Strike1,AE114,AE114,BF114,O114,IF(OptControl=4,0,1),0),0)</f>
        <v>0</v>
      </c>
      <c r="BM114" s="324" t="n">
        <f aca="false">IF(AH114,xEURO(BB114,Strike2,AE114,AE114,BG114,O114,IF(OptControl=3,1,0),0),0)</f>
        <v>0</v>
      </c>
      <c r="BN114" s="324" t="n">
        <f aca="false">IF(AH114,xEURO(BB114,Strike2,AE114,AE114,BG114,O114,IF(OptControl=3,1,0),1),0)</f>
        <v>0</v>
      </c>
      <c r="BO114" s="324" t="n">
        <f aca="false">IF(AH114,xEURO(BB114,Strike2,AE114,AE114,BG114,O114,IF(OptControl=3,1,0),2),0)</f>
        <v>0</v>
      </c>
      <c r="BP114" s="324" t="n">
        <f aca="false">IF(AH114,xEURO(BB114,Strike2,AE114,AE114,BG114,O114,IF(OptControl=3,1,0),3)/100,0)</f>
        <v>0</v>
      </c>
      <c r="BQ114" s="327" t="n">
        <f aca="false">IF(AH114,xEURO(BB114,Strike2,AE114,AE114,BG114,O114-DaysForThetaCalculation,IF(OptControl=3,1,0),0)-xEURO(BB114,Strike2,AE114,AE114,BG114,O114,IF(OptControl=3,1,0),0),0)</f>
        <v>0</v>
      </c>
      <c r="BR114" s="343"/>
      <c r="BS114" s="314"/>
      <c r="BT114" s="329" t="n">
        <f aca="false">BS114*100/42</f>
        <v>0</v>
      </c>
      <c r="BU114" s="329" t="n">
        <f aca="false">BS115-$U114</f>
        <v>-26.2522727272731</v>
      </c>
      <c r="BV114" s="224"/>
      <c r="BW114" s="329" t="n">
        <f aca="false">BW102+VLOOKUP(1900+$L114,ProductSpreadTable,2)</f>
        <v>21.774347826087</v>
      </c>
      <c r="BX114" s="329" t="n">
        <f aca="false">($V113+BW113)*100/42</f>
        <v>90.4117913832191</v>
      </c>
      <c r="BY114" s="332" t="n">
        <f aca="false">BX115</f>
        <v>114.349096555619</v>
      </c>
      <c r="BZ114" s="314"/>
      <c r="CA114" s="329" t="n">
        <f aca="false">BZ114*100/42</f>
        <v>0</v>
      </c>
      <c r="CB114" s="329" t="n">
        <f aca="false">BZ114-$U114</f>
        <v>-26.2522727272731</v>
      </c>
      <c r="CC114" s="329" t="n">
        <f aca="false">CC102+VLOOKUP(1900+$L114,ProductSpreadTable,3)</f>
        <v>19.149347826087</v>
      </c>
      <c r="CD114" s="329" t="n">
        <f aca="false">($V114+CC114)*100/42</f>
        <v>108.099096555619</v>
      </c>
      <c r="CE114" s="333" t="n">
        <f aca="false">CD114-BY114</f>
        <v>-6.25</v>
      </c>
      <c r="CF114" s="314"/>
      <c r="CG114" s="329" t="n">
        <f aca="false">CF114*100/42</f>
        <v>0</v>
      </c>
      <c r="CH114" s="329" t="n">
        <f aca="false">CF115-$U114</f>
        <v>-26.2522727272731</v>
      </c>
      <c r="CI114" s="224"/>
      <c r="CJ114" s="329" t="n">
        <f aca="false">CJ102+VLOOKUP(1900+$L114,ProductSpreadTable,4)</f>
        <v>9.56163636363635</v>
      </c>
      <c r="CK114" s="329" t="n">
        <f aca="false">($V113+CJ113)*100/42</f>
        <v>88.8213151927428</v>
      </c>
      <c r="CL114" s="329" t="n">
        <f aca="false">CK115</f>
        <v>85.2712121212129</v>
      </c>
      <c r="CM114" s="314"/>
      <c r="CN114" s="329" t="n">
        <f aca="false">CM114*100/42</f>
        <v>0</v>
      </c>
      <c r="CO114" s="329" t="n">
        <f aca="false">CM114-$U114</f>
        <v>-26.2522727272731</v>
      </c>
      <c r="CP114" s="329" t="n">
        <f aca="false">CP102+VLOOKUP(1900+$L114,ProductSpreadTable,5)</f>
        <v>8.63763636363634</v>
      </c>
      <c r="CQ114" s="329" t="n">
        <f aca="false">($V114+CP114)*100/42</f>
        <v>83.0712121212129</v>
      </c>
      <c r="CR114" s="333" t="n">
        <f aca="false">CQ114-CL114</f>
        <v>-2.19999999999999</v>
      </c>
      <c r="CS114" s="314"/>
      <c r="CT114" s="329" t="n">
        <f aca="false">CS114*100/42</f>
        <v>0</v>
      </c>
      <c r="CU114" s="329" t="n">
        <f aca="false">CT114-CG115</f>
        <v>0</v>
      </c>
      <c r="CV114" s="329" t="n">
        <f aca="false">CV102+VLOOKUP(1900+$L114,ProductSpreadTable,6)</f>
        <v>1.79999999999999</v>
      </c>
      <c r="CW114" s="333" t="n">
        <f aca="false">CL114+CV114</f>
        <v>87.0712121212129</v>
      </c>
      <c r="CX114" s="318"/>
      <c r="CY114" s="326" t="n">
        <f aca="false">CX114-$W114</f>
        <v>-0.174099999999999</v>
      </c>
      <c r="CZ114" s="326" t="n">
        <f aca="false">VLOOKUP(1900+$L114,ProductSpreadTable,7)</f>
        <v>-0.03</v>
      </c>
      <c r="DA114" s="365" t="n">
        <f aca="false">$W114+CZ114</f>
        <v>0.144099999999999</v>
      </c>
      <c r="DB114" s="318"/>
      <c r="DC114" s="326" t="n">
        <f aca="false">DB114-$W114</f>
        <v>-0.174099999999999</v>
      </c>
      <c r="DD114" s="326" t="n">
        <f aca="false">VLOOKUP(1900+$L114,ProductSpreadTable,8)</f>
        <v>0.03</v>
      </c>
      <c r="DE114" s="365" t="n">
        <f aca="false">$W114+DD114</f>
        <v>0.204099999999999</v>
      </c>
      <c r="DG114" s="336"/>
      <c r="DH114" s="314"/>
      <c r="DI114" s="325" t="n">
        <f aca="false">DH114-$U114</f>
        <v>-26.2522727272731</v>
      </c>
      <c r="DJ114" s="325" t="n">
        <f aca="false">VLOOKUP(1900+$L114,ResidSpreadTable,2)</f>
        <v>-2</v>
      </c>
      <c r="DK114" s="337" t="n">
        <f aca="false">$V114+DJ114</f>
        <v>24.2522727272731</v>
      </c>
      <c r="DL114" s="314"/>
      <c r="DM114" s="325" t="n">
        <f aca="false">DL114-$U114</f>
        <v>-26.2522727272731</v>
      </c>
      <c r="DN114" s="325" t="n">
        <f aca="false">VLOOKUP(1900+$L114,ResidSpreadTable,3)</f>
        <v>-3</v>
      </c>
      <c r="DO114" s="337" t="n">
        <f aca="false">$V114+DN114</f>
        <v>23.2522727272731</v>
      </c>
      <c r="DP114" s="314"/>
      <c r="DQ114" s="325" t="n">
        <f aca="false">DP114-$U114</f>
        <v>-26.2522727272731</v>
      </c>
      <c r="DR114" s="325" t="n">
        <f aca="false">VLOOKUP(1900+$L114,ResidSpreadTable,4)</f>
        <v>-6</v>
      </c>
      <c r="DS114" s="337" t="n">
        <f aca="false">$V114+DR114</f>
        <v>20.2522727272731</v>
      </c>
      <c r="DT114" s="314"/>
      <c r="DU114" s="325" t="n">
        <f aca="false">DT114-$U114</f>
        <v>-26.2522727272731</v>
      </c>
      <c r="DV114" s="325" t="n">
        <f aca="false">VLOOKUP(1900+$L114,ResidSpreadTable,5)</f>
        <v>-5</v>
      </c>
      <c r="DW114" s="337" t="n">
        <f aca="false">$V114+DV114</f>
        <v>21.2522727272731</v>
      </c>
    </row>
    <row r="115" customFormat="false" ht="12.75" hidden="false" customHeight="false" outlineLevel="0" collapsed="false">
      <c r="B115" s="371" t="n">
        <v>39052</v>
      </c>
      <c r="C115" s="391" t="n">
        <v>39040</v>
      </c>
      <c r="I115" s="338" t="n">
        <f aca="false">EOMONTH(I114,0)+1</f>
        <v>49249</v>
      </c>
      <c r="J115" s="389" t="n">
        <f aca="false">VLOOKUP(I115,$B$12:$C$332,2)</f>
        <v>45644</v>
      </c>
      <c r="K115" s="339" t="n">
        <f aca="false">NETWORKDAYS(I115,J116)/N115</f>
        <v>-117.090909090909</v>
      </c>
      <c r="L115" s="309" t="n">
        <f aca="false">YEAR(I115)-1900</f>
        <v>134</v>
      </c>
      <c r="M115" s="310" t="n">
        <f aca="false">MONTH(I115)</f>
        <v>11</v>
      </c>
      <c r="N115" s="340" t="n">
        <f aca="false">NETWORKDAYS(I115,I116-1)</f>
        <v>22</v>
      </c>
      <c r="O115" s="341" t="n">
        <f aca="false">I115-DateToday-IF(EuroExpDateToggle=1,3+IF(WEEKDAY(I115-1)=7,1,IF(WEEKDAY(I115-1)&lt;5,2,0)),1+IF(WEEKDAY(I115-1)=7,1,IF(WEEKDAY(I115-1)&lt;3,2,0)))</f>
        <v>3318</v>
      </c>
      <c r="P115" s="342" t="n">
        <f aca="false">(I115-DateToday+1)/365.25</f>
        <v>9.10061601642711</v>
      </c>
      <c r="Q115" s="342" t="n">
        <f aca="false">(I116-DateToday)/365.25</f>
        <v>9.18001368925394</v>
      </c>
      <c r="R115" s="314" t="n">
        <v>20.4</v>
      </c>
      <c r="S115" s="347" t="n">
        <v>0</v>
      </c>
      <c r="T115" s="316" t="n">
        <f aca="false">R115+S115/100</f>
        <v>20.4</v>
      </c>
      <c r="U115" s="325" t="n">
        <f aca="false">R116*K115+R117*(1-K115)</f>
        <v>26.3545454545456</v>
      </c>
      <c r="V115" s="337" t="n">
        <f aca="false">T116*K115+T117*(1-K115)</f>
        <v>26.3545454545456</v>
      </c>
      <c r="W115" s="318" t="n">
        <v>0.173699999999999</v>
      </c>
      <c r="X115" s="319" t="str">
        <f aca="false">IF($I115-DateToday+1&gt;=$A$10,"",IF($I115-DateToday+1&lt;$A$5,1,MATCH($I115-DateToday+1,$A$5:$A$10)))</f>
        <v/>
      </c>
      <c r="Y115" s="348" t="n">
        <f aca="false">IF($X115="",Y114^2/Y113,INDEX(B$5:B$10,$X115)^((INDEX($A$5:$A$10,$X115+1)-($I115-DateToday+1))/(INDEX($A$5:$A$10,$X115+1)-INDEX($A$5:$A$10,$X115)))/INDEX(B$5:B$10,$X115+1)^((INDEX($A$5:$A$10,$X115)-($I115-DateToday+1))/(INDEX($A$5:$A$10,$X115+1)-INDEX($A$5:$A$10,$X115))))</f>
        <v>0.00144910857746462</v>
      </c>
      <c r="Z115" s="348" t="n">
        <f aca="false">IF($X115="",Z114^2/Z113,INDEX(C$5:C$10,$X115)^((INDEX($A$5:$A$10,$X115+1)-($I115-DateToday+1))/(INDEX($A$5:$A$10,$X115+1)-INDEX($A$5:$A$10,$X115)))/INDEX(C$5:C$10,$X115+1)^((INDEX($A$5:$A$10,$X115)-($I115-DateToday+1))/(INDEX($A$5:$A$10,$X115+1)-INDEX($A$5:$A$10,$X115))))</f>
        <v>0.000496972020624654</v>
      </c>
      <c r="AA115" s="348" t="n">
        <f aca="false">IF($X115="",AA114^2/AA113,INDEX(D$5:D$10,$X115)^((INDEX($A$5:$A$10,$X115+1)-($I115-DateToday+1))/(INDEX($A$5:$A$10,$X115+1)-INDEX($A$5:$A$10,$X115)))/INDEX(D$5:D$10,$X115+1)^((INDEX($A$5:$A$10,$X115)-($I115-DateToday+1))/(INDEX($A$5:$A$10,$X115+1)-INDEX($A$5:$A$10,$X115))))</f>
        <v>0.000176698816267558</v>
      </c>
      <c r="AB115" s="348" t="n">
        <f aca="false">IF($X115="",AB114^2/AB113,INDEX(E$5:E$10,$X115)^((INDEX($A$5:$A$10,$X115+1)-($I115-DateToday+1))/(INDEX($A$5:$A$10,$X115+1)-INDEX($A$5:$A$10,$X115)))/INDEX(E$5:E$10,$X115+1)^((INDEX($A$5:$A$10,$X115)-($I115-DateToday+1))/(INDEX($A$5:$A$10,$X115+1)-INDEX($A$5:$A$10,$X115))))</f>
        <v>0.000398067093287564</v>
      </c>
      <c r="AC115" s="348" t="n">
        <f aca="false">IF($X115="",AC114^2/AC113,INDEX(F$5:F$10,$X115)^((INDEX($A$5:$A$10,$X115+1)-($I115-DateToday+1))/(INDEX($A$5:$A$10,$X115+1)-INDEX($A$5:$A$10,$X115)))/INDEX(F$5:F$10,$X115+1)^((INDEX($A$5:$A$10,$X115)-($I115-DateToday+1))/(INDEX($A$5:$A$10,$X115+1)-INDEX($A$5:$A$10,$X115))))</f>
        <v>0.00111957856806322</v>
      </c>
      <c r="AD115" s="348" t="n">
        <f aca="false">IF($X115="",AD114^2/AD113,INDEX(G$5:G$10,$X115)^((INDEX($A$5:$A$10,$X115+1)-($I115-DateToday+1))/(INDEX($A$5:$A$10,$X115+1)-INDEX($A$5:$A$10,$X115)))/INDEX(G$5:G$10,$X115+1)^((INDEX($A$5:$A$10,$X115)-($I115-DateToday+1))/(INDEX($A$5:$A$10,$X115+1)-INDEX($A$5:$A$10,$X115))))</f>
        <v>0.00326455180331207</v>
      </c>
      <c r="AE115" s="321" t="n">
        <v>0.073697925472369</v>
      </c>
      <c r="AF115" s="316" t="n">
        <f aca="false">(1+AE115/2)^(-2*(I116-DateToday)/365.25)</f>
        <v>0.514592005524769</v>
      </c>
      <c r="AG115" s="316" t="n">
        <f aca="false">AG114*(1+IF(AND(M115=1,L115&gt;YearStart),Escalation,0))</f>
        <v>1</v>
      </c>
      <c r="AH115" s="322" t="n">
        <f aca="false">IF(OR(DateStart&gt;=I116,DateEnd&lt;I115),0,Volume*AG115)</f>
        <v>0</v>
      </c>
      <c r="AI115" s="322" t="n">
        <f aca="false">AH115*AF115</f>
        <v>0</v>
      </c>
      <c r="AJ115" s="322" t="n">
        <f aca="false">IF(OR(DateStart2&gt;=I116,DateEnd2&lt;I115),0,VolumeSwaption*AG115)</f>
        <v>0</v>
      </c>
      <c r="AK115" s="322" t="n">
        <f aca="false">AJ115*AF115</f>
        <v>0</v>
      </c>
      <c r="AL115" s="316" t="str">
        <f aca="true">IF(AH115,OFFSET(BY115,0,HorizontalPriceOffset)+PriceSpreadAsian,"")</f>
        <v/>
      </c>
      <c r="AM115" s="316" t="str">
        <f aca="false">IF(AH115,Strike1/AL115-1,"")</f>
        <v/>
      </c>
      <c r="AN115" s="316" t="str">
        <f aca="false">IF(AH115,Strike2/AL115-1,"")</f>
        <v/>
      </c>
      <c r="AO115" s="323" t="str">
        <f aca="false">IF(AH115,IF(VolOverrideAsian,VolOverrideAsian,IF(ProductGroup=1,IF(Product&lt;3,DA116,DE116),W116)+VolSpreadAsian),"")</f>
        <v/>
      </c>
      <c r="AP115" s="323" t="str">
        <f aca="false">IF($AH115,$AO115+IF(SkewFlag=1,IF(AM115&gt;0,$AA115*MIN(AM115/10%,1)+($Z115-$AA115)*MAX(0,MIN(AM115/10%-1,1))+($Y115-$Z115)*MAX(0,AM115/10%-2),$AB115*MIN(-AM115/10%,1)+($AC115-$AB115)*MAX(0,MIN(-AM115/10%-1,1))+($AD115-$AC115)*MAX(0,-AM115/10%-2)),0),"")</f>
        <v/>
      </c>
      <c r="AQ115" s="323" t="str">
        <f aca="false">IF($AH115,$AO115+IF(SkewFlag=1,IF(AN115&gt;0,$AA115*MIN(AN115/10%,1)+($Z115-$AA115)*MAX(0,MIN(AN115/10%-1,1))+($Y115-$Z115)*MAX(0,AN115/10%-2),$AB115*MIN(-AN115/10%,1)+($AC115-$AB115)*MAX(0,MIN(-AN115/10%-1,1))+($AD115-$AC115)*MAX(0,-AN115/10%-2)),0),"")</f>
        <v/>
      </c>
      <c r="AR115" s="324" t="n">
        <f aca="false">IF(AH115,xASN(AL115,Strike1,AE115,AP115,0,N115,0,P115,Q115,IF(OptControl=4,0,1),0),0)</f>
        <v>0</v>
      </c>
      <c r="AS115" s="324" t="n">
        <f aca="false">IF(AH115,xASN(AL115,Strike1,AE115,AP115,0,N115,0,P115,Q115,IF(OptControl=4,0,1),1),0)</f>
        <v>0</v>
      </c>
      <c r="AT115" s="324" t="n">
        <f aca="false">IF(AH115,xASN(AL115,Strike1,AE115,AP115,0,N115,0,P115,Q115,IF(OptControl=4,0,1),2),0)</f>
        <v>0</v>
      </c>
      <c r="AU115" s="324" t="n">
        <f aca="false">IF(AH115,xASN(AL115,Strike1,AE115,AP115,0,N115,0,P115,Q115,IF(OptControl=4,0,1),3)/100,0)</f>
        <v>0</v>
      </c>
      <c r="AV115" s="324" t="n">
        <f aca="false">IF(AH115,xASN(AL115,Strike1,AE115,AP115,0,N115,0,P115-DaysForThetaCalculation/365.25,Q115-DaysForThetaCalculation/365.25,IF(OptControl=4,0,1),0)-xASN(AL115,Strike1,AE115,AP115,0,N115,0,P115,Q115,IF(OptControl=4,0,1),0),0)</f>
        <v>0</v>
      </c>
      <c r="AW115" s="324" t="n">
        <f aca="false">IF(AH115,xASN(AL115,Strike2,AE115,AQ115,0,N115,0,P115,Q115,IF(OptControl=3,1,0),0),0)</f>
        <v>0</v>
      </c>
      <c r="AX115" s="324" t="n">
        <f aca="false">IF(AH115,xASN(AL115,Strike2,AE115,AQ115,0,N115,0,P115,Q115,IF(OptControl=3,1,0),1),0)</f>
        <v>0</v>
      </c>
      <c r="AY115" s="324" t="n">
        <f aca="false">IF(AH115,xASN(AL115,Strike2,AE115,AQ115,0,N115,0,P115,Q115,IF(OptControl=3,1,0),2),0)</f>
        <v>0</v>
      </c>
      <c r="AZ115" s="324" t="n">
        <f aca="false">IF(AH115,xASN(AL115,Strike2,AE115,AQ115,0,N115,0,P115,Q115,IF(OptControl=3,1,0),3)/100,0)</f>
        <v>0</v>
      </c>
      <c r="BA115" s="324" t="n">
        <f aca="false">IF(AH115,xASN(AL115,Strike2,AE115,AQ115,0,N115,0,P115-DaysForThetaCalculation/365.25,Q115-DaysForThetaCalculation/365.25,IF(OptControl=3,1,0),0)-xASN(AL115,Strike2,AE115,AQ115,0,N115,0,P115,Q115,IF(OptControl=3,1,0),0),0)</f>
        <v>0</v>
      </c>
      <c r="BB115" s="325" t="str">
        <f aca="false">IF(AH115,IF(ProductGroup=1,IF(Product=1,BX115+PriceSpreadEuro,IF(Product=3,CK115+PriceSpreadEuro,"N/A")),"N/A"),"")</f>
        <v/>
      </c>
      <c r="BC115" s="316" t="str">
        <f aca="false">IF(AH115,Strike1/BB115-1,"")</f>
        <v/>
      </c>
      <c r="BD115" s="316" t="str">
        <f aca="false">IF(AH115,Strike2/BB115-1,"")</f>
        <v/>
      </c>
      <c r="BE115" s="326" t="str">
        <f aca="false">IF(AH115,IF(VolOverrideEuro,VolOverrideEuro,IF(ProductGroup=1,IF(Product&lt;3,DA115,DE115)+VolSpreadEuro,"N/A")),"")</f>
        <v/>
      </c>
      <c r="BF115" s="323" t="str">
        <f aca="false">IF($AH115,$BE115+IF(SkewFlag=1,IF(BC115&gt;0,$AA115*MIN(BC115/10%,1)+($Z115-$AA115)*MAX(0,MIN(BC115/10%-1,1))+($Y115-$Z115)*MAX(0,BC115/10%-2),$AB115*MIN(-BC115/10%,1)+($AC115-$AB115)*MAX(0,MIN(-BC115/10%-1,1))+($AD115-$AC115)*MAX(0,-BC115/10%-2)),0),"")</f>
        <v/>
      </c>
      <c r="BG115" s="323" t="str">
        <f aca="false">IF($AH115,$BE115+IF(SkewFlag=1,IF(BD115&gt;0,$AA115*MIN(BD115/10%,1)+($Z115-$AA115)*MAX(0,MIN(BD115/10%-1,1))+($Y115-$Z115)*MAX(0,BD115/10%-2),$AB115*MIN(-BD115/10%,1)+($AC115-$AB115)*MAX(0,MIN(-BD115/10%-1,1))+($AD115-$AC115)*MAX(0,-BD115/10%-2)),0),"")</f>
        <v/>
      </c>
      <c r="BH115" s="324" t="n">
        <f aca="false">IF(AH115,xEURO(BB115,Strike1,AE115,AE115,BF115,O115,IF(OptControl=4,0,1),0),0)</f>
        <v>0</v>
      </c>
      <c r="BI115" s="324" t="n">
        <f aca="false">IF(AH115,xEURO(BB115,Strike1,AE115,AE115,BF115,O115,IF(OptControl=4,0,1),1),0)</f>
        <v>0</v>
      </c>
      <c r="BJ115" s="324" t="n">
        <f aca="false">IF(AH115,xEURO(BB115,Strike1,AE115,AE115,BF115,O115,IF(OptControl=4,0,1),2),0)</f>
        <v>0</v>
      </c>
      <c r="BK115" s="324" t="n">
        <f aca="false">IF(AH115,xEURO(BB115,Strike1,AE115,AE115,BF115,O115,IF(OptControl=4,0,1),3)/100,0)</f>
        <v>0</v>
      </c>
      <c r="BL115" s="324" t="n">
        <f aca="false">IF(AH115,xEURO(BB115,Strike1,AE115,AE115,BF115,O115-DaysForThetaCalculation,IF(OptControl=4,0,1),0)-xEURO(BB115,Strike1,AE115,AE115,BF115,O115,IF(OptControl=4,0,1),0),0)</f>
        <v>0</v>
      </c>
      <c r="BM115" s="324" t="n">
        <f aca="false">IF(AH115,xEURO(BB115,Strike2,AE115,AE115,BG115,O115,IF(OptControl=3,1,0),0),0)</f>
        <v>0</v>
      </c>
      <c r="BN115" s="324" t="n">
        <f aca="false">IF(AH115,xEURO(BB115,Strike2,AE115,AE115,BG115,O115,IF(OptControl=3,1,0),1),0)</f>
        <v>0</v>
      </c>
      <c r="BO115" s="324" t="n">
        <f aca="false">IF(AH115,xEURO(BB115,Strike2,AE115,AE115,BG115,O115,IF(OptControl=3,1,0),2),0)</f>
        <v>0</v>
      </c>
      <c r="BP115" s="324" t="n">
        <f aca="false">IF(AH115,xEURO(BB115,Strike2,AE115,AE115,BG115,O115,IF(OptControl=3,1,0),3)/100,0)</f>
        <v>0</v>
      </c>
      <c r="BQ115" s="327" t="n">
        <f aca="false">IF(AH115,xEURO(BB115,Strike2,AE115,AE115,BG115,O115-DaysForThetaCalculation,IF(OptControl=3,1,0),0)-xEURO(BB115,Strike2,AE115,AE115,BG115,O115,IF(OptControl=3,1,0),0),0)</f>
        <v>0</v>
      </c>
      <c r="BR115" s="343"/>
      <c r="BS115" s="314"/>
      <c r="BT115" s="329" t="n">
        <f aca="false">BS115*100/42</f>
        <v>0</v>
      </c>
      <c r="BU115" s="329" t="n">
        <f aca="false">BS116-$U115</f>
        <v>-26.3545454545456</v>
      </c>
      <c r="BV115" s="224"/>
      <c r="BW115" s="329" t="n">
        <f aca="false">BW103+VLOOKUP(1900+$L115,ProductSpreadTable,2)</f>
        <v>19.79</v>
      </c>
      <c r="BX115" s="329" t="n">
        <f aca="false">($V114+BW114)*100/42</f>
        <v>114.349096555619</v>
      </c>
      <c r="BY115" s="332" t="n">
        <f aca="false">BX116</f>
        <v>109.867965367966</v>
      </c>
      <c r="BZ115" s="314"/>
      <c r="CA115" s="329" t="n">
        <f aca="false">BZ115*100/42</f>
        <v>0</v>
      </c>
      <c r="CB115" s="329" t="n">
        <f aca="false">BZ115-$U115</f>
        <v>-26.3545454545456</v>
      </c>
      <c r="CC115" s="329" t="n">
        <f aca="false">CC103+VLOOKUP(1900+$L115,ProductSpreadTable,3)</f>
        <v>17.165</v>
      </c>
      <c r="CD115" s="329" t="n">
        <f aca="false">($V115+CC115)*100/42</f>
        <v>103.617965367966</v>
      </c>
      <c r="CE115" s="333" t="n">
        <f aca="false">CD115-BY115</f>
        <v>-6.24999999999999</v>
      </c>
      <c r="CF115" s="314"/>
      <c r="CG115" s="329" t="n">
        <f aca="false">CF115*100/42</f>
        <v>0</v>
      </c>
      <c r="CH115" s="329" t="n">
        <f aca="false">CF116-$U115</f>
        <v>-26.3545454545456</v>
      </c>
      <c r="CI115" s="224"/>
      <c r="CJ115" s="329" t="n">
        <f aca="false">CJ103+VLOOKUP(1900+$L115,ProductSpreadTable,4)</f>
        <v>9.00552380952372</v>
      </c>
      <c r="CK115" s="329" t="n">
        <f aca="false">($V114+CJ114)*100/42</f>
        <v>85.2712121212129</v>
      </c>
      <c r="CL115" s="329" t="n">
        <f aca="false">CK116</f>
        <v>84.1906411049269</v>
      </c>
      <c r="CM115" s="314"/>
      <c r="CN115" s="329" t="n">
        <f aca="false">CM115*100/42</f>
        <v>0</v>
      </c>
      <c r="CO115" s="329" t="n">
        <f aca="false">CM115-$U115</f>
        <v>-26.3545454545456</v>
      </c>
      <c r="CP115" s="329" t="n">
        <f aca="false">CP103+VLOOKUP(1900+$L115,ProductSpreadTable,5)</f>
        <v>8.08152380952373</v>
      </c>
      <c r="CQ115" s="329" t="n">
        <f aca="false">($V115+CP115)*100/42</f>
        <v>81.990641104927</v>
      </c>
      <c r="CR115" s="333" t="n">
        <f aca="false">CQ115-CL115</f>
        <v>-2.19999999999997</v>
      </c>
      <c r="CS115" s="314"/>
      <c r="CT115" s="329" t="n">
        <f aca="false">CS115*100/42</f>
        <v>0</v>
      </c>
      <c r="CU115" s="329" t="n">
        <f aca="false">CT115-CG116</f>
        <v>0</v>
      </c>
      <c r="CV115" s="329" t="n">
        <f aca="false">CV103+VLOOKUP(1900+$L115,ProductSpreadTable,6)</f>
        <v>1.80000000000001</v>
      </c>
      <c r="CW115" s="333" t="n">
        <f aca="false">CL115+CV115</f>
        <v>85.9906411049269</v>
      </c>
      <c r="CX115" s="318"/>
      <c r="CY115" s="326" t="n">
        <f aca="false">CX115-$W115</f>
        <v>-0.173699999999999</v>
      </c>
      <c r="CZ115" s="326" t="n">
        <f aca="false">VLOOKUP(1900+$L115,ProductSpreadTable,7)</f>
        <v>-0.03</v>
      </c>
      <c r="DA115" s="365" t="n">
        <f aca="false">$W115+CZ115</f>
        <v>0.143699999999999</v>
      </c>
      <c r="DB115" s="318"/>
      <c r="DC115" s="326" t="n">
        <f aca="false">DB115-$W115</f>
        <v>-0.173699999999999</v>
      </c>
      <c r="DD115" s="326" t="n">
        <f aca="false">VLOOKUP(1900+$L115,ProductSpreadTable,8)</f>
        <v>0.03</v>
      </c>
      <c r="DE115" s="365" t="n">
        <f aca="false">$W115+DD115</f>
        <v>0.203699999999999</v>
      </c>
      <c r="DG115" s="336"/>
      <c r="DH115" s="314"/>
      <c r="DI115" s="325" t="n">
        <f aca="false">DH115-$U115</f>
        <v>-26.3545454545456</v>
      </c>
      <c r="DJ115" s="325" t="n">
        <f aca="false">VLOOKUP(1900+$L115,ResidSpreadTable,2)</f>
        <v>-2</v>
      </c>
      <c r="DK115" s="337" t="n">
        <f aca="false">$V115+DJ115</f>
        <v>24.3545454545456</v>
      </c>
      <c r="DL115" s="314"/>
      <c r="DM115" s="325" t="n">
        <f aca="false">DL115-$U115</f>
        <v>-26.3545454545456</v>
      </c>
      <c r="DN115" s="325" t="n">
        <f aca="false">VLOOKUP(1900+$L115,ResidSpreadTable,3)</f>
        <v>-3</v>
      </c>
      <c r="DO115" s="337" t="n">
        <f aca="false">$V115+DN115</f>
        <v>23.3545454545456</v>
      </c>
      <c r="DP115" s="314"/>
      <c r="DQ115" s="325" t="n">
        <f aca="false">DP115-$U115</f>
        <v>-26.3545454545456</v>
      </c>
      <c r="DR115" s="325" t="n">
        <f aca="false">VLOOKUP(1900+$L115,ResidSpreadTable,4)</f>
        <v>-6</v>
      </c>
      <c r="DS115" s="337" t="n">
        <f aca="false">$V115+DR115</f>
        <v>20.3545454545456</v>
      </c>
      <c r="DT115" s="314"/>
      <c r="DU115" s="325" t="n">
        <f aca="false">DT115-$U115</f>
        <v>-26.3545454545456</v>
      </c>
      <c r="DV115" s="325" t="n">
        <f aca="false">VLOOKUP(1900+$L115,ResidSpreadTable,5)</f>
        <v>-5</v>
      </c>
      <c r="DW115" s="337" t="n">
        <f aca="false">$V115+DV115</f>
        <v>21.3545454545456</v>
      </c>
    </row>
    <row r="116" customFormat="false" ht="12.75" hidden="false" customHeight="false" outlineLevel="0" collapsed="false">
      <c r="B116" s="371" t="n">
        <v>39083</v>
      </c>
      <c r="C116" s="391" t="n">
        <v>39070</v>
      </c>
      <c r="I116" s="338" t="n">
        <f aca="false">EOMONTH(I115,0)+1</f>
        <v>49279</v>
      </c>
      <c r="J116" s="389" t="n">
        <f aca="false">VLOOKUP(I116,$B$12:$C$332,2)</f>
        <v>45644</v>
      </c>
      <c r="K116" s="339" t="n">
        <f aca="false">NETWORKDAYS(I116,J117)/N116</f>
        <v>-123.714285714286</v>
      </c>
      <c r="L116" s="309" t="n">
        <f aca="false">YEAR(I116)-1900</f>
        <v>134</v>
      </c>
      <c r="M116" s="310" t="n">
        <f aca="false">MONTH(I116)</f>
        <v>12</v>
      </c>
      <c r="N116" s="340" t="n">
        <f aca="false">NETWORKDAYS(I116,I117-1)</f>
        <v>21</v>
      </c>
      <c r="O116" s="341" t="n">
        <f aca="false">I116-DateToday-IF(EuroExpDateToggle=1,3+IF(WEEKDAY(I116-1)=7,1,IF(WEEKDAY(I116-1)&lt;5,2,0)),1+IF(WEEKDAY(I116-1)=7,1,IF(WEEKDAY(I116-1)&lt;3,2,0)))</f>
        <v>3350</v>
      </c>
      <c r="P116" s="342" t="n">
        <f aca="false">(I116-DateToday+1)/365.25</f>
        <v>9.18275154004107</v>
      </c>
      <c r="Q116" s="342" t="n">
        <f aca="false">(I117-DateToday)/365.25</f>
        <v>9.26488706365503</v>
      </c>
      <c r="R116" s="314" t="n">
        <v>20.45</v>
      </c>
      <c r="S116" s="347" t="n">
        <v>0</v>
      </c>
      <c r="T116" s="316" t="n">
        <f aca="false">R116+S116/100</f>
        <v>20.45</v>
      </c>
      <c r="U116" s="325" t="n">
        <f aca="false">R117*K116+R118*(1-K116)</f>
        <v>26.7357142857145</v>
      </c>
      <c r="V116" s="337" t="n">
        <f aca="false">T117*K116+T118*(1-K116)</f>
        <v>26.7357142857145</v>
      </c>
      <c r="W116" s="318" t="n">
        <v>0.173299999999999</v>
      </c>
      <c r="X116" s="319" t="str">
        <f aca="false">IF($I116-DateToday+1&gt;=$A$10,"",IF($I116-DateToday+1&lt;$A$5,1,MATCH($I116-DateToday+1,$A$5:$A$10)))</f>
        <v/>
      </c>
      <c r="Y116" s="348" t="n">
        <f aca="false">IF($X116="",Y115^2/Y114,INDEX(B$5:B$10,$X116)^((INDEX($A$5:$A$10,$X116+1)-($I116-DateToday+1))/(INDEX($A$5:$A$10,$X116+1)-INDEX($A$5:$A$10,$X116)))/INDEX(B$5:B$10,$X116+1)^((INDEX($A$5:$A$10,$X116)-($I116-DateToday+1))/(INDEX($A$5:$A$10,$X116+1)-INDEX($A$5:$A$10,$X116))))</f>
        <v>0.00141808536680986</v>
      </c>
      <c r="Z116" s="348" t="n">
        <f aca="false">IF($X116="",Z115^2/Z114,INDEX(C$5:C$10,$X116)^((INDEX($A$5:$A$10,$X116+1)-($I116-DateToday+1))/(INDEX($A$5:$A$10,$X116+1)-INDEX($A$5:$A$10,$X116)))/INDEX(C$5:C$10,$X116+1)^((INDEX($A$5:$A$10,$X116)-($I116-DateToday+1))/(INDEX($A$5:$A$10,$X116+1)-INDEX($A$5:$A$10,$X116))))</f>
        <v>0.000483728755490359</v>
      </c>
      <c r="AA116" s="348" t="n">
        <f aca="false">IF($X116="",AA115^2/AA114,INDEX(D$5:D$10,$X116)^((INDEX($A$5:$A$10,$X116+1)-($I116-DateToday+1))/(INDEX($A$5:$A$10,$X116+1)-INDEX($A$5:$A$10,$X116)))/INDEX(D$5:D$10,$X116+1)^((INDEX($A$5:$A$10,$X116)-($I116-DateToday+1))/(INDEX($A$5:$A$10,$X116+1)-INDEX($A$5:$A$10,$X116))))</f>
        <v>0.00017152895441505</v>
      </c>
      <c r="AB116" s="348" t="n">
        <f aca="false">IF($X116="",AB115^2/AB114,INDEX(E$5:E$10,$X116)^((INDEX($A$5:$A$10,$X116+1)-($I116-DateToday+1))/(INDEX($A$5:$A$10,$X116+1)-INDEX($A$5:$A$10,$X116)))/INDEX(E$5:E$10,$X116+1)^((INDEX($A$5:$A$10,$X116)-($I116-DateToday+1))/(INDEX($A$5:$A$10,$X116+1)-INDEX($A$5:$A$10,$X116))))</f>
        <v>0.000386420428506235</v>
      </c>
      <c r="AC116" s="348" t="n">
        <f aca="false">IF($X116="",AC115^2/AC114,INDEX(F$5:F$10,$X116)^((INDEX($A$5:$A$10,$X116+1)-($I116-DateToday+1))/(INDEX($A$5:$A$10,$X116+1)-INDEX($A$5:$A$10,$X116)))/INDEX(F$5:F$10,$X116+1)^((INDEX($A$5:$A$10,$X116)-($I116-DateToday+1))/(INDEX($A$5:$A$10,$X116+1)-INDEX($A$5:$A$10,$X116))))</f>
        <v>0.00108974414036868</v>
      </c>
      <c r="AD116" s="348" t="n">
        <f aca="false">IF($X116="",AD115^2/AD114,INDEX(G$5:G$10,$X116)^((INDEX($A$5:$A$10,$X116+1)-($I116-DateToday+1))/(INDEX($A$5:$A$10,$X116+1)-INDEX($A$5:$A$10,$X116)))/INDEX(G$5:G$10,$X116+1)^((INDEX($A$5:$A$10,$X116)-($I116-DateToday+1))/(INDEX($A$5:$A$10,$X116+1)-INDEX($A$5:$A$10,$X116))))</f>
        <v>0.00319466271434904</v>
      </c>
      <c r="AE116" s="321" t="n">
        <v>0.073705515542668</v>
      </c>
      <c r="AF116" s="316" t="n">
        <f aca="false">(1+AE116/2)^(-2*(I117-DateToday)/365.25)</f>
        <v>0.511406125562826</v>
      </c>
      <c r="AG116" s="316" t="n">
        <f aca="false">AG115*(1+IF(AND(M116=1,L116&gt;YearStart),Escalation,0))</f>
        <v>1</v>
      </c>
      <c r="AH116" s="322" t="n">
        <f aca="false">IF(OR(DateStart&gt;=I117,DateEnd&lt;I116),0,Volume*AG116)</f>
        <v>0</v>
      </c>
      <c r="AI116" s="322" t="n">
        <f aca="false">AH116*AF116</f>
        <v>0</v>
      </c>
      <c r="AJ116" s="322" t="n">
        <f aca="false">IF(OR(DateStart2&gt;=I117,DateEnd2&lt;I116),0,VolumeSwaption*AG116)</f>
        <v>0</v>
      </c>
      <c r="AK116" s="322" t="n">
        <f aca="false">AJ116*AF116</f>
        <v>0</v>
      </c>
      <c r="AL116" s="316" t="str">
        <f aca="true">IF(AH116,OFFSET(BY116,0,HorizontalPriceOffset)+PriceSpreadAsian,"")</f>
        <v/>
      </c>
      <c r="AM116" s="316" t="str">
        <f aca="false">IF(AH116,Strike1/AL116-1,"")</f>
        <v/>
      </c>
      <c r="AN116" s="316" t="str">
        <f aca="false">IF(AH116,Strike2/AL116-1,"")</f>
        <v/>
      </c>
      <c r="AO116" s="323" t="str">
        <f aca="false">IF(AH116,IF(VolOverrideAsian,VolOverrideAsian,IF(ProductGroup=1,IF(Product&lt;3,DA117,DE117),W117)+VolSpreadAsian),"")</f>
        <v/>
      </c>
      <c r="AP116" s="323" t="str">
        <f aca="false">IF($AH116,$AO116+IF(SkewFlag=1,IF(AM116&gt;0,$AA116*MIN(AM116/10%,1)+($Z116-$AA116)*MAX(0,MIN(AM116/10%-1,1))+($Y116-$Z116)*MAX(0,AM116/10%-2),$AB116*MIN(-AM116/10%,1)+($AC116-$AB116)*MAX(0,MIN(-AM116/10%-1,1))+($AD116-$AC116)*MAX(0,-AM116/10%-2)),0),"")</f>
        <v/>
      </c>
      <c r="AQ116" s="323" t="str">
        <f aca="false">IF($AH116,$AO116+IF(SkewFlag=1,IF(AN116&gt;0,$AA116*MIN(AN116/10%,1)+($Z116-$AA116)*MAX(0,MIN(AN116/10%-1,1))+($Y116-$Z116)*MAX(0,AN116/10%-2),$AB116*MIN(-AN116/10%,1)+($AC116-$AB116)*MAX(0,MIN(-AN116/10%-1,1))+($AD116-$AC116)*MAX(0,-AN116/10%-2)),0),"")</f>
        <v/>
      </c>
      <c r="AR116" s="324" t="n">
        <f aca="false">IF(AH116,xASN(AL116,Strike1,AE116,AP116,0,N116,0,P116,Q116,IF(OptControl=4,0,1),0),0)</f>
        <v>0</v>
      </c>
      <c r="AS116" s="324" t="n">
        <f aca="false">IF(AH116,xASN(AL116,Strike1,AE116,AP116,0,N116,0,P116,Q116,IF(OptControl=4,0,1),1),0)</f>
        <v>0</v>
      </c>
      <c r="AT116" s="324" t="n">
        <f aca="false">IF(AH116,xASN(AL116,Strike1,AE116,AP116,0,N116,0,P116,Q116,IF(OptControl=4,0,1),2),0)</f>
        <v>0</v>
      </c>
      <c r="AU116" s="324" t="n">
        <f aca="false">IF(AH116,xASN(AL116,Strike1,AE116,AP116,0,N116,0,P116,Q116,IF(OptControl=4,0,1),3)/100,0)</f>
        <v>0</v>
      </c>
      <c r="AV116" s="324" t="n">
        <f aca="false">IF(AH116,xASN(AL116,Strike1,AE116,AP116,0,N116,0,P116-DaysForThetaCalculation/365.25,Q116-DaysForThetaCalculation/365.25,IF(OptControl=4,0,1),0)-xASN(AL116,Strike1,AE116,AP116,0,N116,0,P116,Q116,IF(OptControl=4,0,1),0),0)</f>
        <v>0</v>
      </c>
      <c r="AW116" s="324" t="n">
        <f aca="false">IF(AH116,xASN(AL116,Strike2,AE116,AQ116,0,N116,0,P116,Q116,IF(OptControl=3,1,0),0),0)</f>
        <v>0</v>
      </c>
      <c r="AX116" s="324" t="n">
        <f aca="false">IF(AH116,xASN(AL116,Strike2,AE116,AQ116,0,N116,0,P116,Q116,IF(OptControl=3,1,0),1),0)</f>
        <v>0</v>
      </c>
      <c r="AY116" s="324" t="n">
        <f aca="false">IF(AH116,xASN(AL116,Strike2,AE116,AQ116,0,N116,0,P116,Q116,IF(OptControl=3,1,0),2),0)</f>
        <v>0</v>
      </c>
      <c r="AZ116" s="324" t="n">
        <f aca="false">IF(AH116,xASN(AL116,Strike2,AE116,AQ116,0,N116,0,P116,Q116,IF(OptControl=3,1,0),3)/100,0)</f>
        <v>0</v>
      </c>
      <c r="BA116" s="324" t="n">
        <f aca="false">IF(AH116,xASN(AL116,Strike2,AE116,AQ116,0,N116,0,P116-DaysForThetaCalculation/365.25,Q116-DaysForThetaCalculation/365.25,IF(OptControl=3,1,0),0)-xASN(AL116,Strike2,AE116,AQ116,0,N116,0,P116,Q116,IF(OptControl=3,1,0),0),0)</f>
        <v>0</v>
      </c>
      <c r="BB116" s="325" t="str">
        <f aca="false">IF(AH116,IF(ProductGroup=1,IF(Product=1,BX116+PriceSpreadEuro,IF(Product=3,CK116+PriceSpreadEuro,"N/A")),"N/A"),"")</f>
        <v/>
      </c>
      <c r="BC116" s="316" t="str">
        <f aca="false">IF(AH116,Strike1/BB116-1,"")</f>
        <v/>
      </c>
      <c r="BD116" s="316" t="str">
        <f aca="false">IF(AH116,Strike2/BB116-1,"")</f>
        <v/>
      </c>
      <c r="BE116" s="326" t="str">
        <f aca="false">IF(AH116,IF(VolOverrideEuro,VolOverrideEuro,IF(ProductGroup=1,IF(Product&lt;3,DA116,DE116)+VolSpreadEuro,"N/A")),"")</f>
        <v/>
      </c>
      <c r="BF116" s="323" t="str">
        <f aca="false">IF($AH116,$BE116+IF(SkewFlag=1,IF(BC116&gt;0,$AA116*MIN(BC116/10%,1)+($Z116-$AA116)*MAX(0,MIN(BC116/10%-1,1))+($Y116-$Z116)*MAX(0,BC116/10%-2),$AB116*MIN(-BC116/10%,1)+($AC116-$AB116)*MAX(0,MIN(-BC116/10%-1,1))+($AD116-$AC116)*MAX(0,-BC116/10%-2)),0),"")</f>
        <v/>
      </c>
      <c r="BG116" s="323" t="str">
        <f aca="false">IF($AH116,$BE116+IF(SkewFlag=1,IF(BD116&gt;0,$AA116*MIN(BD116/10%,1)+($Z116-$AA116)*MAX(0,MIN(BD116/10%-1,1))+($Y116-$Z116)*MAX(0,BD116/10%-2),$AB116*MIN(-BD116/10%,1)+($AC116-$AB116)*MAX(0,MIN(-BD116/10%-1,1))+($AD116-$AC116)*MAX(0,-BD116/10%-2)),0),"")</f>
        <v/>
      </c>
      <c r="BH116" s="324" t="n">
        <f aca="false">IF(AH116,xEURO(BB116,Strike1,AE116,AE116,BF116,O116,IF(OptControl=4,0,1),0),0)</f>
        <v>0</v>
      </c>
      <c r="BI116" s="324" t="n">
        <f aca="false">IF(AH116,xEURO(BB116,Strike1,AE116,AE116,BF116,O116,IF(OptControl=4,0,1),1),0)</f>
        <v>0</v>
      </c>
      <c r="BJ116" s="324" t="n">
        <f aca="false">IF(AH116,xEURO(BB116,Strike1,AE116,AE116,BF116,O116,IF(OptControl=4,0,1),2),0)</f>
        <v>0</v>
      </c>
      <c r="BK116" s="324" t="n">
        <f aca="false">IF(AH116,xEURO(BB116,Strike1,AE116,AE116,BF116,O116,IF(OptControl=4,0,1),3)/100,0)</f>
        <v>0</v>
      </c>
      <c r="BL116" s="324" t="n">
        <f aca="false">IF(AH116,xEURO(BB116,Strike1,AE116,AE116,BF116,O116-DaysForThetaCalculation,IF(OptControl=4,0,1),0)-xEURO(BB116,Strike1,AE116,AE116,BF116,O116,IF(OptControl=4,0,1),0),0)</f>
        <v>0</v>
      </c>
      <c r="BM116" s="324" t="n">
        <f aca="false">IF(AH116,xEURO(BB116,Strike2,AE116,AE116,BG116,O116,IF(OptControl=3,1,0),0),0)</f>
        <v>0</v>
      </c>
      <c r="BN116" s="324" t="n">
        <f aca="false">IF(AH116,xEURO(BB116,Strike2,AE116,AE116,BG116,O116,IF(OptControl=3,1,0),1),0)</f>
        <v>0</v>
      </c>
      <c r="BO116" s="324" t="n">
        <f aca="false">IF(AH116,xEURO(BB116,Strike2,AE116,AE116,BG116,O116,IF(OptControl=3,1,0),2),0)</f>
        <v>0</v>
      </c>
      <c r="BP116" s="324" t="n">
        <f aca="false">IF(AH116,xEURO(BB116,Strike2,AE116,AE116,BG116,O116,IF(OptControl=3,1,0),3)/100,0)</f>
        <v>0</v>
      </c>
      <c r="BQ116" s="327" t="n">
        <f aca="false">IF(AH116,xEURO(BB116,Strike2,AE116,AE116,BG116,O116-DaysForThetaCalculation,IF(OptControl=3,1,0),0)-xEURO(BB116,Strike2,AE116,AE116,BG116,O116,IF(OptControl=3,1,0),0),0)</f>
        <v>0</v>
      </c>
      <c r="BR116" s="343"/>
      <c r="BS116" s="314"/>
      <c r="BT116" s="329" t="n">
        <f aca="false">BS116*100/42</f>
        <v>0</v>
      </c>
      <c r="BU116" s="329" t="n">
        <f aca="false">BS117-$U116</f>
        <v>-26.7357142857145</v>
      </c>
      <c r="BV116" s="224"/>
      <c r="BW116" s="329" t="n">
        <f aca="false">BW104+VLOOKUP(1900+$L116,ProductSpreadTable,2)</f>
        <v>15.8939565217392</v>
      </c>
      <c r="BX116" s="329" t="n">
        <f aca="false">($V115+BW115)*100/42</f>
        <v>109.867965367966</v>
      </c>
      <c r="BY116" s="332" t="n">
        <f aca="false">BX117</f>
        <v>101.499216208223</v>
      </c>
      <c r="BZ116" s="314"/>
      <c r="CA116" s="329" t="n">
        <f aca="false">BZ116*100/42</f>
        <v>0</v>
      </c>
      <c r="CB116" s="329" t="n">
        <f aca="false">BZ116-$U116</f>
        <v>-26.7357142857145</v>
      </c>
      <c r="CC116" s="329" t="n">
        <f aca="false">CC104+VLOOKUP(1900+$L116,ProductSpreadTable,3)</f>
        <v>13.2689565217392</v>
      </c>
      <c r="CD116" s="329" t="n">
        <f aca="false">($V116+CC116)*100/42</f>
        <v>95.2492162082231</v>
      </c>
      <c r="CE116" s="333" t="n">
        <f aca="false">CD116-BY116</f>
        <v>-6.24999999999997</v>
      </c>
      <c r="CF116" s="314"/>
      <c r="CG116" s="329" t="n">
        <f aca="false">CF116*100/42</f>
        <v>0</v>
      </c>
      <c r="CH116" s="329" t="n">
        <f aca="false">CF117-$U116</f>
        <v>-26.7357142857145</v>
      </c>
      <c r="CI116" s="224"/>
      <c r="CJ116" s="329" t="n">
        <f aca="false">CJ104+VLOOKUP(1900+$L116,ProductSpreadTable,4)</f>
        <v>8.35800000000003</v>
      </c>
      <c r="CK116" s="329" t="n">
        <f aca="false">($V115+CJ115)*100/42</f>
        <v>84.1906411049269</v>
      </c>
      <c r="CL116" s="329" t="n">
        <f aca="false">CK117</f>
        <v>83.5564625850346</v>
      </c>
      <c r="CM116" s="314"/>
      <c r="CN116" s="329" t="n">
        <f aca="false">CM116*100/42</f>
        <v>0</v>
      </c>
      <c r="CO116" s="329" t="n">
        <f aca="false">CM116-$U116</f>
        <v>-26.7357142857145</v>
      </c>
      <c r="CP116" s="329" t="n">
        <f aca="false">CP104+VLOOKUP(1900+$L116,ProductSpreadTable,5)</f>
        <v>7.43400000000003</v>
      </c>
      <c r="CQ116" s="329" t="n">
        <f aca="false">($V116+CP116)*100/42</f>
        <v>81.3564625850346</v>
      </c>
      <c r="CR116" s="333" t="n">
        <f aca="false">CQ116-CL116</f>
        <v>-2.20000000000003</v>
      </c>
      <c r="CS116" s="314"/>
      <c r="CT116" s="329" t="n">
        <f aca="false">CS116*100/42</f>
        <v>0</v>
      </c>
      <c r="CU116" s="329" t="n">
        <f aca="false">CT116-CG117</f>
        <v>0</v>
      </c>
      <c r="CV116" s="329" t="n">
        <f aca="false">CV104+VLOOKUP(1900+$L116,ProductSpreadTable,6)</f>
        <v>1.79999999999999</v>
      </c>
      <c r="CW116" s="333" t="n">
        <f aca="false">CL116+CV116</f>
        <v>85.3564625850346</v>
      </c>
      <c r="CX116" s="318"/>
      <c r="CY116" s="326" t="n">
        <f aca="false">CX116-$W116</f>
        <v>-0.173299999999999</v>
      </c>
      <c r="CZ116" s="326" t="n">
        <f aca="false">VLOOKUP(1900+$L116,ProductSpreadTable,7)</f>
        <v>-0.03</v>
      </c>
      <c r="DA116" s="365" t="n">
        <f aca="false">$W116+CZ116</f>
        <v>0.143299999999999</v>
      </c>
      <c r="DB116" s="318"/>
      <c r="DC116" s="326" t="n">
        <f aca="false">DB116-$W116</f>
        <v>-0.173299999999999</v>
      </c>
      <c r="DD116" s="326" t="n">
        <f aca="false">VLOOKUP(1900+$L116,ProductSpreadTable,8)</f>
        <v>0.03</v>
      </c>
      <c r="DE116" s="365" t="n">
        <f aca="false">$W116+DD116</f>
        <v>0.203299999999999</v>
      </c>
      <c r="DG116" s="336"/>
      <c r="DH116" s="314"/>
      <c r="DI116" s="325" t="n">
        <f aca="false">DH116-$U116</f>
        <v>-26.7357142857145</v>
      </c>
      <c r="DJ116" s="325" t="n">
        <f aca="false">VLOOKUP(1900+$L116,ResidSpreadTable,2)</f>
        <v>-2</v>
      </c>
      <c r="DK116" s="337" t="n">
        <f aca="false">$V116+DJ116</f>
        <v>24.7357142857145</v>
      </c>
      <c r="DL116" s="314"/>
      <c r="DM116" s="325" t="n">
        <f aca="false">DL116-$U116</f>
        <v>-26.7357142857145</v>
      </c>
      <c r="DN116" s="325" t="n">
        <f aca="false">VLOOKUP(1900+$L116,ResidSpreadTable,3)</f>
        <v>-3</v>
      </c>
      <c r="DO116" s="337" t="n">
        <f aca="false">$V116+DN116</f>
        <v>23.7357142857145</v>
      </c>
      <c r="DP116" s="314"/>
      <c r="DQ116" s="325" t="n">
        <f aca="false">DP116-$U116</f>
        <v>-26.7357142857145</v>
      </c>
      <c r="DR116" s="325" t="n">
        <f aca="false">VLOOKUP(1900+$L116,ResidSpreadTable,4)</f>
        <v>-6</v>
      </c>
      <c r="DS116" s="337" t="n">
        <f aca="false">$V116+DR116</f>
        <v>20.7357142857145</v>
      </c>
      <c r="DT116" s="314"/>
      <c r="DU116" s="325" t="n">
        <f aca="false">DT116-$U116</f>
        <v>-26.7357142857145</v>
      </c>
      <c r="DV116" s="325" t="n">
        <f aca="false">VLOOKUP(1900+$L116,ResidSpreadTable,5)</f>
        <v>-5</v>
      </c>
      <c r="DW116" s="337" t="n">
        <f aca="false">$V116+DV116</f>
        <v>21.7357142857145</v>
      </c>
    </row>
    <row r="117" customFormat="false" ht="12.75" hidden="false" customHeight="false" outlineLevel="0" collapsed="false">
      <c r="B117" s="371" t="n">
        <v>39114</v>
      </c>
      <c r="C117" s="391" t="n">
        <v>39104</v>
      </c>
      <c r="I117" s="338" t="n">
        <f aca="false">EOMONTH(I116,0)+1</f>
        <v>49310</v>
      </c>
      <c r="J117" s="389" t="n">
        <f aca="false">VLOOKUP(I117,$B$12:$C$332,2)</f>
        <v>45644</v>
      </c>
      <c r="K117" s="339" t="n">
        <f aca="false">NETWORKDAYS(I117,J118)/N117</f>
        <v>-113.869565217391</v>
      </c>
      <c r="L117" s="309" t="n">
        <f aca="false">YEAR(I117)-1900</f>
        <v>135</v>
      </c>
      <c r="M117" s="310" t="n">
        <f aca="false">MONTH(I117)</f>
        <v>1</v>
      </c>
      <c r="N117" s="340" t="n">
        <f aca="false">NETWORKDAYS(I117,I118-1)</f>
        <v>23</v>
      </c>
      <c r="O117" s="341" t="n">
        <f aca="false">I117-DateToday-IF(EuroExpDateToggle=1,3+IF(WEEKDAY(I117-1)=7,1,IF(WEEKDAY(I117-1)&lt;5,2,0)),1+IF(WEEKDAY(I117-1)=7,1,IF(WEEKDAY(I117-1)&lt;3,2,0)))</f>
        <v>3379</v>
      </c>
      <c r="P117" s="342" t="n">
        <f aca="false">(I117-DateToday+1)/365.25</f>
        <v>9.26762491444216</v>
      </c>
      <c r="Q117" s="342" t="n">
        <f aca="false">(I118-DateToday)/365.25</f>
        <v>9.34976043805613</v>
      </c>
      <c r="R117" s="314" t="n">
        <v>20.5</v>
      </c>
      <c r="S117" s="347" t="n">
        <v>0</v>
      </c>
      <c r="T117" s="316" t="n">
        <f aca="false">R117+S117/100</f>
        <v>20.5</v>
      </c>
      <c r="U117" s="325" t="n">
        <f aca="false">R118*K117+R119*(1-K117)</f>
        <v>26.29347826087</v>
      </c>
      <c r="V117" s="337" t="n">
        <f aca="false">T118*K117+T119*(1-K117)</f>
        <v>26.29347826087</v>
      </c>
      <c r="W117" s="318" t="n">
        <v>0.172899999999999</v>
      </c>
      <c r="X117" s="319" t="str">
        <f aca="false">IF($I117-DateToday+1&gt;=$A$10,"",IF($I117-DateToday+1&lt;$A$5,1,MATCH($I117-DateToday+1,$A$5:$A$10)))</f>
        <v/>
      </c>
      <c r="Y117" s="348" t="n">
        <f aca="false">IF($X117="",Y116^2/Y115,INDEX(B$5:B$10,$X117)^((INDEX($A$5:$A$10,$X117+1)-($I117-DateToday+1))/(INDEX($A$5:$A$10,$X117+1)-INDEX($A$5:$A$10,$X117)))/INDEX(B$5:B$10,$X117+1)^((INDEX($A$5:$A$10,$X117)-($I117-DateToday+1))/(INDEX($A$5:$A$10,$X117+1)-INDEX($A$5:$A$10,$X117))))</f>
        <v>0.00138772631591117</v>
      </c>
      <c r="Z117" s="348" t="n">
        <f aca="false">IF($X117="",Z116^2/Z115,INDEX(C$5:C$10,$X117)^((INDEX($A$5:$A$10,$X117+1)-($I117-DateToday+1))/(INDEX($A$5:$A$10,$X117+1)-INDEX($A$5:$A$10,$X117)))/INDEX(C$5:C$10,$X117+1)^((INDEX($A$5:$A$10,$X117)-($I117-DateToday+1))/(INDEX($A$5:$A$10,$X117+1)-INDEX($A$5:$A$10,$X117))))</f>
        <v>0.000470838395678977</v>
      </c>
      <c r="AA117" s="348" t="n">
        <f aca="false">IF($X117="",AA116^2/AA115,INDEX(D$5:D$10,$X117)^((INDEX($A$5:$A$10,$X117+1)-($I117-DateToday+1))/(INDEX($A$5:$A$10,$X117+1)-INDEX($A$5:$A$10,$X117)))/INDEX(D$5:D$10,$X117+1)^((INDEX($A$5:$A$10,$X117)-($I117-DateToday+1))/(INDEX($A$5:$A$10,$X117+1)-INDEX($A$5:$A$10,$X117))))</f>
        <v>0.000166510352611357</v>
      </c>
      <c r="AB117" s="348" t="n">
        <f aca="false">IF($X117="",AB116^2/AB115,INDEX(E$5:E$10,$X117)^((INDEX($A$5:$A$10,$X117+1)-($I117-DateToday+1))/(INDEX($A$5:$A$10,$X117+1)-INDEX($A$5:$A$10,$X117)))/INDEX(E$5:E$10,$X117+1)^((INDEX($A$5:$A$10,$X117)-($I117-DateToday+1))/(INDEX($A$5:$A$10,$X117+1)-INDEX($A$5:$A$10,$X117))))</f>
        <v>0.000375114522362875</v>
      </c>
      <c r="AC117" s="348" t="n">
        <f aca="false">IF($X117="",AC116^2/AC115,INDEX(F$5:F$10,$X117)^((INDEX($A$5:$A$10,$X117+1)-($I117-DateToday+1))/(INDEX($A$5:$A$10,$X117+1)-INDEX($A$5:$A$10,$X117)))/INDEX(F$5:F$10,$X117+1)^((INDEX($A$5:$A$10,$X117)-($I117-DateToday+1))/(INDEX($A$5:$A$10,$X117+1)-INDEX($A$5:$A$10,$X117))))</f>
        <v>0.00106070473778559</v>
      </c>
      <c r="AD117" s="348" t="n">
        <f aca="false">IF($X117="",AD116^2/AD115,INDEX(G$5:G$10,$X117)^((INDEX($A$5:$A$10,$X117+1)-($I117-DateToday+1))/(INDEX($A$5:$A$10,$X117+1)-INDEX($A$5:$A$10,$X117)))/INDEX(G$5:G$10,$X117+1)^((INDEX($A$5:$A$10,$X117)-($I117-DateToday+1))/(INDEX($A$5:$A$10,$X117+1)-INDEX($A$5:$A$10,$X117))))</f>
        <v>0.00312626984448449</v>
      </c>
      <c r="AE117" s="321" t="n">
        <v>0.073712860772008</v>
      </c>
      <c r="AF117" s="316" t="n">
        <f aca="false">(1+AE117/2)^(-2*(I118-DateToday)/365.25)</f>
        <v>0.50824046033395</v>
      </c>
      <c r="AG117" s="316" t="n">
        <f aca="false">AG116*(1+IF(AND(M117=1,L117&gt;YearStart),Escalation,0))</f>
        <v>1</v>
      </c>
      <c r="AH117" s="322" t="n">
        <f aca="false">IF(OR(DateStart&gt;=I118,DateEnd&lt;I117),0,Volume*AG117)</f>
        <v>0</v>
      </c>
      <c r="AI117" s="322" t="n">
        <f aca="false">AH117*AF117</f>
        <v>0</v>
      </c>
      <c r="AJ117" s="322" t="n">
        <f aca="false">IF(OR(DateStart2&gt;=I118,DateEnd2&lt;I117),0,VolumeSwaption*AG117)</f>
        <v>0</v>
      </c>
      <c r="AK117" s="322" t="n">
        <f aca="false">AJ117*AF117</f>
        <v>0</v>
      </c>
      <c r="AL117" s="316" t="str">
        <f aca="true">IF(AH117,OFFSET(BY117,0,HorizontalPriceOffset)+PriceSpreadAsian,"")</f>
        <v/>
      </c>
      <c r="AM117" s="316" t="str">
        <f aca="false">IF(AH117,Strike1/AL117-1,"")</f>
        <v/>
      </c>
      <c r="AN117" s="316" t="str">
        <f aca="false">IF(AH117,Strike2/AL117-1,"")</f>
        <v/>
      </c>
      <c r="AO117" s="323" t="str">
        <f aca="false">IF(AH117,IF(VolOverrideAsian,VolOverrideAsian,IF(ProductGroup=1,IF(Product&lt;3,DA118,DE118),W118)+VolSpreadAsian),"")</f>
        <v/>
      </c>
      <c r="AP117" s="323" t="str">
        <f aca="false">IF($AH117,$AO117+IF(SkewFlag=1,IF(AM117&gt;0,$AA117*MIN(AM117/10%,1)+($Z117-$AA117)*MAX(0,MIN(AM117/10%-1,1))+($Y117-$Z117)*MAX(0,AM117/10%-2),$AB117*MIN(-AM117/10%,1)+($AC117-$AB117)*MAX(0,MIN(-AM117/10%-1,1))+($AD117-$AC117)*MAX(0,-AM117/10%-2)),0),"")</f>
        <v/>
      </c>
      <c r="AQ117" s="323" t="str">
        <f aca="false">IF($AH117,$AO117+IF(SkewFlag=1,IF(AN117&gt;0,$AA117*MIN(AN117/10%,1)+($Z117-$AA117)*MAX(0,MIN(AN117/10%-1,1))+($Y117-$Z117)*MAX(0,AN117/10%-2),$AB117*MIN(-AN117/10%,1)+($AC117-$AB117)*MAX(0,MIN(-AN117/10%-1,1))+($AD117-$AC117)*MAX(0,-AN117/10%-2)),0),"")</f>
        <v/>
      </c>
      <c r="AR117" s="324" t="n">
        <f aca="false">IF(AH117,xASN(AL117,Strike1,AE117,AP117,0,N117,0,P117,Q117,IF(OptControl=4,0,1),0),0)</f>
        <v>0</v>
      </c>
      <c r="AS117" s="324" t="n">
        <f aca="false">IF(AH117,xASN(AL117,Strike1,AE117,AP117,0,N117,0,P117,Q117,IF(OptControl=4,0,1),1),0)</f>
        <v>0</v>
      </c>
      <c r="AT117" s="324" t="n">
        <f aca="false">IF(AH117,xASN(AL117,Strike1,AE117,AP117,0,N117,0,P117,Q117,IF(OptControl=4,0,1),2),0)</f>
        <v>0</v>
      </c>
      <c r="AU117" s="324" t="n">
        <f aca="false">IF(AH117,xASN(AL117,Strike1,AE117,AP117,0,N117,0,P117,Q117,IF(OptControl=4,0,1),3)/100,0)</f>
        <v>0</v>
      </c>
      <c r="AV117" s="324" t="n">
        <f aca="false">IF(AH117,xASN(AL117,Strike1,AE117,AP117,0,N117,0,P117-DaysForThetaCalculation/365.25,Q117-DaysForThetaCalculation/365.25,IF(OptControl=4,0,1),0)-xASN(AL117,Strike1,AE117,AP117,0,N117,0,P117,Q117,IF(OptControl=4,0,1),0),0)</f>
        <v>0</v>
      </c>
      <c r="AW117" s="324" t="n">
        <f aca="false">IF(AH117,xASN(AL117,Strike2,AE117,AQ117,0,N117,0,P117,Q117,IF(OptControl=3,1,0),0),0)</f>
        <v>0</v>
      </c>
      <c r="AX117" s="324" t="n">
        <f aca="false">IF(AH117,xASN(AL117,Strike2,AE117,AQ117,0,N117,0,P117,Q117,IF(OptControl=3,1,0),1),0)</f>
        <v>0</v>
      </c>
      <c r="AY117" s="324" t="n">
        <f aca="false">IF(AH117,xASN(AL117,Strike2,AE117,AQ117,0,N117,0,P117,Q117,IF(OptControl=3,1,0),2),0)</f>
        <v>0</v>
      </c>
      <c r="AZ117" s="324" t="n">
        <f aca="false">IF(AH117,xASN(AL117,Strike2,AE117,AQ117,0,N117,0,P117,Q117,IF(OptControl=3,1,0),3)/100,0)</f>
        <v>0</v>
      </c>
      <c r="BA117" s="324" t="n">
        <f aca="false">IF(AH117,xASN(AL117,Strike2,AE117,AQ117,0,N117,0,P117-DaysForThetaCalculation/365.25,Q117-DaysForThetaCalculation/365.25,IF(OptControl=3,1,0),0)-xASN(AL117,Strike2,AE117,AQ117,0,N117,0,P117,Q117,IF(OptControl=3,1,0),0),0)</f>
        <v>0</v>
      </c>
      <c r="BB117" s="325" t="str">
        <f aca="false">IF(AH117,IF(ProductGroup=1,IF(Product=1,BX117+PriceSpreadEuro,IF(Product=3,CK117+PriceSpreadEuro,"N/A")),"N/A"),"")</f>
        <v/>
      </c>
      <c r="BC117" s="316" t="str">
        <f aca="false">IF(AH117,Strike1/BB117-1,"")</f>
        <v/>
      </c>
      <c r="BD117" s="316" t="str">
        <f aca="false">IF(AH117,Strike2/BB117-1,"")</f>
        <v/>
      </c>
      <c r="BE117" s="326" t="str">
        <f aca="false">IF(AH117,IF(VolOverrideEuro,VolOverrideEuro,IF(ProductGroup=1,IF(Product&lt;3,DA117,DE117)+VolSpreadEuro,"N/A")),"")</f>
        <v/>
      </c>
      <c r="BF117" s="323" t="str">
        <f aca="false">IF($AH117,$BE117+IF(SkewFlag=1,IF(BC117&gt;0,$AA117*MIN(BC117/10%,1)+($Z117-$AA117)*MAX(0,MIN(BC117/10%-1,1))+($Y117-$Z117)*MAX(0,BC117/10%-2),$AB117*MIN(-BC117/10%,1)+($AC117-$AB117)*MAX(0,MIN(-BC117/10%-1,1))+($AD117-$AC117)*MAX(0,-BC117/10%-2)),0),"")</f>
        <v/>
      </c>
      <c r="BG117" s="323" t="str">
        <f aca="false">IF($AH117,$BE117+IF(SkewFlag=1,IF(BD117&gt;0,$AA117*MIN(BD117/10%,1)+($Z117-$AA117)*MAX(0,MIN(BD117/10%-1,1))+($Y117-$Z117)*MAX(0,BD117/10%-2),$AB117*MIN(-BD117/10%,1)+($AC117-$AB117)*MAX(0,MIN(-BD117/10%-1,1))+($AD117-$AC117)*MAX(0,-BD117/10%-2)),0),"")</f>
        <v/>
      </c>
      <c r="BH117" s="324" t="n">
        <f aca="false">IF(AH117,xEURO(BB117,Strike1,AE117,AE117,BF117,O117,IF(OptControl=4,0,1),0),0)</f>
        <v>0</v>
      </c>
      <c r="BI117" s="324" t="n">
        <f aca="false">IF(AH117,xEURO(BB117,Strike1,AE117,AE117,BF117,O117,IF(OptControl=4,0,1),1),0)</f>
        <v>0</v>
      </c>
      <c r="BJ117" s="324" t="n">
        <f aca="false">IF(AH117,xEURO(BB117,Strike1,AE117,AE117,BF117,O117,IF(OptControl=4,0,1),2),0)</f>
        <v>0</v>
      </c>
      <c r="BK117" s="324" t="n">
        <f aca="false">IF(AH117,xEURO(BB117,Strike1,AE117,AE117,BF117,O117,IF(OptControl=4,0,1),3)/100,0)</f>
        <v>0</v>
      </c>
      <c r="BL117" s="324" t="n">
        <f aca="false">IF(AH117,xEURO(BB117,Strike1,AE117,AE117,BF117,O117-DaysForThetaCalculation,IF(OptControl=4,0,1),0)-xEURO(BB117,Strike1,AE117,AE117,BF117,O117,IF(OptControl=4,0,1),0),0)</f>
        <v>0</v>
      </c>
      <c r="BM117" s="324" t="n">
        <f aca="false">IF(AH117,xEURO(BB117,Strike2,AE117,AE117,BG117,O117,IF(OptControl=3,1,0),0),0)</f>
        <v>0</v>
      </c>
      <c r="BN117" s="324" t="n">
        <f aca="false">IF(AH117,xEURO(BB117,Strike2,AE117,AE117,BG117,O117,IF(OptControl=3,1,0),1),0)</f>
        <v>0</v>
      </c>
      <c r="BO117" s="324" t="n">
        <f aca="false">IF(AH117,xEURO(BB117,Strike2,AE117,AE117,BG117,O117,IF(OptControl=3,1,0),2),0)</f>
        <v>0</v>
      </c>
      <c r="BP117" s="324" t="n">
        <f aca="false">IF(AH117,xEURO(BB117,Strike2,AE117,AE117,BG117,O117,IF(OptControl=3,1,0),3)/100,0)</f>
        <v>0</v>
      </c>
      <c r="BQ117" s="327" t="n">
        <f aca="false">IF(AH117,xEURO(BB117,Strike2,AE117,AE117,BG117,O117-DaysForThetaCalculation,IF(OptControl=3,1,0),0)-xEURO(BB117,Strike2,AE117,AE117,BG117,O117,IF(OptControl=3,1,0),0),0)</f>
        <v>0</v>
      </c>
      <c r="BR117" s="343"/>
      <c r="BS117" s="314"/>
      <c r="BT117" s="329" t="n">
        <f aca="false">BS117*100/42</f>
        <v>0</v>
      </c>
      <c r="BU117" s="329" t="n">
        <f aca="false">BS118-$U117</f>
        <v>-26.29347826087</v>
      </c>
      <c r="BV117" s="224"/>
      <c r="BW117" s="329" t="n">
        <f aca="false">BW105+VLOOKUP(1900+$L117,ProductSpreadTable,2)</f>
        <v>15.3192727272728</v>
      </c>
      <c r="BX117" s="329" t="n">
        <f aca="false">($V116+BW116)*100/42</f>
        <v>101.499216208223</v>
      </c>
      <c r="BY117" s="332" t="n">
        <f aca="false">BX118</f>
        <v>99.077978543197</v>
      </c>
      <c r="BZ117" s="314"/>
      <c r="CA117" s="329" t="n">
        <f aca="false">BZ117*100/42</f>
        <v>0</v>
      </c>
      <c r="CB117" s="329" t="n">
        <f aca="false">BZ117-$U117</f>
        <v>-26.29347826087</v>
      </c>
      <c r="CC117" s="329" t="n">
        <f aca="false">CC105+VLOOKUP(1900+$L117,ProductSpreadTable,3)</f>
        <v>12.9042727272728</v>
      </c>
      <c r="CD117" s="329" t="n">
        <f aca="false">($V117+CC117)*100/42</f>
        <v>93.327978543197</v>
      </c>
      <c r="CE117" s="333" t="n">
        <f aca="false">CD117-BY117</f>
        <v>-5.75</v>
      </c>
      <c r="CF117" s="314"/>
      <c r="CG117" s="329" t="n">
        <f aca="false">CF117*100/42</f>
        <v>0</v>
      </c>
      <c r="CH117" s="329" t="n">
        <f aca="false">CF118-$U117</f>
        <v>-26.29347826087</v>
      </c>
      <c r="CI117" s="224"/>
      <c r="CJ117" s="329" t="n">
        <f aca="false">CJ105+VLOOKUP(1900+$L117,ProductSpreadTable,4)</f>
        <v>8.90299999999997</v>
      </c>
      <c r="CK117" s="329" t="n">
        <f aca="false">($V116+CJ116)*100/42</f>
        <v>83.5564625850346</v>
      </c>
      <c r="CL117" s="329" t="n">
        <f aca="false">CK118</f>
        <v>83.801138716357</v>
      </c>
      <c r="CM117" s="314"/>
      <c r="CN117" s="329" t="n">
        <f aca="false">CM117*100/42</f>
        <v>0</v>
      </c>
      <c r="CO117" s="329" t="n">
        <f aca="false">CM117-$U117</f>
        <v>-26.29347826087</v>
      </c>
      <c r="CP117" s="329" t="n">
        <f aca="false">CP105+VLOOKUP(1900+$L117,ProductSpreadTable,5)</f>
        <v>7.97899999999997</v>
      </c>
      <c r="CQ117" s="329" t="n">
        <f aca="false">($V117+CP117)*100/42</f>
        <v>81.601138716357</v>
      </c>
      <c r="CR117" s="333" t="n">
        <f aca="false">CQ117-CL117</f>
        <v>-2.2</v>
      </c>
      <c r="CS117" s="314"/>
      <c r="CT117" s="329" t="n">
        <f aca="false">CS117*100/42</f>
        <v>0</v>
      </c>
      <c r="CU117" s="329" t="n">
        <f aca="false">CT117-CG118</f>
        <v>0</v>
      </c>
      <c r="CV117" s="329" t="n">
        <f aca="false">CV105+VLOOKUP(1900+$L117,ProductSpreadTable,6)</f>
        <v>1.79999999999999</v>
      </c>
      <c r="CW117" s="333" t="n">
        <f aca="false">CL117+CV117</f>
        <v>85.601138716357</v>
      </c>
      <c r="CX117" s="318"/>
      <c r="CY117" s="326" t="n">
        <f aca="false">CX117-$W117</f>
        <v>-0.172899999999999</v>
      </c>
      <c r="CZ117" s="326" t="n">
        <f aca="false">VLOOKUP(1900+$L117,ProductSpreadTable,7)</f>
        <v>-0.03</v>
      </c>
      <c r="DA117" s="365" t="n">
        <f aca="false">$W117+CZ117</f>
        <v>0.142899999999999</v>
      </c>
      <c r="DB117" s="318"/>
      <c r="DC117" s="326" t="n">
        <f aca="false">DB117-$W117</f>
        <v>-0.172899999999999</v>
      </c>
      <c r="DD117" s="326" t="n">
        <f aca="false">VLOOKUP(1900+$L117,ProductSpreadTable,8)</f>
        <v>0.03</v>
      </c>
      <c r="DE117" s="365" t="n">
        <f aca="false">$W117+DD117</f>
        <v>0.202899999999999</v>
      </c>
      <c r="DG117" s="336"/>
      <c r="DH117" s="314"/>
      <c r="DI117" s="325" t="n">
        <f aca="false">DH117-$U117</f>
        <v>-26.29347826087</v>
      </c>
      <c r="DJ117" s="325" t="n">
        <f aca="false">VLOOKUP(1900+$L117,ResidSpreadTable,2)</f>
        <v>-2</v>
      </c>
      <c r="DK117" s="337" t="n">
        <f aca="false">$V117+DJ117</f>
        <v>24.29347826087</v>
      </c>
      <c r="DL117" s="314"/>
      <c r="DM117" s="325" t="n">
        <f aca="false">DL117-$U117</f>
        <v>-26.29347826087</v>
      </c>
      <c r="DN117" s="325" t="n">
        <f aca="false">VLOOKUP(1900+$L117,ResidSpreadTable,3)</f>
        <v>-3</v>
      </c>
      <c r="DO117" s="337" t="n">
        <f aca="false">$V117+DN117</f>
        <v>23.29347826087</v>
      </c>
      <c r="DP117" s="314"/>
      <c r="DQ117" s="325" t="n">
        <f aca="false">DP117-$U117</f>
        <v>-26.29347826087</v>
      </c>
      <c r="DR117" s="325" t="n">
        <f aca="false">VLOOKUP(1900+$L117,ResidSpreadTable,4)</f>
        <v>-6</v>
      </c>
      <c r="DS117" s="337" t="n">
        <f aca="false">$V117+DR117</f>
        <v>20.29347826087</v>
      </c>
      <c r="DT117" s="314"/>
      <c r="DU117" s="325" t="n">
        <f aca="false">DT117-$U117</f>
        <v>-26.29347826087</v>
      </c>
      <c r="DV117" s="325" t="n">
        <f aca="false">VLOOKUP(1900+$L117,ResidSpreadTable,5)</f>
        <v>-5</v>
      </c>
      <c r="DW117" s="337" t="n">
        <f aca="false">$V117+DV117</f>
        <v>21.29347826087</v>
      </c>
    </row>
    <row r="118" customFormat="false" ht="12.75" hidden="false" customHeight="false" outlineLevel="0" collapsed="false">
      <c r="B118" s="371" t="n">
        <v>39142</v>
      </c>
      <c r="C118" s="391" t="n">
        <v>39133</v>
      </c>
      <c r="I118" s="338" t="n">
        <f aca="false">EOMONTH(I117,0)+1</f>
        <v>49341</v>
      </c>
      <c r="J118" s="389" t="n">
        <f aca="false">VLOOKUP(I118,$B$12:$C$332,2)</f>
        <v>45644</v>
      </c>
      <c r="K118" s="339" t="n">
        <f aca="false">NETWORKDAYS(I118,J119)/N118</f>
        <v>-132.1</v>
      </c>
      <c r="L118" s="309" t="n">
        <f aca="false">YEAR(I118)-1900</f>
        <v>135</v>
      </c>
      <c r="M118" s="310" t="n">
        <f aca="false">MONTH(I118)</f>
        <v>2</v>
      </c>
      <c r="N118" s="340" t="n">
        <f aca="false">NETWORKDAYS(I118,I119-1)</f>
        <v>20</v>
      </c>
      <c r="O118" s="341" t="n">
        <f aca="false">I118-DateToday-IF(EuroExpDateToggle=1,3+IF(WEEKDAY(I118-1)=7,1,IF(WEEKDAY(I118-1)&lt;5,2,0)),1+IF(WEEKDAY(I118-1)=7,1,IF(WEEKDAY(I118-1)&lt;3,2,0)))</f>
        <v>3410</v>
      </c>
      <c r="P118" s="342" t="n">
        <f aca="false">(I118-DateToday+1)/365.25</f>
        <v>9.35249828884326</v>
      </c>
      <c r="Q118" s="342" t="n">
        <f aca="false">(I119-DateToday)/365.25</f>
        <v>9.42642026009582</v>
      </c>
      <c r="R118" s="314" t="n">
        <v>20.55</v>
      </c>
      <c r="S118" s="347" t="n">
        <v>0</v>
      </c>
      <c r="T118" s="316" t="n">
        <f aca="false">R118+S118/100</f>
        <v>20.55</v>
      </c>
      <c r="U118" s="325" t="n">
        <f aca="false">R119*K118+R120*(1-K118)</f>
        <v>27.2549999999997</v>
      </c>
      <c r="V118" s="337" t="n">
        <f aca="false">T119*K118+T120*(1-K118)</f>
        <v>27.2549999999997</v>
      </c>
      <c r="W118" s="318" t="n">
        <v>0.172499999999999</v>
      </c>
      <c r="X118" s="319" t="str">
        <f aca="false">IF($I118-DateToday+1&gt;=$A$10,"",IF($I118-DateToday+1&lt;$A$5,1,MATCH($I118-DateToday+1,$A$5:$A$10)))</f>
        <v/>
      </c>
      <c r="Y118" s="348" t="n">
        <f aca="false">IF($X118="",Y117^2/Y116,INDEX(B$5:B$10,$X118)^((INDEX($A$5:$A$10,$X118+1)-($I118-DateToday+1))/(INDEX($A$5:$A$10,$X118+1)-INDEX($A$5:$A$10,$X118)))/INDEX(B$5:B$10,$X118+1)^((INDEX($A$5:$A$10,$X118)-($I118-DateToday+1))/(INDEX($A$5:$A$10,$X118+1)-INDEX($A$5:$A$10,$X118))))</f>
        <v>0.00135801720611832</v>
      </c>
      <c r="Z118" s="348" t="n">
        <f aca="false">IF($X118="",Z117^2/Z116,INDEX(C$5:C$10,$X118)^((INDEX($A$5:$A$10,$X118+1)-($I118-DateToday+1))/(INDEX($A$5:$A$10,$X118+1)-INDEX($A$5:$A$10,$X118)))/INDEX(C$5:C$10,$X118+1)^((INDEX($A$5:$A$10,$X118)-($I118-DateToday+1))/(INDEX($A$5:$A$10,$X118+1)-INDEX($A$5:$A$10,$X118))))</f>
        <v>0.00045829153700161</v>
      </c>
      <c r="AA118" s="348" t="n">
        <f aca="false">IF($X118="",AA117^2/AA116,INDEX(D$5:D$10,$X118)^((INDEX($A$5:$A$10,$X118+1)-($I118-DateToday+1))/(INDEX($A$5:$A$10,$X118+1)-INDEX($A$5:$A$10,$X118)))/INDEX(D$5:D$10,$X118+1)^((INDEX($A$5:$A$10,$X118)-($I118-DateToday+1))/(INDEX($A$5:$A$10,$X118+1)-INDEX($A$5:$A$10,$X118))))</f>
        <v>0.000161638585283219</v>
      </c>
      <c r="AB118" s="348" t="n">
        <f aca="false">IF($X118="",AB117^2/AB116,INDEX(E$5:E$10,$X118)^((INDEX($A$5:$A$10,$X118+1)-($I118-DateToday+1))/(INDEX($A$5:$A$10,$X118+1)-INDEX($A$5:$A$10,$X118)))/INDEX(E$5:E$10,$X118+1)^((INDEX($A$5:$A$10,$X118)-($I118-DateToday+1))/(INDEX($A$5:$A$10,$X118+1)-INDEX($A$5:$A$10,$X118))))</f>
        <v>0.000364139404926045</v>
      </c>
      <c r="AC118" s="348" t="n">
        <f aca="false">IF($X118="",AC117^2/AC116,INDEX(F$5:F$10,$X118)^((INDEX($A$5:$A$10,$X118+1)-($I118-DateToday+1))/(INDEX($A$5:$A$10,$X118+1)-INDEX($A$5:$A$10,$X118)))/INDEX(F$5:F$10,$X118+1)^((INDEX($A$5:$A$10,$X118)-($I118-DateToday+1))/(INDEX($A$5:$A$10,$X118+1)-INDEX($A$5:$A$10,$X118))))</f>
        <v>0.00103243917455722</v>
      </c>
      <c r="AD118" s="348" t="n">
        <f aca="false">IF($X118="",AD117^2/AD116,INDEX(G$5:G$10,$X118)^((INDEX($A$5:$A$10,$X118+1)-($I118-DateToday+1))/(INDEX($A$5:$A$10,$X118+1)-INDEX($A$5:$A$10,$X118)))/INDEX(G$5:G$10,$X118+1)^((INDEX($A$5:$A$10,$X118)-($I118-DateToday+1))/(INDEX($A$5:$A$10,$X118+1)-INDEX($A$5:$A$10,$X118))))</f>
        <v>0.00305934116194315</v>
      </c>
      <c r="AE118" s="321" t="n">
        <v>0.073720450842345</v>
      </c>
      <c r="AF118" s="316" t="n">
        <f aca="false">(1+AE118/2)^(-2*(I119-DateToday)/365.25)</f>
        <v>0.505393082931874</v>
      </c>
      <c r="AG118" s="316" t="n">
        <f aca="false">AG117*(1+IF(AND(M118=1,L118&gt;YearStart),Escalation,0))</f>
        <v>1</v>
      </c>
      <c r="AH118" s="322" t="n">
        <f aca="false">IF(OR(DateStart&gt;=I119,DateEnd&lt;I118),0,Volume*AG118)</f>
        <v>0</v>
      </c>
      <c r="AI118" s="322" t="n">
        <f aca="false">AH118*AF118</f>
        <v>0</v>
      </c>
      <c r="AJ118" s="322" t="n">
        <f aca="false">IF(OR(DateStart2&gt;=I119,DateEnd2&lt;I118),0,VolumeSwaption*AG118)</f>
        <v>0</v>
      </c>
      <c r="AK118" s="322" t="n">
        <f aca="false">AJ118*AF118</f>
        <v>0</v>
      </c>
      <c r="AL118" s="316" t="str">
        <f aca="true">IF(AH118,OFFSET(BY118,0,HorizontalPriceOffset)+PriceSpreadAsian,"")</f>
        <v/>
      </c>
      <c r="AM118" s="316" t="str">
        <f aca="false">IF(AH118,Strike1/AL118-1,"")</f>
        <v/>
      </c>
      <c r="AN118" s="316" t="str">
        <f aca="false">IF(AH118,Strike2/AL118-1,"")</f>
        <v/>
      </c>
      <c r="AO118" s="323" t="str">
        <f aca="false">IF(AH118,IF(VolOverrideAsian,VolOverrideAsian,IF(ProductGroup=1,IF(Product&lt;3,DA119,DE119),W119)+VolSpreadAsian),"")</f>
        <v/>
      </c>
      <c r="AP118" s="323" t="str">
        <f aca="false">IF($AH118,$AO118+IF(SkewFlag=1,IF(AM118&gt;0,$AA118*MIN(AM118/10%,1)+($Z118-$AA118)*MAX(0,MIN(AM118/10%-1,1))+($Y118-$Z118)*MAX(0,AM118/10%-2),$AB118*MIN(-AM118/10%,1)+($AC118-$AB118)*MAX(0,MIN(-AM118/10%-1,1))+($AD118-$AC118)*MAX(0,-AM118/10%-2)),0),"")</f>
        <v/>
      </c>
      <c r="AQ118" s="323" t="str">
        <f aca="false">IF($AH118,$AO118+IF(SkewFlag=1,IF(AN118&gt;0,$AA118*MIN(AN118/10%,1)+($Z118-$AA118)*MAX(0,MIN(AN118/10%-1,1))+($Y118-$Z118)*MAX(0,AN118/10%-2),$AB118*MIN(-AN118/10%,1)+($AC118-$AB118)*MAX(0,MIN(-AN118/10%-1,1))+($AD118-$AC118)*MAX(0,-AN118/10%-2)),0),"")</f>
        <v/>
      </c>
      <c r="AR118" s="324" t="n">
        <f aca="false">IF(AH118,xASN(AL118,Strike1,AE118,AP118,0,N118,0,P118,Q118,IF(OptControl=4,0,1),0),0)</f>
        <v>0</v>
      </c>
      <c r="AS118" s="324" t="n">
        <f aca="false">IF(AH118,xASN(AL118,Strike1,AE118,AP118,0,N118,0,P118,Q118,IF(OptControl=4,0,1),1),0)</f>
        <v>0</v>
      </c>
      <c r="AT118" s="324" t="n">
        <f aca="false">IF(AH118,xASN(AL118,Strike1,AE118,AP118,0,N118,0,P118,Q118,IF(OptControl=4,0,1),2),0)</f>
        <v>0</v>
      </c>
      <c r="AU118" s="324" t="n">
        <f aca="false">IF(AH118,xASN(AL118,Strike1,AE118,AP118,0,N118,0,P118,Q118,IF(OptControl=4,0,1),3)/100,0)</f>
        <v>0</v>
      </c>
      <c r="AV118" s="324" t="n">
        <f aca="false">IF(AH118,xASN(AL118,Strike1,AE118,AP118,0,N118,0,P118-DaysForThetaCalculation/365.25,Q118-DaysForThetaCalculation/365.25,IF(OptControl=4,0,1),0)-xASN(AL118,Strike1,AE118,AP118,0,N118,0,P118,Q118,IF(OptControl=4,0,1),0),0)</f>
        <v>0</v>
      </c>
      <c r="AW118" s="324" t="n">
        <f aca="false">IF(AH118,xASN(AL118,Strike2,AE118,AQ118,0,N118,0,P118,Q118,IF(OptControl=3,1,0),0),0)</f>
        <v>0</v>
      </c>
      <c r="AX118" s="324" t="n">
        <f aca="false">IF(AH118,xASN(AL118,Strike2,AE118,AQ118,0,N118,0,P118,Q118,IF(OptControl=3,1,0),1),0)</f>
        <v>0</v>
      </c>
      <c r="AY118" s="324" t="n">
        <f aca="false">IF(AH118,xASN(AL118,Strike2,AE118,AQ118,0,N118,0,P118,Q118,IF(OptControl=3,1,0),2),0)</f>
        <v>0</v>
      </c>
      <c r="AZ118" s="324" t="n">
        <f aca="false">IF(AH118,xASN(AL118,Strike2,AE118,AQ118,0,N118,0,P118,Q118,IF(OptControl=3,1,0),3)/100,0)</f>
        <v>0</v>
      </c>
      <c r="BA118" s="324" t="n">
        <f aca="false">IF(AH118,xASN(AL118,Strike2,AE118,AQ118,0,N118,0,P118-DaysForThetaCalculation/365.25,Q118-DaysForThetaCalculation/365.25,IF(OptControl=3,1,0),0)-xASN(AL118,Strike2,AE118,AQ118,0,N118,0,P118,Q118,IF(OptControl=3,1,0),0),0)</f>
        <v>0</v>
      </c>
      <c r="BB118" s="325" t="str">
        <f aca="false">IF(AH118,IF(ProductGroup=1,IF(Product=1,BX118+PriceSpreadEuro,IF(Product=3,CK118+PriceSpreadEuro,"N/A")),"N/A"),"")</f>
        <v/>
      </c>
      <c r="BC118" s="316" t="str">
        <f aca="false">IF(AH118,Strike1/BB118-1,"")</f>
        <v/>
      </c>
      <c r="BD118" s="316" t="str">
        <f aca="false">IF(AH118,Strike2/BB118-1,"")</f>
        <v/>
      </c>
      <c r="BE118" s="326" t="str">
        <f aca="false">IF(AH118,IF(VolOverrideEuro,VolOverrideEuro,IF(ProductGroup=1,IF(Product&lt;3,DA118,DE118)+VolSpreadEuro,"N/A")),"")</f>
        <v/>
      </c>
      <c r="BF118" s="323" t="str">
        <f aca="false">IF($AH118,$BE118+IF(SkewFlag=1,IF(BC118&gt;0,$AA118*MIN(BC118/10%,1)+($Z118-$AA118)*MAX(0,MIN(BC118/10%-1,1))+($Y118-$Z118)*MAX(0,BC118/10%-2),$AB118*MIN(-BC118/10%,1)+($AC118-$AB118)*MAX(0,MIN(-BC118/10%-1,1))+($AD118-$AC118)*MAX(0,-BC118/10%-2)),0),"")</f>
        <v/>
      </c>
      <c r="BG118" s="323" t="str">
        <f aca="false">IF($AH118,$BE118+IF(SkewFlag=1,IF(BD118&gt;0,$AA118*MIN(BD118/10%,1)+($Z118-$AA118)*MAX(0,MIN(BD118/10%-1,1))+($Y118-$Z118)*MAX(0,BD118/10%-2),$AB118*MIN(-BD118/10%,1)+($AC118-$AB118)*MAX(0,MIN(-BD118/10%-1,1))+($AD118-$AC118)*MAX(0,-BD118/10%-2)),0),"")</f>
        <v/>
      </c>
      <c r="BH118" s="324" t="n">
        <f aca="false">IF(AH118,xEURO(BB118,Strike1,AE118,AE118,BF118,O118,IF(OptControl=4,0,1),0),0)</f>
        <v>0</v>
      </c>
      <c r="BI118" s="324" t="n">
        <f aca="false">IF(AH118,xEURO(BB118,Strike1,AE118,AE118,BF118,O118,IF(OptControl=4,0,1),1),0)</f>
        <v>0</v>
      </c>
      <c r="BJ118" s="324" t="n">
        <f aca="false">IF(AH118,xEURO(BB118,Strike1,AE118,AE118,BF118,O118,IF(OptControl=4,0,1),2),0)</f>
        <v>0</v>
      </c>
      <c r="BK118" s="324" t="n">
        <f aca="false">IF(AH118,xEURO(BB118,Strike1,AE118,AE118,BF118,O118,IF(OptControl=4,0,1),3)/100,0)</f>
        <v>0</v>
      </c>
      <c r="BL118" s="324" t="n">
        <f aca="false">IF(AH118,xEURO(BB118,Strike1,AE118,AE118,BF118,O118-DaysForThetaCalculation,IF(OptControl=4,0,1),0)-xEURO(BB118,Strike1,AE118,AE118,BF118,O118,IF(OptControl=4,0,1),0),0)</f>
        <v>0</v>
      </c>
      <c r="BM118" s="324" t="n">
        <f aca="false">IF(AH118,xEURO(BB118,Strike2,AE118,AE118,BG118,O118,IF(OptControl=3,1,0),0),0)</f>
        <v>0</v>
      </c>
      <c r="BN118" s="324" t="n">
        <f aca="false">IF(AH118,xEURO(BB118,Strike2,AE118,AE118,BG118,O118,IF(OptControl=3,1,0),1),0)</f>
        <v>0</v>
      </c>
      <c r="BO118" s="324" t="n">
        <f aca="false">IF(AH118,xEURO(BB118,Strike2,AE118,AE118,BG118,O118,IF(OptControl=3,1,0),2),0)</f>
        <v>0</v>
      </c>
      <c r="BP118" s="324" t="n">
        <f aca="false">IF(AH118,xEURO(BB118,Strike2,AE118,AE118,BG118,O118,IF(OptControl=3,1,0),3)/100,0)</f>
        <v>0</v>
      </c>
      <c r="BQ118" s="327" t="n">
        <f aca="false">IF(AH118,xEURO(BB118,Strike2,AE118,AE118,BG118,O118-DaysForThetaCalculation,IF(OptControl=3,1,0),0)-xEURO(BB118,Strike2,AE118,AE118,BG118,O118,IF(OptControl=3,1,0),0),0)</f>
        <v>0</v>
      </c>
      <c r="BR118" s="343"/>
      <c r="BS118" s="314"/>
      <c r="BT118" s="329" t="n">
        <f aca="false">BS118*100/42</f>
        <v>0</v>
      </c>
      <c r="BU118" s="329" t="n">
        <f aca="false">BS119-$U118</f>
        <v>-27.2549999999997</v>
      </c>
      <c r="BV118" s="224"/>
      <c r="BW118" s="329" t="n">
        <f aca="false">BW106+VLOOKUP(1900+$L118,ProductSpreadTable,2)</f>
        <v>15.339</v>
      </c>
      <c r="BX118" s="329" t="n">
        <f aca="false">($V117+BW117)*100/42</f>
        <v>99.077978543197</v>
      </c>
      <c r="BY118" s="332" t="n">
        <f aca="false">BX119</f>
        <v>101.414285714285</v>
      </c>
      <c r="BZ118" s="314"/>
      <c r="CA118" s="329" t="n">
        <f aca="false">BZ118*100/42</f>
        <v>0</v>
      </c>
      <c r="CB118" s="329" t="n">
        <f aca="false">BZ118-$U118</f>
        <v>-27.2549999999997</v>
      </c>
      <c r="CC118" s="329" t="n">
        <f aca="false">CC106+VLOOKUP(1900+$L118,ProductSpreadTable,3)</f>
        <v>12.924</v>
      </c>
      <c r="CD118" s="329" t="n">
        <f aca="false">($V118+CC118)*100/42</f>
        <v>95.6642857142849</v>
      </c>
      <c r="CE118" s="333" t="n">
        <f aca="false">CD118-BY118</f>
        <v>-5.75</v>
      </c>
      <c r="CF118" s="314"/>
      <c r="CG118" s="329" t="n">
        <f aca="false">CF118*100/42</f>
        <v>0</v>
      </c>
      <c r="CH118" s="329" t="n">
        <f aca="false">CF119-$U118</f>
        <v>-27.2549999999997</v>
      </c>
      <c r="CI118" s="224"/>
      <c r="CJ118" s="329" t="n">
        <f aca="false">CJ106+VLOOKUP(1900+$L118,ProductSpreadTable,4)</f>
        <v>9.2359999999999</v>
      </c>
      <c r="CK118" s="329" t="n">
        <f aca="false">($V117+CJ117)*100/42</f>
        <v>83.801138716357</v>
      </c>
      <c r="CL118" s="329" t="n">
        <f aca="false">CK119</f>
        <v>86.8833333333323</v>
      </c>
      <c r="CM118" s="314"/>
      <c r="CN118" s="329" t="n">
        <f aca="false">CM118*100/42</f>
        <v>0</v>
      </c>
      <c r="CO118" s="329" t="n">
        <f aca="false">CM118-$U118</f>
        <v>-27.2549999999997</v>
      </c>
      <c r="CP118" s="329" t="n">
        <f aca="false">CP106+VLOOKUP(1900+$L118,ProductSpreadTable,5)</f>
        <v>8.3119999999999</v>
      </c>
      <c r="CQ118" s="329" t="n">
        <f aca="false">($V118+CP118)*100/42</f>
        <v>84.6833333333323</v>
      </c>
      <c r="CR118" s="333" t="n">
        <f aca="false">CQ118-CL118</f>
        <v>-2.2</v>
      </c>
      <c r="CS118" s="314"/>
      <c r="CT118" s="329" t="n">
        <f aca="false">CS118*100/42</f>
        <v>0</v>
      </c>
      <c r="CU118" s="329" t="n">
        <f aca="false">CT118-CG119</f>
        <v>0</v>
      </c>
      <c r="CV118" s="329" t="n">
        <f aca="false">CV106+VLOOKUP(1900+$L118,ProductSpreadTable,6)</f>
        <v>1.79999999999999</v>
      </c>
      <c r="CW118" s="333" t="n">
        <f aca="false">CL118+CV118</f>
        <v>88.6833333333323</v>
      </c>
      <c r="CX118" s="318"/>
      <c r="CY118" s="326" t="n">
        <f aca="false">CX118-$W118</f>
        <v>-0.172499999999999</v>
      </c>
      <c r="CZ118" s="326" t="n">
        <f aca="false">VLOOKUP(1900+$L118,ProductSpreadTable,7)</f>
        <v>-0.03</v>
      </c>
      <c r="DA118" s="365" t="n">
        <f aca="false">$W118+CZ118</f>
        <v>0.142499999999999</v>
      </c>
      <c r="DB118" s="318"/>
      <c r="DC118" s="326" t="n">
        <f aca="false">DB118-$W118</f>
        <v>-0.172499999999999</v>
      </c>
      <c r="DD118" s="326" t="n">
        <f aca="false">VLOOKUP(1900+$L118,ProductSpreadTable,8)</f>
        <v>0.03</v>
      </c>
      <c r="DE118" s="365" t="n">
        <f aca="false">$W118+DD118</f>
        <v>0.202499999999999</v>
      </c>
      <c r="DG118" s="336"/>
      <c r="DH118" s="314"/>
      <c r="DI118" s="325" t="n">
        <f aca="false">DH118-$U118</f>
        <v>-27.2549999999997</v>
      </c>
      <c r="DJ118" s="325" t="n">
        <f aca="false">VLOOKUP(1900+$L118,ResidSpreadTable,2)</f>
        <v>-2</v>
      </c>
      <c r="DK118" s="337" t="n">
        <f aca="false">$V118+DJ118</f>
        <v>25.2549999999997</v>
      </c>
      <c r="DL118" s="314"/>
      <c r="DM118" s="325" t="n">
        <f aca="false">DL118-$U118</f>
        <v>-27.2549999999997</v>
      </c>
      <c r="DN118" s="325" t="n">
        <f aca="false">VLOOKUP(1900+$L118,ResidSpreadTable,3)</f>
        <v>-3</v>
      </c>
      <c r="DO118" s="337" t="n">
        <f aca="false">$V118+DN118</f>
        <v>24.2549999999997</v>
      </c>
      <c r="DP118" s="314"/>
      <c r="DQ118" s="325" t="n">
        <f aca="false">DP118-$U118</f>
        <v>-27.2549999999997</v>
      </c>
      <c r="DR118" s="325" t="n">
        <f aca="false">VLOOKUP(1900+$L118,ResidSpreadTable,4)</f>
        <v>-6</v>
      </c>
      <c r="DS118" s="337" t="n">
        <f aca="false">$V118+DR118</f>
        <v>21.2549999999997</v>
      </c>
      <c r="DT118" s="314"/>
      <c r="DU118" s="325" t="n">
        <f aca="false">DT118-$U118</f>
        <v>-27.2549999999997</v>
      </c>
      <c r="DV118" s="325" t="n">
        <f aca="false">VLOOKUP(1900+$L118,ResidSpreadTable,5)</f>
        <v>-5</v>
      </c>
      <c r="DW118" s="337" t="n">
        <f aca="false">$V118+DV118</f>
        <v>22.2549999999997</v>
      </c>
    </row>
    <row r="119" customFormat="false" ht="12.75" hidden="false" customHeight="false" outlineLevel="0" collapsed="false">
      <c r="B119" s="371" t="n">
        <v>39173</v>
      </c>
      <c r="C119" s="391" t="n">
        <v>39161</v>
      </c>
      <c r="I119" s="338" t="n">
        <f aca="false">EOMONTH(I118,0)+1</f>
        <v>49369</v>
      </c>
      <c r="J119" s="389" t="n">
        <f aca="false">VLOOKUP(I119,$B$12:$C$332,2)</f>
        <v>45644</v>
      </c>
      <c r="K119" s="339" t="n">
        <f aca="false">NETWORKDAYS(I119,J120)/N119</f>
        <v>-121</v>
      </c>
      <c r="L119" s="309" t="n">
        <f aca="false">YEAR(I119)-1900</f>
        <v>135</v>
      </c>
      <c r="M119" s="310" t="n">
        <f aca="false">MONTH(I119)</f>
        <v>3</v>
      </c>
      <c r="N119" s="340" t="n">
        <f aca="false">NETWORKDAYS(I119,I120-1)</f>
        <v>22</v>
      </c>
      <c r="O119" s="341" t="n">
        <f aca="false">I119-DateToday-IF(EuroExpDateToggle=1,3+IF(WEEKDAY(I119-1)=7,1,IF(WEEKDAY(I119-1)&lt;5,2,0)),1+IF(WEEKDAY(I119-1)=7,1,IF(WEEKDAY(I119-1)&lt;3,2,0)))</f>
        <v>3438</v>
      </c>
      <c r="P119" s="342" t="n">
        <f aca="false">(I119-DateToday+1)/365.25</f>
        <v>9.42915811088296</v>
      </c>
      <c r="Q119" s="342" t="n">
        <f aca="false">(I120-DateToday)/365.25</f>
        <v>9.51129363449692</v>
      </c>
      <c r="R119" s="314" t="n">
        <v>20.6</v>
      </c>
      <c r="S119" s="347" t="n">
        <v>0</v>
      </c>
      <c r="T119" s="316" t="n">
        <f aca="false">R119+S119/100</f>
        <v>20.6</v>
      </c>
      <c r="U119" s="325" t="n">
        <f aca="false">R120*K119+R121*(1-K119)</f>
        <v>26.7500000000005</v>
      </c>
      <c r="V119" s="337" t="n">
        <f aca="false">T120*K119+T121*(1-K119)</f>
        <v>26.7500000000005</v>
      </c>
      <c r="W119" s="318" t="n">
        <v>0.172099999999999</v>
      </c>
      <c r="X119" s="319" t="str">
        <f aca="false">IF($I119-DateToday+1&gt;=$A$10,"",IF($I119-DateToday+1&lt;$A$5,1,MATCH($I119-DateToday+1,$A$5:$A$10)))</f>
        <v/>
      </c>
      <c r="Y119" s="348" t="n">
        <f aca="false">IF($X119="",Y118^2/Y117,INDEX(B$5:B$10,$X119)^((INDEX($A$5:$A$10,$X119+1)-($I119-DateToday+1))/(INDEX($A$5:$A$10,$X119+1)-INDEX($A$5:$A$10,$X119)))/INDEX(B$5:B$10,$X119+1)^((INDEX($A$5:$A$10,$X119)-($I119-DateToday+1))/(INDEX($A$5:$A$10,$X119+1)-INDEX($A$5:$A$10,$X119))))</f>
        <v>0.00132894412318074</v>
      </c>
      <c r="Z119" s="348" t="n">
        <f aca="false">IF($X119="",Z118^2/Z117,INDEX(C$5:C$10,$X119)^((INDEX($A$5:$A$10,$X119+1)-($I119-DateToday+1))/(INDEX($A$5:$A$10,$X119+1)-INDEX($A$5:$A$10,$X119)))/INDEX(C$5:C$10,$X119+1)^((INDEX($A$5:$A$10,$X119)-($I119-DateToday+1))/(INDEX($A$5:$A$10,$X119+1)-INDEX($A$5:$A$10,$X119))))</f>
        <v>0.00044607902587133</v>
      </c>
      <c r="AA119" s="348" t="n">
        <f aca="false">IF($X119="",AA118^2/AA117,INDEX(D$5:D$10,$X119)^((INDEX($A$5:$A$10,$X119+1)-($I119-DateToday+1))/(INDEX($A$5:$A$10,$X119+1)-INDEX($A$5:$A$10,$X119)))/INDEX(D$5:D$10,$X119+1)^((INDEX($A$5:$A$10,$X119)-($I119-DateToday+1))/(INDEX($A$5:$A$10,$X119+1)-INDEX($A$5:$A$10,$X119))))</f>
        <v>0.000156909356340997</v>
      </c>
      <c r="AB119" s="348" t="n">
        <f aca="false">IF($X119="",AB118^2/AB117,INDEX(E$5:E$10,$X119)^((INDEX($A$5:$A$10,$X119+1)-($I119-DateToday+1))/(INDEX($A$5:$A$10,$X119+1)-INDEX($A$5:$A$10,$X119)))/INDEX(E$5:E$10,$X119+1)^((INDEX($A$5:$A$10,$X119)-($I119-DateToday+1))/(INDEX($A$5:$A$10,$X119+1)-INDEX($A$5:$A$10,$X119))))</f>
        <v>0.000353485397965006</v>
      </c>
      <c r="AC119" s="348" t="n">
        <f aca="false">IF($X119="",AC118^2/AC117,INDEX(F$5:F$10,$X119)^((INDEX($A$5:$A$10,$X119+1)-($I119-DateToday+1))/(INDEX($A$5:$A$10,$X119+1)-INDEX($A$5:$A$10,$X119)))/INDEX(F$5:F$10,$X119+1)^((INDEX($A$5:$A$10,$X119)-($I119-DateToday+1))/(INDEX($A$5:$A$10,$X119+1)-INDEX($A$5:$A$10,$X119))))</f>
        <v>0.00100492682948293</v>
      </c>
      <c r="AD119" s="348" t="n">
        <f aca="false">IF($X119="",AD118^2/AD117,INDEX(G$5:G$10,$X119)^((INDEX($A$5:$A$10,$X119+1)-($I119-DateToday+1))/(INDEX($A$5:$A$10,$X119+1)-INDEX($A$5:$A$10,$X119)))/INDEX(G$5:G$10,$X119+1)^((INDEX($A$5:$A$10,$X119)-($I119-DateToday+1))/(INDEX($A$5:$A$10,$X119+1)-INDEX($A$5:$A$10,$X119))))</f>
        <v>0.00299384532070137</v>
      </c>
      <c r="AE119" s="321" t="n">
        <v>0.073728040912701</v>
      </c>
      <c r="AF119" s="316" t="n">
        <f aca="false">(1+AE119/2)^(-2*(I120-DateToday)/365.25)</f>
        <v>0.502262322542982</v>
      </c>
      <c r="AG119" s="316" t="n">
        <f aca="false">AG118*(1+IF(AND(M119=1,L119&gt;YearStart),Escalation,0))</f>
        <v>1</v>
      </c>
      <c r="AH119" s="322" t="n">
        <f aca="false">IF(OR(DateStart&gt;=I120,DateEnd&lt;I119),0,Volume*AG119)</f>
        <v>0</v>
      </c>
      <c r="AI119" s="322" t="n">
        <f aca="false">AH119*AF119</f>
        <v>0</v>
      </c>
      <c r="AJ119" s="322" t="n">
        <f aca="false">IF(OR(DateStart2&gt;=I120,DateEnd2&lt;I119),0,VolumeSwaption*AG119)</f>
        <v>0</v>
      </c>
      <c r="AK119" s="322" t="n">
        <f aca="false">AJ119*AF119</f>
        <v>0</v>
      </c>
      <c r="AL119" s="316" t="str">
        <f aca="true">IF(AH119,OFFSET(BY119,0,HorizontalPriceOffset)+PriceSpreadAsian,"")</f>
        <v/>
      </c>
      <c r="AM119" s="316" t="str">
        <f aca="false">IF(AH119,Strike1/AL119-1,"")</f>
        <v/>
      </c>
      <c r="AN119" s="316" t="str">
        <f aca="false">IF(AH119,Strike2/AL119-1,"")</f>
        <v/>
      </c>
      <c r="AO119" s="323" t="str">
        <f aca="false">IF(AH119,IF(VolOverrideAsian,VolOverrideAsian,IF(ProductGroup=1,IF(Product&lt;3,DA120,DE120),W120)+VolSpreadAsian),"")</f>
        <v/>
      </c>
      <c r="AP119" s="323" t="str">
        <f aca="false">IF($AH119,$AO119+IF(SkewFlag=1,IF(AM119&gt;0,$AA119*MIN(AM119/10%,1)+($Z119-$AA119)*MAX(0,MIN(AM119/10%-1,1))+($Y119-$Z119)*MAX(0,AM119/10%-2),$AB119*MIN(-AM119/10%,1)+($AC119-$AB119)*MAX(0,MIN(-AM119/10%-1,1))+($AD119-$AC119)*MAX(0,-AM119/10%-2)),0),"")</f>
        <v/>
      </c>
      <c r="AQ119" s="323" t="str">
        <f aca="false">IF($AH119,$AO119+IF(SkewFlag=1,IF(AN119&gt;0,$AA119*MIN(AN119/10%,1)+($Z119-$AA119)*MAX(0,MIN(AN119/10%-1,1))+($Y119-$Z119)*MAX(0,AN119/10%-2),$AB119*MIN(-AN119/10%,1)+($AC119-$AB119)*MAX(0,MIN(-AN119/10%-1,1))+($AD119-$AC119)*MAX(0,-AN119/10%-2)),0),"")</f>
        <v/>
      </c>
      <c r="AR119" s="324" t="n">
        <f aca="false">IF(AH119,xASN(AL119,Strike1,AE119,AP119,0,N119,0,P119,Q119,IF(OptControl=4,0,1),0),0)</f>
        <v>0</v>
      </c>
      <c r="AS119" s="324" t="n">
        <f aca="false">IF(AH119,xASN(AL119,Strike1,AE119,AP119,0,N119,0,P119,Q119,IF(OptControl=4,0,1),1),0)</f>
        <v>0</v>
      </c>
      <c r="AT119" s="324" t="n">
        <f aca="false">IF(AH119,xASN(AL119,Strike1,AE119,AP119,0,N119,0,P119,Q119,IF(OptControl=4,0,1),2),0)</f>
        <v>0</v>
      </c>
      <c r="AU119" s="324" t="n">
        <f aca="false">IF(AH119,xASN(AL119,Strike1,AE119,AP119,0,N119,0,P119,Q119,IF(OptControl=4,0,1),3)/100,0)</f>
        <v>0</v>
      </c>
      <c r="AV119" s="324" t="n">
        <f aca="false">IF(AH119,xASN(AL119,Strike1,AE119,AP119,0,N119,0,P119-DaysForThetaCalculation/365.25,Q119-DaysForThetaCalculation/365.25,IF(OptControl=4,0,1),0)-xASN(AL119,Strike1,AE119,AP119,0,N119,0,P119,Q119,IF(OptControl=4,0,1),0),0)</f>
        <v>0</v>
      </c>
      <c r="AW119" s="324" t="n">
        <f aca="false">IF(AH119,xASN(AL119,Strike2,AE119,AQ119,0,N119,0,P119,Q119,IF(OptControl=3,1,0),0),0)</f>
        <v>0</v>
      </c>
      <c r="AX119" s="324" t="n">
        <f aca="false">IF(AH119,xASN(AL119,Strike2,AE119,AQ119,0,N119,0,P119,Q119,IF(OptControl=3,1,0),1),0)</f>
        <v>0</v>
      </c>
      <c r="AY119" s="324" t="n">
        <f aca="false">IF(AH119,xASN(AL119,Strike2,AE119,AQ119,0,N119,0,P119,Q119,IF(OptControl=3,1,0),2),0)</f>
        <v>0</v>
      </c>
      <c r="AZ119" s="324" t="n">
        <f aca="false">IF(AH119,xASN(AL119,Strike2,AE119,AQ119,0,N119,0,P119,Q119,IF(OptControl=3,1,0),3)/100,0)</f>
        <v>0</v>
      </c>
      <c r="BA119" s="324" t="n">
        <f aca="false">IF(AH119,xASN(AL119,Strike2,AE119,AQ119,0,N119,0,P119-DaysForThetaCalculation/365.25,Q119-DaysForThetaCalculation/365.25,IF(OptControl=3,1,0),0)-xASN(AL119,Strike2,AE119,AQ119,0,N119,0,P119,Q119,IF(OptControl=3,1,0),0),0)</f>
        <v>0</v>
      </c>
      <c r="BB119" s="325" t="str">
        <f aca="false">IF(AH119,IF(ProductGroup=1,IF(Product=1,BX119+PriceSpreadEuro,IF(Product=3,CK119+PriceSpreadEuro,"N/A")),"N/A"),"")</f>
        <v/>
      </c>
      <c r="BC119" s="316" t="str">
        <f aca="false">IF(AH119,Strike1/BB119-1,"")</f>
        <v/>
      </c>
      <c r="BD119" s="316" t="str">
        <f aca="false">IF(AH119,Strike2/BB119-1,"")</f>
        <v/>
      </c>
      <c r="BE119" s="326" t="str">
        <f aca="false">IF(AH119,IF(VolOverrideEuro,VolOverrideEuro,IF(ProductGroup=1,IF(Product&lt;3,DA119,DE119)+VolSpreadEuro,"N/A")),"")</f>
        <v/>
      </c>
      <c r="BF119" s="323" t="str">
        <f aca="false">IF($AH119,$BE119+IF(SkewFlag=1,IF(BC119&gt;0,$AA119*MIN(BC119/10%,1)+($Z119-$AA119)*MAX(0,MIN(BC119/10%-1,1))+($Y119-$Z119)*MAX(0,BC119/10%-2),$AB119*MIN(-BC119/10%,1)+($AC119-$AB119)*MAX(0,MIN(-BC119/10%-1,1))+($AD119-$AC119)*MAX(0,-BC119/10%-2)),0),"")</f>
        <v/>
      </c>
      <c r="BG119" s="323" t="str">
        <f aca="false">IF($AH119,$BE119+IF(SkewFlag=1,IF(BD119&gt;0,$AA119*MIN(BD119/10%,1)+($Z119-$AA119)*MAX(0,MIN(BD119/10%-1,1))+($Y119-$Z119)*MAX(0,BD119/10%-2),$AB119*MIN(-BD119/10%,1)+($AC119-$AB119)*MAX(0,MIN(-BD119/10%-1,1))+($AD119-$AC119)*MAX(0,-BD119/10%-2)),0),"")</f>
        <v/>
      </c>
      <c r="BH119" s="324" t="n">
        <f aca="false">IF(AH119,xEURO(BB119,Strike1,AE119,AE119,BF119,O119,IF(OptControl=4,0,1),0),0)</f>
        <v>0</v>
      </c>
      <c r="BI119" s="324" t="n">
        <f aca="false">IF(AH119,xEURO(BB119,Strike1,AE119,AE119,BF119,O119,IF(OptControl=4,0,1),1),0)</f>
        <v>0</v>
      </c>
      <c r="BJ119" s="324" t="n">
        <f aca="false">IF(AH119,xEURO(BB119,Strike1,AE119,AE119,BF119,O119,IF(OptControl=4,0,1),2),0)</f>
        <v>0</v>
      </c>
      <c r="BK119" s="324" t="n">
        <f aca="false">IF(AH119,xEURO(BB119,Strike1,AE119,AE119,BF119,O119,IF(OptControl=4,0,1),3)/100,0)</f>
        <v>0</v>
      </c>
      <c r="BL119" s="324" t="n">
        <f aca="false">IF(AH119,xEURO(BB119,Strike1,AE119,AE119,BF119,O119-DaysForThetaCalculation,IF(OptControl=4,0,1),0)-xEURO(BB119,Strike1,AE119,AE119,BF119,O119,IF(OptControl=4,0,1),0),0)</f>
        <v>0</v>
      </c>
      <c r="BM119" s="324" t="n">
        <f aca="false">IF(AH119,xEURO(BB119,Strike2,AE119,AE119,BG119,O119,IF(OptControl=3,1,0),0),0)</f>
        <v>0</v>
      </c>
      <c r="BN119" s="324" t="n">
        <f aca="false">IF(AH119,xEURO(BB119,Strike2,AE119,AE119,BG119,O119,IF(OptControl=3,1,0),1),0)</f>
        <v>0</v>
      </c>
      <c r="BO119" s="324" t="n">
        <f aca="false">IF(AH119,xEURO(BB119,Strike2,AE119,AE119,BG119,O119,IF(OptControl=3,1,0),2),0)</f>
        <v>0</v>
      </c>
      <c r="BP119" s="324" t="n">
        <f aca="false">IF(AH119,xEURO(BB119,Strike2,AE119,AE119,BG119,O119,IF(OptControl=3,1,0),3)/100,0)</f>
        <v>0</v>
      </c>
      <c r="BQ119" s="327" t="n">
        <f aca="false">IF(AH119,xEURO(BB119,Strike2,AE119,AE119,BG119,O119-DaysForThetaCalculation,IF(OptControl=3,1,0),0)-xEURO(BB119,Strike2,AE119,AE119,BG119,O119,IF(OptControl=3,1,0),0),0)</f>
        <v>0</v>
      </c>
      <c r="BR119" s="343"/>
      <c r="BS119" s="314"/>
      <c r="BT119" s="329" t="n">
        <f aca="false">BS119*100/42</f>
        <v>0</v>
      </c>
      <c r="BU119" s="329" t="n">
        <f aca="false">BS120-$U119</f>
        <v>-26.7500000000005</v>
      </c>
      <c r="BV119" s="224"/>
      <c r="BW119" s="329" t="n">
        <f aca="false">BW107+VLOOKUP(1900+$L119,ProductSpreadTable,2)</f>
        <v>12.8669999999999</v>
      </c>
      <c r="BX119" s="329" t="n">
        <f aca="false">($V118+BW118)*100/42</f>
        <v>101.414285714285</v>
      </c>
      <c r="BY119" s="332" t="n">
        <f aca="false">BX120</f>
        <v>94.3261904761914</v>
      </c>
      <c r="BZ119" s="314"/>
      <c r="CA119" s="329" t="n">
        <f aca="false">BZ119*100/42</f>
        <v>0</v>
      </c>
      <c r="CB119" s="329" t="n">
        <f aca="false">BZ119-$U119</f>
        <v>-26.7500000000005</v>
      </c>
      <c r="CC119" s="329" t="n">
        <f aca="false">CC107+VLOOKUP(1900+$L119,ProductSpreadTable,3)</f>
        <v>10.4519999999999</v>
      </c>
      <c r="CD119" s="329" t="n">
        <f aca="false">($V119+CC119)*100/42</f>
        <v>88.5761904761914</v>
      </c>
      <c r="CE119" s="333" t="n">
        <f aca="false">CD119-BY119</f>
        <v>-5.75</v>
      </c>
      <c r="CF119" s="314"/>
      <c r="CG119" s="329" t="n">
        <f aca="false">CF119*100/42</f>
        <v>0</v>
      </c>
      <c r="CH119" s="329" t="n">
        <f aca="false">CF120-$U119</f>
        <v>-26.7500000000005</v>
      </c>
      <c r="CI119" s="224"/>
      <c r="CJ119" s="329" t="n">
        <f aca="false">CJ107+VLOOKUP(1900+$L119,ProductSpreadTable,4)</f>
        <v>10.7589999999999</v>
      </c>
      <c r="CK119" s="329" t="n">
        <f aca="false">($V118+CJ118)*100/42</f>
        <v>86.8833333333323</v>
      </c>
      <c r="CL119" s="329" t="n">
        <f aca="false">CK120</f>
        <v>89.3071428571438</v>
      </c>
      <c r="CM119" s="314"/>
      <c r="CN119" s="329" t="n">
        <f aca="false">CM119*100/42</f>
        <v>0</v>
      </c>
      <c r="CO119" s="329" t="n">
        <f aca="false">CM119-$U119</f>
        <v>-26.7500000000005</v>
      </c>
      <c r="CP119" s="329" t="n">
        <f aca="false">CP107+VLOOKUP(1900+$L119,ProductSpreadTable,5)</f>
        <v>8.25773913043481</v>
      </c>
      <c r="CQ119" s="329" t="n">
        <f aca="false">($V119+CP119)*100/42</f>
        <v>83.3517598343697</v>
      </c>
      <c r="CR119" s="333" t="n">
        <f aca="false">CQ119-CL119</f>
        <v>-5.95538302277407</v>
      </c>
      <c r="CS119" s="314"/>
      <c r="CT119" s="329" t="n">
        <f aca="false">CS119*100/42</f>
        <v>0</v>
      </c>
      <c r="CU119" s="329" t="n">
        <f aca="false">CT119-CG120</f>
        <v>0</v>
      </c>
      <c r="CV119" s="329" t="n">
        <f aca="false">CV107+VLOOKUP(1900+$L119,ProductSpreadTable,6)</f>
        <v>1.80000000000001</v>
      </c>
      <c r="CW119" s="333" t="n">
        <f aca="false">CL119+CV119</f>
        <v>91.1071428571438</v>
      </c>
      <c r="CX119" s="318"/>
      <c r="CY119" s="326" t="n">
        <f aca="false">CX119-$W119</f>
        <v>-0.172099999999999</v>
      </c>
      <c r="CZ119" s="326" t="n">
        <f aca="false">VLOOKUP(1900+$L119,ProductSpreadTable,7)</f>
        <v>-0.03</v>
      </c>
      <c r="DA119" s="365" t="n">
        <f aca="false">$W119+CZ119</f>
        <v>0.142099999999999</v>
      </c>
      <c r="DB119" s="318"/>
      <c r="DC119" s="326" t="n">
        <f aca="false">DB119-$W119</f>
        <v>-0.172099999999999</v>
      </c>
      <c r="DD119" s="326" t="n">
        <f aca="false">VLOOKUP(1900+$L119,ProductSpreadTable,8)</f>
        <v>0.03</v>
      </c>
      <c r="DE119" s="365" t="n">
        <f aca="false">$W119+DD119</f>
        <v>0.202099999999999</v>
      </c>
      <c r="DG119" s="336"/>
      <c r="DH119" s="314"/>
      <c r="DI119" s="325" t="n">
        <f aca="false">DH119-$U119</f>
        <v>-26.7500000000005</v>
      </c>
      <c r="DJ119" s="325" t="n">
        <f aca="false">VLOOKUP(1900+$L119,ResidSpreadTable,2)</f>
        <v>-2</v>
      </c>
      <c r="DK119" s="337" t="n">
        <f aca="false">$V119+DJ119</f>
        <v>24.7500000000005</v>
      </c>
      <c r="DL119" s="314"/>
      <c r="DM119" s="325" t="n">
        <f aca="false">DL119-$U119</f>
        <v>-26.7500000000005</v>
      </c>
      <c r="DN119" s="325" t="n">
        <f aca="false">VLOOKUP(1900+$L119,ResidSpreadTable,3)</f>
        <v>-3</v>
      </c>
      <c r="DO119" s="337" t="n">
        <f aca="false">$V119+DN119</f>
        <v>23.7500000000005</v>
      </c>
      <c r="DP119" s="314"/>
      <c r="DQ119" s="325" t="n">
        <f aca="false">DP119-$U119</f>
        <v>-26.7500000000005</v>
      </c>
      <c r="DR119" s="325" t="n">
        <f aca="false">VLOOKUP(1900+$L119,ResidSpreadTable,4)</f>
        <v>-6</v>
      </c>
      <c r="DS119" s="337" t="n">
        <f aca="false">$V119+DR119</f>
        <v>20.7500000000005</v>
      </c>
      <c r="DT119" s="314"/>
      <c r="DU119" s="325" t="n">
        <f aca="false">DT119-$U119</f>
        <v>-26.7500000000005</v>
      </c>
      <c r="DV119" s="325" t="n">
        <f aca="false">VLOOKUP(1900+$L119,ResidSpreadTable,5)</f>
        <v>-5</v>
      </c>
      <c r="DW119" s="337" t="n">
        <f aca="false">$V119+DV119</f>
        <v>21.7500000000005</v>
      </c>
    </row>
    <row r="120" customFormat="false" ht="12.75" hidden="false" customHeight="false" outlineLevel="0" collapsed="false">
      <c r="B120" s="371" t="n">
        <v>39203</v>
      </c>
      <c r="C120" s="391" t="n">
        <v>39192</v>
      </c>
      <c r="I120" s="338" t="n">
        <f aca="false">EOMONTH(I119,0)+1</f>
        <v>49400</v>
      </c>
      <c r="J120" s="389" t="n">
        <f aca="false">VLOOKUP(I120,$B$12:$C$332,2)</f>
        <v>45644</v>
      </c>
      <c r="K120" s="339" t="n">
        <f aca="false">NETWORKDAYS(I120,J121)/N120</f>
        <v>-127.761904761905</v>
      </c>
      <c r="L120" s="309" t="n">
        <f aca="false">YEAR(I120)-1900</f>
        <v>135</v>
      </c>
      <c r="M120" s="310" t="n">
        <f aca="false">MONTH(I120)</f>
        <v>4</v>
      </c>
      <c r="N120" s="340" t="n">
        <f aca="false">NETWORKDAYS(I120,I121-1)</f>
        <v>21</v>
      </c>
      <c r="O120" s="341" t="n">
        <f aca="false">I120-DateToday-IF(EuroExpDateToggle=1,3+IF(WEEKDAY(I120-1)=7,1,IF(WEEKDAY(I120-1)&lt;5,2,0)),1+IF(WEEKDAY(I120-1)=7,1,IF(WEEKDAY(I120-1)&lt;3,2,0)))</f>
        <v>3470</v>
      </c>
      <c r="P120" s="342" t="n">
        <f aca="false">(I120-DateToday+1)/365.25</f>
        <v>9.51403148528405</v>
      </c>
      <c r="Q120" s="342" t="n">
        <f aca="false">(I121-DateToday)/365.25</f>
        <v>9.59342915811088</v>
      </c>
      <c r="R120" s="314" t="n">
        <v>20.65</v>
      </c>
      <c r="S120" s="347" t="n">
        <v>0</v>
      </c>
      <c r="T120" s="316" t="n">
        <f aca="false">R120+S120/100</f>
        <v>20.65</v>
      </c>
      <c r="U120" s="325" t="n">
        <f aca="false">R121*K120+R122*(1-K120)</f>
        <v>27.1380952380955</v>
      </c>
      <c r="V120" s="337" t="n">
        <f aca="false">T121*K120+T122*(1-K120)</f>
        <v>27.1380952380955</v>
      </c>
      <c r="W120" s="318" t="n">
        <v>0.171699999999999</v>
      </c>
      <c r="X120" s="319" t="str">
        <f aca="false">IF($I120-DateToday+1&gt;=$A$10,"",IF($I120-DateToday+1&lt;$A$5,1,MATCH($I120-DateToday+1,$A$5:$A$10)))</f>
        <v/>
      </c>
      <c r="Y120" s="348" t="n">
        <f aca="false">IF($X120="",Y119^2/Y118,INDEX(B$5:B$10,$X120)^((INDEX($A$5:$A$10,$X120+1)-($I120-DateToday+1))/(INDEX($A$5:$A$10,$X120+1)-INDEX($A$5:$A$10,$X120)))/INDEX(B$5:B$10,$X120+1)^((INDEX($A$5:$A$10,$X120)-($I120-DateToday+1))/(INDEX($A$5:$A$10,$X120+1)-INDEX($A$5:$A$10,$X120))))</f>
        <v>0.00130049345073081</v>
      </c>
      <c r="Z120" s="348" t="n">
        <f aca="false">IF($X120="",Z119^2/Z118,INDEX(C$5:C$10,$X120)^((INDEX($A$5:$A$10,$X120+1)-($I120-DateToday+1))/(INDEX($A$5:$A$10,$X120+1)-INDEX($A$5:$A$10,$X120)))/INDEX(C$5:C$10,$X120+1)^((INDEX($A$5:$A$10,$X120)-($I120-DateToday+1))/(INDEX($A$5:$A$10,$X120+1)-INDEX($A$5:$A$10,$X120))))</f>
        <v>0.000434191952625161</v>
      </c>
      <c r="AA120" s="348" t="n">
        <f aca="false">IF($X120="",AA119^2/AA118,INDEX(D$5:D$10,$X120)^((INDEX($A$5:$A$10,$X120+1)-($I120-DateToday+1))/(INDEX($A$5:$A$10,$X120+1)-INDEX($A$5:$A$10,$X120)))/INDEX(D$5:D$10,$X120+1)^((INDEX($A$5:$A$10,$X120)-($I120-DateToday+1))/(INDEX($A$5:$A$10,$X120+1)-INDEX($A$5:$A$10,$X120))))</f>
        <v>0.000152318495390233</v>
      </c>
      <c r="AB120" s="348" t="n">
        <f aca="false">IF($X120="",AB119^2/AB118,INDEX(E$5:E$10,$X120)^((INDEX($A$5:$A$10,$X120+1)-($I120-DateToday+1))/(INDEX($A$5:$A$10,$X120+1)-INDEX($A$5:$A$10,$X120)))/INDEX(E$5:E$10,$X120+1)^((INDEX($A$5:$A$10,$X120)-($I120-DateToday+1))/(INDEX($A$5:$A$10,$X120+1)-INDEX($A$5:$A$10,$X120))))</f>
        <v>0.000343143106415127</v>
      </c>
      <c r="AC120" s="348" t="n">
        <f aca="false">IF($X120="",AC119^2/AC118,INDEX(F$5:F$10,$X120)^((INDEX($A$5:$A$10,$X120+1)-($I120-DateToday+1))/(INDEX($A$5:$A$10,$X120+1)-INDEX($A$5:$A$10,$X120)))/INDEX(F$5:F$10,$X120+1)^((INDEX($A$5:$A$10,$X120)-($I120-DateToday+1))/(INDEX($A$5:$A$10,$X120+1)-INDEX($A$5:$A$10,$X120))))</f>
        <v>0.000978147630873957</v>
      </c>
      <c r="AD120" s="348" t="n">
        <f aca="false">IF($X120="",AD119^2/AD118,INDEX(G$5:G$10,$X120)^((INDEX($A$5:$A$10,$X120+1)-($I120-DateToday+1))/(INDEX($A$5:$A$10,$X120+1)-INDEX($A$5:$A$10,$X120)))/INDEX(G$5:G$10,$X120+1)^((INDEX($A$5:$A$10,$X120)-($I120-DateToday+1))/(INDEX($A$5:$A$10,$X120+1)-INDEX($A$5:$A$10,$X120))))</f>
        <v>0.00292975164580616</v>
      </c>
      <c r="AE120" s="321" t="n">
        <v>0.073735386142096</v>
      </c>
      <c r="AF120" s="316" t="n">
        <f aca="false">(1+AE120/2)^(-2*(I121-DateToday)/365.25)</f>
        <v>0.499250430909527</v>
      </c>
      <c r="AG120" s="316" t="n">
        <f aca="false">AG119*(1+IF(AND(M120=1,L120&gt;YearStart),Escalation,0))</f>
        <v>1</v>
      </c>
      <c r="AH120" s="322" t="n">
        <f aca="false">IF(OR(DateStart&gt;=I121,DateEnd&lt;I120),0,Volume*AG120)</f>
        <v>0</v>
      </c>
      <c r="AI120" s="322" t="n">
        <f aca="false">AH120*AF120</f>
        <v>0</v>
      </c>
      <c r="AJ120" s="322" t="n">
        <f aca="false">IF(OR(DateStart2&gt;=I121,DateEnd2&lt;I120),0,VolumeSwaption*AG120)</f>
        <v>0</v>
      </c>
      <c r="AK120" s="322" t="n">
        <f aca="false">AJ120*AF120</f>
        <v>0</v>
      </c>
      <c r="AL120" s="316" t="str">
        <f aca="true">IF(AH120,OFFSET(BY120,0,HorizontalPriceOffset)+PriceSpreadAsian,"")</f>
        <v/>
      </c>
      <c r="AM120" s="316" t="str">
        <f aca="false">IF(AH120,Strike1/AL120-1,"")</f>
        <v/>
      </c>
      <c r="AN120" s="316" t="str">
        <f aca="false">IF(AH120,Strike2/AL120-1,"")</f>
        <v/>
      </c>
      <c r="AO120" s="323" t="str">
        <f aca="false">IF(AH120,IF(VolOverrideAsian,VolOverrideAsian,IF(ProductGroup=1,IF(Product&lt;3,DA121,DE121),W121)+VolSpreadAsian),"")</f>
        <v/>
      </c>
      <c r="AP120" s="323" t="str">
        <f aca="false">IF($AH120,$AO120+IF(SkewFlag=1,IF(AM120&gt;0,$AA120*MIN(AM120/10%,1)+($Z120-$AA120)*MAX(0,MIN(AM120/10%-1,1))+($Y120-$Z120)*MAX(0,AM120/10%-2),$AB120*MIN(-AM120/10%,1)+($AC120-$AB120)*MAX(0,MIN(-AM120/10%-1,1))+($AD120-$AC120)*MAX(0,-AM120/10%-2)),0),"")</f>
        <v/>
      </c>
      <c r="AQ120" s="323" t="str">
        <f aca="false">IF($AH120,$AO120+IF(SkewFlag=1,IF(AN120&gt;0,$AA120*MIN(AN120/10%,1)+($Z120-$AA120)*MAX(0,MIN(AN120/10%-1,1))+($Y120-$Z120)*MAX(0,AN120/10%-2),$AB120*MIN(-AN120/10%,1)+($AC120-$AB120)*MAX(0,MIN(-AN120/10%-1,1))+($AD120-$AC120)*MAX(0,-AN120/10%-2)),0),"")</f>
        <v/>
      </c>
      <c r="AR120" s="324" t="n">
        <f aca="false">IF(AH120,xASN(AL120,Strike1,AE120,AP120,0,N120,0,P120,Q120,IF(OptControl=4,0,1),0),0)</f>
        <v>0</v>
      </c>
      <c r="AS120" s="324" t="n">
        <f aca="false">IF(AH120,xASN(AL120,Strike1,AE120,AP120,0,N120,0,P120,Q120,IF(OptControl=4,0,1),1),0)</f>
        <v>0</v>
      </c>
      <c r="AT120" s="324" t="n">
        <f aca="false">IF(AH120,xASN(AL120,Strike1,AE120,AP120,0,N120,0,P120,Q120,IF(OptControl=4,0,1),2),0)</f>
        <v>0</v>
      </c>
      <c r="AU120" s="324" t="n">
        <f aca="false">IF(AH120,xASN(AL120,Strike1,AE120,AP120,0,N120,0,P120,Q120,IF(OptControl=4,0,1),3)/100,0)</f>
        <v>0</v>
      </c>
      <c r="AV120" s="324" t="n">
        <f aca="false">IF(AH120,xASN(AL120,Strike1,AE120,AP120,0,N120,0,P120-DaysForThetaCalculation/365.25,Q120-DaysForThetaCalculation/365.25,IF(OptControl=4,0,1),0)-xASN(AL120,Strike1,AE120,AP120,0,N120,0,P120,Q120,IF(OptControl=4,0,1),0),0)</f>
        <v>0</v>
      </c>
      <c r="AW120" s="324" t="n">
        <f aca="false">IF(AH120,xASN(AL120,Strike2,AE120,AQ120,0,N120,0,P120,Q120,IF(OptControl=3,1,0),0),0)</f>
        <v>0</v>
      </c>
      <c r="AX120" s="324" t="n">
        <f aca="false">IF(AH120,xASN(AL120,Strike2,AE120,AQ120,0,N120,0,P120,Q120,IF(OptControl=3,1,0),1),0)</f>
        <v>0</v>
      </c>
      <c r="AY120" s="324" t="n">
        <f aca="false">IF(AH120,xASN(AL120,Strike2,AE120,AQ120,0,N120,0,P120,Q120,IF(OptControl=3,1,0),2),0)</f>
        <v>0</v>
      </c>
      <c r="AZ120" s="324" t="n">
        <f aca="false">IF(AH120,xASN(AL120,Strike2,AE120,AQ120,0,N120,0,P120,Q120,IF(OptControl=3,1,0),3)/100,0)</f>
        <v>0</v>
      </c>
      <c r="BA120" s="324" t="n">
        <f aca="false">IF(AH120,xASN(AL120,Strike2,AE120,AQ120,0,N120,0,P120-DaysForThetaCalculation/365.25,Q120-DaysForThetaCalculation/365.25,IF(OptControl=3,1,0),0)-xASN(AL120,Strike2,AE120,AQ120,0,N120,0,P120,Q120,IF(OptControl=3,1,0),0),0)</f>
        <v>0</v>
      </c>
      <c r="BB120" s="325" t="str">
        <f aca="false">IF(AH120,IF(ProductGroup=1,IF(Product=1,BX120+PriceSpreadEuro,IF(Product=3,CK120+PriceSpreadEuro,"N/A")),"N/A"),"")</f>
        <v/>
      </c>
      <c r="BC120" s="316" t="str">
        <f aca="false">IF(AH120,Strike1/BB120-1,"")</f>
        <v/>
      </c>
      <c r="BD120" s="316" t="str">
        <f aca="false">IF(AH120,Strike2/BB120-1,"")</f>
        <v/>
      </c>
      <c r="BE120" s="326" t="str">
        <f aca="false">IF(AH120,IF(VolOverrideEuro,VolOverrideEuro,IF(ProductGroup=1,IF(Product&lt;3,DA120,DE120)+VolSpreadEuro,"N/A")),"")</f>
        <v/>
      </c>
      <c r="BF120" s="323" t="str">
        <f aca="false">IF($AH120,$BE120+IF(SkewFlag=1,IF(BC120&gt;0,$AA120*MIN(BC120/10%,1)+($Z120-$AA120)*MAX(0,MIN(BC120/10%-1,1))+($Y120-$Z120)*MAX(0,BC120/10%-2),$AB120*MIN(-BC120/10%,1)+($AC120-$AB120)*MAX(0,MIN(-BC120/10%-1,1))+($AD120-$AC120)*MAX(0,-BC120/10%-2)),0),"")</f>
        <v/>
      </c>
      <c r="BG120" s="323" t="str">
        <f aca="false">IF($AH120,$BE120+IF(SkewFlag=1,IF(BD120&gt;0,$AA120*MIN(BD120/10%,1)+($Z120-$AA120)*MAX(0,MIN(BD120/10%-1,1))+($Y120-$Z120)*MAX(0,BD120/10%-2),$AB120*MIN(-BD120/10%,1)+($AC120-$AB120)*MAX(0,MIN(-BD120/10%-1,1))+($AD120-$AC120)*MAX(0,-BD120/10%-2)),0),"")</f>
        <v/>
      </c>
      <c r="BH120" s="324" t="n">
        <f aca="false">IF(AH120,xEURO(BB120,Strike1,AE120,AE120,BF120,O120,IF(OptControl=4,0,1),0),0)</f>
        <v>0</v>
      </c>
      <c r="BI120" s="324" t="n">
        <f aca="false">IF(AH120,xEURO(BB120,Strike1,AE120,AE120,BF120,O120,IF(OptControl=4,0,1),1),0)</f>
        <v>0</v>
      </c>
      <c r="BJ120" s="324" t="n">
        <f aca="false">IF(AH120,xEURO(BB120,Strike1,AE120,AE120,BF120,O120,IF(OptControl=4,0,1),2),0)</f>
        <v>0</v>
      </c>
      <c r="BK120" s="324" t="n">
        <f aca="false">IF(AH120,xEURO(BB120,Strike1,AE120,AE120,BF120,O120,IF(OptControl=4,0,1),3)/100,0)</f>
        <v>0</v>
      </c>
      <c r="BL120" s="324" t="n">
        <f aca="false">IF(AH120,xEURO(BB120,Strike1,AE120,AE120,BF120,O120-DaysForThetaCalculation,IF(OptControl=4,0,1),0)-xEURO(BB120,Strike1,AE120,AE120,BF120,O120,IF(OptControl=4,0,1),0),0)</f>
        <v>0</v>
      </c>
      <c r="BM120" s="324" t="n">
        <f aca="false">IF(AH120,xEURO(BB120,Strike2,AE120,AE120,BG120,O120,IF(OptControl=3,1,0),0),0)</f>
        <v>0</v>
      </c>
      <c r="BN120" s="324" t="n">
        <f aca="false">IF(AH120,xEURO(BB120,Strike2,AE120,AE120,BG120,O120,IF(OptControl=3,1,0),1),0)</f>
        <v>0</v>
      </c>
      <c r="BO120" s="324" t="n">
        <f aca="false">IF(AH120,xEURO(BB120,Strike2,AE120,AE120,BG120,O120,IF(OptControl=3,1,0),2),0)</f>
        <v>0</v>
      </c>
      <c r="BP120" s="324" t="n">
        <f aca="false">IF(AH120,xEURO(BB120,Strike2,AE120,AE120,BG120,O120,IF(OptControl=3,1,0),3)/100,0)</f>
        <v>0</v>
      </c>
      <c r="BQ120" s="327" t="n">
        <f aca="false">IF(AH120,xEURO(BB120,Strike2,AE120,AE120,BG120,O120-DaysForThetaCalculation,IF(OptControl=3,1,0),0)-xEURO(BB120,Strike2,AE120,AE120,BG120,O120,IF(OptControl=3,1,0),0),0)</f>
        <v>0</v>
      </c>
      <c r="BR120" s="343"/>
      <c r="BS120" s="314"/>
      <c r="BT120" s="329" t="n">
        <f aca="false">BS120*100/42</f>
        <v>0</v>
      </c>
      <c r="BU120" s="329" t="n">
        <f aca="false">BS121-$U120</f>
        <v>-27.1380952380955</v>
      </c>
      <c r="BV120" s="224"/>
      <c r="BW120" s="329" t="n">
        <f aca="false">BW108+VLOOKUP(1900+$L120,ProductSpreadTable,2)</f>
        <v>12.4388181818182</v>
      </c>
      <c r="BX120" s="329" t="n">
        <f aca="false">($V119+BW119)*100/42</f>
        <v>94.3261904761914</v>
      </c>
      <c r="BY120" s="332" t="n">
        <f aca="false">BX121</f>
        <v>94.2307462378897</v>
      </c>
      <c r="BZ120" s="314"/>
      <c r="CA120" s="329" t="n">
        <f aca="false">BZ120*100/42</f>
        <v>0</v>
      </c>
      <c r="CB120" s="329" t="n">
        <f aca="false">BZ120-$U120</f>
        <v>-27.1380952380955</v>
      </c>
      <c r="CC120" s="329" t="n">
        <f aca="false">CC108+VLOOKUP(1900+$L120,ProductSpreadTable,3)</f>
        <v>10.1288181818182</v>
      </c>
      <c r="CD120" s="329" t="n">
        <f aca="false">($V120+CC120)*100/42</f>
        <v>88.7307462378897</v>
      </c>
      <c r="CE120" s="333" t="n">
        <f aca="false">CD120-BY120</f>
        <v>-5.5</v>
      </c>
      <c r="CF120" s="314"/>
      <c r="CG120" s="329" t="n">
        <f aca="false">CF120*100/42</f>
        <v>0</v>
      </c>
      <c r="CH120" s="329" t="n">
        <f aca="false">CF121-$U120</f>
        <v>-27.1380952380955</v>
      </c>
      <c r="CI120" s="224"/>
      <c r="CJ120" s="329" t="n">
        <f aca="false">CJ108+VLOOKUP(1900+$L120,ProductSpreadTable,4)</f>
        <v>11.2968181818182</v>
      </c>
      <c r="CK120" s="329" t="n">
        <f aca="false">($V119+CJ119)*100/42</f>
        <v>89.3071428571438</v>
      </c>
      <c r="CL120" s="329" t="n">
        <f aca="false">CK121</f>
        <v>91.5116986188421</v>
      </c>
      <c r="CM120" s="314"/>
      <c r="CN120" s="329" t="n">
        <f aca="false">CM120*100/42</f>
        <v>0</v>
      </c>
      <c r="CO120" s="329" t="n">
        <f aca="false">CM120-$U120</f>
        <v>-27.1380952380955</v>
      </c>
      <c r="CP120" s="329" t="n">
        <f aca="false">CP108+VLOOKUP(1900+$L120,ProductSpreadTable,5)</f>
        <v>10.0998181818182</v>
      </c>
      <c r="CQ120" s="329" t="n">
        <f aca="false">($V120+CP120)*100/42</f>
        <v>88.6616986188421</v>
      </c>
      <c r="CR120" s="333" t="n">
        <f aca="false">CQ120-CL120</f>
        <v>-2.84999999999999</v>
      </c>
      <c r="CS120" s="314"/>
      <c r="CT120" s="329" t="n">
        <f aca="false">CS120*100/42</f>
        <v>0</v>
      </c>
      <c r="CU120" s="329" t="n">
        <f aca="false">CT120-CG121</f>
        <v>0</v>
      </c>
      <c r="CV120" s="329" t="n">
        <f aca="false">CV108+VLOOKUP(1900+$L120,ProductSpreadTable,6)</f>
        <v>1.95000000000001</v>
      </c>
      <c r="CW120" s="333" t="n">
        <f aca="false">CL120+CV120</f>
        <v>93.4616986188421</v>
      </c>
      <c r="CX120" s="318"/>
      <c r="CY120" s="326" t="n">
        <f aca="false">CX120-$W120</f>
        <v>-0.171699999999999</v>
      </c>
      <c r="CZ120" s="326" t="n">
        <f aca="false">VLOOKUP(1900+$L120,ProductSpreadTable,7)</f>
        <v>-0.03</v>
      </c>
      <c r="DA120" s="365" t="n">
        <f aca="false">$W120+CZ120</f>
        <v>0.141699999999999</v>
      </c>
      <c r="DB120" s="318"/>
      <c r="DC120" s="326" t="n">
        <f aca="false">DB120-$W120</f>
        <v>-0.171699999999999</v>
      </c>
      <c r="DD120" s="326" t="n">
        <f aca="false">VLOOKUP(1900+$L120,ProductSpreadTable,8)</f>
        <v>0.03</v>
      </c>
      <c r="DE120" s="365" t="n">
        <f aca="false">$W120+DD120</f>
        <v>0.201699999999999</v>
      </c>
      <c r="DG120" s="336"/>
      <c r="DH120" s="314"/>
      <c r="DI120" s="325" t="n">
        <f aca="false">DH120-$U120</f>
        <v>-27.1380952380955</v>
      </c>
      <c r="DJ120" s="325" t="n">
        <f aca="false">VLOOKUP(1900+$L120,ResidSpreadTable,2)</f>
        <v>-2</v>
      </c>
      <c r="DK120" s="337" t="n">
        <f aca="false">$V120+DJ120</f>
        <v>25.1380952380955</v>
      </c>
      <c r="DL120" s="314"/>
      <c r="DM120" s="325" t="n">
        <f aca="false">DL120-$U120</f>
        <v>-27.1380952380955</v>
      </c>
      <c r="DN120" s="325" t="n">
        <f aca="false">VLOOKUP(1900+$L120,ResidSpreadTable,3)</f>
        <v>-3</v>
      </c>
      <c r="DO120" s="337" t="n">
        <f aca="false">$V120+DN120</f>
        <v>24.1380952380955</v>
      </c>
      <c r="DP120" s="314"/>
      <c r="DQ120" s="325" t="n">
        <f aca="false">DP120-$U120</f>
        <v>-27.1380952380955</v>
      </c>
      <c r="DR120" s="325" t="n">
        <f aca="false">VLOOKUP(1900+$L120,ResidSpreadTable,4)</f>
        <v>-6</v>
      </c>
      <c r="DS120" s="337" t="n">
        <f aca="false">$V120+DR120</f>
        <v>21.1380952380955</v>
      </c>
      <c r="DT120" s="314"/>
      <c r="DU120" s="325" t="n">
        <f aca="false">DT120-$U120</f>
        <v>-27.1380952380955</v>
      </c>
      <c r="DV120" s="325" t="n">
        <f aca="false">VLOOKUP(1900+$L120,ResidSpreadTable,5)</f>
        <v>-5</v>
      </c>
      <c r="DW120" s="337" t="n">
        <f aca="false">$V120+DV120</f>
        <v>22.1380952380955</v>
      </c>
    </row>
    <row r="121" customFormat="false" ht="12.75" hidden="false" customHeight="false" outlineLevel="0" collapsed="false">
      <c r="B121" s="371" t="n">
        <v>39234</v>
      </c>
      <c r="C121" s="391" t="n">
        <v>39224</v>
      </c>
      <c r="I121" s="338" t="n">
        <f aca="false">EOMONTH(I120,0)+1</f>
        <v>49430</v>
      </c>
      <c r="J121" s="389" t="n">
        <f aca="false">VLOOKUP(I121,$B$12:$C$332,2)</f>
        <v>45644</v>
      </c>
      <c r="K121" s="339" t="n">
        <f aca="false">NETWORKDAYS(I121,J122)/N121</f>
        <v>-117.608695652174</v>
      </c>
      <c r="L121" s="309" t="n">
        <f aca="false">YEAR(I121)-1900</f>
        <v>135</v>
      </c>
      <c r="M121" s="310" t="n">
        <f aca="false">MONTH(I121)</f>
        <v>5</v>
      </c>
      <c r="N121" s="340" t="n">
        <f aca="false">NETWORKDAYS(I121,I122-1)</f>
        <v>23</v>
      </c>
      <c r="O121" s="341" t="n">
        <f aca="false">I121-DateToday-IF(EuroExpDateToggle=1,3+IF(WEEKDAY(I121-1)=7,1,IF(WEEKDAY(I121-1)&lt;5,2,0)),1+IF(WEEKDAY(I121-1)=7,1,IF(WEEKDAY(I121-1)&lt;3,2,0)))</f>
        <v>3499</v>
      </c>
      <c r="P121" s="342" t="n">
        <f aca="false">(I121-DateToday+1)/365.25</f>
        <v>9.59616700889801</v>
      </c>
      <c r="Q121" s="342" t="n">
        <f aca="false">(I122-DateToday)/365.25</f>
        <v>9.67830253251198</v>
      </c>
      <c r="R121" s="314" t="n">
        <v>20.7</v>
      </c>
      <c r="S121" s="347" t="n">
        <v>0</v>
      </c>
      <c r="T121" s="316" t="n">
        <f aca="false">R121+S121/100</f>
        <v>20.7</v>
      </c>
      <c r="U121" s="325" t="n">
        <f aca="false">R122*K121+R123*(1-K121)</f>
        <v>26.6804347826087</v>
      </c>
      <c r="V121" s="337" t="n">
        <f aca="false">T122*K121+T123*(1-K121)</f>
        <v>26.6804347826087</v>
      </c>
      <c r="W121" s="318" t="n">
        <v>0.171299999999999</v>
      </c>
      <c r="X121" s="319" t="str">
        <f aca="false">IF($I121-DateToday+1&gt;=$A$10,"",IF($I121-DateToday+1&lt;$A$5,1,MATCH($I121-DateToday+1,$A$5:$A$10)))</f>
        <v/>
      </c>
      <c r="Y121" s="348" t="n">
        <f aca="false">IF($X121="",Y120^2/Y119,INDEX(B$5:B$10,$X121)^((INDEX($A$5:$A$10,$X121+1)-($I121-DateToday+1))/(INDEX($A$5:$A$10,$X121+1)-INDEX($A$5:$A$10,$X121)))/INDEX(B$5:B$10,$X121+1)^((INDEX($A$5:$A$10,$X121)-($I121-DateToday+1))/(INDEX($A$5:$A$10,$X121+1)-INDEX($A$5:$A$10,$X121))))</f>
        <v>0.00127265186390662</v>
      </c>
      <c r="Z121" s="348" t="n">
        <f aca="false">IF($X121="",Z120^2/Z119,INDEX(C$5:C$10,$X121)^((INDEX($A$5:$A$10,$X121+1)-($I121-DateToday+1))/(INDEX($A$5:$A$10,$X121+1)-INDEX($A$5:$A$10,$X121)))/INDEX(C$5:C$10,$X121+1)^((INDEX($A$5:$A$10,$X121)-($I121-DateToday+1))/(INDEX($A$5:$A$10,$X121+1)-INDEX($A$5:$A$10,$X121))))</f>
        <v>0.000422621645024011</v>
      </c>
      <c r="AA121" s="348" t="n">
        <f aca="false">IF($X121="",AA120^2/AA119,INDEX(D$5:D$10,$X121)^((INDEX($A$5:$A$10,$X121+1)-($I121-DateToday+1))/(INDEX($A$5:$A$10,$X121+1)-INDEX($A$5:$A$10,$X121)))/INDEX(D$5:D$10,$X121+1)^((INDEX($A$5:$A$10,$X121)-($I121-DateToday+1))/(INDEX($A$5:$A$10,$X121+1)-INDEX($A$5:$A$10,$X121))))</f>
        <v>0.00014786195405406</v>
      </c>
      <c r="AB121" s="348" t="n">
        <f aca="false">IF($X121="",AB120^2/AB119,INDEX(E$5:E$10,$X121)^((INDEX($A$5:$A$10,$X121+1)-($I121-DateToday+1))/(INDEX($A$5:$A$10,$X121+1)-INDEX($A$5:$A$10,$X121)))/INDEX(E$5:E$10,$X121+1)^((INDEX($A$5:$A$10,$X121)-($I121-DateToday+1))/(INDEX($A$5:$A$10,$X121+1)-INDEX($A$5:$A$10,$X121))))</f>
        <v>0.000333103410092996</v>
      </c>
      <c r="AC121" s="348" t="n">
        <f aca="false">IF($X121="",AC120^2/AC119,INDEX(F$5:F$10,$X121)^((INDEX($A$5:$A$10,$X121+1)-($I121-DateToday+1))/(INDEX($A$5:$A$10,$X121+1)-INDEX($A$5:$A$10,$X121)))/INDEX(F$5:F$10,$X121+1)^((INDEX($A$5:$A$10,$X121)-($I121-DateToday+1))/(INDEX($A$5:$A$10,$X121+1)-INDEX($A$5:$A$10,$X121))))</f>
        <v>0.000952082041910086</v>
      </c>
      <c r="AD121" s="348" t="n">
        <f aca="false">IF($X121="",AD120^2/AD119,INDEX(G$5:G$10,$X121)^((INDEX($A$5:$A$10,$X121+1)-($I121-DateToday+1))/(INDEX($A$5:$A$10,$X121+1)-INDEX($A$5:$A$10,$X121)))/INDEX(G$5:G$10,$X121+1)^((INDEX($A$5:$A$10,$X121)-($I121-DateToday+1))/(INDEX($A$5:$A$10,$X121+1)-INDEX($A$5:$A$10,$X121))))</f>
        <v>0.00286703011900863</v>
      </c>
      <c r="AE121" s="321" t="n">
        <v>0.073742976212489</v>
      </c>
      <c r="AF121" s="316" t="n">
        <f aca="false">(1+AE121/2)^(-2*(I122-DateToday)/365.25)</f>
        <v>0.496156509536227</v>
      </c>
      <c r="AG121" s="316" t="n">
        <f aca="false">AG120*(1+IF(AND(M121=1,L121&gt;YearStart),Escalation,0))</f>
        <v>1</v>
      </c>
      <c r="AH121" s="322" t="n">
        <f aca="false">IF(OR(DateStart&gt;=I122,DateEnd&lt;I121),0,Volume*AG121)</f>
        <v>0</v>
      </c>
      <c r="AI121" s="322" t="n">
        <f aca="false">AH121*AF121</f>
        <v>0</v>
      </c>
      <c r="AJ121" s="322" t="n">
        <f aca="false">IF(OR(DateStart2&gt;=I122,DateEnd2&lt;I121),0,VolumeSwaption*AG121)</f>
        <v>0</v>
      </c>
      <c r="AK121" s="322" t="n">
        <f aca="false">AJ121*AF121</f>
        <v>0</v>
      </c>
      <c r="AL121" s="316" t="str">
        <f aca="true">IF(AH121,OFFSET(BY121,0,HorizontalPriceOffset)+PriceSpreadAsian,"")</f>
        <v/>
      </c>
      <c r="AM121" s="316" t="str">
        <f aca="false">IF(AH121,Strike1/AL121-1,"")</f>
        <v/>
      </c>
      <c r="AN121" s="316" t="str">
        <f aca="false">IF(AH121,Strike2/AL121-1,"")</f>
        <v/>
      </c>
      <c r="AO121" s="323" t="str">
        <f aca="false">IF(AH121,IF(VolOverrideAsian,VolOverrideAsian,IF(ProductGroup=1,IF(Product&lt;3,DA122,DE122),W122)+VolSpreadAsian),"")</f>
        <v/>
      </c>
      <c r="AP121" s="323" t="str">
        <f aca="false">IF($AH121,$AO121+IF(SkewFlag=1,IF(AM121&gt;0,$AA121*MIN(AM121/10%,1)+($Z121-$AA121)*MAX(0,MIN(AM121/10%-1,1))+($Y121-$Z121)*MAX(0,AM121/10%-2),$AB121*MIN(-AM121/10%,1)+($AC121-$AB121)*MAX(0,MIN(-AM121/10%-1,1))+($AD121-$AC121)*MAX(0,-AM121/10%-2)),0),"")</f>
        <v/>
      </c>
      <c r="AQ121" s="323" t="str">
        <f aca="false">IF($AH121,$AO121+IF(SkewFlag=1,IF(AN121&gt;0,$AA121*MIN(AN121/10%,1)+($Z121-$AA121)*MAX(0,MIN(AN121/10%-1,1))+($Y121-$Z121)*MAX(0,AN121/10%-2),$AB121*MIN(-AN121/10%,1)+($AC121-$AB121)*MAX(0,MIN(-AN121/10%-1,1))+($AD121-$AC121)*MAX(0,-AN121/10%-2)),0),"")</f>
        <v/>
      </c>
      <c r="AR121" s="324" t="n">
        <f aca="false">IF(AH121,xASN(AL121,Strike1,AE121,AP121,0,N121,0,P121,Q121,IF(OptControl=4,0,1),0),0)</f>
        <v>0</v>
      </c>
      <c r="AS121" s="324" t="n">
        <f aca="false">IF(AH121,xASN(AL121,Strike1,AE121,AP121,0,N121,0,P121,Q121,IF(OptControl=4,0,1),1),0)</f>
        <v>0</v>
      </c>
      <c r="AT121" s="324" t="n">
        <f aca="false">IF(AH121,xASN(AL121,Strike1,AE121,AP121,0,N121,0,P121,Q121,IF(OptControl=4,0,1),2),0)</f>
        <v>0</v>
      </c>
      <c r="AU121" s="324" t="n">
        <f aca="false">IF(AH121,xASN(AL121,Strike1,AE121,AP121,0,N121,0,P121,Q121,IF(OptControl=4,0,1),3)/100,0)</f>
        <v>0</v>
      </c>
      <c r="AV121" s="324" t="n">
        <f aca="false">IF(AH121,xASN(AL121,Strike1,AE121,AP121,0,N121,0,P121-DaysForThetaCalculation/365.25,Q121-DaysForThetaCalculation/365.25,IF(OptControl=4,0,1),0)-xASN(AL121,Strike1,AE121,AP121,0,N121,0,P121,Q121,IF(OptControl=4,0,1),0),0)</f>
        <v>0</v>
      </c>
      <c r="AW121" s="324" t="n">
        <f aca="false">IF(AH121,xASN(AL121,Strike2,AE121,AQ121,0,N121,0,P121,Q121,IF(OptControl=3,1,0),0),0)</f>
        <v>0</v>
      </c>
      <c r="AX121" s="324" t="n">
        <f aca="false">IF(AH121,xASN(AL121,Strike2,AE121,AQ121,0,N121,0,P121,Q121,IF(OptControl=3,1,0),1),0)</f>
        <v>0</v>
      </c>
      <c r="AY121" s="324" t="n">
        <f aca="false">IF(AH121,xASN(AL121,Strike2,AE121,AQ121,0,N121,0,P121,Q121,IF(OptControl=3,1,0),2),0)</f>
        <v>0</v>
      </c>
      <c r="AZ121" s="324" t="n">
        <f aca="false">IF(AH121,xASN(AL121,Strike2,AE121,AQ121,0,N121,0,P121,Q121,IF(OptControl=3,1,0),3)/100,0)</f>
        <v>0</v>
      </c>
      <c r="BA121" s="324" t="n">
        <f aca="false">IF(AH121,xASN(AL121,Strike2,AE121,AQ121,0,N121,0,P121-DaysForThetaCalculation/365.25,Q121-DaysForThetaCalculation/365.25,IF(OptControl=3,1,0),0)-xASN(AL121,Strike2,AE121,AQ121,0,N121,0,P121,Q121,IF(OptControl=3,1,0),0),0)</f>
        <v>0</v>
      </c>
      <c r="BB121" s="325" t="str">
        <f aca="false">IF(AH121,IF(ProductGroup=1,IF(Product=1,BX121+PriceSpreadEuro,IF(Product=3,CK121+PriceSpreadEuro,"N/A")),"N/A"),"")</f>
        <v/>
      </c>
      <c r="BC121" s="316" t="str">
        <f aca="false">IF(AH121,Strike1/BB121-1,"")</f>
        <v/>
      </c>
      <c r="BD121" s="316" t="str">
        <f aca="false">IF(AH121,Strike2/BB121-1,"")</f>
        <v/>
      </c>
      <c r="BE121" s="326" t="str">
        <f aca="false">IF(AH121,IF(VolOverrideEuro,VolOverrideEuro,IF(ProductGroup=1,IF(Product&lt;3,DA121,DE121)+VolSpreadEuro,"N/A")),"")</f>
        <v/>
      </c>
      <c r="BF121" s="323" t="str">
        <f aca="false">IF($AH121,$BE121+IF(SkewFlag=1,IF(BC121&gt;0,$AA121*MIN(BC121/10%,1)+($Z121-$AA121)*MAX(0,MIN(BC121/10%-1,1))+($Y121-$Z121)*MAX(0,BC121/10%-2),$AB121*MIN(-BC121/10%,1)+($AC121-$AB121)*MAX(0,MIN(-BC121/10%-1,1))+($AD121-$AC121)*MAX(0,-BC121/10%-2)),0),"")</f>
        <v/>
      </c>
      <c r="BG121" s="323" t="str">
        <f aca="false">IF($AH121,$BE121+IF(SkewFlag=1,IF(BD121&gt;0,$AA121*MIN(BD121/10%,1)+($Z121-$AA121)*MAX(0,MIN(BD121/10%-1,1))+($Y121-$Z121)*MAX(0,BD121/10%-2),$AB121*MIN(-BD121/10%,1)+($AC121-$AB121)*MAX(0,MIN(-BD121/10%-1,1))+($AD121-$AC121)*MAX(0,-BD121/10%-2)),0),"")</f>
        <v/>
      </c>
      <c r="BH121" s="324" t="n">
        <f aca="false">IF(AH121,xEURO(BB121,Strike1,AE121,AE121,BF121,O121,IF(OptControl=4,0,1),0),0)</f>
        <v>0</v>
      </c>
      <c r="BI121" s="324" t="n">
        <f aca="false">IF(AH121,xEURO(BB121,Strike1,AE121,AE121,BF121,O121,IF(OptControl=4,0,1),1),0)</f>
        <v>0</v>
      </c>
      <c r="BJ121" s="324" t="n">
        <f aca="false">IF(AH121,xEURO(BB121,Strike1,AE121,AE121,BF121,O121,IF(OptControl=4,0,1),2),0)</f>
        <v>0</v>
      </c>
      <c r="BK121" s="324" t="n">
        <f aca="false">IF(AH121,xEURO(BB121,Strike1,AE121,AE121,BF121,O121,IF(OptControl=4,0,1),3)/100,0)</f>
        <v>0</v>
      </c>
      <c r="BL121" s="324" t="n">
        <f aca="false">IF(AH121,xEURO(BB121,Strike1,AE121,AE121,BF121,O121-DaysForThetaCalculation,IF(OptControl=4,0,1),0)-xEURO(BB121,Strike1,AE121,AE121,BF121,O121,IF(OptControl=4,0,1),0),0)</f>
        <v>0</v>
      </c>
      <c r="BM121" s="324" t="n">
        <f aca="false">IF(AH121,xEURO(BB121,Strike2,AE121,AE121,BG121,O121,IF(OptControl=3,1,0),0),0)</f>
        <v>0</v>
      </c>
      <c r="BN121" s="324" t="n">
        <f aca="false">IF(AH121,xEURO(BB121,Strike2,AE121,AE121,BG121,O121,IF(OptControl=3,1,0),1),0)</f>
        <v>0</v>
      </c>
      <c r="BO121" s="324" t="n">
        <f aca="false">IF(AH121,xEURO(BB121,Strike2,AE121,AE121,BG121,O121,IF(OptControl=3,1,0),2),0)</f>
        <v>0</v>
      </c>
      <c r="BP121" s="324" t="n">
        <f aca="false">IF(AH121,xEURO(BB121,Strike2,AE121,AE121,BG121,O121,IF(OptControl=3,1,0),3)/100,0)</f>
        <v>0</v>
      </c>
      <c r="BQ121" s="327" t="n">
        <f aca="false">IF(AH121,xEURO(BB121,Strike2,AE121,AE121,BG121,O121-DaysForThetaCalculation,IF(OptControl=3,1,0),0)-xEURO(BB121,Strike2,AE121,AE121,BG121,O121,IF(OptControl=3,1,0),0),0)</f>
        <v>0</v>
      </c>
      <c r="BR121" s="343"/>
      <c r="BS121" s="314"/>
      <c r="BT121" s="329" t="n">
        <f aca="false">BS121*100/42</f>
        <v>0</v>
      </c>
      <c r="BU121" s="329" t="n">
        <f aca="false">BS122-$U121</f>
        <v>-26.6804347826087</v>
      </c>
      <c r="BV121" s="224"/>
      <c r="BW121" s="329" t="n">
        <f aca="false">BW109+VLOOKUP(1900+$L121,ProductSpreadTable,2)</f>
        <v>12.4470952380953</v>
      </c>
      <c r="BX121" s="329" t="n">
        <f aca="false">($V120+BW120)*100/42</f>
        <v>94.2307462378897</v>
      </c>
      <c r="BY121" s="332" t="n">
        <f aca="false">BX122</f>
        <v>93.160785763581</v>
      </c>
      <c r="BZ121" s="314"/>
      <c r="CA121" s="329" t="n">
        <f aca="false">BZ121*100/42</f>
        <v>0</v>
      </c>
      <c r="CB121" s="329" t="n">
        <f aca="false">BZ121-$U121</f>
        <v>-26.6804347826087</v>
      </c>
      <c r="CC121" s="329" t="n">
        <f aca="false">CC109+VLOOKUP(1900+$L121,ProductSpreadTable,3)</f>
        <v>10.1370952380953</v>
      </c>
      <c r="CD121" s="329" t="n">
        <f aca="false">($V121+CC121)*100/42</f>
        <v>87.660785763581</v>
      </c>
      <c r="CE121" s="333" t="n">
        <f aca="false">CD121-BY121</f>
        <v>-5.50000000000001</v>
      </c>
      <c r="CF121" s="314"/>
      <c r="CG121" s="329" t="n">
        <f aca="false">CF121*100/42</f>
        <v>0</v>
      </c>
      <c r="CH121" s="329" t="n">
        <f aca="false">CF122-$U121</f>
        <v>-26.6804347826087</v>
      </c>
      <c r="CI121" s="224"/>
      <c r="CJ121" s="329" t="n">
        <f aca="false">CJ109+VLOOKUP(1900+$L121,ProductSpreadTable,4)</f>
        <v>12.0190952380953</v>
      </c>
      <c r="CK121" s="329" t="n">
        <f aca="false">($V120+CJ120)*100/42</f>
        <v>91.5116986188421</v>
      </c>
      <c r="CL121" s="329" t="n">
        <f aca="false">CK122</f>
        <v>92.1417381445334</v>
      </c>
      <c r="CM121" s="314"/>
      <c r="CN121" s="329" t="n">
        <f aca="false">CM121*100/42</f>
        <v>0</v>
      </c>
      <c r="CO121" s="329" t="n">
        <f aca="false">CM121-$U121</f>
        <v>-26.6804347826087</v>
      </c>
      <c r="CP121" s="329" t="n">
        <f aca="false">CP109+VLOOKUP(1900+$L121,ProductSpreadTable,5)</f>
        <v>10.8220952380953</v>
      </c>
      <c r="CQ121" s="329" t="n">
        <f aca="false">($V121+CP121)*100/42</f>
        <v>89.2917381445334</v>
      </c>
      <c r="CR121" s="333" t="n">
        <f aca="false">CQ121-CL121</f>
        <v>-2.84999999999999</v>
      </c>
      <c r="CS121" s="314"/>
      <c r="CT121" s="329" t="n">
        <f aca="false">CS121*100/42</f>
        <v>0</v>
      </c>
      <c r="CU121" s="329" t="n">
        <f aca="false">CT121-CG122</f>
        <v>0</v>
      </c>
      <c r="CV121" s="329" t="n">
        <f aca="false">CV109+VLOOKUP(1900+$L121,ProductSpreadTable,6)</f>
        <v>1.95000000000001</v>
      </c>
      <c r="CW121" s="333" t="n">
        <f aca="false">CL121+CV121</f>
        <v>94.0917381445334</v>
      </c>
      <c r="CX121" s="318"/>
      <c r="CY121" s="326" t="n">
        <f aca="false">CX121-$W121</f>
        <v>-0.171299999999999</v>
      </c>
      <c r="CZ121" s="326" t="n">
        <f aca="false">VLOOKUP(1900+$L121,ProductSpreadTable,7)</f>
        <v>-0.03</v>
      </c>
      <c r="DA121" s="365" t="n">
        <f aca="false">$W121+CZ121</f>
        <v>0.141299999999999</v>
      </c>
      <c r="DB121" s="318"/>
      <c r="DC121" s="326" t="n">
        <f aca="false">DB121-$W121</f>
        <v>-0.171299999999999</v>
      </c>
      <c r="DD121" s="326" t="n">
        <f aca="false">VLOOKUP(1900+$L121,ProductSpreadTable,8)</f>
        <v>0.03</v>
      </c>
      <c r="DE121" s="365" t="n">
        <f aca="false">$W121+DD121</f>
        <v>0.201299999999999</v>
      </c>
      <c r="DG121" s="336"/>
      <c r="DH121" s="314"/>
      <c r="DI121" s="325" t="n">
        <f aca="false">DH121-$U121</f>
        <v>-26.6804347826087</v>
      </c>
      <c r="DJ121" s="325" t="n">
        <f aca="false">VLOOKUP(1900+$L121,ResidSpreadTable,2)</f>
        <v>-2</v>
      </c>
      <c r="DK121" s="337" t="n">
        <f aca="false">$V121+DJ121</f>
        <v>24.6804347826087</v>
      </c>
      <c r="DL121" s="314"/>
      <c r="DM121" s="325" t="n">
        <f aca="false">DL121-$U121</f>
        <v>-26.6804347826087</v>
      </c>
      <c r="DN121" s="325" t="n">
        <f aca="false">VLOOKUP(1900+$L121,ResidSpreadTable,3)</f>
        <v>-3</v>
      </c>
      <c r="DO121" s="337" t="n">
        <f aca="false">$V121+DN121</f>
        <v>23.6804347826087</v>
      </c>
      <c r="DP121" s="314"/>
      <c r="DQ121" s="325" t="n">
        <f aca="false">DP121-$U121</f>
        <v>-26.6804347826087</v>
      </c>
      <c r="DR121" s="325" t="n">
        <f aca="false">VLOOKUP(1900+$L121,ResidSpreadTable,4)</f>
        <v>-6</v>
      </c>
      <c r="DS121" s="337" t="n">
        <f aca="false">$V121+DR121</f>
        <v>20.6804347826087</v>
      </c>
      <c r="DT121" s="314"/>
      <c r="DU121" s="325" t="n">
        <f aca="false">DT121-$U121</f>
        <v>-26.6804347826087</v>
      </c>
      <c r="DV121" s="325" t="n">
        <f aca="false">VLOOKUP(1900+$L121,ResidSpreadTable,5)</f>
        <v>-5</v>
      </c>
      <c r="DW121" s="337" t="n">
        <f aca="false">$V121+DV121</f>
        <v>21.6804347826087</v>
      </c>
    </row>
    <row r="122" customFormat="false" ht="12.75" hidden="false" customHeight="false" outlineLevel="0" collapsed="false">
      <c r="B122" s="371" t="n">
        <v>39264</v>
      </c>
      <c r="C122" s="391" t="n">
        <v>39253</v>
      </c>
      <c r="I122" s="338" t="n">
        <f aca="false">EOMONTH(I121,0)+1</f>
        <v>49461</v>
      </c>
      <c r="J122" s="389" t="n">
        <f aca="false">VLOOKUP(I122,$B$12:$C$332,2)</f>
        <v>45644</v>
      </c>
      <c r="K122" s="339" t="n">
        <f aca="false">NETWORKDAYS(I122,J123)/N122</f>
        <v>-129.904761904762</v>
      </c>
      <c r="L122" s="309" t="n">
        <f aca="false">YEAR(I122)-1900</f>
        <v>135</v>
      </c>
      <c r="M122" s="310" t="n">
        <f aca="false">MONTH(I122)</f>
        <v>6</v>
      </c>
      <c r="N122" s="340" t="n">
        <f aca="false">NETWORKDAYS(I122,I123-1)</f>
        <v>21</v>
      </c>
      <c r="O122" s="341" t="n">
        <f aca="false">I122-DateToday-IF(EuroExpDateToggle=1,3+IF(WEEKDAY(I122-1)=7,1,IF(WEEKDAY(I122-1)&lt;5,2,0)),1+IF(WEEKDAY(I122-1)=7,1,IF(WEEKDAY(I122-1)&lt;3,2,0)))</f>
        <v>3532</v>
      </c>
      <c r="P122" s="342" t="n">
        <f aca="false">(I122-DateToday+1)/365.25</f>
        <v>9.68104038329911</v>
      </c>
      <c r="Q122" s="342" t="n">
        <f aca="false">(I123-DateToday)/365.25</f>
        <v>9.76043805612594</v>
      </c>
      <c r="R122" s="314" t="n">
        <v>20.75</v>
      </c>
      <c r="S122" s="347" t="n">
        <v>0</v>
      </c>
      <c r="T122" s="316" t="n">
        <f aca="false">R122+S122/100</f>
        <v>20.75</v>
      </c>
      <c r="U122" s="325" t="n">
        <f aca="false">R123*K122+R124*(1-K122)</f>
        <v>27.3452380952381</v>
      </c>
      <c r="V122" s="337" t="n">
        <f aca="false">T123*K122+T124*(1-K122)</f>
        <v>27.3452380952381</v>
      </c>
      <c r="W122" s="318" t="n">
        <v>0.170899999999999</v>
      </c>
      <c r="X122" s="319" t="str">
        <f aca="false">IF($I122-DateToday+1&gt;=$A$10,"",IF($I122-DateToday+1&lt;$A$5,1,MATCH($I122-DateToday+1,$A$5:$A$10)))</f>
        <v/>
      </c>
      <c r="Y122" s="348" t="n">
        <f aca="false">IF($X122="",Y121^2/Y120,INDEX(B$5:B$10,$X122)^((INDEX($A$5:$A$10,$X122+1)-($I122-DateToday+1))/(INDEX($A$5:$A$10,$X122+1)-INDEX($A$5:$A$10,$X122)))/INDEX(B$5:B$10,$X122+1)^((INDEX($A$5:$A$10,$X122)-($I122-DateToday+1))/(INDEX($A$5:$A$10,$X122+1)-INDEX($A$5:$A$10,$X122))))</f>
        <v>0.00124540632311131</v>
      </c>
      <c r="Z122" s="348" t="n">
        <f aca="false">IF($X122="",Z121^2/Z120,INDEX(C$5:C$10,$X122)^((INDEX($A$5:$A$10,$X122+1)-($I122-DateToday+1))/(INDEX($A$5:$A$10,$X122+1)-INDEX($A$5:$A$10,$X122)))/INDEX(C$5:C$10,$X122+1)^((INDEX($A$5:$A$10,$X122)-($I122-DateToday+1))/(INDEX($A$5:$A$10,$X122+1)-INDEX($A$5:$A$10,$X122))))</f>
        <v>0.000411359661925827</v>
      </c>
      <c r="AA122" s="348" t="n">
        <f aca="false">IF($X122="",AA121^2/AA120,INDEX(D$5:D$10,$X122)^((INDEX($A$5:$A$10,$X122+1)-($I122-DateToday+1))/(INDEX($A$5:$A$10,$X122+1)-INDEX($A$5:$A$10,$X122)))/INDEX(D$5:D$10,$X122+1)^((INDEX($A$5:$A$10,$X122)-($I122-DateToday+1))/(INDEX($A$5:$A$10,$X122+1)-INDEX($A$5:$A$10,$X122))))</f>
        <v>0.000143535802403198</v>
      </c>
      <c r="AB122" s="348" t="n">
        <f aca="false">IF($X122="",AB121^2/AB120,INDEX(E$5:E$10,$X122)^((INDEX($A$5:$A$10,$X122+1)-($I122-DateToday+1))/(INDEX($A$5:$A$10,$X122+1)-INDEX($A$5:$A$10,$X122)))/INDEX(E$5:E$10,$X122+1)^((INDEX($A$5:$A$10,$X122)-($I122-DateToday+1))/(INDEX($A$5:$A$10,$X122+1)-INDEX($A$5:$A$10,$X122))))</f>
        <v>0.000323357455653934</v>
      </c>
      <c r="AC122" s="348" t="n">
        <f aca="false">IF($X122="",AC121^2/AC120,INDEX(F$5:F$10,$X122)^((INDEX($A$5:$A$10,$X122+1)-($I122-DateToday+1))/(INDEX($A$5:$A$10,$X122+1)-INDEX($A$5:$A$10,$X122)))/INDEX(F$5:F$10,$X122+1)^((INDEX($A$5:$A$10,$X122)-($I122-DateToday+1))/(INDEX($A$5:$A$10,$X122+1)-INDEX($A$5:$A$10,$X122))))</f>
        <v>0.000926711046386498</v>
      </c>
      <c r="AD122" s="348" t="n">
        <f aca="false">IF($X122="",AD121^2/AD120,INDEX(G$5:G$10,$X122)^((INDEX($A$5:$A$10,$X122+1)-($I122-DateToday+1))/(INDEX($A$5:$A$10,$X122+1)-INDEX($A$5:$A$10,$X122)))/INDEX(G$5:G$10,$X122+1)^((INDEX($A$5:$A$10,$X122)-($I122-DateToday+1))/(INDEX($A$5:$A$10,$X122+1)-INDEX($A$5:$A$10,$X122))))</f>
        <v>0.00280565136470497</v>
      </c>
      <c r="AE122" s="321" t="n">
        <v>0.07375032144192</v>
      </c>
      <c r="AF122" s="316" t="n">
        <f aca="false">(1+AE122/2)^(-2*(I123-DateToday)/365.25)</f>
        <v>0.493180065609606</v>
      </c>
      <c r="AG122" s="316" t="n">
        <f aca="false">AG121*(1+IF(AND(M122=1,L122&gt;YearStart),Escalation,0))</f>
        <v>1</v>
      </c>
      <c r="AH122" s="322" t="n">
        <f aca="false">IF(OR(DateStart&gt;=I123,DateEnd&lt;I122),0,Volume*AG122)</f>
        <v>0</v>
      </c>
      <c r="AI122" s="322" t="n">
        <f aca="false">AH122*AF122</f>
        <v>0</v>
      </c>
      <c r="AJ122" s="322" t="n">
        <f aca="false">IF(OR(DateStart2&gt;=I123,DateEnd2&lt;I122),0,VolumeSwaption*AG122)</f>
        <v>0</v>
      </c>
      <c r="AK122" s="322" t="n">
        <f aca="false">AJ122*AF122</f>
        <v>0</v>
      </c>
      <c r="AL122" s="316" t="str">
        <f aca="true">IF(AH122,OFFSET(BY122,0,HorizontalPriceOffset)+PriceSpreadAsian,"")</f>
        <v/>
      </c>
      <c r="AM122" s="316" t="str">
        <f aca="false">IF(AH122,Strike1/AL122-1,"")</f>
        <v/>
      </c>
      <c r="AN122" s="316" t="str">
        <f aca="false">IF(AH122,Strike2/AL122-1,"")</f>
        <v/>
      </c>
      <c r="AO122" s="323" t="str">
        <f aca="false">IF(AH122,IF(VolOverrideAsian,VolOverrideAsian,IF(ProductGroup=1,IF(Product&lt;3,DA123,DE123),W123)+VolSpreadAsian),"")</f>
        <v/>
      </c>
      <c r="AP122" s="323" t="str">
        <f aca="false">IF($AH122,$AO122+IF(SkewFlag=1,IF(AM122&gt;0,$AA122*MIN(AM122/10%,1)+($Z122-$AA122)*MAX(0,MIN(AM122/10%-1,1))+($Y122-$Z122)*MAX(0,AM122/10%-2),$AB122*MIN(-AM122/10%,1)+($AC122-$AB122)*MAX(0,MIN(-AM122/10%-1,1))+($AD122-$AC122)*MAX(0,-AM122/10%-2)),0),"")</f>
        <v/>
      </c>
      <c r="AQ122" s="323" t="str">
        <f aca="false">IF($AH122,$AO122+IF(SkewFlag=1,IF(AN122&gt;0,$AA122*MIN(AN122/10%,1)+($Z122-$AA122)*MAX(0,MIN(AN122/10%-1,1))+($Y122-$Z122)*MAX(0,AN122/10%-2),$AB122*MIN(-AN122/10%,1)+($AC122-$AB122)*MAX(0,MIN(-AN122/10%-1,1))+($AD122-$AC122)*MAX(0,-AN122/10%-2)),0),"")</f>
        <v/>
      </c>
      <c r="AR122" s="324" t="n">
        <f aca="false">IF(AH122,xASN(AL122,Strike1,AE122,AP122,0,N122,0,P122,Q122,IF(OptControl=4,0,1),0),0)</f>
        <v>0</v>
      </c>
      <c r="AS122" s="324" t="n">
        <f aca="false">IF(AH122,xASN(AL122,Strike1,AE122,AP122,0,N122,0,P122,Q122,IF(OptControl=4,0,1),1),0)</f>
        <v>0</v>
      </c>
      <c r="AT122" s="324" t="n">
        <f aca="false">IF(AH122,xASN(AL122,Strike1,AE122,AP122,0,N122,0,P122,Q122,IF(OptControl=4,0,1),2),0)</f>
        <v>0</v>
      </c>
      <c r="AU122" s="324" t="n">
        <f aca="false">IF(AH122,xASN(AL122,Strike1,AE122,AP122,0,N122,0,P122,Q122,IF(OptControl=4,0,1),3)/100,0)</f>
        <v>0</v>
      </c>
      <c r="AV122" s="324" t="n">
        <f aca="false">IF(AH122,xASN(AL122,Strike1,AE122,AP122,0,N122,0,P122-DaysForThetaCalculation/365.25,Q122-DaysForThetaCalculation/365.25,IF(OptControl=4,0,1),0)-xASN(AL122,Strike1,AE122,AP122,0,N122,0,P122,Q122,IF(OptControl=4,0,1),0),0)</f>
        <v>0</v>
      </c>
      <c r="AW122" s="324" t="n">
        <f aca="false">IF(AH122,xASN(AL122,Strike2,AE122,AQ122,0,N122,0,P122,Q122,IF(OptControl=3,1,0),0),0)</f>
        <v>0</v>
      </c>
      <c r="AX122" s="324" t="n">
        <f aca="false">IF(AH122,xASN(AL122,Strike2,AE122,AQ122,0,N122,0,P122,Q122,IF(OptControl=3,1,0),1),0)</f>
        <v>0</v>
      </c>
      <c r="AY122" s="324" t="n">
        <f aca="false">IF(AH122,xASN(AL122,Strike2,AE122,AQ122,0,N122,0,P122,Q122,IF(OptControl=3,1,0),2),0)</f>
        <v>0</v>
      </c>
      <c r="AZ122" s="324" t="n">
        <f aca="false">IF(AH122,xASN(AL122,Strike2,AE122,AQ122,0,N122,0,P122,Q122,IF(OptControl=3,1,0),3)/100,0)</f>
        <v>0</v>
      </c>
      <c r="BA122" s="324" t="n">
        <f aca="false">IF(AH122,xASN(AL122,Strike2,AE122,AQ122,0,N122,0,P122-DaysForThetaCalculation/365.25,Q122-DaysForThetaCalculation/365.25,IF(OptControl=3,1,0),0)-xASN(AL122,Strike2,AE122,AQ122,0,N122,0,P122,Q122,IF(OptControl=3,1,0),0),0)</f>
        <v>0</v>
      </c>
      <c r="BB122" s="325" t="str">
        <f aca="false">IF(AH122,IF(ProductGroup=1,IF(Product=1,BX122+PriceSpreadEuro,IF(Product=3,CK122+PriceSpreadEuro,"N/A")),"N/A"),"")</f>
        <v/>
      </c>
      <c r="BC122" s="316" t="str">
        <f aca="false">IF(AH122,Strike1/BB122-1,"")</f>
        <v/>
      </c>
      <c r="BD122" s="316" t="str">
        <f aca="false">IF(AH122,Strike2/BB122-1,"")</f>
        <v/>
      </c>
      <c r="BE122" s="326" t="str">
        <f aca="false">IF(AH122,IF(VolOverrideEuro,VolOverrideEuro,IF(ProductGroup=1,IF(Product&lt;3,DA122,DE122)+VolSpreadEuro,"N/A")),"")</f>
        <v/>
      </c>
      <c r="BF122" s="323" t="str">
        <f aca="false">IF($AH122,$BE122+IF(SkewFlag=1,IF(BC122&gt;0,$AA122*MIN(BC122/10%,1)+($Z122-$AA122)*MAX(0,MIN(BC122/10%-1,1))+($Y122-$Z122)*MAX(0,BC122/10%-2),$AB122*MIN(-BC122/10%,1)+($AC122-$AB122)*MAX(0,MIN(-BC122/10%-1,1))+($AD122-$AC122)*MAX(0,-BC122/10%-2)),0),"")</f>
        <v/>
      </c>
      <c r="BG122" s="323" t="str">
        <f aca="false">IF($AH122,$BE122+IF(SkewFlag=1,IF(BD122&gt;0,$AA122*MIN(BD122/10%,1)+($Z122-$AA122)*MAX(0,MIN(BD122/10%-1,1))+($Y122-$Z122)*MAX(0,BD122/10%-2),$AB122*MIN(-BD122/10%,1)+($AC122-$AB122)*MAX(0,MIN(-BD122/10%-1,1))+($AD122-$AC122)*MAX(0,-BD122/10%-2)),0),"")</f>
        <v/>
      </c>
      <c r="BH122" s="324" t="n">
        <f aca="false">IF(AH122,xEURO(BB122,Strike1,AE122,AE122,BF122,O122,IF(OptControl=4,0,1),0),0)</f>
        <v>0</v>
      </c>
      <c r="BI122" s="324" t="n">
        <f aca="false">IF(AH122,xEURO(BB122,Strike1,AE122,AE122,BF122,O122,IF(OptControl=4,0,1),1),0)</f>
        <v>0</v>
      </c>
      <c r="BJ122" s="324" t="n">
        <f aca="false">IF(AH122,xEURO(BB122,Strike1,AE122,AE122,BF122,O122,IF(OptControl=4,0,1),2),0)</f>
        <v>0</v>
      </c>
      <c r="BK122" s="324" t="n">
        <f aca="false">IF(AH122,xEURO(BB122,Strike1,AE122,AE122,BF122,O122,IF(OptControl=4,0,1),3)/100,0)</f>
        <v>0</v>
      </c>
      <c r="BL122" s="324" t="n">
        <f aca="false">IF(AH122,xEURO(BB122,Strike1,AE122,AE122,BF122,O122-DaysForThetaCalculation,IF(OptControl=4,0,1),0)-xEURO(BB122,Strike1,AE122,AE122,BF122,O122,IF(OptControl=4,0,1),0),0)</f>
        <v>0</v>
      </c>
      <c r="BM122" s="324" t="n">
        <f aca="false">IF(AH122,xEURO(BB122,Strike2,AE122,AE122,BG122,O122,IF(OptControl=3,1,0),0),0)</f>
        <v>0</v>
      </c>
      <c r="BN122" s="324" t="n">
        <f aca="false">IF(AH122,xEURO(BB122,Strike2,AE122,AE122,BG122,O122,IF(OptControl=3,1,0),1),0)</f>
        <v>0</v>
      </c>
      <c r="BO122" s="324" t="n">
        <f aca="false">IF(AH122,xEURO(BB122,Strike2,AE122,AE122,BG122,O122,IF(OptControl=3,1,0),2),0)</f>
        <v>0</v>
      </c>
      <c r="BP122" s="324" t="n">
        <f aca="false">IF(AH122,xEURO(BB122,Strike2,AE122,AE122,BG122,O122,IF(OptControl=3,1,0),3)/100,0)</f>
        <v>0</v>
      </c>
      <c r="BQ122" s="327" t="n">
        <f aca="false">IF(AH122,xEURO(BB122,Strike2,AE122,AE122,BG122,O122-DaysForThetaCalculation,IF(OptControl=3,1,0),0)-xEURO(BB122,Strike2,AE122,AE122,BG122,O122,IF(OptControl=3,1,0),0),0)</f>
        <v>0</v>
      </c>
      <c r="BR122" s="343"/>
      <c r="BS122" s="314"/>
      <c r="BT122" s="329" t="n">
        <f aca="false">BS122*100/42</f>
        <v>0</v>
      </c>
      <c r="BU122" s="329" t="n">
        <f aca="false">BS123-$U122</f>
        <v>-27.3452380952381</v>
      </c>
      <c r="BV122" s="224"/>
      <c r="BW122" s="329" t="n">
        <f aca="false">BW110+VLOOKUP(1900+$L122,ProductSpreadTable,2)</f>
        <v>12.3418181818182</v>
      </c>
      <c r="BX122" s="329" t="n">
        <f aca="false">($V121+BW121)*100/42</f>
        <v>93.160785763581</v>
      </c>
      <c r="BY122" s="332" t="n">
        <f aca="false">BX123</f>
        <v>94.4929911358482</v>
      </c>
      <c r="BZ122" s="314"/>
      <c r="CA122" s="329" t="n">
        <f aca="false">BZ122*100/42</f>
        <v>0</v>
      </c>
      <c r="CB122" s="329" t="n">
        <f aca="false">BZ122-$U122</f>
        <v>-27.3452380952381</v>
      </c>
      <c r="CC122" s="329" t="n">
        <f aca="false">CC110+VLOOKUP(1900+$L122,ProductSpreadTable,3)</f>
        <v>10.0318181818182</v>
      </c>
      <c r="CD122" s="329" t="n">
        <f aca="false">($V122+CC122)*100/42</f>
        <v>88.9929911358482</v>
      </c>
      <c r="CE122" s="333" t="n">
        <f aca="false">CD122-BY122</f>
        <v>-5.5</v>
      </c>
      <c r="CF122" s="314"/>
      <c r="CG122" s="329" t="n">
        <f aca="false">CF122*100/42</f>
        <v>0</v>
      </c>
      <c r="CH122" s="329" t="n">
        <f aca="false">CF123-$U122</f>
        <v>-27.3452380952381</v>
      </c>
      <c r="CI122" s="224"/>
      <c r="CJ122" s="329" t="n">
        <f aca="false">CJ110+VLOOKUP(1900+$L122,ProductSpreadTable,4)</f>
        <v>12.1028181818182</v>
      </c>
      <c r="CK122" s="329" t="n">
        <f aca="false">($V121+CJ121)*100/42</f>
        <v>92.1417381445334</v>
      </c>
      <c r="CL122" s="329" t="n">
        <f aca="false">CK123</f>
        <v>93.9239435168006</v>
      </c>
      <c r="CM122" s="314"/>
      <c r="CN122" s="329" t="n">
        <f aca="false">CM122*100/42</f>
        <v>0</v>
      </c>
      <c r="CO122" s="329" t="n">
        <f aca="false">CM122-$U122</f>
        <v>-27.3452380952381</v>
      </c>
      <c r="CP122" s="329" t="n">
        <f aca="false">CP110+VLOOKUP(1900+$L122,ProductSpreadTable,5)</f>
        <v>10.9058181818182</v>
      </c>
      <c r="CQ122" s="329" t="n">
        <f aca="false">($V122+CP122)*100/42</f>
        <v>91.0739435168006</v>
      </c>
      <c r="CR122" s="333" t="n">
        <f aca="false">CQ122-CL122</f>
        <v>-2.84999999999999</v>
      </c>
      <c r="CS122" s="314"/>
      <c r="CT122" s="329" t="n">
        <f aca="false">CS122*100/42</f>
        <v>0</v>
      </c>
      <c r="CU122" s="329" t="n">
        <f aca="false">CT122-CG123</f>
        <v>0</v>
      </c>
      <c r="CV122" s="329" t="n">
        <f aca="false">CV110+VLOOKUP(1900+$L122,ProductSpreadTable,6)</f>
        <v>1.95000000000001</v>
      </c>
      <c r="CW122" s="333" t="n">
        <f aca="false">CL122+CV122</f>
        <v>95.8739435168006</v>
      </c>
      <c r="CX122" s="318"/>
      <c r="CY122" s="326" t="n">
        <f aca="false">CX122-$W122</f>
        <v>-0.170899999999999</v>
      </c>
      <c r="CZ122" s="326" t="n">
        <f aca="false">VLOOKUP(1900+$L122,ProductSpreadTable,7)</f>
        <v>-0.03</v>
      </c>
      <c r="DA122" s="365" t="n">
        <f aca="false">$W122+CZ122</f>
        <v>0.140899999999999</v>
      </c>
      <c r="DB122" s="318"/>
      <c r="DC122" s="326" t="n">
        <f aca="false">DB122-$W122</f>
        <v>-0.170899999999999</v>
      </c>
      <c r="DD122" s="326" t="n">
        <f aca="false">VLOOKUP(1900+$L122,ProductSpreadTable,8)</f>
        <v>0.03</v>
      </c>
      <c r="DE122" s="365" t="n">
        <f aca="false">$W122+DD122</f>
        <v>0.200899999999999</v>
      </c>
      <c r="DG122" s="336"/>
      <c r="DH122" s="314"/>
      <c r="DI122" s="325" t="n">
        <f aca="false">DH122-$U122</f>
        <v>-27.3452380952381</v>
      </c>
      <c r="DJ122" s="325" t="n">
        <f aca="false">VLOOKUP(1900+$L122,ResidSpreadTable,2)</f>
        <v>-2</v>
      </c>
      <c r="DK122" s="337" t="n">
        <f aca="false">$V122+DJ122</f>
        <v>25.3452380952381</v>
      </c>
      <c r="DL122" s="314"/>
      <c r="DM122" s="325" t="n">
        <f aca="false">DL122-$U122</f>
        <v>-27.3452380952381</v>
      </c>
      <c r="DN122" s="325" t="n">
        <f aca="false">VLOOKUP(1900+$L122,ResidSpreadTable,3)</f>
        <v>-3</v>
      </c>
      <c r="DO122" s="337" t="n">
        <f aca="false">$V122+DN122</f>
        <v>24.3452380952381</v>
      </c>
      <c r="DP122" s="314"/>
      <c r="DQ122" s="325" t="n">
        <f aca="false">DP122-$U122</f>
        <v>-27.3452380952381</v>
      </c>
      <c r="DR122" s="325" t="n">
        <f aca="false">VLOOKUP(1900+$L122,ResidSpreadTable,4)</f>
        <v>-6</v>
      </c>
      <c r="DS122" s="337" t="n">
        <f aca="false">$V122+DR122</f>
        <v>21.3452380952381</v>
      </c>
      <c r="DT122" s="314"/>
      <c r="DU122" s="325" t="n">
        <f aca="false">DT122-$U122</f>
        <v>-27.3452380952381</v>
      </c>
      <c r="DV122" s="325" t="n">
        <f aca="false">VLOOKUP(1900+$L122,ResidSpreadTable,5)</f>
        <v>-5</v>
      </c>
      <c r="DW122" s="337" t="n">
        <f aca="false">$V122+DV122</f>
        <v>22.3452380952381</v>
      </c>
    </row>
    <row r="123" customFormat="false" ht="12.75" hidden="false" customHeight="false" outlineLevel="0" collapsed="false">
      <c r="B123" s="371" t="n">
        <v>39295</v>
      </c>
      <c r="C123" s="391" t="n">
        <v>39283</v>
      </c>
      <c r="I123" s="338" t="n">
        <f aca="false">EOMONTH(I122,0)+1</f>
        <v>49491</v>
      </c>
      <c r="J123" s="389" t="n">
        <f aca="false">VLOOKUP(I123,$B$12:$C$332,2)</f>
        <v>45644</v>
      </c>
      <c r="K123" s="339" t="n">
        <f aca="false">NETWORKDAYS(I123,J124)/N123</f>
        <v>-124.909090909091</v>
      </c>
      <c r="L123" s="309" t="n">
        <f aca="false">YEAR(I123)-1900</f>
        <v>135</v>
      </c>
      <c r="M123" s="310" t="n">
        <f aca="false">MONTH(I123)</f>
        <v>7</v>
      </c>
      <c r="N123" s="340" t="n">
        <f aca="false">NETWORKDAYS(I123,I124-1)</f>
        <v>22</v>
      </c>
      <c r="O123" s="341" t="n">
        <f aca="false">I123-DateToday-IF(EuroExpDateToggle=1,3+IF(WEEKDAY(I123-1)=7,1,IF(WEEKDAY(I123-1)&lt;5,2,0)),1+IF(WEEKDAY(I123-1)=7,1,IF(WEEKDAY(I123-1)&lt;3,2,0)))</f>
        <v>3561</v>
      </c>
      <c r="P123" s="342" t="n">
        <f aca="false">(I123-DateToday+1)/365.25</f>
        <v>9.76317590691307</v>
      </c>
      <c r="Q123" s="342" t="n">
        <f aca="false">(I124-DateToday)/365.25</f>
        <v>9.84531143052704</v>
      </c>
      <c r="R123" s="314" t="n">
        <v>20.8</v>
      </c>
      <c r="S123" s="347" t="n">
        <v>0</v>
      </c>
      <c r="T123" s="316" t="n">
        <f aca="false">R123+S123/100</f>
        <v>20.8</v>
      </c>
      <c r="U123" s="325" t="n">
        <f aca="false">R124*K123+R125*(1-K123)</f>
        <v>27.145454545454</v>
      </c>
      <c r="V123" s="337" t="n">
        <f aca="false">T124*K123+T125*(1-K123)</f>
        <v>27.145454545454</v>
      </c>
      <c r="W123" s="318" t="n">
        <v>0.170499999999999</v>
      </c>
      <c r="X123" s="319" t="str">
        <f aca="false">IF($I123-DateToday+1&gt;=$A$10,"",IF($I123-DateToday+1&lt;$A$5,1,MATCH($I123-DateToday+1,$A$5:$A$10)))</f>
        <v/>
      </c>
      <c r="Y123" s="348" t="n">
        <f aca="false">IF($X123="",Y122^2/Y121,INDEX(B$5:B$10,$X123)^((INDEX($A$5:$A$10,$X123+1)-($I123-DateToday+1))/(INDEX($A$5:$A$10,$X123+1)-INDEX($A$5:$A$10,$X123)))/INDEX(B$5:B$10,$X123+1)^((INDEX($A$5:$A$10,$X123)-($I123-DateToday+1))/(INDEX($A$5:$A$10,$X123+1)-INDEX($A$5:$A$10,$X123))))</f>
        <v>0.00121874406790595</v>
      </c>
      <c r="Z123" s="348" t="n">
        <f aca="false">IF($X123="",Z122^2/Z121,INDEX(C$5:C$10,$X123)^((INDEX($A$5:$A$10,$X123+1)-($I123-DateToday+1))/(INDEX($A$5:$A$10,$X123+1)-INDEX($A$5:$A$10,$X123)))/INDEX(C$5:C$10,$X123+1)^((INDEX($A$5:$A$10,$X123)-($I123-DateToday+1))/(INDEX($A$5:$A$10,$X123+1)-INDEX($A$5:$A$10,$X123))))</f>
        <v>0.000400397787127342</v>
      </c>
      <c r="AA123" s="348" t="n">
        <f aca="false">IF($X123="",AA122^2/AA121,INDEX(D$5:D$10,$X123)^((INDEX($A$5:$A$10,$X123+1)-($I123-DateToday+1))/(INDEX($A$5:$A$10,$X123+1)-INDEX($A$5:$A$10,$X123)))/INDEX(D$5:D$10,$X123+1)^((INDEX($A$5:$A$10,$X123)-($I123-DateToday+1))/(INDEX($A$5:$A$10,$X123+1)-INDEX($A$5:$A$10,$X123))))</f>
        <v>0.000139336225490415</v>
      </c>
      <c r="AB123" s="348" t="n">
        <f aca="false">IF($X123="",AB122^2/AB121,INDEX(E$5:E$10,$X123)^((INDEX($A$5:$A$10,$X123+1)-($I123-DateToday+1))/(INDEX($A$5:$A$10,$X123+1)-INDEX($A$5:$A$10,$X123)))/INDEX(E$5:E$10,$X123+1)^((INDEX($A$5:$A$10,$X123)-($I123-DateToday+1))/(INDEX($A$5:$A$10,$X123+1)-INDEX($A$5:$A$10,$X123))))</f>
        <v>0.000313896648784816</v>
      </c>
      <c r="AC123" s="348" t="n">
        <f aca="false">IF($X123="",AC122^2/AC121,INDEX(F$5:F$10,$X123)^((INDEX($A$5:$A$10,$X123+1)-($I123-DateToday+1))/(INDEX($A$5:$A$10,$X123+1)-INDEX($A$5:$A$10,$X123)))/INDEX(F$5:F$10,$X123+1)^((INDEX($A$5:$A$10,$X123)-($I123-DateToday+1))/(INDEX($A$5:$A$10,$X123+1)-INDEX($A$5:$A$10,$X123))))</f>
        <v>0.00090201613484047</v>
      </c>
      <c r="AD123" s="348" t="n">
        <f aca="false">IF($X123="",AD122^2/AD121,INDEX(G$5:G$10,$X123)^((INDEX($A$5:$A$10,$X123+1)-($I123-DateToday+1))/(INDEX($A$5:$A$10,$X123+1)-INDEX($A$5:$A$10,$X123)))/INDEX(G$5:G$10,$X123+1)^((INDEX($A$5:$A$10,$X123)-($I123-DateToday+1))/(INDEX($A$5:$A$10,$X123+1)-INDEX($A$5:$A$10,$X123))))</f>
        <v>0.00274558663617832</v>
      </c>
      <c r="AE123" s="321" t="n">
        <v>0.073757911512351</v>
      </c>
      <c r="AF123" s="316" t="n">
        <f aca="false">(1+AE123/2)^(-2*(I124-DateToday)/365.25)</f>
        <v>0.490122564967973</v>
      </c>
      <c r="AG123" s="316" t="n">
        <f aca="false">AG122*(1+IF(AND(M123=1,L123&gt;YearStart),Escalation,0))</f>
        <v>1</v>
      </c>
      <c r="AH123" s="322" t="n">
        <f aca="false">IF(OR(DateStart&gt;=I124,DateEnd&lt;I123),0,Volume*AG123)</f>
        <v>0</v>
      </c>
      <c r="AI123" s="322" t="n">
        <f aca="false">AH123*AF123</f>
        <v>0</v>
      </c>
      <c r="AJ123" s="322" t="n">
        <f aca="false">IF(OR(DateStart2&gt;=I124,DateEnd2&lt;I123),0,VolumeSwaption*AG123)</f>
        <v>0</v>
      </c>
      <c r="AK123" s="322" t="n">
        <f aca="false">AJ123*AF123</f>
        <v>0</v>
      </c>
      <c r="AL123" s="316" t="str">
        <f aca="true">IF(AH123,OFFSET(BY123,0,HorizontalPriceOffset)+PriceSpreadAsian,"")</f>
        <v/>
      </c>
      <c r="AM123" s="316" t="str">
        <f aca="false">IF(AH123,Strike1/AL123-1,"")</f>
        <v/>
      </c>
      <c r="AN123" s="316" t="str">
        <f aca="false">IF(AH123,Strike2/AL123-1,"")</f>
        <v/>
      </c>
      <c r="AO123" s="323" t="str">
        <f aca="false">IF(AH123,IF(VolOverrideAsian,VolOverrideAsian,IF(ProductGroup=1,IF(Product&lt;3,DA124,DE124),W124)+VolSpreadAsian),"")</f>
        <v/>
      </c>
      <c r="AP123" s="323" t="str">
        <f aca="false">IF($AH123,$AO123+IF(SkewFlag=1,IF(AM123&gt;0,$AA123*MIN(AM123/10%,1)+($Z123-$AA123)*MAX(0,MIN(AM123/10%-1,1))+($Y123-$Z123)*MAX(0,AM123/10%-2),$AB123*MIN(-AM123/10%,1)+($AC123-$AB123)*MAX(0,MIN(-AM123/10%-1,1))+($AD123-$AC123)*MAX(0,-AM123/10%-2)),0),"")</f>
        <v/>
      </c>
      <c r="AQ123" s="323" t="str">
        <f aca="false">IF($AH123,$AO123+IF(SkewFlag=1,IF(AN123&gt;0,$AA123*MIN(AN123/10%,1)+($Z123-$AA123)*MAX(0,MIN(AN123/10%-1,1))+($Y123-$Z123)*MAX(0,AN123/10%-2),$AB123*MIN(-AN123/10%,1)+($AC123-$AB123)*MAX(0,MIN(-AN123/10%-1,1))+($AD123-$AC123)*MAX(0,-AN123/10%-2)),0),"")</f>
        <v/>
      </c>
      <c r="AR123" s="324" t="n">
        <f aca="false">IF(AH123,xASN(AL123,Strike1,AE123,AP123,0,N123,0,P123,Q123,IF(OptControl=4,0,1),0),0)</f>
        <v>0</v>
      </c>
      <c r="AS123" s="324" t="n">
        <f aca="false">IF(AH123,xASN(AL123,Strike1,AE123,AP123,0,N123,0,P123,Q123,IF(OptControl=4,0,1),1),0)</f>
        <v>0</v>
      </c>
      <c r="AT123" s="324" t="n">
        <f aca="false">IF(AH123,xASN(AL123,Strike1,AE123,AP123,0,N123,0,P123,Q123,IF(OptControl=4,0,1),2),0)</f>
        <v>0</v>
      </c>
      <c r="AU123" s="324" t="n">
        <f aca="false">IF(AH123,xASN(AL123,Strike1,AE123,AP123,0,N123,0,P123,Q123,IF(OptControl=4,0,1),3)/100,0)</f>
        <v>0</v>
      </c>
      <c r="AV123" s="324" t="n">
        <f aca="false">IF(AH123,xASN(AL123,Strike1,AE123,AP123,0,N123,0,P123-DaysForThetaCalculation/365.25,Q123-DaysForThetaCalculation/365.25,IF(OptControl=4,0,1),0)-xASN(AL123,Strike1,AE123,AP123,0,N123,0,P123,Q123,IF(OptControl=4,0,1),0),0)</f>
        <v>0</v>
      </c>
      <c r="AW123" s="324" t="n">
        <f aca="false">IF(AH123,xASN(AL123,Strike2,AE123,AQ123,0,N123,0,P123,Q123,IF(OptControl=3,1,0),0),0)</f>
        <v>0</v>
      </c>
      <c r="AX123" s="324" t="n">
        <f aca="false">IF(AH123,xASN(AL123,Strike2,AE123,AQ123,0,N123,0,P123,Q123,IF(OptControl=3,1,0),1),0)</f>
        <v>0</v>
      </c>
      <c r="AY123" s="324" t="n">
        <f aca="false">IF(AH123,xASN(AL123,Strike2,AE123,AQ123,0,N123,0,P123,Q123,IF(OptControl=3,1,0),2),0)</f>
        <v>0</v>
      </c>
      <c r="AZ123" s="324" t="n">
        <f aca="false">IF(AH123,xASN(AL123,Strike2,AE123,AQ123,0,N123,0,P123,Q123,IF(OptControl=3,1,0),3)/100,0)</f>
        <v>0</v>
      </c>
      <c r="BA123" s="324" t="n">
        <f aca="false">IF(AH123,xASN(AL123,Strike2,AE123,AQ123,0,N123,0,P123-DaysForThetaCalculation/365.25,Q123-DaysForThetaCalculation/365.25,IF(OptControl=3,1,0),0)-xASN(AL123,Strike2,AE123,AQ123,0,N123,0,P123,Q123,IF(OptControl=3,1,0),0),0)</f>
        <v>0</v>
      </c>
      <c r="BB123" s="325" t="str">
        <f aca="false">IF(AH123,IF(ProductGroup=1,IF(Product=1,BX123+PriceSpreadEuro,IF(Product=3,CK123+PriceSpreadEuro,"N/A")),"N/A"),"")</f>
        <v/>
      </c>
      <c r="BC123" s="316" t="str">
        <f aca="false">IF(AH123,Strike1/BB123-1,"")</f>
        <v/>
      </c>
      <c r="BD123" s="316" t="str">
        <f aca="false">IF(AH123,Strike2/BB123-1,"")</f>
        <v/>
      </c>
      <c r="BE123" s="326" t="str">
        <f aca="false">IF(AH123,IF(VolOverrideEuro,VolOverrideEuro,IF(ProductGroup=1,IF(Product&lt;3,DA123,DE123)+VolSpreadEuro,"N/A")),"")</f>
        <v/>
      </c>
      <c r="BF123" s="323" t="str">
        <f aca="false">IF($AH123,$BE123+IF(SkewFlag=1,IF(BC123&gt;0,$AA123*MIN(BC123/10%,1)+($Z123-$AA123)*MAX(0,MIN(BC123/10%-1,1))+($Y123-$Z123)*MAX(0,BC123/10%-2),$AB123*MIN(-BC123/10%,1)+($AC123-$AB123)*MAX(0,MIN(-BC123/10%-1,1))+($AD123-$AC123)*MAX(0,-BC123/10%-2)),0),"")</f>
        <v/>
      </c>
      <c r="BG123" s="323" t="str">
        <f aca="false">IF($AH123,$BE123+IF(SkewFlag=1,IF(BD123&gt;0,$AA123*MIN(BD123/10%,1)+($Z123-$AA123)*MAX(0,MIN(BD123/10%-1,1))+($Y123-$Z123)*MAX(0,BD123/10%-2),$AB123*MIN(-BD123/10%,1)+($AC123-$AB123)*MAX(0,MIN(-BD123/10%-1,1))+($AD123-$AC123)*MAX(0,-BD123/10%-2)),0),"")</f>
        <v/>
      </c>
      <c r="BH123" s="324" t="n">
        <f aca="false">IF(AH123,xEURO(BB123,Strike1,AE123,AE123,BF123,O123,IF(OptControl=4,0,1),0),0)</f>
        <v>0</v>
      </c>
      <c r="BI123" s="324" t="n">
        <f aca="false">IF(AH123,xEURO(BB123,Strike1,AE123,AE123,BF123,O123,IF(OptControl=4,0,1),1),0)</f>
        <v>0</v>
      </c>
      <c r="BJ123" s="324" t="n">
        <f aca="false">IF(AH123,xEURO(BB123,Strike1,AE123,AE123,BF123,O123,IF(OptControl=4,0,1),2),0)</f>
        <v>0</v>
      </c>
      <c r="BK123" s="324" t="n">
        <f aca="false">IF(AH123,xEURO(BB123,Strike1,AE123,AE123,BF123,O123,IF(OptControl=4,0,1),3)/100,0)</f>
        <v>0</v>
      </c>
      <c r="BL123" s="324" t="n">
        <f aca="false">IF(AH123,xEURO(BB123,Strike1,AE123,AE123,BF123,O123-DaysForThetaCalculation,IF(OptControl=4,0,1),0)-xEURO(BB123,Strike1,AE123,AE123,BF123,O123,IF(OptControl=4,0,1),0),0)</f>
        <v>0</v>
      </c>
      <c r="BM123" s="324" t="n">
        <f aca="false">IF(AH123,xEURO(BB123,Strike2,AE123,AE123,BG123,O123,IF(OptControl=3,1,0),0),0)</f>
        <v>0</v>
      </c>
      <c r="BN123" s="324" t="n">
        <f aca="false">IF(AH123,xEURO(BB123,Strike2,AE123,AE123,BG123,O123,IF(OptControl=3,1,0),1),0)</f>
        <v>0</v>
      </c>
      <c r="BO123" s="324" t="n">
        <f aca="false">IF(AH123,xEURO(BB123,Strike2,AE123,AE123,BG123,O123,IF(OptControl=3,1,0),2),0)</f>
        <v>0</v>
      </c>
      <c r="BP123" s="324" t="n">
        <f aca="false">IF(AH123,xEURO(BB123,Strike2,AE123,AE123,BG123,O123,IF(OptControl=3,1,0),3)/100,0)</f>
        <v>0</v>
      </c>
      <c r="BQ123" s="327" t="n">
        <f aca="false">IF(AH123,xEURO(BB123,Strike2,AE123,AE123,BG123,O123-DaysForThetaCalculation,IF(OptControl=3,1,0),0)-xEURO(BB123,Strike2,AE123,AE123,BG123,O123,IF(OptControl=3,1,0),0),0)</f>
        <v>0</v>
      </c>
      <c r="BR123" s="343"/>
      <c r="BS123" s="314"/>
      <c r="BT123" s="329" t="n">
        <f aca="false">BS123*100/42</f>
        <v>0</v>
      </c>
      <c r="BU123" s="329" t="n">
        <f aca="false">BS124-$U123</f>
        <v>-27.145454545454</v>
      </c>
      <c r="BV123" s="224"/>
      <c r="BW123" s="329" t="n">
        <f aca="false">BW111+VLOOKUP(1900+$L123,ProductSpreadTable,2)</f>
        <v>12.3238260869565</v>
      </c>
      <c r="BX123" s="329" t="n">
        <f aca="false">($V122+BW122)*100/42</f>
        <v>94.4929911358482</v>
      </c>
      <c r="BY123" s="332" t="n">
        <f aca="false">BX124</f>
        <v>93.9744776962155</v>
      </c>
      <c r="BZ123" s="314"/>
      <c r="CA123" s="329" t="n">
        <f aca="false">BZ123*100/42</f>
        <v>0</v>
      </c>
      <c r="CB123" s="329" t="n">
        <f aca="false">BZ123-$U123</f>
        <v>-27.145454545454</v>
      </c>
      <c r="CC123" s="329" t="n">
        <f aca="false">CC111+VLOOKUP(1900+$L123,ProductSpreadTable,3)</f>
        <v>10.8118260869565</v>
      </c>
      <c r="CD123" s="329" t="n">
        <f aca="false">($V123+CC123)*100/42</f>
        <v>90.3744776962155</v>
      </c>
      <c r="CE123" s="333" t="n">
        <f aca="false">CD123-BY123</f>
        <v>-3.59999999999999</v>
      </c>
      <c r="CF123" s="314"/>
      <c r="CG123" s="329" t="n">
        <f aca="false">CF123*100/42</f>
        <v>0</v>
      </c>
      <c r="CH123" s="329" t="n">
        <f aca="false">CF124-$U123</f>
        <v>-27.145454545454</v>
      </c>
      <c r="CI123" s="224"/>
      <c r="CJ123" s="329" t="n">
        <f aca="false">CJ111+VLOOKUP(1900+$L123,ProductSpreadTable,4)</f>
        <v>11.6438260869565</v>
      </c>
      <c r="CK123" s="329" t="n">
        <f aca="false">($V122+CJ122)*100/42</f>
        <v>93.9239435168006</v>
      </c>
      <c r="CL123" s="329" t="n">
        <f aca="false">CK124</f>
        <v>92.3554300771679</v>
      </c>
      <c r="CM123" s="314"/>
      <c r="CN123" s="329" t="n">
        <f aca="false">CM123*100/42</f>
        <v>0</v>
      </c>
      <c r="CO123" s="329" t="n">
        <f aca="false">CM123-$U123</f>
        <v>-27.145454545454</v>
      </c>
      <c r="CP123" s="329" t="n">
        <f aca="false">CP111+VLOOKUP(1900+$L123,ProductSpreadTable,5)</f>
        <v>10.5308260869565</v>
      </c>
      <c r="CQ123" s="329" t="n">
        <f aca="false">($V123+CP123)*100/42</f>
        <v>89.7054300771679</v>
      </c>
      <c r="CR123" s="333" t="n">
        <f aca="false">CQ123-CL123</f>
        <v>-2.64999999999999</v>
      </c>
      <c r="CS123" s="314"/>
      <c r="CT123" s="329" t="n">
        <f aca="false">CS123*100/42</f>
        <v>0</v>
      </c>
      <c r="CU123" s="329" t="n">
        <f aca="false">CT123-CG124</f>
        <v>0</v>
      </c>
      <c r="CV123" s="329" t="n">
        <f aca="false">CV111+VLOOKUP(1900+$L123,ProductSpreadTable,6)</f>
        <v>1.95000000000001</v>
      </c>
      <c r="CW123" s="333" t="n">
        <f aca="false">CL123+CV123</f>
        <v>94.3054300771679</v>
      </c>
      <c r="CX123" s="318"/>
      <c r="CY123" s="326" t="n">
        <f aca="false">CX123-$W123</f>
        <v>-0.170499999999999</v>
      </c>
      <c r="CZ123" s="326" t="n">
        <f aca="false">VLOOKUP(1900+$L123,ProductSpreadTable,7)</f>
        <v>-0.03</v>
      </c>
      <c r="DA123" s="365" t="n">
        <f aca="false">$W123+CZ123</f>
        <v>0.140499999999999</v>
      </c>
      <c r="DB123" s="318"/>
      <c r="DC123" s="326" t="n">
        <f aca="false">DB123-$W123</f>
        <v>-0.170499999999999</v>
      </c>
      <c r="DD123" s="326" t="n">
        <f aca="false">VLOOKUP(1900+$L123,ProductSpreadTable,8)</f>
        <v>0.03</v>
      </c>
      <c r="DE123" s="365" t="n">
        <f aca="false">$W123+DD123</f>
        <v>0.200499999999999</v>
      </c>
      <c r="DG123" s="336"/>
      <c r="DH123" s="314"/>
      <c r="DI123" s="325" t="n">
        <f aca="false">DH123-$U123</f>
        <v>-27.145454545454</v>
      </c>
      <c r="DJ123" s="325" t="n">
        <f aca="false">VLOOKUP(1900+$L123,ResidSpreadTable,2)</f>
        <v>-2</v>
      </c>
      <c r="DK123" s="337" t="n">
        <f aca="false">$V123+DJ123</f>
        <v>25.145454545454</v>
      </c>
      <c r="DL123" s="314"/>
      <c r="DM123" s="325" t="n">
        <f aca="false">DL123-$U123</f>
        <v>-27.145454545454</v>
      </c>
      <c r="DN123" s="325" t="n">
        <f aca="false">VLOOKUP(1900+$L123,ResidSpreadTable,3)</f>
        <v>-3</v>
      </c>
      <c r="DO123" s="337" t="n">
        <f aca="false">$V123+DN123</f>
        <v>24.145454545454</v>
      </c>
      <c r="DP123" s="314"/>
      <c r="DQ123" s="325" t="n">
        <f aca="false">DP123-$U123</f>
        <v>-27.145454545454</v>
      </c>
      <c r="DR123" s="325" t="n">
        <f aca="false">VLOOKUP(1900+$L123,ResidSpreadTable,4)</f>
        <v>-6</v>
      </c>
      <c r="DS123" s="337" t="n">
        <f aca="false">$V123+DR123</f>
        <v>21.145454545454</v>
      </c>
      <c r="DT123" s="314"/>
      <c r="DU123" s="325" t="n">
        <f aca="false">DT123-$U123</f>
        <v>-27.145454545454</v>
      </c>
      <c r="DV123" s="325" t="n">
        <f aca="false">VLOOKUP(1900+$L123,ResidSpreadTable,5)</f>
        <v>-5</v>
      </c>
      <c r="DW123" s="337" t="n">
        <f aca="false">$V123+DV123</f>
        <v>22.145454545454</v>
      </c>
    </row>
    <row r="124" customFormat="false" ht="12.75" hidden="false" customHeight="false" outlineLevel="0" collapsed="false">
      <c r="B124" s="371" t="n">
        <v>39326</v>
      </c>
      <c r="C124" s="391" t="n">
        <v>39315</v>
      </c>
      <c r="I124" s="338" t="n">
        <f aca="false">EOMONTH(I123,0)+1</f>
        <v>49522</v>
      </c>
      <c r="J124" s="389" t="n">
        <f aca="false">VLOOKUP(I124,$B$12:$C$332,2)</f>
        <v>45644</v>
      </c>
      <c r="K124" s="339" t="n">
        <f aca="false">NETWORKDAYS(I124,J125)/N124</f>
        <v>-120.478260869565</v>
      </c>
      <c r="L124" s="309" t="n">
        <f aca="false">YEAR(I124)-1900</f>
        <v>135</v>
      </c>
      <c r="M124" s="310" t="n">
        <f aca="false">MONTH(I124)</f>
        <v>8</v>
      </c>
      <c r="N124" s="340" t="n">
        <f aca="false">NETWORKDAYS(I124,I125-1)</f>
        <v>23</v>
      </c>
      <c r="O124" s="341" t="n">
        <f aca="false">I124-DateToday-IF(EuroExpDateToggle=1,3+IF(WEEKDAY(I124-1)=7,1,IF(WEEKDAY(I124-1)&lt;5,2,0)),1+IF(WEEKDAY(I124-1)=7,1,IF(WEEKDAY(I124-1)&lt;3,2,0)))</f>
        <v>3591</v>
      </c>
      <c r="P124" s="342" t="n">
        <f aca="false">(I124-DateToday+1)/365.25</f>
        <v>9.84804928131417</v>
      </c>
      <c r="Q124" s="342" t="n">
        <f aca="false">(I125-DateToday)/365.25</f>
        <v>9.93018480492813</v>
      </c>
      <c r="R124" s="314" t="n">
        <v>20.85</v>
      </c>
      <c r="S124" s="347" t="n">
        <v>0</v>
      </c>
      <c r="T124" s="316" t="n">
        <f aca="false">R124+S124/100</f>
        <v>20.85</v>
      </c>
      <c r="U124" s="325" t="n">
        <f aca="false">R125*K124+R126*(1-K124)</f>
        <v>26.9739130434787</v>
      </c>
      <c r="V124" s="337" t="n">
        <f aca="false">T125*K124+T126*(1-K124)</f>
        <v>26.9739130434787</v>
      </c>
      <c r="W124" s="318" t="n">
        <v>0.170099999999999</v>
      </c>
      <c r="X124" s="319" t="str">
        <f aca="false">IF($I124-DateToday+1&gt;=$A$10,"",IF($I124-DateToday+1&lt;$A$5,1,MATCH($I124-DateToday+1,$A$5:$A$10)))</f>
        <v/>
      </c>
      <c r="Y124" s="348" t="n">
        <f aca="false">IF($X124="",Y123^2/Y122,INDEX(B$5:B$10,$X124)^((INDEX($A$5:$A$10,$X124+1)-($I124-DateToday+1))/(INDEX($A$5:$A$10,$X124+1)-INDEX($A$5:$A$10,$X124)))/INDEX(B$5:B$10,$X124+1)^((INDEX($A$5:$A$10,$X124)-($I124-DateToday+1))/(INDEX($A$5:$A$10,$X124+1)-INDEX($A$5:$A$10,$X124))))</f>
        <v>0.00119265261103317</v>
      </c>
      <c r="Z124" s="348" t="n">
        <f aca="false">IF($X124="",Z123^2/Z122,INDEX(C$5:C$10,$X124)^((INDEX($A$5:$A$10,$X124+1)-($I124-DateToday+1))/(INDEX($A$5:$A$10,$X124+1)-INDEX($A$5:$A$10,$X124)))/INDEX(C$5:C$10,$X124+1)^((INDEX($A$5:$A$10,$X124)-($I124-DateToday+1))/(INDEX($A$5:$A$10,$X124+1)-INDEX($A$5:$A$10,$X124))))</f>
        <v>0.000389728023369922</v>
      </c>
      <c r="AA124" s="348" t="n">
        <f aca="false">IF($X124="",AA123^2/AA122,INDEX(D$5:D$10,$X124)^((INDEX($A$5:$A$10,$X124+1)-($I124-DateToday+1))/(INDEX($A$5:$A$10,$X124+1)-INDEX($A$5:$A$10,$X124)))/INDEX(D$5:D$10,$X124+1)^((INDEX($A$5:$A$10,$X124)-($I124-DateToday+1))/(INDEX($A$5:$A$10,$X124+1)-INDEX($A$5:$A$10,$X124))))</f>
        <v>0.000135259519986375</v>
      </c>
      <c r="AB124" s="348" t="n">
        <f aca="false">IF($X124="",AB123^2/AB122,INDEX(E$5:E$10,$X124)^((INDEX($A$5:$A$10,$X124+1)-($I124-DateToday+1))/(INDEX($A$5:$A$10,$X124+1)-INDEX($A$5:$A$10,$X124)))/INDEX(E$5:E$10,$X124+1)^((INDEX($A$5:$A$10,$X124)-($I124-DateToday+1))/(INDEX($A$5:$A$10,$X124+1)-INDEX($A$5:$A$10,$X124))))</f>
        <v>0.000304712646625316</v>
      </c>
      <c r="AC124" s="348" t="n">
        <f aca="false">IF($X124="",AC123^2/AC122,INDEX(F$5:F$10,$X124)^((INDEX($A$5:$A$10,$X124+1)-($I124-DateToday+1))/(INDEX($A$5:$A$10,$X124+1)-INDEX($A$5:$A$10,$X124)))/INDEX(F$5:F$10,$X124+1)^((INDEX($A$5:$A$10,$X124)-($I124-DateToday+1))/(INDEX($A$5:$A$10,$X124+1)-INDEX($A$5:$A$10,$X124))))</f>
        <v>0.000877979291047755</v>
      </c>
      <c r="AD124" s="348" t="n">
        <f aca="false">IF($X124="",AD123^2/AD122,INDEX(G$5:G$10,$X124)^((INDEX($A$5:$A$10,$X124+1)-($I124-DateToday+1))/(INDEX($A$5:$A$10,$X124+1)-INDEX($A$5:$A$10,$X124)))/INDEX(G$5:G$10,$X124+1)^((INDEX($A$5:$A$10,$X124)-($I124-DateToday+1))/(INDEX($A$5:$A$10,$X124+1)-INDEX($A$5:$A$10,$X124))))</f>
        <v>0.00268680780213534</v>
      </c>
      <c r="AE124" s="321" t="n">
        <v>0.0737655015828</v>
      </c>
      <c r="AF124" s="316" t="n">
        <f aca="false">(1+AE124/2)^(-2*(I125-DateToday)/365.25)</f>
        <v>0.487083414387755</v>
      </c>
      <c r="AG124" s="316" t="n">
        <f aca="false">AG123*(1+IF(AND(M124=1,L124&gt;YearStart),Escalation,0))</f>
        <v>1</v>
      </c>
      <c r="AH124" s="322" t="n">
        <f aca="false">IF(OR(DateStart&gt;=I125,DateEnd&lt;I124),0,Volume*AG124)</f>
        <v>0</v>
      </c>
      <c r="AI124" s="322" t="n">
        <f aca="false">AH124*AF124</f>
        <v>0</v>
      </c>
      <c r="AJ124" s="322" t="n">
        <f aca="false">IF(OR(DateStart2&gt;=I125,DateEnd2&lt;I124),0,VolumeSwaption*AG124)</f>
        <v>0</v>
      </c>
      <c r="AK124" s="322" t="n">
        <f aca="false">AJ124*AF124</f>
        <v>0</v>
      </c>
      <c r="AL124" s="316" t="str">
        <f aca="true">IF(AH124,OFFSET(BY124,0,HorizontalPriceOffset)+PriceSpreadAsian,"")</f>
        <v/>
      </c>
      <c r="AM124" s="316" t="str">
        <f aca="false">IF(AH124,Strike1/AL124-1,"")</f>
        <v/>
      </c>
      <c r="AN124" s="316" t="str">
        <f aca="false">IF(AH124,Strike2/AL124-1,"")</f>
        <v/>
      </c>
      <c r="AO124" s="323" t="str">
        <f aca="false">IF(AH124,IF(VolOverrideAsian,VolOverrideAsian,IF(ProductGroup=1,IF(Product&lt;3,DA125,DE125),W125)+VolSpreadAsian),"")</f>
        <v/>
      </c>
      <c r="AP124" s="323" t="str">
        <f aca="false">IF($AH124,$AO124+IF(SkewFlag=1,IF(AM124&gt;0,$AA124*MIN(AM124/10%,1)+($Z124-$AA124)*MAX(0,MIN(AM124/10%-1,1))+($Y124-$Z124)*MAX(0,AM124/10%-2),$AB124*MIN(-AM124/10%,1)+($AC124-$AB124)*MAX(0,MIN(-AM124/10%-1,1))+($AD124-$AC124)*MAX(0,-AM124/10%-2)),0),"")</f>
        <v/>
      </c>
      <c r="AQ124" s="323" t="str">
        <f aca="false">IF($AH124,$AO124+IF(SkewFlag=1,IF(AN124&gt;0,$AA124*MIN(AN124/10%,1)+($Z124-$AA124)*MAX(0,MIN(AN124/10%-1,1))+($Y124-$Z124)*MAX(0,AN124/10%-2),$AB124*MIN(-AN124/10%,1)+($AC124-$AB124)*MAX(0,MIN(-AN124/10%-1,1))+($AD124-$AC124)*MAX(0,-AN124/10%-2)),0),"")</f>
        <v/>
      </c>
      <c r="AR124" s="324" t="n">
        <f aca="false">IF(AH124,xASN(AL124,Strike1,AE124,AP124,0,N124,0,P124,Q124,IF(OptControl=4,0,1),0),0)</f>
        <v>0</v>
      </c>
      <c r="AS124" s="324" t="n">
        <f aca="false">IF(AH124,xASN(AL124,Strike1,AE124,AP124,0,N124,0,P124,Q124,IF(OptControl=4,0,1),1),0)</f>
        <v>0</v>
      </c>
      <c r="AT124" s="324" t="n">
        <f aca="false">IF(AH124,xASN(AL124,Strike1,AE124,AP124,0,N124,0,P124,Q124,IF(OptControl=4,0,1),2),0)</f>
        <v>0</v>
      </c>
      <c r="AU124" s="324" t="n">
        <f aca="false">IF(AH124,xASN(AL124,Strike1,AE124,AP124,0,N124,0,P124,Q124,IF(OptControl=4,0,1),3)/100,0)</f>
        <v>0</v>
      </c>
      <c r="AV124" s="324" t="n">
        <f aca="false">IF(AH124,xASN(AL124,Strike1,AE124,AP124,0,N124,0,P124-DaysForThetaCalculation/365.25,Q124-DaysForThetaCalculation/365.25,IF(OptControl=4,0,1),0)-xASN(AL124,Strike1,AE124,AP124,0,N124,0,P124,Q124,IF(OptControl=4,0,1),0),0)</f>
        <v>0</v>
      </c>
      <c r="AW124" s="324" t="n">
        <f aca="false">IF(AH124,xASN(AL124,Strike2,AE124,AQ124,0,N124,0,P124,Q124,IF(OptControl=3,1,0),0),0)</f>
        <v>0</v>
      </c>
      <c r="AX124" s="324" t="n">
        <f aca="false">IF(AH124,xASN(AL124,Strike2,AE124,AQ124,0,N124,0,P124,Q124,IF(OptControl=3,1,0),1),0)</f>
        <v>0</v>
      </c>
      <c r="AY124" s="324" t="n">
        <f aca="false">IF(AH124,xASN(AL124,Strike2,AE124,AQ124,0,N124,0,P124,Q124,IF(OptControl=3,1,0),2),0)</f>
        <v>0</v>
      </c>
      <c r="AZ124" s="324" t="n">
        <f aca="false">IF(AH124,xASN(AL124,Strike2,AE124,AQ124,0,N124,0,P124,Q124,IF(OptControl=3,1,0),3)/100,0)</f>
        <v>0</v>
      </c>
      <c r="BA124" s="324" t="n">
        <f aca="false">IF(AH124,xASN(AL124,Strike2,AE124,AQ124,0,N124,0,P124-DaysForThetaCalculation/365.25,Q124-DaysForThetaCalculation/365.25,IF(OptControl=3,1,0),0)-xASN(AL124,Strike2,AE124,AQ124,0,N124,0,P124,Q124,IF(OptControl=3,1,0),0),0)</f>
        <v>0</v>
      </c>
      <c r="BB124" s="325" t="str">
        <f aca="false">IF(AH124,IF(ProductGroup=1,IF(Product=1,BX124+PriceSpreadEuro,IF(Product=3,CK124+PriceSpreadEuro,"N/A")),"N/A"),"")</f>
        <v/>
      </c>
      <c r="BC124" s="316" t="str">
        <f aca="false">IF(AH124,Strike1/BB124-1,"")</f>
        <v/>
      </c>
      <c r="BD124" s="316" t="str">
        <f aca="false">IF(AH124,Strike2/BB124-1,"")</f>
        <v/>
      </c>
      <c r="BE124" s="326" t="str">
        <f aca="false">IF(AH124,IF(VolOverrideEuro,VolOverrideEuro,IF(ProductGroup=1,IF(Product&lt;3,DA124,DE124)+VolSpreadEuro,"N/A")),"")</f>
        <v/>
      </c>
      <c r="BF124" s="323" t="str">
        <f aca="false">IF($AH124,$BE124+IF(SkewFlag=1,IF(BC124&gt;0,$AA124*MIN(BC124/10%,1)+($Z124-$AA124)*MAX(0,MIN(BC124/10%-1,1))+($Y124-$Z124)*MAX(0,BC124/10%-2),$AB124*MIN(-BC124/10%,1)+($AC124-$AB124)*MAX(0,MIN(-BC124/10%-1,1))+($AD124-$AC124)*MAX(0,-BC124/10%-2)),0),"")</f>
        <v/>
      </c>
      <c r="BG124" s="323" t="str">
        <f aca="false">IF($AH124,$BE124+IF(SkewFlag=1,IF(BD124&gt;0,$AA124*MIN(BD124/10%,1)+($Z124-$AA124)*MAX(0,MIN(BD124/10%-1,1))+($Y124-$Z124)*MAX(0,BD124/10%-2),$AB124*MIN(-BD124/10%,1)+($AC124-$AB124)*MAX(0,MIN(-BD124/10%-1,1))+($AD124-$AC124)*MAX(0,-BD124/10%-2)),0),"")</f>
        <v/>
      </c>
      <c r="BH124" s="324" t="n">
        <f aca="false">IF(AH124,xEURO(BB124,Strike1,AE124,AE124,BF124,O124,IF(OptControl=4,0,1),0),0)</f>
        <v>0</v>
      </c>
      <c r="BI124" s="324" t="n">
        <f aca="false">IF(AH124,xEURO(BB124,Strike1,AE124,AE124,BF124,O124,IF(OptControl=4,0,1),1),0)</f>
        <v>0</v>
      </c>
      <c r="BJ124" s="324" t="n">
        <f aca="false">IF(AH124,xEURO(BB124,Strike1,AE124,AE124,BF124,O124,IF(OptControl=4,0,1),2),0)</f>
        <v>0</v>
      </c>
      <c r="BK124" s="324" t="n">
        <f aca="false">IF(AH124,xEURO(BB124,Strike1,AE124,AE124,BF124,O124,IF(OptControl=4,0,1),3)/100,0)</f>
        <v>0</v>
      </c>
      <c r="BL124" s="324" t="n">
        <f aca="false">IF(AH124,xEURO(BB124,Strike1,AE124,AE124,BF124,O124-DaysForThetaCalculation,IF(OptControl=4,0,1),0)-xEURO(BB124,Strike1,AE124,AE124,BF124,O124,IF(OptControl=4,0,1),0),0)</f>
        <v>0</v>
      </c>
      <c r="BM124" s="324" t="n">
        <f aca="false">IF(AH124,xEURO(BB124,Strike2,AE124,AE124,BG124,O124,IF(OptControl=3,1,0),0),0)</f>
        <v>0</v>
      </c>
      <c r="BN124" s="324" t="n">
        <f aca="false">IF(AH124,xEURO(BB124,Strike2,AE124,AE124,BG124,O124,IF(OptControl=3,1,0),1),0)</f>
        <v>0</v>
      </c>
      <c r="BO124" s="324" t="n">
        <f aca="false">IF(AH124,xEURO(BB124,Strike2,AE124,AE124,BG124,O124,IF(OptControl=3,1,0),2),0)</f>
        <v>0</v>
      </c>
      <c r="BP124" s="324" t="n">
        <f aca="false">IF(AH124,xEURO(BB124,Strike2,AE124,AE124,BG124,O124,IF(OptControl=3,1,0),3)/100,0)</f>
        <v>0</v>
      </c>
      <c r="BQ124" s="327" t="n">
        <f aca="false">IF(AH124,xEURO(BB124,Strike2,AE124,AE124,BG124,O124-DaysForThetaCalculation,IF(OptControl=3,1,0),0)-xEURO(BB124,Strike2,AE124,AE124,BG124,O124,IF(OptControl=3,1,0),0),0)</f>
        <v>0</v>
      </c>
      <c r="BR124" s="343"/>
      <c r="BS124" s="314"/>
      <c r="BT124" s="329" t="n">
        <f aca="false">BS124*100/42</f>
        <v>0</v>
      </c>
      <c r="BU124" s="329" t="n">
        <f aca="false">BS125-$U124</f>
        <v>-26.9739130434787</v>
      </c>
      <c r="BV124" s="224"/>
      <c r="BW124" s="329" t="n">
        <f aca="false">BW112+VLOOKUP(1900+$L124,ProductSpreadTable,2)</f>
        <v>13.6265714285714</v>
      </c>
      <c r="BX124" s="329" t="n">
        <f aca="false">($V123+BW123)*100/42</f>
        <v>93.9744776962155</v>
      </c>
      <c r="BY124" s="332" t="n">
        <f aca="false">BX125</f>
        <v>96.6678201715479</v>
      </c>
      <c r="BZ124" s="314"/>
      <c r="CA124" s="329" t="n">
        <f aca="false">BZ124*100/42</f>
        <v>0</v>
      </c>
      <c r="CB124" s="329" t="n">
        <f aca="false">BZ124-$U124</f>
        <v>-26.9739130434787</v>
      </c>
      <c r="CC124" s="329" t="n">
        <f aca="false">CC112+VLOOKUP(1900+$L124,ProductSpreadTable,3)</f>
        <v>12.0685714285714</v>
      </c>
      <c r="CD124" s="329" t="n">
        <f aca="false">($V124+CC124)*100/42</f>
        <v>92.958296362024</v>
      </c>
      <c r="CE124" s="333" t="n">
        <f aca="false">CD124-BY124</f>
        <v>-3.70952380952382</v>
      </c>
      <c r="CF124" s="314"/>
      <c r="CG124" s="329" t="n">
        <f aca="false">CF124*100/42</f>
        <v>0</v>
      </c>
      <c r="CH124" s="329" t="n">
        <f aca="false">CF125-$U124</f>
        <v>-26.9739130434787</v>
      </c>
      <c r="CI124" s="224"/>
      <c r="CJ124" s="329" t="n">
        <f aca="false">CJ112+VLOOKUP(1900+$L124,ProductSpreadTable,4)</f>
        <v>11.8545714285714</v>
      </c>
      <c r="CK124" s="329" t="n">
        <f aca="false">($V123+CJ123)*100/42</f>
        <v>92.3554300771679</v>
      </c>
      <c r="CL124" s="329" t="n">
        <f aca="false">CK125</f>
        <v>92.4487725525002</v>
      </c>
      <c r="CM124" s="314"/>
      <c r="CN124" s="329" t="n">
        <f aca="false">CM124*100/42</f>
        <v>0</v>
      </c>
      <c r="CO124" s="329" t="n">
        <f aca="false">CM124-$U124</f>
        <v>-26.9739130434787</v>
      </c>
      <c r="CP124" s="329" t="n">
        <f aca="false">CP112+VLOOKUP(1900+$L124,ProductSpreadTable,5)</f>
        <v>10.7415714285714</v>
      </c>
      <c r="CQ124" s="329" t="n">
        <f aca="false">($V124+CP124)*100/42</f>
        <v>89.7987725525002</v>
      </c>
      <c r="CR124" s="333" t="n">
        <f aca="false">CQ124-CL124</f>
        <v>-2.65000000000001</v>
      </c>
      <c r="CS124" s="314"/>
      <c r="CT124" s="329" t="n">
        <f aca="false">CS124*100/42</f>
        <v>0</v>
      </c>
      <c r="CU124" s="329" t="n">
        <f aca="false">CT124-CG125</f>
        <v>0</v>
      </c>
      <c r="CV124" s="329" t="n">
        <f aca="false">CV112+VLOOKUP(1900+$L124,ProductSpreadTable,6)</f>
        <v>1.95000000000001</v>
      </c>
      <c r="CW124" s="333" t="n">
        <f aca="false">CL124+CV124</f>
        <v>94.3987725525002</v>
      </c>
      <c r="CX124" s="318"/>
      <c r="CY124" s="326" t="n">
        <f aca="false">CX124-$W124</f>
        <v>-0.170099999999999</v>
      </c>
      <c r="CZ124" s="326" t="n">
        <f aca="false">VLOOKUP(1900+$L124,ProductSpreadTable,7)</f>
        <v>-0.03</v>
      </c>
      <c r="DA124" s="365" t="n">
        <f aca="false">$W124+CZ124</f>
        <v>0.140099999999999</v>
      </c>
      <c r="DB124" s="318"/>
      <c r="DC124" s="326" t="n">
        <f aca="false">DB124-$W124</f>
        <v>-0.170099999999999</v>
      </c>
      <c r="DD124" s="326" t="n">
        <f aca="false">VLOOKUP(1900+$L124,ProductSpreadTable,8)</f>
        <v>0.03</v>
      </c>
      <c r="DE124" s="365" t="n">
        <f aca="false">$W124+DD124</f>
        <v>0.200099999999999</v>
      </c>
      <c r="DG124" s="336"/>
      <c r="DH124" s="314"/>
      <c r="DI124" s="325" t="n">
        <f aca="false">DH124-$U124</f>
        <v>-26.9739130434787</v>
      </c>
      <c r="DJ124" s="325" t="n">
        <f aca="false">VLOOKUP(1900+$L124,ResidSpreadTable,2)</f>
        <v>-2</v>
      </c>
      <c r="DK124" s="337" t="n">
        <f aca="false">$V124+DJ124</f>
        <v>24.9739130434787</v>
      </c>
      <c r="DL124" s="314"/>
      <c r="DM124" s="325" t="n">
        <f aca="false">DL124-$U124</f>
        <v>-26.9739130434787</v>
      </c>
      <c r="DN124" s="325" t="n">
        <f aca="false">VLOOKUP(1900+$L124,ResidSpreadTable,3)</f>
        <v>-3</v>
      </c>
      <c r="DO124" s="337" t="n">
        <f aca="false">$V124+DN124</f>
        <v>23.9739130434787</v>
      </c>
      <c r="DP124" s="314"/>
      <c r="DQ124" s="325" t="n">
        <f aca="false">DP124-$U124</f>
        <v>-26.9739130434787</v>
      </c>
      <c r="DR124" s="325" t="n">
        <f aca="false">VLOOKUP(1900+$L124,ResidSpreadTable,4)</f>
        <v>-6</v>
      </c>
      <c r="DS124" s="337" t="n">
        <f aca="false">$V124+DR124</f>
        <v>20.9739130434787</v>
      </c>
      <c r="DT124" s="314"/>
      <c r="DU124" s="325" t="n">
        <f aca="false">DT124-$U124</f>
        <v>-26.9739130434787</v>
      </c>
      <c r="DV124" s="325" t="n">
        <f aca="false">VLOOKUP(1900+$L124,ResidSpreadTable,5)</f>
        <v>-5</v>
      </c>
      <c r="DW124" s="337" t="n">
        <f aca="false">$V124+DV124</f>
        <v>21.9739130434787</v>
      </c>
    </row>
    <row r="125" customFormat="false" ht="12.75" hidden="false" customHeight="false" outlineLevel="0" collapsed="false">
      <c r="B125" s="371" t="n">
        <v>39356</v>
      </c>
      <c r="C125" s="391" t="n">
        <v>39345</v>
      </c>
      <c r="I125" s="338" t="n">
        <f aca="false">EOMONTH(I124,0)+1</f>
        <v>49553</v>
      </c>
      <c r="J125" s="389" t="n">
        <f aca="false">VLOOKUP(I125,$B$12:$C$332,2)</f>
        <v>45644</v>
      </c>
      <c r="K125" s="339" t="n">
        <f aca="false">NETWORKDAYS(I125,J126)/N125</f>
        <v>-139.65</v>
      </c>
      <c r="L125" s="309" t="n">
        <f aca="false">YEAR(I125)-1900</f>
        <v>135</v>
      </c>
      <c r="M125" s="310" t="n">
        <f aca="false">MONTH(I125)</f>
        <v>9</v>
      </c>
      <c r="N125" s="340" t="n">
        <f aca="false">NETWORKDAYS(I125,I126-1)</f>
        <v>20</v>
      </c>
      <c r="O125" s="341" t="n">
        <f aca="false">I125-DateToday-IF(EuroExpDateToggle=1,3+IF(WEEKDAY(I125-1)=7,1,IF(WEEKDAY(I125-1)&lt;5,2,0)),1+IF(WEEKDAY(I125-1)=7,1,IF(WEEKDAY(I125-1)&lt;3,2,0)))</f>
        <v>3624</v>
      </c>
      <c r="P125" s="342" t="n">
        <f aca="false">(I125-DateToday+1)/365.25</f>
        <v>9.93292265571526</v>
      </c>
      <c r="Q125" s="342" t="n">
        <f aca="false">(I126-DateToday)/365.25</f>
        <v>10.0123203285421</v>
      </c>
      <c r="R125" s="314" t="n">
        <v>20.9</v>
      </c>
      <c r="S125" s="347" t="n">
        <v>0</v>
      </c>
      <c r="T125" s="316" t="n">
        <f aca="false">R125+S125/100</f>
        <v>20.9</v>
      </c>
      <c r="U125" s="325" t="n">
        <f aca="false">R126*K125+R127*(1-K125)</f>
        <v>27.9825000000001</v>
      </c>
      <c r="V125" s="337" t="n">
        <f aca="false">T126*K125+T127*(1-K125)</f>
        <v>27.9825000000001</v>
      </c>
      <c r="W125" s="318" t="n">
        <v>0.169699999999999</v>
      </c>
      <c r="X125" s="319" t="str">
        <f aca="false">IF($I125-DateToday+1&gt;=$A$10,"",IF($I125-DateToday+1&lt;$A$5,1,MATCH($I125-DateToday+1,$A$5:$A$10)))</f>
        <v/>
      </c>
      <c r="Y125" s="348" t="n">
        <f aca="false">IF($X125="",Y124^2/Y123,INDEX(B$5:B$10,$X125)^((INDEX($A$5:$A$10,$X125+1)-($I125-DateToday+1))/(INDEX($A$5:$A$10,$X125+1)-INDEX($A$5:$A$10,$X125)))/INDEX(B$5:B$10,$X125+1)^((INDEX($A$5:$A$10,$X125)-($I125-DateToday+1))/(INDEX($A$5:$A$10,$X125+1)-INDEX($A$5:$A$10,$X125))))</f>
        <v>0.00116711973256884</v>
      </c>
      <c r="Z125" s="348" t="n">
        <f aca="false">IF($X125="",Z124^2/Z123,INDEX(C$5:C$10,$X125)^((INDEX($A$5:$A$10,$X125+1)-($I125-DateToday+1))/(INDEX($A$5:$A$10,$X125+1)-INDEX($A$5:$A$10,$X125)))/INDEX(C$5:C$10,$X125+1)^((INDEX($A$5:$A$10,$X125)-($I125-DateToday+1))/(INDEX($A$5:$A$10,$X125+1)-INDEX($A$5:$A$10,$X125))))</f>
        <v>0.000379342586505156</v>
      </c>
      <c r="AA125" s="348" t="n">
        <f aca="false">IF($X125="",AA124^2/AA123,INDEX(D$5:D$10,$X125)^((INDEX($A$5:$A$10,$X125+1)-($I125-DateToday+1))/(INDEX($A$5:$A$10,$X125+1)-INDEX($A$5:$A$10,$X125)))/INDEX(D$5:D$10,$X125+1)^((INDEX($A$5:$A$10,$X125)-($I125-DateToday+1))/(INDEX($A$5:$A$10,$X125+1)-INDEX($A$5:$A$10,$X125))))</f>
        <v>0.000131302090913918</v>
      </c>
      <c r="AB125" s="348" t="n">
        <f aca="false">IF($X125="",AB124^2/AB123,INDEX(E$5:E$10,$X125)^((INDEX($A$5:$A$10,$X125+1)-($I125-DateToday+1))/(INDEX($A$5:$A$10,$X125+1)-INDEX($A$5:$A$10,$X125)))/INDEX(E$5:E$10,$X125+1)^((INDEX($A$5:$A$10,$X125)-($I125-DateToday+1))/(INDEX($A$5:$A$10,$X125+1)-INDEX($A$5:$A$10,$X125))))</f>
        <v>0.000295797350410884</v>
      </c>
      <c r="AC125" s="348" t="n">
        <f aca="false">IF($X125="",AC124^2/AC123,INDEX(F$5:F$10,$X125)^((INDEX($A$5:$A$10,$X125+1)-($I125-DateToday+1))/(INDEX($A$5:$A$10,$X125+1)-INDEX($A$5:$A$10,$X125)))/INDEX(F$5:F$10,$X125+1)^((INDEX($A$5:$A$10,$X125)-($I125-DateToday+1))/(INDEX($A$5:$A$10,$X125+1)-INDEX($A$5:$A$10,$X125))))</f>
        <v>0.00085458297887881</v>
      </c>
      <c r="AD125" s="348" t="n">
        <f aca="false">IF($X125="",AD124^2/AD123,INDEX(G$5:G$10,$X125)^((INDEX($A$5:$A$10,$X125+1)-($I125-DateToday+1))/(INDEX($A$5:$A$10,$X125+1)-INDEX($A$5:$A$10,$X125)))/INDEX(G$5:G$10,$X125+1)^((INDEX($A$5:$A$10,$X125)-($I125-DateToday+1))/(INDEX($A$5:$A$10,$X125+1)-INDEX($A$5:$A$10,$X125))))</f>
        <v>0.00262928733353089</v>
      </c>
      <c r="AE125" s="321" t="n">
        <v>0.073772357130319</v>
      </c>
      <c r="AF125" s="316" t="n">
        <f aca="false">(1+AE125/2)^(-2*(I126-DateToday)/365.25)</f>
        <v>0.484161961865413</v>
      </c>
      <c r="AG125" s="316" t="n">
        <f aca="false">AG124*(1+IF(AND(M125=1,L125&gt;YearStart),Escalation,0))</f>
        <v>1</v>
      </c>
      <c r="AH125" s="322" t="n">
        <f aca="false">IF(OR(DateStart&gt;=I126,DateEnd&lt;I125),0,Volume*AG125)</f>
        <v>0</v>
      </c>
      <c r="AI125" s="322" t="n">
        <f aca="false">AH125*AF125</f>
        <v>0</v>
      </c>
      <c r="AJ125" s="322" t="n">
        <f aca="false">IF(OR(DateStart2&gt;=I126,DateEnd2&lt;I125),0,VolumeSwaption*AG125)</f>
        <v>0</v>
      </c>
      <c r="AK125" s="322" t="n">
        <f aca="false">AJ125*AF125</f>
        <v>0</v>
      </c>
      <c r="AL125" s="316" t="str">
        <f aca="true">IF(AH125,OFFSET(BY125,0,HorizontalPriceOffset)+PriceSpreadAsian,"")</f>
        <v/>
      </c>
      <c r="AM125" s="316" t="str">
        <f aca="false">IF(AH125,Strike1/AL125-1,"")</f>
        <v/>
      </c>
      <c r="AN125" s="316" t="str">
        <f aca="false">IF(AH125,Strike2/AL125-1,"")</f>
        <v/>
      </c>
      <c r="AO125" s="323" t="str">
        <f aca="false">IF(AH125,IF(VolOverrideAsian,VolOverrideAsian,IF(ProductGroup=1,IF(Product&lt;3,DA126,DE126),W126)+VolSpreadAsian),"")</f>
        <v/>
      </c>
      <c r="AP125" s="323" t="str">
        <f aca="false">IF($AH125,$AO125+IF(SkewFlag=1,IF(AM125&gt;0,$AA125*MIN(AM125/10%,1)+($Z125-$AA125)*MAX(0,MIN(AM125/10%-1,1))+($Y125-$Z125)*MAX(0,AM125/10%-2),$AB125*MIN(-AM125/10%,1)+($AC125-$AB125)*MAX(0,MIN(-AM125/10%-1,1))+($AD125-$AC125)*MAX(0,-AM125/10%-2)),0),"")</f>
        <v/>
      </c>
      <c r="AQ125" s="323" t="str">
        <f aca="false">IF($AH125,$AO125+IF(SkewFlag=1,IF(AN125&gt;0,$AA125*MIN(AN125/10%,1)+($Z125-$AA125)*MAX(0,MIN(AN125/10%-1,1))+($Y125-$Z125)*MAX(0,AN125/10%-2),$AB125*MIN(-AN125/10%,1)+($AC125-$AB125)*MAX(0,MIN(-AN125/10%-1,1))+($AD125-$AC125)*MAX(0,-AN125/10%-2)),0),"")</f>
        <v/>
      </c>
      <c r="AR125" s="324" t="n">
        <f aca="false">IF(AH125,xASN(AL125,Strike1,AE125,AP125,0,N125,0,P125,Q125,IF(OptControl=4,0,1),0),0)</f>
        <v>0</v>
      </c>
      <c r="AS125" s="324" t="n">
        <f aca="false">IF(AH125,xASN(AL125,Strike1,AE125,AP125,0,N125,0,P125,Q125,IF(OptControl=4,0,1),1),0)</f>
        <v>0</v>
      </c>
      <c r="AT125" s="324" t="n">
        <f aca="false">IF(AH125,xASN(AL125,Strike1,AE125,AP125,0,N125,0,P125,Q125,IF(OptControl=4,0,1),2),0)</f>
        <v>0</v>
      </c>
      <c r="AU125" s="324" t="n">
        <f aca="false">IF(AH125,xASN(AL125,Strike1,AE125,AP125,0,N125,0,P125,Q125,IF(OptControl=4,0,1),3)/100,0)</f>
        <v>0</v>
      </c>
      <c r="AV125" s="324" t="n">
        <f aca="false">IF(AH125,xASN(AL125,Strike1,AE125,AP125,0,N125,0,P125-DaysForThetaCalculation/365.25,Q125-DaysForThetaCalculation/365.25,IF(OptControl=4,0,1),0)-xASN(AL125,Strike1,AE125,AP125,0,N125,0,P125,Q125,IF(OptControl=4,0,1),0),0)</f>
        <v>0</v>
      </c>
      <c r="AW125" s="324" t="n">
        <f aca="false">IF(AH125,xASN(AL125,Strike2,AE125,AQ125,0,N125,0,P125,Q125,IF(OptControl=3,1,0),0),0)</f>
        <v>0</v>
      </c>
      <c r="AX125" s="324" t="n">
        <f aca="false">IF(AH125,xASN(AL125,Strike2,AE125,AQ125,0,N125,0,P125,Q125,IF(OptControl=3,1,0),1),0)</f>
        <v>0</v>
      </c>
      <c r="AY125" s="324" t="n">
        <f aca="false">IF(AH125,xASN(AL125,Strike2,AE125,AQ125,0,N125,0,P125,Q125,IF(OptControl=3,1,0),2),0)</f>
        <v>0</v>
      </c>
      <c r="AZ125" s="324" t="n">
        <f aca="false">IF(AH125,xASN(AL125,Strike2,AE125,AQ125,0,N125,0,P125,Q125,IF(OptControl=3,1,0),3)/100,0)</f>
        <v>0</v>
      </c>
      <c r="BA125" s="324" t="n">
        <f aca="false">IF(AH125,xASN(AL125,Strike2,AE125,AQ125,0,N125,0,P125-DaysForThetaCalculation/365.25,Q125-DaysForThetaCalculation/365.25,IF(OptControl=3,1,0),0)-xASN(AL125,Strike2,AE125,AQ125,0,N125,0,P125,Q125,IF(OptControl=3,1,0),0),0)</f>
        <v>0</v>
      </c>
      <c r="BB125" s="325" t="str">
        <f aca="false">IF(AH125,IF(ProductGroup=1,IF(Product=1,BX125+PriceSpreadEuro,IF(Product=3,CK125+PriceSpreadEuro,"N/A")),"N/A"),"")</f>
        <v/>
      </c>
      <c r="BC125" s="316" t="str">
        <f aca="false">IF(AH125,Strike1/BB125-1,"")</f>
        <v/>
      </c>
      <c r="BD125" s="316" t="str">
        <f aca="false">IF(AH125,Strike2/BB125-1,"")</f>
        <v/>
      </c>
      <c r="BE125" s="326" t="str">
        <f aca="false">IF(AH125,IF(VolOverrideEuro,VolOverrideEuro,IF(ProductGroup=1,IF(Product&lt;3,DA125,DE125)+VolSpreadEuro,"N/A")),"")</f>
        <v/>
      </c>
      <c r="BF125" s="323" t="str">
        <f aca="false">IF($AH125,$BE125+IF(SkewFlag=1,IF(BC125&gt;0,$AA125*MIN(BC125/10%,1)+($Z125-$AA125)*MAX(0,MIN(BC125/10%-1,1))+($Y125-$Z125)*MAX(0,BC125/10%-2),$AB125*MIN(-BC125/10%,1)+($AC125-$AB125)*MAX(0,MIN(-BC125/10%-1,1))+($AD125-$AC125)*MAX(0,-BC125/10%-2)),0),"")</f>
        <v/>
      </c>
      <c r="BG125" s="323" t="str">
        <f aca="false">IF($AH125,$BE125+IF(SkewFlag=1,IF(BD125&gt;0,$AA125*MIN(BD125/10%,1)+($Z125-$AA125)*MAX(0,MIN(BD125/10%-1,1))+($Y125-$Z125)*MAX(0,BD125/10%-2),$AB125*MIN(-BD125/10%,1)+($AC125-$AB125)*MAX(0,MIN(-BD125/10%-1,1))+($AD125-$AC125)*MAX(0,-BD125/10%-2)),0),"")</f>
        <v/>
      </c>
      <c r="BH125" s="324" t="n">
        <f aca="false">IF(AH125,xEURO(BB125,Strike1,AE125,AE125,BF125,O125,IF(OptControl=4,0,1),0),0)</f>
        <v>0</v>
      </c>
      <c r="BI125" s="324" t="n">
        <f aca="false">IF(AH125,xEURO(BB125,Strike1,AE125,AE125,BF125,O125,IF(OptControl=4,0,1),1),0)</f>
        <v>0</v>
      </c>
      <c r="BJ125" s="324" t="n">
        <f aca="false">IF(AH125,xEURO(BB125,Strike1,AE125,AE125,BF125,O125,IF(OptControl=4,0,1),2),0)</f>
        <v>0</v>
      </c>
      <c r="BK125" s="324" t="n">
        <f aca="false">IF(AH125,xEURO(BB125,Strike1,AE125,AE125,BF125,O125,IF(OptControl=4,0,1),3)/100,0)</f>
        <v>0</v>
      </c>
      <c r="BL125" s="324" t="n">
        <f aca="false">IF(AH125,xEURO(BB125,Strike1,AE125,AE125,BF125,O125-DaysForThetaCalculation,IF(OptControl=4,0,1),0)-xEURO(BB125,Strike1,AE125,AE125,BF125,O125,IF(OptControl=4,0,1),0),0)</f>
        <v>0</v>
      </c>
      <c r="BM125" s="324" t="n">
        <f aca="false">IF(AH125,xEURO(BB125,Strike2,AE125,AE125,BG125,O125,IF(OptControl=3,1,0),0),0)</f>
        <v>0</v>
      </c>
      <c r="BN125" s="324" t="n">
        <f aca="false">IF(AH125,xEURO(BB125,Strike2,AE125,AE125,BG125,O125,IF(OptControl=3,1,0),1),0)</f>
        <v>0</v>
      </c>
      <c r="BO125" s="324" t="n">
        <f aca="false">IF(AH125,xEURO(BB125,Strike2,AE125,AE125,BG125,O125,IF(OptControl=3,1,0),2),0)</f>
        <v>0</v>
      </c>
      <c r="BP125" s="324" t="n">
        <f aca="false">IF(AH125,xEURO(BB125,Strike2,AE125,AE125,BG125,O125,IF(OptControl=3,1,0),3)/100,0)</f>
        <v>0</v>
      </c>
      <c r="BQ125" s="327" t="n">
        <f aca="false">IF(AH125,xEURO(BB125,Strike2,AE125,AE125,BG125,O125-DaysForThetaCalculation,IF(OptControl=3,1,0),0)-xEURO(BB125,Strike2,AE125,AE125,BG125,O125,IF(OptControl=3,1,0),0),0)</f>
        <v>0</v>
      </c>
      <c r="BR125" s="343"/>
      <c r="BS125" s="314"/>
      <c r="BT125" s="329" t="n">
        <f aca="false">BS125*100/42</f>
        <v>0</v>
      </c>
      <c r="BU125" s="329" t="n">
        <f aca="false">BS126-$U125</f>
        <v>-27.9825000000001</v>
      </c>
      <c r="BV125" s="224"/>
      <c r="BW125" s="329" t="n">
        <f aca="false">BW113+VLOOKUP(1900+$L125,ProductSpreadTable,2)</f>
        <v>11.692</v>
      </c>
      <c r="BX125" s="329" t="n">
        <f aca="false">($V124+BW124)*100/42</f>
        <v>96.6678201715479</v>
      </c>
      <c r="BY125" s="332" t="n">
        <f aca="false">BX126</f>
        <v>94.4630952380954</v>
      </c>
      <c r="BZ125" s="314"/>
      <c r="CA125" s="329" t="n">
        <f aca="false">BZ125*100/42</f>
        <v>0</v>
      </c>
      <c r="CB125" s="329" t="n">
        <f aca="false">BZ125-$U125</f>
        <v>-27.9825000000001</v>
      </c>
      <c r="CC125" s="329" t="n">
        <f aca="false">CC113+VLOOKUP(1900+$L125,ProductSpreadTable,3)</f>
        <v>14.043</v>
      </c>
      <c r="CD125" s="329" t="n">
        <f aca="false">($V125+CC125)*100/42</f>
        <v>100.060714285714</v>
      </c>
      <c r="CE125" s="333" t="n">
        <f aca="false">CD125-BY125</f>
        <v>5.59761904761896</v>
      </c>
      <c r="CF125" s="314"/>
      <c r="CG125" s="329" t="n">
        <f aca="false">CF125*100/42</f>
        <v>0</v>
      </c>
      <c r="CH125" s="329" t="n">
        <f aca="false">CF126-$U125</f>
        <v>-27.9825000000001</v>
      </c>
      <c r="CI125" s="224"/>
      <c r="CJ125" s="329" t="n">
        <f aca="false">CJ113+VLOOKUP(1900+$L125,ProductSpreadTable,4)</f>
        <v>11.024</v>
      </c>
      <c r="CK125" s="329" t="n">
        <f aca="false">($V124+CJ124)*100/42</f>
        <v>92.4487725525002</v>
      </c>
      <c r="CL125" s="329" t="n">
        <f aca="false">CK126</f>
        <v>92.8726190476191</v>
      </c>
      <c r="CM125" s="314"/>
      <c r="CN125" s="329" t="n">
        <f aca="false">CM125*100/42</f>
        <v>0</v>
      </c>
      <c r="CO125" s="329" t="n">
        <f aca="false">CM125-$U125</f>
        <v>-27.9825000000001</v>
      </c>
      <c r="CP125" s="329" t="n">
        <f aca="false">CP113+VLOOKUP(1900+$L125,ProductSpreadTable,5)</f>
        <v>9.91099999999997</v>
      </c>
      <c r="CQ125" s="329" t="n">
        <f aca="false">($V125+CP125)*100/42</f>
        <v>90.2226190476192</v>
      </c>
      <c r="CR125" s="333" t="n">
        <f aca="false">CQ125-CL125</f>
        <v>-2.64999999999999</v>
      </c>
      <c r="CS125" s="314"/>
      <c r="CT125" s="329" t="n">
        <f aca="false">CS125*100/42</f>
        <v>0</v>
      </c>
      <c r="CU125" s="329" t="n">
        <f aca="false">CT125-CG126</f>
        <v>0</v>
      </c>
      <c r="CV125" s="329" t="n">
        <f aca="false">CV113+VLOOKUP(1900+$L125,ProductSpreadTable,6)</f>
        <v>1.94999999999999</v>
      </c>
      <c r="CW125" s="333" t="n">
        <f aca="false">CL125+CV125</f>
        <v>94.8226190476191</v>
      </c>
      <c r="CX125" s="318"/>
      <c r="CY125" s="326" t="n">
        <f aca="false">CX125-$W125</f>
        <v>-0.169699999999999</v>
      </c>
      <c r="CZ125" s="326" t="n">
        <f aca="false">VLOOKUP(1900+$L125,ProductSpreadTable,7)</f>
        <v>-0.03</v>
      </c>
      <c r="DA125" s="365" t="n">
        <f aca="false">$W125+CZ125</f>
        <v>0.139699999999999</v>
      </c>
      <c r="DB125" s="318"/>
      <c r="DC125" s="326" t="n">
        <f aca="false">DB125-$W125</f>
        <v>-0.169699999999999</v>
      </c>
      <c r="DD125" s="326" t="n">
        <f aca="false">VLOOKUP(1900+$L125,ProductSpreadTable,8)</f>
        <v>0.03</v>
      </c>
      <c r="DE125" s="365" t="n">
        <f aca="false">$W125+DD125</f>
        <v>0.199699999999999</v>
      </c>
      <c r="DG125" s="336"/>
      <c r="DH125" s="314"/>
      <c r="DI125" s="325" t="n">
        <f aca="false">DH125-$U125</f>
        <v>-27.9825000000001</v>
      </c>
      <c r="DJ125" s="325" t="n">
        <f aca="false">VLOOKUP(1900+$L125,ResidSpreadTable,2)</f>
        <v>-2</v>
      </c>
      <c r="DK125" s="337" t="n">
        <f aca="false">$V125+DJ125</f>
        <v>25.9825000000001</v>
      </c>
      <c r="DL125" s="314"/>
      <c r="DM125" s="325" t="n">
        <f aca="false">DL125-$U125</f>
        <v>-27.9825000000001</v>
      </c>
      <c r="DN125" s="325" t="n">
        <f aca="false">VLOOKUP(1900+$L125,ResidSpreadTable,3)</f>
        <v>-3</v>
      </c>
      <c r="DO125" s="337" t="n">
        <f aca="false">$V125+DN125</f>
        <v>24.9825000000001</v>
      </c>
      <c r="DP125" s="314"/>
      <c r="DQ125" s="325" t="n">
        <f aca="false">DP125-$U125</f>
        <v>-27.9825000000001</v>
      </c>
      <c r="DR125" s="325" t="n">
        <f aca="false">VLOOKUP(1900+$L125,ResidSpreadTable,4)</f>
        <v>-6</v>
      </c>
      <c r="DS125" s="337" t="n">
        <f aca="false">$V125+DR125</f>
        <v>21.9825000000001</v>
      </c>
      <c r="DT125" s="314"/>
      <c r="DU125" s="325" t="n">
        <f aca="false">DT125-$U125</f>
        <v>-27.9825000000001</v>
      </c>
      <c r="DV125" s="325" t="n">
        <f aca="false">VLOOKUP(1900+$L125,ResidSpreadTable,5)</f>
        <v>-5</v>
      </c>
      <c r="DW125" s="337" t="n">
        <f aca="false">$V125+DV125</f>
        <v>22.9825000000001</v>
      </c>
    </row>
    <row r="126" customFormat="false" ht="12.75" hidden="false" customHeight="false" outlineLevel="0" collapsed="false">
      <c r="B126" s="371" t="n">
        <v>39387</v>
      </c>
      <c r="C126" s="391" t="n">
        <v>39377</v>
      </c>
      <c r="I126" s="338" t="n">
        <f aca="false">EOMONTH(I125,0)+1</f>
        <v>49583</v>
      </c>
      <c r="J126" s="389" t="n">
        <f aca="false">VLOOKUP(I126,$B$12:$C$332,2)</f>
        <v>45644</v>
      </c>
      <c r="K126" s="339" t="n">
        <f aca="false">NETWORKDAYS(I126,J127)/N126</f>
        <v>-122.347826086957</v>
      </c>
      <c r="L126" s="309" t="n">
        <f aca="false">YEAR(I126)-1900</f>
        <v>135</v>
      </c>
      <c r="M126" s="310" t="n">
        <f aca="false">MONTH(I126)</f>
        <v>10</v>
      </c>
      <c r="N126" s="340" t="n">
        <f aca="false">NETWORKDAYS(I126,I127-1)</f>
        <v>23</v>
      </c>
      <c r="O126" s="341" t="n">
        <f aca="false">I126-DateToday-IF(EuroExpDateToggle=1,3+IF(WEEKDAY(I126-1)=7,1,IF(WEEKDAY(I126-1)&lt;5,2,0)),1+IF(WEEKDAY(I126-1)=7,1,IF(WEEKDAY(I126-1)&lt;3,2,0)))</f>
        <v>3652</v>
      </c>
      <c r="P126" s="342" t="n">
        <f aca="false">(I126-DateToday+1)/365.25</f>
        <v>10.0150581793292</v>
      </c>
      <c r="Q126" s="342" t="n">
        <f aca="false">(I127-DateToday)/365.25</f>
        <v>10.0971937029432</v>
      </c>
      <c r="R126" s="314" t="n">
        <v>20.95</v>
      </c>
      <c r="S126" s="347" t="n">
        <v>0</v>
      </c>
      <c r="T126" s="316" t="n">
        <f aca="false">R126+S126/100</f>
        <v>20.95</v>
      </c>
      <c r="U126" s="325" t="n">
        <f aca="false">R127*K126+R128*(1-K126)</f>
        <v>27.1673913043478</v>
      </c>
      <c r="V126" s="337" t="n">
        <f aca="false">T127*K126+T128*(1-K126)</f>
        <v>27.1673913043478</v>
      </c>
      <c r="W126" s="318" t="n">
        <v>0.169299999999999</v>
      </c>
      <c r="X126" s="319" t="str">
        <f aca="false">IF($I126-DateToday+1&gt;=$A$10,"",IF($I126-DateToday+1&lt;$A$5,1,MATCH($I126-DateToday+1,$A$5:$A$10)))</f>
        <v/>
      </c>
      <c r="Y126" s="348" t="n">
        <f aca="false">IF($X126="",Y125^2/Y124,INDEX(B$5:B$10,$X126)^((INDEX($A$5:$A$10,$X126+1)-($I126-DateToday+1))/(INDEX($A$5:$A$10,$X126+1)-INDEX($A$5:$A$10,$X126)))/INDEX(B$5:B$10,$X126+1)^((INDEX($A$5:$A$10,$X126)-($I126-DateToday+1))/(INDEX($A$5:$A$10,$X126+1)-INDEX($A$5:$A$10,$X126))))</f>
        <v>0.00114213347419878</v>
      </c>
      <c r="Z126" s="348" t="n">
        <f aca="false">IF($X126="",Z125^2/Z124,INDEX(C$5:C$10,$X126)^((INDEX($A$5:$A$10,$X126+1)-($I126-DateToday+1))/(INDEX($A$5:$A$10,$X126+1)-INDEX($A$5:$A$10,$X126)))/INDEX(C$5:C$10,$X126+1)^((INDEX($A$5:$A$10,$X126)-($I126-DateToday+1))/(INDEX($A$5:$A$10,$X126+1)-INDEX($A$5:$A$10,$X126))))</f>
        <v>0.000369233899815908</v>
      </c>
      <c r="AA126" s="348" t="n">
        <f aca="false">IF($X126="",AA125^2/AA124,INDEX(D$5:D$10,$X126)^((INDEX($A$5:$A$10,$X126+1)-($I126-DateToday+1))/(INDEX($A$5:$A$10,$X126+1)-INDEX($A$5:$A$10,$X126)))/INDEX(D$5:D$10,$X126+1)^((INDEX($A$5:$A$10,$X126)-($I126-DateToday+1))/(INDEX($A$5:$A$10,$X126+1)-INDEX($A$5:$A$10,$X126))))</f>
        <v>0.000127460448477885</v>
      </c>
      <c r="AB126" s="348" t="n">
        <f aca="false">IF($X126="",AB125^2/AB124,INDEX(E$5:E$10,$X126)^((INDEX($A$5:$A$10,$X126+1)-($I126-DateToday+1))/(INDEX($A$5:$A$10,$X126+1)-INDEX($A$5:$A$10,$X126)))/INDEX(E$5:E$10,$X126+1)^((INDEX($A$5:$A$10,$X126)-($I126-DateToday+1))/(INDEX($A$5:$A$10,$X126+1)-INDEX($A$5:$A$10,$X126))))</f>
        <v>0.000287142898330988</v>
      </c>
      <c r="AC126" s="348" t="n">
        <f aca="false">IF($X126="",AC125^2/AC124,INDEX(F$5:F$10,$X126)^((INDEX($A$5:$A$10,$X126+1)-($I126-DateToday+1))/(INDEX($A$5:$A$10,$X126+1)-INDEX($A$5:$A$10,$X126)))/INDEX(F$5:F$10,$X126+1)^((INDEX($A$5:$A$10,$X126)-($I126-DateToday+1))/(INDEX($A$5:$A$10,$X126+1)-INDEX($A$5:$A$10,$X126))))</f>
        <v>0.000831810129505272</v>
      </c>
      <c r="AD126" s="348" t="n">
        <f aca="false">IF($X126="",AD125^2/AD124,INDEX(G$5:G$10,$X126)^((INDEX($A$5:$A$10,$X126+1)-($I126-DateToday+1))/(INDEX($A$5:$A$10,$X126+1)-INDEX($A$5:$A$10,$X126)))/INDEX(G$5:G$10,$X126+1)^((INDEX($A$5:$A$10,$X126)-($I126-DateToday+1))/(INDEX($A$5:$A$10,$X126+1)-INDEX($A$5:$A$10,$X126))))</f>
        <v>0.00257299829067482</v>
      </c>
      <c r="AE126" s="321" t="n">
        <v>0.073776220868782</v>
      </c>
      <c r="AF126" s="316" t="n">
        <f aca="false">(1+AE126/2)^(-2*(I127-DateToday)/365.25)</f>
        <v>0.481176074929905</v>
      </c>
      <c r="AG126" s="316" t="n">
        <f aca="false">AG125*(1+IF(AND(M126=1,L126&gt;YearStart),Escalation,0))</f>
        <v>1</v>
      </c>
      <c r="AH126" s="322" t="n">
        <f aca="false">IF(OR(DateStart&gt;=I127,DateEnd&lt;I126),0,Volume*AG126)</f>
        <v>0</v>
      </c>
      <c r="AI126" s="322" t="n">
        <f aca="false">AH126*AF126</f>
        <v>0</v>
      </c>
      <c r="AJ126" s="322" t="n">
        <f aca="false">IF(OR(DateStart2&gt;=I127,DateEnd2&lt;I126),0,VolumeSwaption*AG126)</f>
        <v>0</v>
      </c>
      <c r="AK126" s="322" t="n">
        <f aca="false">AJ126*AF126</f>
        <v>0</v>
      </c>
      <c r="AL126" s="316" t="str">
        <f aca="true">IF(AH126,OFFSET(BY126,0,HorizontalPriceOffset)+PriceSpreadAsian,"")</f>
        <v/>
      </c>
      <c r="AM126" s="316" t="str">
        <f aca="false">IF(AH126,Strike1/AL126-1,"")</f>
        <v/>
      </c>
      <c r="AN126" s="316" t="str">
        <f aca="false">IF(AH126,Strike2/AL126-1,"")</f>
        <v/>
      </c>
      <c r="AO126" s="323" t="str">
        <f aca="false">IF(AH126,IF(VolOverrideAsian,VolOverrideAsian,IF(ProductGroup=1,IF(Product&lt;3,DA127,DE127),W127)+VolSpreadAsian),"")</f>
        <v/>
      </c>
      <c r="AP126" s="323" t="str">
        <f aca="false">IF($AH126,$AO126+IF(SkewFlag=1,IF(AM126&gt;0,$AA126*MIN(AM126/10%,1)+($Z126-$AA126)*MAX(0,MIN(AM126/10%-1,1))+($Y126-$Z126)*MAX(0,AM126/10%-2),$AB126*MIN(-AM126/10%,1)+($AC126-$AB126)*MAX(0,MIN(-AM126/10%-1,1))+($AD126-$AC126)*MAX(0,-AM126/10%-2)),0),"")</f>
        <v/>
      </c>
      <c r="AQ126" s="323" t="str">
        <f aca="false">IF($AH126,$AO126+IF(SkewFlag=1,IF(AN126&gt;0,$AA126*MIN(AN126/10%,1)+($Z126-$AA126)*MAX(0,MIN(AN126/10%-1,1))+($Y126-$Z126)*MAX(0,AN126/10%-2),$AB126*MIN(-AN126/10%,1)+($AC126-$AB126)*MAX(0,MIN(-AN126/10%-1,1))+($AD126-$AC126)*MAX(0,-AN126/10%-2)),0),"")</f>
        <v/>
      </c>
      <c r="AR126" s="324" t="n">
        <f aca="false">IF(AH126,xASN(AL126,Strike1,AE126,AP126,0,N126,0,P126,Q126,IF(OptControl=4,0,1),0),0)</f>
        <v>0</v>
      </c>
      <c r="AS126" s="324" t="n">
        <f aca="false">IF(AH126,xASN(AL126,Strike1,AE126,AP126,0,N126,0,P126,Q126,IF(OptControl=4,0,1),1),0)</f>
        <v>0</v>
      </c>
      <c r="AT126" s="324" t="n">
        <f aca="false">IF(AH126,xASN(AL126,Strike1,AE126,AP126,0,N126,0,P126,Q126,IF(OptControl=4,0,1),2),0)</f>
        <v>0</v>
      </c>
      <c r="AU126" s="324" t="n">
        <f aca="false">IF(AH126,xASN(AL126,Strike1,AE126,AP126,0,N126,0,P126,Q126,IF(OptControl=4,0,1),3)/100,0)</f>
        <v>0</v>
      </c>
      <c r="AV126" s="324" t="n">
        <f aca="false">IF(AH126,xASN(AL126,Strike1,AE126,AP126,0,N126,0,P126-DaysForThetaCalculation/365.25,Q126-DaysForThetaCalculation/365.25,IF(OptControl=4,0,1),0)-xASN(AL126,Strike1,AE126,AP126,0,N126,0,P126,Q126,IF(OptControl=4,0,1),0),0)</f>
        <v>0</v>
      </c>
      <c r="AW126" s="324" t="n">
        <f aca="false">IF(AH126,xASN(AL126,Strike2,AE126,AQ126,0,N126,0,P126,Q126,IF(OptControl=3,1,0),0),0)</f>
        <v>0</v>
      </c>
      <c r="AX126" s="324" t="n">
        <f aca="false">IF(AH126,xASN(AL126,Strike2,AE126,AQ126,0,N126,0,P126,Q126,IF(OptControl=3,1,0),1),0)</f>
        <v>0</v>
      </c>
      <c r="AY126" s="324" t="n">
        <f aca="false">IF(AH126,xASN(AL126,Strike2,AE126,AQ126,0,N126,0,P126,Q126,IF(OptControl=3,1,0),2),0)</f>
        <v>0</v>
      </c>
      <c r="AZ126" s="324" t="n">
        <f aca="false">IF(AH126,xASN(AL126,Strike2,AE126,AQ126,0,N126,0,P126,Q126,IF(OptControl=3,1,0),3)/100,0)</f>
        <v>0</v>
      </c>
      <c r="BA126" s="324" t="n">
        <f aca="false">IF(AH126,xASN(AL126,Strike2,AE126,AQ126,0,N126,0,P126-DaysForThetaCalculation/365.25,Q126-DaysForThetaCalculation/365.25,IF(OptControl=3,1,0),0)-xASN(AL126,Strike2,AE126,AQ126,0,N126,0,P126,Q126,IF(OptControl=3,1,0),0),0)</f>
        <v>0</v>
      </c>
      <c r="BB126" s="325" t="str">
        <f aca="false">IF(AH126,IF(ProductGroup=1,IF(Product=1,BX126+PriceSpreadEuro,IF(Product=3,CK126+PriceSpreadEuro,"N/A")),"N/A"),"")</f>
        <v/>
      </c>
      <c r="BC126" s="316" t="str">
        <f aca="false">IF(AH126,Strike1/BB126-1,"")</f>
        <v/>
      </c>
      <c r="BD126" s="316" t="str">
        <f aca="false">IF(AH126,Strike2/BB126-1,"")</f>
        <v/>
      </c>
      <c r="BE126" s="326" t="str">
        <f aca="false">IF(AH126,IF(VolOverrideEuro,VolOverrideEuro,IF(ProductGroup=1,IF(Product&lt;3,DA126,DE126)+VolSpreadEuro,"N/A")),"")</f>
        <v/>
      </c>
      <c r="BF126" s="323" t="str">
        <f aca="false">IF($AH126,$BE126+IF(SkewFlag=1,IF(BC126&gt;0,$AA126*MIN(BC126/10%,1)+($Z126-$AA126)*MAX(0,MIN(BC126/10%-1,1))+($Y126-$Z126)*MAX(0,BC126/10%-2),$AB126*MIN(-BC126/10%,1)+($AC126-$AB126)*MAX(0,MIN(-BC126/10%-1,1))+($AD126-$AC126)*MAX(0,-BC126/10%-2)),0),"")</f>
        <v/>
      </c>
      <c r="BG126" s="323" t="str">
        <f aca="false">IF($AH126,$BE126+IF(SkewFlag=1,IF(BD126&gt;0,$AA126*MIN(BD126/10%,1)+($Z126-$AA126)*MAX(0,MIN(BD126/10%-1,1))+($Y126-$Z126)*MAX(0,BD126/10%-2),$AB126*MIN(-BD126/10%,1)+($AC126-$AB126)*MAX(0,MIN(-BD126/10%-1,1))+($AD126-$AC126)*MAX(0,-BD126/10%-2)),0),"")</f>
        <v/>
      </c>
      <c r="BH126" s="324" t="n">
        <f aca="false">IF(AH126,xEURO(BB126,Strike1,AE126,AE126,BF126,O126,IF(OptControl=4,0,1),0),0)</f>
        <v>0</v>
      </c>
      <c r="BI126" s="324" t="n">
        <f aca="false">IF(AH126,xEURO(BB126,Strike1,AE126,AE126,BF126,O126,IF(OptControl=4,0,1),1),0)</f>
        <v>0</v>
      </c>
      <c r="BJ126" s="324" t="n">
        <f aca="false">IF(AH126,xEURO(BB126,Strike1,AE126,AE126,BF126,O126,IF(OptControl=4,0,1),2),0)</f>
        <v>0</v>
      </c>
      <c r="BK126" s="324" t="n">
        <f aca="false">IF(AH126,xEURO(BB126,Strike1,AE126,AE126,BF126,O126,IF(OptControl=4,0,1),3)/100,0)</f>
        <v>0</v>
      </c>
      <c r="BL126" s="324" t="n">
        <f aca="false">IF(AH126,xEURO(BB126,Strike1,AE126,AE126,BF126,O126-DaysForThetaCalculation,IF(OptControl=4,0,1),0)-xEURO(BB126,Strike1,AE126,AE126,BF126,O126,IF(OptControl=4,0,1),0),0)</f>
        <v>0</v>
      </c>
      <c r="BM126" s="324" t="n">
        <f aca="false">IF(AH126,xEURO(BB126,Strike2,AE126,AE126,BG126,O126,IF(OptControl=3,1,0),0),0)</f>
        <v>0</v>
      </c>
      <c r="BN126" s="324" t="n">
        <f aca="false">IF(AH126,xEURO(BB126,Strike2,AE126,AE126,BG126,O126,IF(OptControl=3,1,0),1),0)</f>
        <v>0</v>
      </c>
      <c r="BO126" s="324" t="n">
        <f aca="false">IF(AH126,xEURO(BB126,Strike2,AE126,AE126,BG126,O126,IF(OptControl=3,1,0),2),0)</f>
        <v>0</v>
      </c>
      <c r="BP126" s="324" t="n">
        <f aca="false">IF(AH126,xEURO(BB126,Strike2,AE126,AE126,BG126,O126,IF(OptControl=3,1,0),3)/100,0)</f>
        <v>0</v>
      </c>
      <c r="BQ126" s="327" t="n">
        <f aca="false">IF(AH126,xEURO(BB126,Strike2,AE126,AE126,BG126,O126-DaysForThetaCalculation,IF(OptControl=3,1,0),0)-xEURO(BB126,Strike2,AE126,AE126,BG126,O126,IF(OptControl=3,1,0),0),0)</f>
        <v>0</v>
      </c>
      <c r="BR126" s="343"/>
      <c r="BS126" s="314"/>
      <c r="BT126" s="329" t="n">
        <f aca="false">BS126*100/42</f>
        <v>0</v>
      </c>
      <c r="BU126" s="329" t="n">
        <f aca="false">BS127-$U126</f>
        <v>-27.1673913043478</v>
      </c>
      <c r="BV126" s="224"/>
      <c r="BW126" s="329" t="n">
        <f aca="false">BW114+VLOOKUP(1900+$L126,ProductSpreadTable,2)</f>
        <v>21.924347826087</v>
      </c>
      <c r="BX126" s="329" t="n">
        <f aca="false">($V125+BW125)*100/42</f>
        <v>94.4630952380954</v>
      </c>
      <c r="BY126" s="332" t="n">
        <f aca="false">BX127</f>
        <v>116.885093167702</v>
      </c>
      <c r="BZ126" s="314"/>
      <c r="CA126" s="329" t="n">
        <f aca="false">BZ126*100/42</f>
        <v>0</v>
      </c>
      <c r="CB126" s="329" t="n">
        <f aca="false">BZ126-$U126</f>
        <v>-27.1673913043478</v>
      </c>
      <c r="CC126" s="329" t="n">
        <f aca="false">CC114+VLOOKUP(1900+$L126,ProductSpreadTable,3)</f>
        <v>19.299347826087</v>
      </c>
      <c r="CD126" s="329" t="n">
        <f aca="false">($V126+CC126)*100/42</f>
        <v>110.635093167702</v>
      </c>
      <c r="CE126" s="333" t="n">
        <f aca="false">CD126-BY126</f>
        <v>-6.25</v>
      </c>
      <c r="CF126" s="314"/>
      <c r="CG126" s="329" t="n">
        <f aca="false">CF126*100/42</f>
        <v>0</v>
      </c>
      <c r="CH126" s="329" t="n">
        <f aca="false">CF127-$U126</f>
        <v>-27.1673913043478</v>
      </c>
      <c r="CI126" s="224"/>
      <c r="CJ126" s="329" t="n">
        <f aca="false">CJ114+VLOOKUP(1900+$L126,ProductSpreadTable,4)</f>
        <v>9.71163636363635</v>
      </c>
      <c r="CK126" s="329" t="n">
        <f aca="false">($V125+CJ125)*100/42</f>
        <v>92.8726190476191</v>
      </c>
      <c r="CL126" s="329" t="n">
        <f aca="false">CK127</f>
        <v>87.8072087332956</v>
      </c>
      <c r="CM126" s="314"/>
      <c r="CN126" s="329" t="n">
        <f aca="false">CM126*100/42</f>
        <v>0</v>
      </c>
      <c r="CO126" s="329" t="n">
        <f aca="false">CM126-$U126</f>
        <v>-27.1673913043478</v>
      </c>
      <c r="CP126" s="329" t="n">
        <f aca="false">CP114+VLOOKUP(1900+$L126,ProductSpreadTable,5)</f>
        <v>8.78763636363634</v>
      </c>
      <c r="CQ126" s="329" t="n">
        <f aca="false">($V126+CP126)*100/42</f>
        <v>85.6072087332956</v>
      </c>
      <c r="CR126" s="333" t="n">
        <f aca="false">CQ126-CL126</f>
        <v>-2.2</v>
      </c>
      <c r="CS126" s="314"/>
      <c r="CT126" s="329" t="n">
        <f aca="false">CS126*100/42</f>
        <v>0</v>
      </c>
      <c r="CU126" s="329" t="n">
        <f aca="false">CT126-CG127</f>
        <v>0</v>
      </c>
      <c r="CV126" s="329" t="n">
        <f aca="false">CV114+VLOOKUP(1900+$L126,ProductSpreadTable,6)</f>
        <v>1.94999999999999</v>
      </c>
      <c r="CW126" s="333" t="n">
        <f aca="false">CL126+CV126</f>
        <v>89.7572087332956</v>
      </c>
      <c r="CX126" s="318"/>
      <c r="CY126" s="326" t="n">
        <f aca="false">CX126-$W126</f>
        <v>-0.169299999999999</v>
      </c>
      <c r="CZ126" s="326" t="n">
        <f aca="false">VLOOKUP(1900+$L126,ProductSpreadTable,7)</f>
        <v>-0.03</v>
      </c>
      <c r="DA126" s="365" t="n">
        <f aca="false">$W126+CZ126</f>
        <v>0.139299999999999</v>
      </c>
      <c r="DB126" s="318"/>
      <c r="DC126" s="326" t="n">
        <f aca="false">DB126-$W126</f>
        <v>-0.169299999999999</v>
      </c>
      <c r="DD126" s="326" t="n">
        <f aca="false">VLOOKUP(1900+$L126,ProductSpreadTable,8)</f>
        <v>0.03</v>
      </c>
      <c r="DE126" s="365" t="n">
        <f aca="false">$W126+DD126</f>
        <v>0.199299999999999</v>
      </c>
      <c r="DG126" s="336"/>
      <c r="DH126" s="314"/>
      <c r="DI126" s="325" t="n">
        <f aca="false">DH126-$U126</f>
        <v>-27.1673913043478</v>
      </c>
      <c r="DJ126" s="325" t="n">
        <f aca="false">VLOOKUP(1900+$L126,ResidSpreadTable,2)</f>
        <v>-2</v>
      </c>
      <c r="DK126" s="337" t="n">
        <f aca="false">$V126+DJ126</f>
        <v>25.1673913043478</v>
      </c>
      <c r="DL126" s="314"/>
      <c r="DM126" s="325" t="n">
        <f aca="false">DL126-$U126</f>
        <v>-27.1673913043478</v>
      </c>
      <c r="DN126" s="325" t="n">
        <f aca="false">VLOOKUP(1900+$L126,ResidSpreadTable,3)</f>
        <v>-3</v>
      </c>
      <c r="DO126" s="337" t="n">
        <f aca="false">$V126+DN126</f>
        <v>24.1673913043478</v>
      </c>
      <c r="DP126" s="314"/>
      <c r="DQ126" s="325" t="n">
        <f aca="false">DP126-$U126</f>
        <v>-27.1673913043478</v>
      </c>
      <c r="DR126" s="325" t="n">
        <f aca="false">VLOOKUP(1900+$L126,ResidSpreadTable,4)</f>
        <v>-6</v>
      </c>
      <c r="DS126" s="337" t="n">
        <f aca="false">$V126+DR126</f>
        <v>21.1673913043478</v>
      </c>
      <c r="DT126" s="314"/>
      <c r="DU126" s="325" t="n">
        <f aca="false">DT126-$U126</f>
        <v>-27.1673913043478</v>
      </c>
      <c r="DV126" s="325" t="n">
        <f aca="false">VLOOKUP(1900+$L126,ResidSpreadTable,5)</f>
        <v>-5</v>
      </c>
      <c r="DW126" s="337" t="n">
        <f aca="false">$V126+DV126</f>
        <v>22.1673913043478</v>
      </c>
    </row>
    <row r="127" customFormat="false" ht="12.75" hidden="false" customHeight="false" outlineLevel="0" collapsed="false">
      <c r="B127" s="371" t="n">
        <v>39417</v>
      </c>
      <c r="C127" s="391" t="n">
        <v>39405</v>
      </c>
      <c r="I127" s="338" t="n">
        <f aca="false">EOMONTH(I126,0)+1</f>
        <v>49614</v>
      </c>
      <c r="J127" s="389" t="n">
        <f aca="false">VLOOKUP(I127,$B$12:$C$332,2)</f>
        <v>45644</v>
      </c>
      <c r="K127" s="339" t="n">
        <f aca="false">NETWORKDAYS(I127,J128)/N127</f>
        <v>-128.954545454545</v>
      </c>
      <c r="L127" s="309" t="n">
        <f aca="false">YEAR(I127)-1900</f>
        <v>135</v>
      </c>
      <c r="M127" s="310" t="n">
        <f aca="false">MONTH(I127)</f>
        <v>11</v>
      </c>
      <c r="N127" s="340" t="n">
        <f aca="false">NETWORKDAYS(I127,I128-1)</f>
        <v>22</v>
      </c>
      <c r="O127" s="341" t="n">
        <f aca="false">I127-DateToday-IF(EuroExpDateToggle=1,3+IF(WEEKDAY(I127-1)=7,1,IF(WEEKDAY(I127-1)&lt;5,2,0)),1+IF(WEEKDAY(I127-1)=7,1,IF(WEEKDAY(I127-1)&lt;3,2,0)))</f>
        <v>3683</v>
      </c>
      <c r="P127" s="342" t="n">
        <f aca="false">(I127-DateToday+1)/365.25</f>
        <v>10.0999315537303</v>
      </c>
      <c r="Q127" s="342" t="n">
        <f aca="false">(I128-DateToday)/365.25</f>
        <v>10.1793292265572</v>
      </c>
      <c r="R127" s="314" t="n">
        <v>21</v>
      </c>
      <c r="S127" s="347" t="n">
        <v>0</v>
      </c>
      <c r="T127" s="316" t="n">
        <f aca="false">R127+S127/100</f>
        <v>21</v>
      </c>
      <c r="U127" s="325" t="n">
        <f aca="false">R128*K127+R129*(1-K127)</f>
        <v>27.5477272727276</v>
      </c>
      <c r="V127" s="337" t="n">
        <f aca="false">T128*K127+T129*(1-K127)</f>
        <v>27.5477272727276</v>
      </c>
      <c r="W127" s="318" t="n">
        <v>0.168899999999999</v>
      </c>
      <c r="X127" s="319" t="str">
        <f aca="false">IF($I127-DateToday+1&gt;=$A$10,"",IF($I127-DateToday+1&lt;$A$5,1,MATCH($I127-DateToday+1,$A$5:$A$10)))</f>
        <v/>
      </c>
      <c r="Y127" s="348" t="n">
        <f aca="false">IF($X127="",Y126^2/Y125,INDEX(B$5:B$10,$X127)^((INDEX($A$5:$A$10,$X127+1)-($I127-DateToday+1))/(INDEX($A$5:$A$10,$X127+1)-INDEX($A$5:$A$10,$X127)))/INDEX(B$5:B$10,$X127+1)^((INDEX($A$5:$A$10,$X127)-($I127-DateToday+1))/(INDEX($A$5:$A$10,$X127+1)-INDEX($A$5:$A$10,$X127))))</f>
        <v>0.00111768213361814</v>
      </c>
      <c r="Z127" s="348" t="n">
        <f aca="false">IF($X127="",Z126^2/Z125,INDEX(C$5:C$10,$X127)^((INDEX($A$5:$A$10,$X127+1)-($I127-DateToday+1))/(INDEX($A$5:$A$10,$X127+1)-INDEX($A$5:$A$10,$X127)))/INDEX(C$5:C$10,$X127+1)^((INDEX($A$5:$A$10,$X127)-($I127-DateToday+1))/(INDEX($A$5:$A$10,$X127+1)-INDEX($A$5:$A$10,$X127))))</f>
        <v>0.000359394588488711</v>
      </c>
      <c r="AA127" s="348" t="n">
        <f aca="false">IF($X127="",AA126^2/AA125,INDEX(D$5:D$10,$X127)^((INDEX($A$5:$A$10,$X127+1)-($I127-DateToday+1))/(INDEX($A$5:$A$10,$X127+1)-INDEX($A$5:$A$10,$X127)))/INDEX(D$5:D$10,$X127+1)^((INDEX($A$5:$A$10,$X127)-($I127-DateToday+1))/(INDEX($A$5:$A$10,$X127+1)-INDEX($A$5:$A$10,$X127))))</f>
        <v>0.000123731204987699</v>
      </c>
      <c r="AB127" s="348" t="n">
        <f aca="false">IF($X127="",AB126^2/AB125,INDEX(E$5:E$10,$X127)^((INDEX($A$5:$A$10,$X127+1)-($I127-DateToday+1))/(INDEX($A$5:$A$10,$X127+1)-INDEX($A$5:$A$10,$X127)))/INDEX(E$5:E$10,$X127+1)^((INDEX($A$5:$A$10,$X127)-($I127-DateToday+1))/(INDEX($A$5:$A$10,$X127+1)-INDEX($A$5:$A$10,$X127))))</f>
        <v>0.000278741658596298</v>
      </c>
      <c r="AC127" s="348" t="n">
        <f aca="false">IF($X127="",AC126^2/AC125,INDEX(F$5:F$10,$X127)^((INDEX($A$5:$A$10,$X127+1)-($I127-DateToday+1))/(INDEX($A$5:$A$10,$X127+1)-INDEX($A$5:$A$10,$X127)))/INDEX(F$5:F$10,$X127+1)^((INDEX($A$5:$A$10,$X127)-($I127-DateToday+1))/(INDEX($A$5:$A$10,$X127+1)-INDEX($A$5:$A$10,$X127))))</f>
        <v>0.000809644128947364</v>
      </c>
      <c r="AD127" s="348" t="n">
        <f aca="false">IF($X127="",AD126^2/AD125,INDEX(G$5:G$10,$X127)^((INDEX($A$5:$A$10,$X127+1)-($I127-DateToday+1))/(INDEX($A$5:$A$10,$X127+1)-INDEX($A$5:$A$10,$X127)))/INDEX(G$5:G$10,$X127+1)^((INDEX($A$5:$A$10,$X127)-($I127-DateToday+1))/(INDEX($A$5:$A$10,$X127+1)-INDEX($A$5:$A$10,$X127))))</f>
        <v>0.00251791431061475</v>
      </c>
      <c r="AE127" s="321" t="n">
        <v>0.073772387102222</v>
      </c>
      <c r="AF127" s="316" t="n">
        <f aca="false">(1+AE127/2)^(-2*(I128-DateToday)/365.25)</f>
        <v>0.478339313446803</v>
      </c>
      <c r="AG127" s="316" t="n">
        <f aca="false">AG126*(1+IF(AND(M127=1,L127&gt;YearStart),Escalation,0))</f>
        <v>1</v>
      </c>
      <c r="AH127" s="322" t="n">
        <f aca="false">IF(OR(DateStart&gt;=I128,DateEnd&lt;I127),0,Volume*AG127)</f>
        <v>0</v>
      </c>
      <c r="AI127" s="322" t="n">
        <f aca="false">AH127*AF127</f>
        <v>0</v>
      </c>
      <c r="AJ127" s="322" t="n">
        <f aca="false">IF(OR(DateStart2&gt;=I128,DateEnd2&lt;I127),0,VolumeSwaption*AG127)</f>
        <v>0</v>
      </c>
      <c r="AK127" s="322" t="n">
        <f aca="false">AJ127*AF127</f>
        <v>0</v>
      </c>
      <c r="AL127" s="316" t="str">
        <f aca="true">IF(AH127,OFFSET(BY127,0,HorizontalPriceOffset)+PriceSpreadAsian,"")</f>
        <v/>
      </c>
      <c r="AM127" s="316" t="str">
        <f aca="false">IF(AH127,Strike1/AL127-1,"")</f>
        <v/>
      </c>
      <c r="AN127" s="316" t="str">
        <f aca="false">IF(AH127,Strike2/AL127-1,"")</f>
        <v/>
      </c>
      <c r="AO127" s="323" t="str">
        <f aca="false">IF(AH127,IF(VolOverrideAsian,VolOverrideAsian,IF(ProductGroup=1,IF(Product&lt;3,DA128,DE128),W128)+VolSpreadAsian),"")</f>
        <v/>
      </c>
      <c r="AP127" s="323" t="str">
        <f aca="false">IF($AH127,$AO127+IF(SkewFlag=1,IF(AM127&gt;0,$AA127*MIN(AM127/10%,1)+($Z127-$AA127)*MAX(0,MIN(AM127/10%-1,1))+($Y127-$Z127)*MAX(0,AM127/10%-2),$AB127*MIN(-AM127/10%,1)+($AC127-$AB127)*MAX(0,MIN(-AM127/10%-1,1))+($AD127-$AC127)*MAX(0,-AM127/10%-2)),0),"")</f>
        <v/>
      </c>
      <c r="AQ127" s="323" t="str">
        <f aca="false">IF($AH127,$AO127+IF(SkewFlag=1,IF(AN127&gt;0,$AA127*MIN(AN127/10%,1)+($Z127-$AA127)*MAX(0,MIN(AN127/10%-1,1))+($Y127-$Z127)*MAX(0,AN127/10%-2),$AB127*MIN(-AN127/10%,1)+($AC127-$AB127)*MAX(0,MIN(-AN127/10%-1,1))+($AD127-$AC127)*MAX(0,-AN127/10%-2)),0),"")</f>
        <v/>
      </c>
      <c r="AR127" s="324" t="n">
        <f aca="false">IF(AH127,xASN(AL127,Strike1,AE127,AP127,0,N127,0,P127,Q127,IF(OptControl=4,0,1),0),0)</f>
        <v>0</v>
      </c>
      <c r="AS127" s="324" t="n">
        <f aca="false">IF(AH127,xASN(AL127,Strike1,AE127,AP127,0,N127,0,P127,Q127,IF(OptControl=4,0,1),1),0)</f>
        <v>0</v>
      </c>
      <c r="AT127" s="324" t="n">
        <f aca="false">IF(AH127,xASN(AL127,Strike1,AE127,AP127,0,N127,0,P127,Q127,IF(OptControl=4,0,1),2),0)</f>
        <v>0</v>
      </c>
      <c r="AU127" s="324" t="n">
        <f aca="false">IF(AH127,xASN(AL127,Strike1,AE127,AP127,0,N127,0,P127,Q127,IF(OptControl=4,0,1),3)/100,0)</f>
        <v>0</v>
      </c>
      <c r="AV127" s="324" t="n">
        <f aca="false">IF(AH127,xASN(AL127,Strike1,AE127,AP127,0,N127,0,P127-DaysForThetaCalculation/365.25,Q127-DaysForThetaCalculation/365.25,IF(OptControl=4,0,1),0)-xASN(AL127,Strike1,AE127,AP127,0,N127,0,P127,Q127,IF(OptControl=4,0,1),0),0)</f>
        <v>0</v>
      </c>
      <c r="AW127" s="324" t="n">
        <f aca="false">IF(AH127,xASN(AL127,Strike2,AE127,AQ127,0,N127,0,P127,Q127,IF(OptControl=3,1,0),0),0)</f>
        <v>0</v>
      </c>
      <c r="AX127" s="324" t="n">
        <f aca="false">IF(AH127,xASN(AL127,Strike2,AE127,AQ127,0,N127,0,P127,Q127,IF(OptControl=3,1,0),1),0)</f>
        <v>0</v>
      </c>
      <c r="AY127" s="324" t="n">
        <f aca="false">IF(AH127,xASN(AL127,Strike2,AE127,AQ127,0,N127,0,P127,Q127,IF(OptControl=3,1,0),2),0)</f>
        <v>0</v>
      </c>
      <c r="AZ127" s="324" t="n">
        <f aca="false">IF(AH127,xASN(AL127,Strike2,AE127,AQ127,0,N127,0,P127,Q127,IF(OptControl=3,1,0),3)/100,0)</f>
        <v>0</v>
      </c>
      <c r="BA127" s="324" t="n">
        <f aca="false">IF(AH127,xASN(AL127,Strike2,AE127,AQ127,0,N127,0,P127-DaysForThetaCalculation/365.25,Q127-DaysForThetaCalculation/365.25,IF(OptControl=3,1,0),0)-xASN(AL127,Strike2,AE127,AQ127,0,N127,0,P127,Q127,IF(OptControl=3,1,0),0),0)</f>
        <v>0</v>
      </c>
      <c r="BB127" s="325" t="str">
        <f aca="false">IF(AH127,IF(ProductGroup=1,IF(Product=1,BX127+PriceSpreadEuro,IF(Product=3,CK127+PriceSpreadEuro,"N/A")),"N/A"),"")</f>
        <v/>
      </c>
      <c r="BC127" s="316" t="str">
        <f aca="false">IF(AH127,Strike1/BB127-1,"")</f>
        <v/>
      </c>
      <c r="BD127" s="316" t="str">
        <f aca="false">IF(AH127,Strike2/BB127-1,"")</f>
        <v/>
      </c>
      <c r="BE127" s="326" t="str">
        <f aca="false">IF(AH127,IF(VolOverrideEuro,VolOverrideEuro,IF(ProductGroup=1,IF(Product&lt;3,DA127,DE127)+VolSpreadEuro,"N/A")),"")</f>
        <v/>
      </c>
      <c r="BF127" s="323" t="str">
        <f aca="false">IF($AH127,$BE127+IF(SkewFlag=1,IF(BC127&gt;0,$AA127*MIN(BC127/10%,1)+($Z127-$AA127)*MAX(0,MIN(BC127/10%-1,1))+($Y127-$Z127)*MAX(0,BC127/10%-2),$AB127*MIN(-BC127/10%,1)+($AC127-$AB127)*MAX(0,MIN(-BC127/10%-1,1))+($AD127-$AC127)*MAX(0,-BC127/10%-2)),0),"")</f>
        <v/>
      </c>
      <c r="BG127" s="323" t="str">
        <f aca="false">IF($AH127,$BE127+IF(SkewFlag=1,IF(BD127&gt;0,$AA127*MIN(BD127/10%,1)+($Z127-$AA127)*MAX(0,MIN(BD127/10%-1,1))+($Y127-$Z127)*MAX(0,BD127/10%-2),$AB127*MIN(-BD127/10%,1)+($AC127-$AB127)*MAX(0,MIN(-BD127/10%-1,1))+($AD127-$AC127)*MAX(0,-BD127/10%-2)),0),"")</f>
        <v/>
      </c>
      <c r="BH127" s="324" t="n">
        <f aca="false">IF(AH127,xEURO(BB127,Strike1,AE127,AE127,BF127,O127,IF(OptControl=4,0,1),0),0)</f>
        <v>0</v>
      </c>
      <c r="BI127" s="324" t="n">
        <f aca="false">IF(AH127,xEURO(BB127,Strike1,AE127,AE127,BF127,O127,IF(OptControl=4,0,1),1),0)</f>
        <v>0</v>
      </c>
      <c r="BJ127" s="324" t="n">
        <f aca="false">IF(AH127,xEURO(BB127,Strike1,AE127,AE127,BF127,O127,IF(OptControl=4,0,1),2),0)</f>
        <v>0</v>
      </c>
      <c r="BK127" s="324" t="n">
        <f aca="false">IF(AH127,xEURO(BB127,Strike1,AE127,AE127,BF127,O127,IF(OptControl=4,0,1),3)/100,0)</f>
        <v>0</v>
      </c>
      <c r="BL127" s="324" t="n">
        <f aca="false">IF(AH127,xEURO(BB127,Strike1,AE127,AE127,BF127,O127-DaysForThetaCalculation,IF(OptControl=4,0,1),0)-xEURO(BB127,Strike1,AE127,AE127,BF127,O127,IF(OptControl=4,0,1),0),0)</f>
        <v>0</v>
      </c>
      <c r="BM127" s="324" t="n">
        <f aca="false">IF(AH127,xEURO(BB127,Strike2,AE127,AE127,BG127,O127,IF(OptControl=3,1,0),0),0)</f>
        <v>0</v>
      </c>
      <c r="BN127" s="324" t="n">
        <f aca="false">IF(AH127,xEURO(BB127,Strike2,AE127,AE127,BG127,O127,IF(OptControl=3,1,0),1),0)</f>
        <v>0</v>
      </c>
      <c r="BO127" s="324" t="n">
        <f aca="false">IF(AH127,xEURO(BB127,Strike2,AE127,AE127,BG127,O127,IF(OptControl=3,1,0),2),0)</f>
        <v>0</v>
      </c>
      <c r="BP127" s="324" t="n">
        <f aca="false">IF(AH127,xEURO(BB127,Strike2,AE127,AE127,BG127,O127,IF(OptControl=3,1,0),3)/100,0)</f>
        <v>0</v>
      </c>
      <c r="BQ127" s="327" t="n">
        <f aca="false">IF(AH127,xEURO(BB127,Strike2,AE127,AE127,BG127,O127-DaysForThetaCalculation,IF(OptControl=3,1,0),0)-xEURO(BB127,Strike2,AE127,AE127,BG127,O127,IF(OptControl=3,1,0),0),0)</f>
        <v>0</v>
      </c>
      <c r="BR127" s="343"/>
      <c r="BS127" s="314"/>
      <c r="BT127" s="329" t="n">
        <f aca="false">BS127*100/42</f>
        <v>0</v>
      </c>
      <c r="BU127" s="329" t="n">
        <f aca="false">BS128-$U127</f>
        <v>-27.5477272727276</v>
      </c>
      <c r="BV127" s="224"/>
      <c r="BW127" s="329" t="n">
        <f aca="false">BW115+VLOOKUP(1900+$L127,ProductSpreadTable,2)</f>
        <v>19.94</v>
      </c>
      <c r="BX127" s="329" t="n">
        <f aca="false">($V126+BW126)*100/42</f>
        <v>116.885093167702</v>
      </c>
      <c r="BY127" s="332" t="n">
        <f aca="false">BX128</f>
        <v>113.066017316018</v>
      </c>
      <c r="BZ127" s="314"/>
      <c r="CA127" s="329" t="n">
        <f aca="false">BZ127*100/42</f>
        <v>0</v>
      </c>
      <c r="CB127" s="329" t="n">
        <f aca="false">BZ127-$U127</f>
        <v>-27.5477272727276</v>
      </c>
      <c r="CC127" s="329" t="n">
        <f aca="false">CC115+VLOOKUP(1900+$L127,ProductSpreadTable,3)</f>
        <v>17.315</v>
      </c>
      <c r="CD127" s="329" t="n">
        <f aca="false">($V127+CC127)*100/42</f>
        <v>106.816017316018</v>
      </c>
      <c r="CE127" s="333" t="n">
        <f aca="false">CD127-BY127</f>
        <v>-6.25</v>
      </c>
      <c r="CF127" s="314"/>
      <c r="CG127" s="329" t="n">
        <f aca="false">CF127*100/42</f>
        <v>0</v>
      </c>
      <c r="CH127" s="329" t="n">
        <f aca="false">CF128-$U127</f>
        <v>-27.5477272727276</v>
      </c>
      <c r="CI127" s="224"/>
      <c r="CJ127" s="329" t="n">
        <f aca="false">CJ115+VLOOKUP(1900+$L127,ProductSpreadTable,4)</f>
        <v>9.15552380952372</v>
      </c>
      <c r="CK127" s="329" t="n">
        <f aca="false">($V126+CJ126)*100/42</f>
        <v>87.8072087332956</v>
      </c>
      <c r="CL127" s="329" t="n">
        <f aca="false">CK128</f>
        <v>87.3886930529793</v>
      </c>
      <c r="CM127" s="314"/>
      <c r="CN127" s="329" t="n">
        <f aca="false">CM127*100/42</f>
        <v>0</v>
      </c>
      <c r="CO127" s="329" t="n">
        <f aca="false">CM127-$U127</f>
        <v>-27.5477272727276</v>
      </c>
      <c r="CP127" s="329" t="n">
        <f aca="false">CP115+VLOOKUP(1900+$L127,ProductSpreadTable,5)</f>
        <v>8.23152380952373</v>
      </c>
      <c r="CQ127" s="329" t="n">
        <f aca="false">($V127+CP127)*100/42</f>
        <v>85.1886930529793</v>
      </c>
      <c r="CR127" s="333" t="n">
        <f aca="false">CQ127-CL127</f>
        <v>-2.19999999999997</v>
      </c>
      <c r="CS127" s="314"/>
      <c r="CT127" s="329" t="n">
        <f aca="false">CS127*100/42</f>
        <v>0</v>
      </c>
      <c r="CU127" s="329" t="n">
        <f aca="false">CT127-CG128</f>
        <v>0</v>
      </c>
      <c r="CV127" s="329" t="n">
        <f aca="false">CV115+VLOOKUP(1900+$L127,ProductSpreadTable,6)</f>
        <v>1.95000000000001</v>
      </c>
      <c r="CW127" s="333" t="n">
        <f aca="false">CL127+CV127</f>
        <v>89.3386930529793</v>
      </c>
      <c r="CX127" s="318"/>
      <c r="CY127" s="326" t="n">
        <f aca="false">CX127-$W127</f>
        <v>-0.168899999999999</v>
      </c>
      <c r="CZ127" s="326" t="n">
        <f aca="false">VLOOKUP(1900+$L127,ProductSpreadTable,7)</f>
        <v>-0.03</v>
      </c>
      <c r="DA127" s="365" t="n">
        <f aca="false">$W127+CZ127</f>
        <v>0.138899999999999</v>
      </c>
      <c r="DB127" s="318"/>
      <c r="DC127" s="326" t="n">
        <f aca="false">DB127-$W127</f>
        <v>-0.168899999999999</v>
      </c>
      <c r="DD127" s="326" t="n">
        <f aca="false">VLOOKUP(1900+$L127,ProductSpreadTable,8)</f>
        <v>0.03</v>
      </c>
      <c r="DE127" s="365" t="n">
        <f aca="false">$W127+DD127</f>
        <v>0.198899999999999</v>
      </c>
      <c r="DG127" s="336"/>
      <c r="DH127" s="314"/>
      <c r="DI127" s="325" t="n">
        <f aca="false">DH127-$U127</f>
        <v>-27.5477272727276</v>
      </c>
      <c r="DJ127" s="325" t="n">
        <f aca="false">VLOOKUP(1900+$L127,ResidSpreadTable,2)</f>
        <v>-2</v>
      </c>
      <c r="DK127" s="337" t="n">
        <f aca="false">$V127+DJ127</f>
        <v>25.5477272727276</v>
      </c>
      <c r="DL127" s="314"/>
      <c r="DM127" s="325" t="n">
        <f aca="false">DL127-$U127</f>
        <v>-27.5477272727276</v>
      </c>
      <c r="DN127" s="325" t="n">
        <f aca="false">VLOOKUP(1900+$L127,ResidSpreadTable,3)</f>
        <v>-3</v>
      </c>
      <c r="DO127" s="337" t="n">
        <f aca="false">$V127+DN127</f>
        <v>24.5477272727276</v>
      </c>
      <c r="DP127" s="314"/>
      <c r="DQ127" s="325" t="n">
        <f aca="false">DP127-$U127</f>
        <v>-27.5477272727276</v>
      </c>
      <c r="DR127" s="325" t="n">
        <f aca="false">VLOOKUP(1900+$L127,ResidSpreadTable,4)</f>
        <v>-6</v>
      </c>
      <c r="DS127" s="337" t="n">
        <f aca="false">$V127+DR127</f>
        <v>21.5477272727276</v>
      </c>
      <c r="DT127" s="314"/>
      <c r="DU127" s="325" t="n">
        <f aca="false">DT127-$U127</f>
        <v>-27.5477272727276</v>
      </c>
      <c r="DV127" s="325" t="n">
        <f aca="false">VLOOKUP(1900+$L127,ResidSpreadTable,5)</f>
        <v>-5</v>
      </c>
      <c r="DW127" s="337" t="n">
        <f aca="false">$V127+DV127</f>
        <v>22.5477272727276</v>
      </c>
    </row>
    <row r="128" customFormat="false" ht="12.75" hidden="false" customHeight="false" outlineLevel="0" collapsed="false">
      <c r="B128" s="371" t="n">
        <v>39448</v>
      </c>
      <c r="C128" s="391" t="n">
        <v>39435</v>
      </c>
      <c r="I128" s="338" t="n">
        <f aca="false">EOMONTH(I127,0)+1</f>
        <v>49644</v>
      </c>
      <c r="J128" s="389" t="n">
        <f aca="false">VLOOKUP(I128,$B$12:$C$332,2)</f>
        <v>45644</v>
      </c>
      <c r="K128" s="339" t="n">
        <f aca="false">NETWORKDAYS(I128,J129)/N128</f>
        <v>-136.095238095238</v>
      </c>
      <c r="L128" s="309" t="n">
        <f aca="false">YEAR(I128)-1900</f>
        <v>135</v>
      </c>
      <c r="M128" s="310" t="n">
        <f aca="false">MONTH(I128)</f>
        <v>12</v>
      </c>
      <c r="N128" s="340" t="n">
        <f aca="false">NETWORKDAYS(I128,I129-1)</f>
        <v>21</v>
      </c>
      <c r="O128" s="341" t="n">
        <f aca="false">I128-DateToday-IF(EuroExpDateToggle=1,3+IF(WEEKDAY(I128-1)=7,1,IF(WEEKDAY(I128-1)&lt;5,2,0)),1+IF(WEEKDAY(I128-1)=7,1,IF(WEEKDAY(I128-1)&lt;3,2,0)))</f>
        <v>3715</v>
      </c>
      <c r="P128" s="342" t="n">
        <f aca="false">(I128-DateToday+1)/365.25</f>
        <v>10.1820670773443</v>
      </c>
      <c r="Q128" s="342" t="n">
        <f aca="false">(I129-DateToday)/365.25</f>
        <v>10.2642026009582</v>
      </c>
      <c r="R128" s="314" t="n">
        <v>21.05</v>
      </c>
      <c r="S128" s="347" t="n">
        <v>0</v>
      </c>
      <c r="T128" s="316" t="n">
        <f aca="false">R128+S128/100</f>
        <v>21.05</v>
      </c>
      <c r="U128" s="325" t="n">
        <f aca="false">R129*K128+R130*(1-K128)</f>
        <v>27.9547619047617</v>
      </c>
      <c r="V128" s="337" t="n">
        <f aca="false">T129*K128+T130*(1-K128)</f>
        <v>27.9547619047617</v>
      </c>
      <c r="W128" s="318" t="n">
        <v>0.168499999999999</v>
      </c>
      <c r="X128" s="319" t="str">
        <f aca="false">IF($I128-DateToday+1&gt;=$A$10,"",IF($I128-DateToday+1&lt;$A$5,1,MATCH($I128-DateToday+1,$A$5:$A$10)))</f>
        <v/>
      </c>
      <c r="Y128" s="348" t="n">
        <f aca="false">IF($X128="",Y127^2/Y126,INDEX(B$5:B$10,$X128)^((INDEX($A$5:$A$10,$X128+1)-($I128-DateToday+1))/(INDEX($A$5:$A$10,$X128+1)-INDEX($A$5:$A$10,$X128)))/INDEX(B$5:B$10,$X128+1)^((INDEX($A$5:$A$10,$X128)-($I128-DateToday+1))/(INDEX($A$5:$A$10,$X128+1)-INDEX($A$5:$A$10,$X128))))</f>
        <v>0.00109375425905062</v>
      </c>
      <c r="Z128" s="348" t="n">
        <f aca="false">IF($X128="",Z127^2/Z126,INDEX(C$5:C$10,$X128)^((INDEX($A$5:$A$10,$X128+1)-($I128-DateToday+1))/(INDEX($A$5:$A$10,$X128+1)-INDEX($A$5:$A$10,$X128)))/INDEX(C$5:C$10,$X128+1)^((INDEX($A$5:$A$10,$X128)-($I128-DateToday+1))/(INDEX($A$5:$A$10,$X128+1)-INDEX($A$5:$A$10,$X128))))</f>
        <v>0.000349817474233457</v>
      </c>
      <c r="AA128" s="348" t="n">
        <f aca="false">IF($X128="",AA127^2/AA126,INDEX(D$5:D$10,$X128)^((INDEX($A$5:$A$10,$X128+1)-($I128-DateToday+1))/(INDEX($A$5:$A$10,$X128+1)-INDEX($A$5:$A$10,$X128)))/INDEX(D$5:D$10,$X128+1)^((INDEX($A$5:$A$10,$X128)-($I128-DateToday+1))/(INDEX($A$5:$A$10,$X128+1)-INDEX($A$5:$A$10,$X128))))</f>
        <v>0.000120111071869987</v>
      </c>
      <c r="AB128" s="348" t="n">
        <f aca="false">IF($X128="",AB127^2/AB126,INDEX(E$5:E$10,$X128)^((INDEX($A$5:$A$10,$X128+1)-($I128-DateToday+1))/(INDEX($A$5:$A$10,$X128+1)-INDEX($A$5:$A$10,$X128)))/INDEX(E$5:E$10,$X128+1)^((INDEX($A$5:$A$10,$X128)-($I128-DateToday+1))/(INDEX($A$5:$A$10,$X128+1)-INDEX($A$5:$A$10,$X128))))</f>
        <v>0.000270586222708717</v>
      </c>
      <c r="AC128" s="348" t="n">
        <f aca="false">IF($X128="",AC127^2/AC126,INDEX(F$5:F$10,$X128)^((INDEX($A$5:$A$10,$X128+1)-($I128-DateToday+1))/(INDEX($A$5:$A$10,$X128+1)-INDEX($A$5:$A$10,$X128)))/INDEX(F$5:F$10,$X128+1)^((INDEX($A$5:$A$10,$X128)-($I128-DateToday+1))/(INDEX($A$5:$A$10,$X128+1)-INDEX($A$5:$A$10,$X128))))</f>
        <v>0.000788068805953127</v>
      </c>
      <c r="AD128" s="348" t="n">
        <f aca="false">IF($X128="",AD127^2/AD126,INDEX(G$5:G$10,$X128)^((INDEX($A$5:$A$10,$X128+1)-($I128-DateToday+1))/(INDEX($A$5:$A$10,$X128+1)-INDEX($A$5:$A$10,$X128)))/INDEX(G$5:G$10,$X128+1)^((INDEX($A$5:$A$10,$X128)-($I128-DateToday+1))/(INDEX($A$5:$A$10,$X128+1)-INDEX($A$5:$A$10,$X128))))</f>
        <v>0.00246400959478904</v>
      </c>
      <c r="AE128" s="321" t="n">
        <v>0.073768425543449</v>
      </c>
      <c r="AF128" s="316" t="n">
        <f aca="false">(1+AE128/2)^(-2*(I129-DateToday)/365.25)</f>
        <v>0.475425865039212</v>
      </c>
      <c r="AG128" s="316" t="n">
        <f aca="false">AG127*(1+IF(AND(M128=1,L128&gt;YearStart),Escalation,0))</f>
        <v>1</v>
      </c>
      <c r="AH128" s="322" t="n">
        <f aca="false">IF(OR(DateStart&gt;=I129,DateEnd&lt;I128),0,Volume*AG128)</f>
        <v>0</v>
      </c>
      <c r="AI128" s="322" t="n">
        <f aca="false">AH128*AF128</f>
        <v>0</v>
      </c>
      <c r="AJ128" s="322" t="n">
        <f aca="false">IF(OR(DateStart2&gt;=I129,DateEnd2&lt;I128),0,VolumeSwaption*AG128)</f>
        <v>0</v>
      </c>
      <c r="AK128" s="322" t="n">
        <f aca="false">AJ128*AF128</f>
        <v>0</v>
      </c>
      <c r="AL128" s="316" t="str">
        <f aca="true">IF(AH128,OFFSET(BY128,0,HorizontalPriceOffset)+PriceSpreadAsian,"")</f>
        <v/>
      </c>
      <c r="AM128" s="316" t="str">
        <f aca="false">IF(AH128,Strike1/AL128-1,"")</f>
        <v/>
      </c>
      <c r="AN128" s="316" t="str">
        <f aca="false">IF(AH128,Strike2/AL128-1,"")</f>
        <v/>
      </c>
      <c r="AO128" s="323" t="str">
        <f aca="false">IF(AH128,IF(VolOverrideAsian,VolOverrideAsian,IF(ProductGroup=1,IF(Product&lt;3,DA129,DE129),W129)+VolSpreadAsian),"")</f>
        <v/>
      </c>
      <c r="AP128" s="323" t="str">
        <f aca="false">IF($AH128,$AO128+IF(SkewFlag=1,IF(AM128&gt;0,$AA128*MIN(AM128/10%,1)+($Z128-$AA128)*MAX(0,MIN(AM128/10%-1,1))+($Y128-$Z128)*MAX(0,AM128/10%-2),$AB128*MIN(-AM128/10%,1)+($AC128-$AB128)*MAX(0,MIN(-AM128/10%-1,1))+($AD128-$AC128)*MAX(0,-AM128/10%-2)),0),"")</f>
        <v/>
      </c>
      <c r="AQ128" s="323" t="str">
        <f aca="false">IF($AH128,$AO128+IF(SkewFlag=1,IF(AN128&gt;0,$AA128*MIN(AN128/10%,1)+($Z128-$AA128)*MAX(0,MIN(AN128/10%-1,1))+($Y128-$Z128)*MAX(0,AN128/10%-2),$AB128*MIN(-AN128/10%,1)+($AC128-$AB128)*MAX(0,MIN(-AN128/10%-1,1))+($AD128-$AC128)*MAX(0,-AN128/10%-2)),0),"")</f>
        <v/>
      </c>
      <c r="AR128" s="324" t="n">
        <f aca="false">IF(AH128,xASN(AL128,Strike1,AE128,AP128,0,N128,0,P128,Q128,IF(OptControl=4,0,1),0),0)</f>
        <v>0</v>
      </c>
      <c r="AS128" s="324" t="n">
        <f aca="false">IF(AH128,xASN(AL128,Strike1,AE128,AP128,0,N128,0,P128,Q128,IF(OptControl=4,0,1),1),0)</f>
        <v>0</v>
      </c>
      <c r="AT128" s="324" t="n">
        <f aca="false">IF(AH128,xASN(AL128,Strike1,AE128,AP128,0,N128,0,P128,Q128,IF(OptControl=4,0,1),2),0)</f>
        <v>0</v>
      </c>
      <c r="AU128" s="324" t="n">
        <f aca="false">IF(AH128,xASN(AL128,Strike1,AE128,AP128,0,N128,0,P128,Q128,IF(OptControl=4,0,1),3)/100,0)</f>
        <v>0</v>
      </c>
      <c r="AV128" s="324" t="n">
        <f aca="false">IF(AH128,xASN(AL128,Strike1,AE128,AP128,0,N128,0,P128-DaysForThetaCalculation/365.25,Q128-DaysForThetaCalculation/365.25,IF(OptControl=4,0,1),0)-xASN(AL128,Strike1,AE128,AP128,0,N128,0,P128,Q128,IF(OptControl=4,0,1),0),0)</f>
        <v>0</v>
      </c>
      <c r="AW128" s="324" t="n">
        <f aca="false">IF(AH128,xASN(AL128,Strike2,AE128,AQ128,0,N128,0,P128,Q128,IF(OptControl=3,1,0),0),0)</f>
        <v>0</v>
      </c>
      <c r="AX128" s="324" t="n">
        <f aca="false">IF(AH128,xASN(AL128,Strike2,AE128,AQ128,0,N128,0,P128,Q128,IF(OptControl=3,1,0),1),0)</f>
        <v>0</v>
      </c>
      <c r="AY128" s="324" t="n">
        <f aca="false">IF(AH128,xASN(AL128,Strike2,AE128,AQ128,0,N128,0,P128,Q128,IF(OptControl=3,1,0),2),0)</f>
        <v>0</v>
      </c>
      <c r="AZ128" s="324" t="n">
        <f aca="false">IF(AH128,xASN(AL128,Strike2,AE128,AQ128,0,N128,0,P128,Q128,IF(OptControl=3,1,0),3)/100,0)</f>
        <v>0</v>
      </c>
      <c r="BA128" s="324" t="n">
        <f aca="false">IF(AH128,xASN(AL128,Strike2,AE128,AQ128,0,N128,0,P128-DaysForThetaCalculation/365.25,Q128-DaysForThetaCalculation/365.25,IF(OptControl=3,1,0),0)-xASN(AL128,Strike2,AE128,AQ128,0,N128,0,P128,Q128,IF(OptControl=3,1,0),0),0)</f>
        <v>0</v>
      </c>
      <c r="BB128" s="325" t="str">
        <f aca="false">IF(AH128,IF(ProductGroup=1,IF(Product=1,BX128+PriceSpreadEuro,IF(Product=3,CK128+PriceSpreadEuro,"N/A")),"N/A"),"")</f>
        <v/>
      </c>
      <c r="BC128" s="316" t="str">
        <f aca="false">IF(AH128,Strike1/BB128-1,"")</f>
        <v/>
      </c>
      <c r="BD128" s="316" t="str">
        <f aca="false">IF(AH128,Strike2/BB128-1,"")</f>
        <v/>
      </c>
      <c r="BE128" s="326" t="str">
        <f aca="false">IF(AH128,IF(VolOverrideEuro,VolOverrideEuro,IF(ProductGroup=1,IF(Product&lt;3,DA128,DE128)+VolSpreadEuro,"N/A")),"")</f>
        <v/>
      </c>
      <c r="BF128" s="323" t="str">
        <f aca="false">IF($AH128,$BE128+IF(SkewFlag=1,IF(BC128&gt;0,$AA128*MIN(BC128/10%,1)+($Z128-$AA128)*MAX(0,MIN(BC128/10%-1,1))+($Y128-$Z128)*MAX(0,BC128/10%-2),$AB128*MIN(-BC128/10%,1)+($AC128-$AB128)*MAX(0,MIN(-BC128/10%-1,1))+($AD128-$AC128)*MAX(0,-BC128/10%-2)),0),"")</f>
        <v/>
      </c>
      <c r="BG128" s="323" t="str">
        <f aca="false">IF($AH128,$BE128+IF(SkewFlag=1,IF(BD128&gt;0,$AA128*MIN(BD128/10%,1)+($Z128-$AA128)*MAX(0,MIN(BD128/10%-1,1))+($Y128-$Z128)*MAX(0,BD128/10%-2),$AB128*MIN(-BD128/10%,1)+($AC128-$AB128)*MAX(0,MIN(-BD128/10%-1,1))+($AD128-$AC128)*MAX(0,-BD128/10%-2)),0),"")</f>
        <v/>
      </c>
      <c r="BH128" s="324" t="n">
        <f aca="false">IF(AH128,xEURO(BB128,Strike1,AE128,AE128,BF128,O128,IF(OptControl=4,0,1),0),0)</f>
        <v>0</v>
      </c>
      <c r="BI128" s="324" t="n">
        <f aca="false">IF(AH128,xEURO(BB128,Strike1,AE128,AE128,BF128,O128,IF(OptControl=4,0,1),1),0)</f>
        <v>0</v>
      </c>
      <c r="BJ128" s="324" t="n">
        <f aca="false">IF(AH128,xEURO(BB128,Strike1,AE128,AE128,BF128,O128,IF(OptControl=4,0,1),2),0)</f>
        <v>0</v>
      </c>
      <c r="BK128" s="324" t="n">
        <f aca="false">IF(AH128,xEURO(BB128,Strike1,AE128,AE128,BF128,O128,IF(OptControl=4,0,1),3)/100,0)</f>
        <v>0</v>
      </c>
      <c r="BL128" s="324" t="n">
        <f aca="false">IF(AH128,xEURO(BB128,Strike1,AE128,AE128,BF128,O128-DaysForThetaCalculation,IF(OptControl=4,0,1),0)-xEURO(BB128,Strike1,AE128,AE128,BF128,O128,IF(OptControl=4,0,1),0),0)</f>
        <v>0</v>
      </c>
      <c r="BM128" s="324" t="n">
        <f aca="false">IF(AH128,xEURO(BB128,Strike2,AE128,AE128,BG128,O128,IF(OptControl=3,1,0),0),0)</f>
        <v>0</v>
      </c>
      <c r="BN128" s="324" t="n">
        <f aca="false">IF(AH128,xEURO(BB128,Strike2,AE128,AE128,BG128,O128,IF(OptControl=3,1,0),1),0)</f>
        <v>0</v>
      </c>
      <c r="BO128" s="324" t="n">
        <f aca="false">IF(AH128,xEURO(BB128,Strike2,AE128,AE128,BG128,O128,IF(OptControl=3,1,0),2),0)</f>
        <v>0</v>
      </c>
      <c r="BP128" s="324" t="n">
        <f aca="false">IF(AH128,xEURO(BB128,Strike2,AE128,AE128,BG128,O128,IF(OptControl=3,1,0),3)/100,0)</f>
        <v>0</v>
      </c>
      <c r="BQ128" s="327" t="n">
        <f aca="false">IF(AH128,xEURO(BB128,Strike2,AE128,AE128,BG128,O128-DaysForThetaCalculation,IF(OptControl=3,1,0),0)-xEURO(BB128,Strike2,AE128,AE128,BG128,O128,IF(OptControl=3,1,0),0),0)</f>
        <v>0</v>
      </c>
      <c r="BR128" s="343"/>
      <c r="BS128" s="314"/>
      <c r="BT128" s="329" t="n">
        <f aca="false">BS128*100/42</f>
        <v>0</v>
      </c>
      <c r="BU128" s="329" t="n">
        <f aca="false">BS129-$U128</f>
        <v>-27.9547619047617</v>
      </c>
      <c r="BV128" s="224"/>
      <c r="BW128" s="329" t="n">
        <f aca="false">BW116+VLOOKUP(1900+$L128,ProductSpreadTable,2)</f>
        <v>16.0439565217392</v>
      </c>
      <c r="BX128" s="329" t="n">
        <f aca="false">($V127+BW127)*100/42</f>
        <v>113.066017316018</v>
      </c>
      <c r="BY128" s="332" t="n">
        <f aca="false">BX129</f>
        <v>104.758853396431</v>
      </c>
      <c r="BZ128" s="314"/>
      <c r="CA128" s="329" t="n">
        <f aca="false">BZ128*100/42</f>
        <v>0</v>
      </c>
      <c r="CB128" s="329" t="n">
        <f aca="false">BZ128-$U128</f>
        <v>-27.9547619047617</v>
      </c>
      <c r="CC128" s="329" t="n">
        <f aca="false">CC116+VLOOKUP(1900+$L128,ProductSpreadTable,3)</f>
        <v>13.4189565217392</v>
      </c>
      <c r="CD128" s="329" t="n">
        <f aca="false">($V128+CC128)*100/42</f>
        <v>98.5088533964306</v>
      </c>
      <c r="CE128" s="333" t="n">
        <f aca="false">CD128-BY128</f>
        <v>-6.25</v>
      </c>
      <c r="CF128" s="314"/>
      <c r="CG128" s="329" t="n">
        <f aca="false">CF128*100/42</f>
        <v>0</v>
      </c>
      <c r="CH128" s="329" t="n">
        <f aca="false">CF129-$U128</f>
        <v>-27.9547619047617</v>
      </c>
      <c r="CI128" s="224"/>
      <c r="CJ128" s="329" t="n">
        <f aca="false">CJ116+VLOOKUP(1900+$L128,ProductSpreadTable,4)</f>
        <v>8.50800000000003</v>
      </c>
      <c r="CK128" s="329" t="n">
        <f aca="false">($V127+CJ127)*100/42</f>
        <v>87.3886930529793</v>
      </c>
      <c r="CL128" s="329" t="n">
        <f aca="false">CK129</f>
        <v>86.8160997732421</v>
      </c>
      <c r="CM128" s="314"/>
      <c r="CN128" s="329" t="n">
        <f aca="false">CM128*100/42</f>
        <v>0</v>
      </c>
      <c r="CO128" s="329" t="n">
        <f aca="false">CM128-$U128</f>
        <v>-27.9547619047617</v>
      </c>
      <c r="CP128" s="329" t="n">
        <f aca="false">CP116+VLOOKUP(1900+$L128,ProductSpreadTable,5)</f>
        <v>7.58400000000003</v>
      </c>
      <c r="CQ128" s="329" t="n">
        <f aca="false">($V128+CP128)*100/42</f>
        <v>84.6160997732421</v>
      </c>
      <c r="CR128" s="333" t="n">
        <f aca="false">CQ128-CL128</f>
        <v>-2.20000000000002</v>
      </c>
      <c r="CS128" s="314"/>
      <c r="CT128" s="329" t="n">
        <f aca="false">CS128*100/42</f>
        <v>0</v>
      </c>
      <c r="CU128" s="329" t="n">
        <f aca="false">CT128-CG129</f>
        <v>0</v>
      </c>
      <c r="CV128" s="329" t="n">
        <f aca="false">CV116+VLOOKUP(1900+$L128,ProductSpreadTable,6)</f>
        <v>1.94999999999999</v>
      </c>
      <c r="CW128" s="333" t="n">
        <f aca="false">CL128+CV128</f>
        <v>88.7660997732421</v>
      </c>
      <c r="CX128" s="318"/>
      <c r="CY128" s="326" t="n">
        <f aca="false">CX128-$W128</f>
        <v>-0.168499999999999</v>
      </c>
      <c r="CZ128" s="326" t="n">
        <f aca="false">VLOOKUP(1900+$L128,ProductSpreadTable,7)</f>
        <v>-0.03</v>
      </c>
      <c r="DA128" s="365" t="n">
        <f aca="false">$W128+CZ128</f>
        <v>0.138499999999999</v>
      </c>
      <c r="DB128" s="318"/>
      <c r="DC128" s="326" t="n">
        <f aca="false">DB128-$W128</f>
        <v>-0.168499999999999</v>
      </c>
      <c r="DD128" s="326" t="n">
        <f aca="false">VLOOKUP(1900+$L128,ProductSpreadTable,8)</f>
        <v>0.03</v>
      </c>
      <c r="DE128" s="365" t="n">
        <f aca="false">$W128+DD128</f>
        <v>0.198499999999999</v>
      </c>
      <c r="DG128" s="336"/>
      <c r="DH128" s="314"/>
      <c r="DI128" s="325" t="n">
        <f aca="false">DH128-$U128</f>
        <v>-27.9547619047617</v>
      </c>
      <c r="DJ128" s="325" t="n">
        <f aca="false">VLOOKUP(1900+$L128,ResidSpreadTable,2)</f>
        <v>-2</v>
      </c>
      <c r="DK128" s="337" t="n">
        <f aca="false">$V128+DJ128</f>
        <v>25.9547619047617</v>
      </c>
      <c r="DL128" s="314"/>
      <c r="DM128" s="325" t="n">
        <f aca="false">DL128-$U128</f>
        <v>-27.9547619047617</v>
      </c>
      <c r="DN128" s="325" t="n">
        <f aca="false">VLOOKUP(1900+$L128,ResidSpreadTable,3)</f>
        <v>-3</v>
      </c>
      <c r="DO128" s="337" t="n">
        <f aca="false">$V128+DN128</f>
        <v>24.9547619047617</v>
      </c>
      <c r="DP128" s="314"/>
      <c r="DQ128" s="325" t="n">
        <f aca="false">DP128-$U128</f>
        <v>-27.9547619047617</v>
      </c>
      <c r="DR128" s="325" t="n">
        <f aca="false">VLOOKUP(1900+$L128,ResidSpreadTable,4)</f>
        <v>-6</v>
      </c>
      <c r="DS128" s="337" t="n">
        <f aca="false">$V128+DR128</f>
        <v>21.9547619047617</v>
      </c>
      <c r="DT128" s="314"/>
      <c r="DU128" s="325" t="n">
        <f aca="false">DT128-$U128</f>
        <v>-27.9547619047617</v>
      </c>
      <c r="DV128" s="325" t="n">
        <f aca="false">VLOOKUP(1900+$L128,ResidSpreadTable,5)</f>
        <v>-5</v>
      </c>
      <c r="DW128" s="337" t="n">
        <f aca="false">$V128+DV128</f>
        <v>22.9547619047617</v>
      </c>
    </row>
    <row r="129" customFormat="false" ht="12.75" hidden="false" customHeight="false" outlineLevel="0" collapsed="false">
      <c r="B129" s="371" t="n">
        <v>39479</v>
      </c>
      <c r="C129" s="391" t="n">
        <v>39469</v>
      </c>
      <c r="I129" s="338" t="n">
        <f aca="false">EOMONTH(I128,0)+1</f>
        <v>49675</v>
      </c>
      <c r="J129" s="389" t="n">
        <f aca="false">VLOOKUP(I129,$B$12:$C$332,2)</f>
        <v>45644</v>
      </c>
      <c r="K129" s="339" t="n">
        <f aca="false">NETWORKDAYS(I129,J130)/N129</f>
        <v>-125.217391304348</v>
      </c>
      <c r="L129" s="309" t="n">
        <f aca="false">YEAR(I129)-1900</f>
        <v>136</v>
      </c>
      <c r="M129" s="310" t="n">
        <f aca="false">MONTH(I129)</f>
        <v>1</v>
      </c>
      <c r="N129" s="340" t="n">
        <f aca="false">NETWORKDAYS(I129,I130-1)</f>
        <v>23</v>
      </c>
      <c r="O129" s="341" t="n">
        <f aca="false">I129-DateToday-IF(EuroExpDateToggle=1,3+IF(WEEKDAY(I129-1)=7,1,IF(WEEKDAY(I129-1)&lt;5,2,0)),1+IF(WEEKDAY(I129-1)=7,1,IF(WEEKDAY(I129-1)&lt;3,2,0)))</f>
        <v>3744</v>
      </c>
      <c r="P129" s="342" t="n">
        <f aca="false">(I129-DateToday+1)/365.25</f>
        <v>10.2669404517454</v>
      </c>
      <c r="Q129" s="342" t="n">
        <f aca="false">(I130-DateToday)/365.25</f>
        <v>10.3490759753593</v>
      </c>
      <c r="R129" s="314" t="n">
        <v>21.1</v>
      </c>
      <c r="S129" s="347" t="n">
        <v>0</v>
      </c>
      <c r="T129" s="316" t="n">
        <f aca="false">R129+S129/100</f>
        <v>21.1</v>
      </c>
      <c r="U129" s="325" t="n">
        <f aca="false">R130*K129+R131*(1-K129)</f>
        <v>27.4608695652173</v>
      </c>
      <c r="V129" s="337" t="n">
        <f aca="false">T130*K129+T131*(1-K129)</f>
        <v>27.4608695652173</v>
      </c>
      <c r="W129" s="318" t="n">
        <v>0.168099999999999</v>
      </c>
      <c r="X129" s="319" t="str">
        <f aca="false">IF($I129-DateToday+1&gt;=$A$10,"",IF($I129-DateToday+1&lt;$A$5,1,MATCH($I129-DateToday+1,$A$5:$A$10)))</f>
        <v/>
      </c>
      <c r="Y129" s="348" t="n">
        <f aca="false">IF($X129="",Y128^2/Y127,INDEX(B$5:B$10,$X129)^((INDEX($A$5:$A$10,$X129+1)-($I129-DateToday+1))/(INDEX($A$5:$A$10,$X129+1)-INDEX($A$5:$A$10,$X129)))/INDEX(B$5:B$10,$X129+1)^((INDEX($A$5:$A$10,$X129)-($I129-DateToday+1))/(INDEX($A$5:$A$10,$X129+1)-INDEX($A$5:$A$10,$X129))))</f>
        <v>0.00107033864388503</v>
      </c>
      <c r="Z129" s="348" t="n">
        <f aca="false">IF($X129="",Z128^2/Z127,INDEX(C$5:C$10,$X129)^((INDEX($A$5:$A$10,$X129+1)-($I129-DateToday+1))/(INDEX($A$5:$A$10,$X129+1)-INDEX($A$5:$A$10,$X129)))/INDEX(C$5:C$10,$X129+1)^((INDEX($A$5:$A$10,$X129)-($I129-DateToday+1))/(INDEX($A$5:$A$10,$X129+1)-INDEX($A$5:$A$10,$X129))))</f>
        <v>0.000340495570046456</v>
      </c>
      <c r="AA129" s="348" t="n">
        <f aca="false">IF($X129="",AA128^2/AA127,INDEX(D$5:D$10,$X129)^((INDEX($A$5:$A$10,$X129+1)-($I129-DateToday+1))/(INDEX($A$5:$A$10,$X129+1)-INDEX($A$5:$A$10,$X129)))/INDEX(D$5:D$10,$X129+1)^((INDEX($A$5:$A$10,$X129)-($I129-DateToday+1))/(INDEX($A$5:$A$10,$X129+1)-INDEX($A$5:$A$10,$X129))))</f>
        <v>0.000116596856768601</v>
      </c>
      <c r="AB129" s="348" t="n">
        <f aca="false">IF($X129="",AB128^2/AB127,INDEX(E$5:E$10,$X129)^((INDEX($A$5:$A$10,$X129+1)-($I129-DateToday+1))/(INDEX($A$5:$A$10,$X129+1)-INDEX($A$5:$A$10,$X129)))/INDEX(E$5:E$10,$X129+1)^((INDEX($A$5:$A$10,$X129)-($I129-DateToday+1))/(INDEX($A$5:$A$10,$X129+1)-INDEX($A$5:$A$10,$X129))))</f>
        <v>0.000262669398928315</v>
      </c>
      <c r="AC129" s="348" t="n">
        <f aca="false">IF($X129="",AC128^2/AC127,INDEX(F$5:F$10,$X129)^((INDEX($A$5:$A$10,$X129+1)-($I129-DateToday+1))/(INDEX($A$5:$A$10,$X129+1)-INDEX($A$5:$A$10,$X129)))/INDEX(F$5:F$10,$X129+1)^((INDEX($A$5:$A$10,$X129)-($I129-DateToday+1))/(INDEX($A$5:$A$10,$X129+1)-INDEX($A$5:$A$10,$X129))))</f>
        <v>0.000767068420200652</v>
      </c>
      <c r="AD129" s="348" t="n">
        <f aca="false">IF($X129="",AD128^2/AD127,INDEX(G$5:G$10,$X129)^((INDEX($A$5:$A$10,$X129+1)-($I129-DateToday+1))/(INDEX($A$5:$A$10,$X129+1)-INDEX($A$5:$A$10,$X129)))/INDEX(G$5:G$10,$X129+1)^((INDEX($A$5:$A$10,$X129)-($I129-DateToday+1))/(INDEX($A$5:$A$10,$X129+1)-INDEX($A$5:$A$10,$X129))))</f>
        <v>0.002411258896944</v>
      </c>
      <c r="AE129" s="321" t="n">
        <v>0.0737645917769</v>
      </c>
      <c r="AF129" s="316" t="n">
        <f aca="false">(1+AE129/2)^(-2*(I130-DateToday)/365.25)</f>
        <v>0.47252986552099</v>
      </c>
      <c r="AG129" s="316" t="n">
        <f aca="false">AG128*(1+IF(AND(M129=1,L129&gt;YearStart),Escalation,0))</f>
        <v>1</v>
      </c>
      <c r="AH129" s="322" t="n">
        <f aca="false">IF(OR(DateStart&gt;=I130,DateEnd&lt;I129),0,Volume*AG129)</f>
        <v>0</v>
      </c>
      <c r="AI129" s="322" t="n">
        <f aca="false">AH129*AF129</f>
        <v>0</v>
      </c>
      <c r="AJ129" s="322" t="n">
        <f aca="false">IF(OR(DateStart2&gt;=I130,DateEnd2&lt;I129),0,VolumeSwaption*AG129)</f>
        <v>0</v>
      </c>
      <c r="AK129" s="322" t="n">
        <f aca="false">AJ129*AF129</f>
        <v>0</v>
      </c>
      <c r="AL129" s="316" t="str">
        <f aca="true">IF(AH129,OFFSET(BY129,0,HorizontalPriceOffset)+PriceSpreadAsian,"")</f>
        <v/>
      </c>
      <c r="AM129" s="316" t="str">
        <f aca="false">IF(AH129,Strike1/AL129-1,"")</f>
        <v/>
      </c>
      <c r="AN129" s="316" t="str">
        <f aca="false">IF(AH129,Strike2/AL129-1,"")</f>
        <v/>
      </c>
      <c r="AO129" s="323" t="str">
        <f aca="false">IF(AH129,IF(VolOverrideAsian,VolOverrideAsian,IF(ProductGroup=1,IF(Product&lt;3,DA130,DE130),W130)+VolSpreadAsian),"")</f>
        <v/>
      </c>
      <c r="AP129" s="323" t="str">
        <f aca="false">IF($AH129,$AO129+IF(SkewFlag=1,IF(AM129&gt;0,$AA129*MIN(AM129/10%,1)+($Z129-$AA129)*MAX(0,MIN(AM129/10%-1,1))+($Y129-$Z129)*MAX(0,AM129/10%-2),$AB129*MIN(-AM129/10%,1)+($AC129-$AB129)*MAX(0,MIN(-AM129/10%-1,1))+($AD129-$AC129)*MAX(0,-AM129/10%-2)),0),"")</f>
        <v/>
      </c>
      <c r="AQ129" s="323" t="str">
        <f aca="false">IF($AH129,$AO129+IF(SkewFlag=1,IF(AN129&gt;0,$AA129*MIN(AN129/10%,1)+($Z129-$AA129)*MAX(0,MIN(AN129/10%-1,1))+($Y129-$Z129)*MAX(0,AN129/10%-2),$AB129*MIN(-AN129/10%,1)+($AC129-$AB129)*MAX(0,MIN(-AN129/10%-1,1))+($AD129-$AC129)*MAX(0,-AN129/10%-2)),0),"")</f>
        <v/>
      </c>
      <c r="AR129" s="324" t="n">
        <f aca="false">IF(AH129,xASN(AL129,Strike1,AE129,AP129,0,N129,0,P129,Q129,IF(OptControl=4,0,1),0),0)</f>
        <v>0</v>
      </c>
      <c r="AS129" s="324" t="n">
        <f aca="false">IF(AH129,xASN(AL129,Strike1,AE129,AP129,0,N129,0,P129,Q129,IF(OptControl=4,0,1),1),0)</f>
        <v>0</v>
      </c>
      <c r="AT129" s="324" t="n">
        <f aca="false">IF(AH129,xASN(AL129,Strike1,AE129,AP129,0,N129,0,P129,Q129,IF(OptControl=4,0,1),2),0)</f>
        <v>0</v>
      </c>
      <c r="AU129" s="324" t="n">
        <f aca="false">IF(AH129,xASN(AL129,Strike1,AE129,AP129,0,N129,0,P129,Q129,IF(OptControl=4,0,1),3)/100,0)</f>
        <v>0</v>
      </c>
      <c r="AV129" s="324" t="n">
        <f aca="false">IF(AH129,xASN(AL129,Strike1,AE129,AP129,0,N129,0,P129-DaysForThetaCalculation/365.25,Q129-DaysForThetaCalculation/365.25,IF(OptControl=4,0,1),0)-xASN(AL129,Strike1,AE129,AP129,0,N129,0,P129,Q129,IF(OptControl=4,0,1),0),0)</f>
        <v>0</v>
      </c>
      <c r="AW129" s="324" t="n">
        <f aca="false">IF(AH129,xASN(AL129,Strike2,AE129,AQ129,0,N129,0,P129,Q129,IF(OptControl=3,1,0),0),0)</f>
        <v>0</v>
      </c>
      <c r="AX129" s="324" t="n">
        <f aca="false">IF(AH129,xASN(AL129,Strike2,AE129,AQ129,0,N129,0,P129,Q129,IF(OptControl=3,1,0),1),0)</f>
        <v>0</v>
      </c>
      <c r="AY129" s="324" t="n">
        <f aca="false">IF(AH129,xASN(AL129,Strike2,AE129,AQ129,0,N129,0,P129,Q129,IF(OptControl=3,1,0),2),0)</f>
        <v>0</v>
      </c>
      <c r="AZ129" s="324" t="n">
        <f aca="false">IF(AH129,xASN(AL129,Strike2,AE129,AQ129,0,N129,0,P129,Q129,IF(OptControl=3,1,0),3)/100,0)</f>
        <v>0</v>
      </c>
      <c r="BA129" s="324" t="n">
        <f aca="false">IF(AH129,xASN(AL129,Strike2,AE129,AQ129,0,N129,0,P129-DaysForThetaCalculation/365.25,Q129-DaysForThetaCalculation/365.25,IF(OptControl=3,1,0),0)-xASN(AL129,Strike2,AE129,AQ129,0,N129,0,P129,Q129,IF(OptControl=3,1,0),0),0)</f>
        <v>0</v>
      </c>
      <c r="BB129" s="325" t="str">
        <f aca="false">IF(AH129,IF(ProductGroup=1,IF(Product=1,BX129+PriceSpreadEuro,IF(Product=3,CK129+PriceSpreadEuro,"N/A")),"N/A"),"")</f>
        <v/>
      </c>
      <c r="BC129" s="316" t="str">
        <f aca="false">IF(AH129,Strike1/BB129-1,"")</f>
        <v/>
      </c>
      <c r="BD129" s="316" t="str">
        <f aca="false">IF(AH129,Strike2/BB129-1,"")</f>
        <v/>
      </c>
      <c r="BE129" s="326" t="str">
        <f aca="false">IF(AH129,IF(VolOverrideEuro,VolOverrideEuro,IF(ProductGroup=1,IF(Product&lt;3,DA129,DE129)+VolSpreadEuro,"N/A")),"")</f>
        <v/>
      </c>
      <c r="BF129" s="323" t="str">
        <f aca="false">IF($AH129,$BE129+IF(SkewFlag=1,IF(BC129&gt;0,$AA129*MIN(BC129/10%,1)+($Z129-$AA129)*MAX(0,MIN(BC129/10%-1,1))+($Y129-$Z129)*MAX(0,BC129/10%-2),$AB129*MIN(-BC129/10%,1)+($AC129-$AB129)*MAX(0,MIN(-BC129/10%-1,1))+($AD129-$AC129)*MAX(0,-BC129/10%-2)),0),"")</f>
        <v/>
      </c>
      <c r="BG129" s="323" t="str">
        <f aca="false">IF($AH129,$BE129+IF(SkewFlag=1,IF(BD129&gt;0,$AA129*MIN(BD129/10%,1)+($Z129-$AA129)*MAX(0,MIN(BD129/10%-1,1))+($Y129-$Z129)*MAX(0,BD129/10%-2),$AB129*MIN(-BD129/10%,1)+($AC129-$AB129)*MAX(0,MIN(-BD129/10%-1,1))+($AD129-$AC129)*MAX(0,-BD129/10%-2)),0),"")</f>
        <v/>
      </c>
      <c r="BH129" s="324" t="n">
        <f aca="false">IF(AH129,xEURO(BB129,Strike1,AE129,AE129,BF129,O129,IF(OptControl=4,0,1),0),0)</f>
        <v>0</v>
      </c>
      <c r="BI129" s="324" t="n">
        <f aca="false">IF(AH129,xEURO(BB129,Strike1,AE129,AE129,BF129,O129,IF(OptControl=4,0,1),1),0)</f>
        <v>0</v>
      </c>
      <c r="BJ129" s="324" t="n">
        <f aca="false">IF(AH129,xEURO(BB129,Strike1,AE129,AE129,BF129,O129,IF(OptControl=4,0,1),2),0)</f>
        <v>0</v>
      </c>
      <c r="BK129" s="324" t="n">
        <f aca="false">IF(AH129,xEURO(BB129,Strike1,AE129,AE129,BF129,O129,IF(OptControl=4,0,1),3)/100,0)</f>
        <v>0</v>
      </c>
      <c r="BL129" s="324" t="n">
        <f aca="false">IF(AH129,xEURO(BB129,Strike1,AE129,AE129,BF129,O129-DaysForThetaCalculation,IF(OptControl=4,0,1),0)-xEURO(BB129,Strike1,AE129,AE129,BF129,O129,IF(OptControl=4,0,1),0),0)</f>
        <v>0</v>
      </c>
      <c r="BM129" s="324" t="n">
        <f aca="false">IF(AH129,xEURO(BB129,Strike2,AE129,AE129,BG129,O129,IF(OptControl=3,1,0),0),0)</f>
        <v>0</v>
      </c>
      <c r="BN129" s="324" t="n">
        <f aca="false">IF(AH129,xEURO(BB129,Strike2,AE129,AE129,BG129,O129,IF(OptControl=3,1,0),1),0)</f>
        <v>0</v>
      </c>
      <c r="BO129" s="324" t="n">
        <f aca="false">IF(AH129,xEURO(BB129,Strike2,AE129,AE129,BG129,O129,IF(OptControl=3,1,0),2),0)</f>
        <v>0</v>
      </c>
      <c r="BP129" s="324" t="n">
        <f aca="false">IF(AH129,xEURO(BB129,Strike2,AE129,AE129,BG129,O129,IF(OptControl=3,1,0),3)/100,0)</f>
        <v>0</v>
      </c>
      <c r="BQ129" s="327" t="n">
        <f aca="false">IF(AH129,xEURO(BB129,Strike2,AE129,AE129,BG129,O129-DaysForThetaCalculation,IF(OptControl=3,1,0),0)-xEURO(BB129,Strike2,AE129,AE129,BG129,O129,IF(OptControl=3,1,0),0),0)</f>
        <v>0</v>
      </c>
      <c r="BR129" s="343"/>
      <c r="BS129" s="314"/>
      <c r="BT129" s="329" t="n">
        <f aca="false">BS129*100/42</f>
        <v>0</v>
      </c>
      <c r="BU129" s="329" t="n">
        <f aca="false">BS130-$U129</f>
        <v>-27.4608695652173</v>
      </c>
      <c r="BV129" s="224"/>
      <c r="BW129" s="329" t="n">
        <f aca="false">BW117+VLOOKUP(1900+$L129,ProductSpreadTable,2)</f>
        <v>15.4692727272728</v>
      </c>
      <c r="BX129" s="329" t="n">
        <f aca="false">($V128+BW128)*100/42</f>
        <v>104.758853396431</v>
      </c>
      <c r="BY129" s="332" t="n">
        <f aca="false">BX130</f>
        <v>102.214624505929</v>
      </c>
      <c r="BZ129" s="314"/>
      <c r="CA129" s="329" t="n">
        <f aca="false">BZ129*100/42</f>
        <v>0</v>
      </c>
      <c r="CB129" s="329" t="n">
        <f aca="false">BZ129-$U129</f>
        <v>-27.4608695652173</v>
      </c>
      <c r="CC129" s="329" t="n">
        <f aca="false">CC117+VLOOKUP(1900+$L129,ProductSpreadTable,3)</f>
        <v>13.0542727272728</v>
      </c>
      <c r="CD129" s="329" t="n">
        <f aca="false">($V129+CC129)*100/42</f>
        <v>96.4646245059287</v>
      </c>
      <c r="CE129" s="333" t="n">
        <f aca="false">CD129-BY129</f>
        <v>-5.75</v>
      </c>
      <c r="CF129" s="314"/>
      <c r="CG129" s="329" t="n">
        <f aca="false">CF129*100/42</f>
        <v>0</v>
      </c>
      <c r="CH129" s="329" t="n">
        <f aca="false">CF130-$U129</f>
        <v>-27.4608695652173</v>
      </c>
      <c r="CI129" s="224"/>
      <c r="CJ129" s="329" t="n">
        <f aca="false">CJ117+VLOOKUP(1900+$L129,ProductSpreadTable,4)</f>
        <v>9.05299999999997</v>
      </c>
      <c r="CK129" s="329" t="n">
        <f aca="false">($V128+CJ128)*100/42</f>
        <v>86.8160997732421</v>
      </c>
      <c r="CL129" s="329" t="n">
        <f aca="false">CK130</f>
        <v>86.9377846790888</v>
      </c>
      <c r="CM129" s="314"/>
      <c r="CN129" s="329" t="n">
        <f aca="false">CM129*100/42</f>
        <v>0</v>
      </c>
      <c r="CO129" s="329" t="n">
        <f aca="false">CM129-$U129</f>
        <v>-27.4608695652173</v>
      </c>
      <c r="CP129" s="329" t="n">
        <f aca="false">CP117+VLOOKUP(1900+$L129,ProductSpreadTable,5)</f>
        <v>8.12899999999997</v>
      </c>
      <c r="CQ129" s="329" t="n">
        <f aca="false">($V129+CP129)*100/42</f>
        <v>84.7377846790888</v>
      </c>
      <c r="CR129" s="333" t="n">
        <f aca="false">CQ129-CL129</f>
        <v>-2.2</v>
      </c>
      <c r="CS129" s="314"/>
      <c r="CT129" s="329" t="n">
        <f aca="false">CS129*100/42</f>
        <v>0</v>
      </c>
      <c r="CU129" s="329" t="n">
        <f aca="false">CT129-CG130</f>
        <v>0</v>
      </c>
      <c r="CV129" s="329" t="n">
        <f aca="false">CV117+VLOOKUP(1900+$L129,ProductSpreadTable,6)</f>
        <v>1.94999999999999</v>
      </c>
      <c r="CW129" s="333" t="n">
        <f aca="false">CL129+CV129</f>
        <v>88.8877846790888</v>
      </c>
      <c r="CX129" s="318"/>
      <c r="CY129" s="326" t="n">
        <f aca="false">CX129-$W129</f>
        <v>-0.168099999999999</v>
      </c>
      <c r="CZ129" s="326" t="n">
        <f aca="false">VLOOKUP(1900+$L129,ProductSpreadTable,7)</f>
        <v>-0.03</v>
      </c>
      <c r="DA129" s="365" t="n">
        <f aca="false">$W129+CZ129</f>
        <v>0.138099999999999</v>
      </c>
      <c r="DB129" s="318"/>
      <c r="DC129" s="326" t="n">
        <f aca="false">DB129-$W129</f>
        <v>-0.168099999999999</v>
      </c>
      <c r="DD129" s="326" t="n">
        <f aca="false">VLOOKUP(1900+$L129,ProductSpreadTable,8)</f>
        <v>0.03</v>
      </c>
      <c r="DE129" s="365" t="n">
        <f aca="false">$W129+DD129</f>
        <v>0.198099999999999</v>
      </c>
      <c r="DG129" s="336"/>
      <c r="DH129" s="314"/>
      <c r="DI129" s="325" t="n">
        <f aca="false">DH129-$U129</f>
        <v>-27.4608695652173</v>
      </c>
      <c r="DJ129" s="325" t="n">
        <f aca="false">VLOOKUP(1900+$L129,ResidSpreadTable,2)</f>
        <v>-2</v>
      </c>
      <c r="DK129" s="337" t="n">
        <f aca="false">$V129+DJ129</f>
        <v>25.4608695652173</v>
      </c>
      <c r="DL129" s="314"/>
      <c r="DM129" s="325" t="n">
        <f aca="false">DL129-$U129</f>
        <v>-27.4608695652173</v>
      </c>
      <c r="DN129" s="325" t="n">
        <f aca="false">VLOOKUP(1900+$L129,ResidSpreadTable,3)</f>
        <v>-3</v>
      </c>
      <c r="DO129" s="337" t="n">
        <f aca="false">$V129+DN129</f>
        <v>24.4608695652173</v>
      </c>
      <c r="DP129" s="314"/>
      <c r="DQ129" s="325" t="n">
        <f aca="false">DP129-$U129</f>
        <v>-27.4608695652173</v>
      </c>
      <c r="DR129" s="325" t="n">
        <f aca="false">VLOOKUP(1900+$L129,ResidSpreadTable,4)</f>
        <v>-6</v>
      </c>
      <c r="DS129" s="337" t="n">
        <f aca="false">$V129+DR129</f>
        <v>21.4608695652173</v>
      </c>
      <c r="DT129" s="314"/>
      <c r="DU129" s="325" t="n">
        <f aca="false">DT129-$U129</f>
        <v>-27.4608695652173</v>
      </c>
      <c r="DV129" s="325" t="n">
        <f aca="false">VLOOKUP(1900+$L129,ResidSpreadTable,5)</f>
        <v>-5</v>
      </c>
      <c r="DW129" s="337" t="n">
        <f aca="false">$V129+DV129</f>
        <v>22.4608695652173</v>
      </c>
    </row>
    <row r="130" customFormat="false" ht="12.75" hidden="false" customHeight="false" outlineLevel="0" collapsed="false">
      <c r="B130" s="371" t="n">
        <v>39508</v>
      </c>
      <c r="C130" s="391" t="n">
        <v>39498</v>
      </c>
      <c r="I130" s="338" t="n">
        <f aca="false">EOMONTH(I129,0)+1</f>
        <v>49706</v>
      </c>
      <c r="J130" s="389" t="n">
        <f aca="false">VLOOKUP(I130,$B$12:$C$332,2)</f>
        <v>45644</v>
      </c>
      <c r="K130" s="339" t="n">
        <f aca="false">NETWORKDAYS(I130,J131)/N130</f>
        <v>-138.238095238095</v>
      </c>
      <c r="L130" s="309" t="n">
        <f aca="false">YEAR(I130)-1900</f>
        <v>136</v>
      </c>
      <c r="M130" s="310" t="n">
        <f aca="false">MONTH(I130)</f>
        <v>2</v>
      </c>
      <c r="N130" s="340" t="n">
        <f aca="false">NETWORKDAYS(I130,I131-1)</f>
        <v>21</v>
      </c>
      <c r="O130" s="341" t="n">
        <f aca="false">I130-DateToday-IF(EuroExpDateToggle=1,3+IF(WEEKDAY(I130-1)=7,1,IF(WEEKDAY(I130-1)&lt;5,2,0)),1+IF(WEEKDAY(I130-1)=7,1,IF(WEEKDAY(I130-1)&lt;3,2,0)))</f>
        <v>3777</v>
      </c>
      <c r="P130" s="342" t="n">
        <f aca="false">(I130-DateToday+1)/365.25</f>
        <v>10.3518138261465</v>
      </c>
      <c r="Q130" s="342" t="n">
        <f aca="false">(I131-DateToday)/365.25</f>
        <v>10.4284736481862</v>
      </c>
      <c r="R130" s="314" t="n">
        <v>21.15</v>
      </c>
      <c r="S130" s="347" t="n">
        <v>0</v>
      </c>
      <c r="T130" s="316" t="n">
        <f aca="false">R130+S130/100</f>
        <v>21.15</v>
      </c>
      <c r="U130" s="325" t="n">
        <f aca="false">R131*K130+R132*(1-K130)</f>
        <v>28.1619047619047</v>
      </c>
      <c r="V130" s="337" t="n">
        <f aca="false">T131*K130+T132*(1-K130)</f>
        <v>28.1619047619047</v>
      </c>
      <c r="W130" s="318" t="n">
        <v>0.167699999999999</v>
      </c>
      <c r="X130" s="319" t="str">
        <f aca="false">IF($I130-DateToday+1&gt;=$A$10,"",IF($I130-DateToday+1&lt;$A$5,1,MATCH($I130-DateToday+1,$A$5:$A$10)))</f>
        <v/>
      </c>
      <c r="Y130" s="348" t="n">
        <f aca="false">IF($X130="",Y129^2/Y128,INDEX(B$5:B$10,$X130)^((INDEX($A$5:$A$10,$X130+1)-($I130-DateToday+1))/(INDEX($A$5:$A$10,$X130+1)-INDEX($A$5:$A$10,$X130)))/INDEX(B$5:B$10,$X130+1)^((INDEX($A$5:$A$10,$X130)-($I130-DateToday+1))/(INDEX($A$5:$A$10,$X130+1)-INDEX($A$5:$A$10,$X130))))</f>
        <v>0.00104742432142669</v>
      </c>
      <c r="Z130" s="348" t="n">
        <f aca="false">IF($X130="",Z129^2/Z128,INDEX(C$5:C$10,$X130)^((INDEX($A$5:$A$10,$X130+1)-($I130-DateToday+1))/(INDEX($A$5:$A$10,$X130+1)-INDEX($A$5:$A$10,$X130)))/INDEX(C$5:C$10,$X130+1)^((INDEX($A$5:$A$10,$X130)-($I130-DateToday+1))/(INDEX($A$5:$A$10,$X130+1)-INDEX($A$5:$A$10,$X130))))</f>
        <v>0.000331422075113058</v>
      </c>
      <c r="AA130" s="348" t="n">
        <f aca="false">IF($X130="",AA129^2/AA128,INDEX(D$5:D$10,$X130)^((INDEX($A$5:$A$10,$X130+1)-($I130-DateToday+1))/(INDEX($A$5:$A$10,$X130+1)-INDEX($A$5:$A$10,$X130)))/INDEX(D$5:D$10,$X130+1)^((INDEX($A$5:$A$10,$X130)-($I130-DateToday+1))/(INDEX($A$5:$A$10,$X130+1)-INDEX($A$5:$A$10,$X130))))</f>
        <v>0.000113185460729493</v>
      </c>
      <c r="AB130" s="348" t="n">
        <f aca="false">IF($X130="",AB129^2/AB128,INDEX(E$5:E$10,$X130)^((INDEX($A$5:$A$10,$X130+1)-($I130-DateToday+1))/(INDEX($A$5:$A$10,$X130+1)-INDEX($A$5:$A$10,$X130)))/INDEX(E$5:E$10,$X130+1)^((INDEX($A$5:$A$10,$X130)-($I130-DateToday+1))/(INDEX($A$5:$A$10,$X130+1)-INDEX($A$5:$A$10,$X130))))</f>
        <v>0.000254984205931412</v>
      </c>
      <c r="AC130" s="348" t="n">
        <f aca="false">IF($X130="",AC129^2/AC128,INDEX(F$5:F$10,$X130)^((INDEX($A$5:$A$10,$X130+1)-($I130-DateToday+1))/(INDEX($A$5:$A$10,$X130+1)-INDEX($A$5:$A$10,$X130)))/INDEX(F$5:F$10,$X130+1)^((INDEX($A$5:$A$10,$X130)-($I130-DateToday+1))/(INDEX($A$5:$A$10,$X130+1)-INDEX($A$5:$A$10,$X130))))</f>
        <v>0.000746627650814694</v>
      </c>
      <c r="AD130" s="348" t="n">
        <f aca="false">IF($X130="",AD129^2/AD128,INDEX(G$5:G$10,$X130)^((INDEX($A$5:$A$10,$X130+1)-($I130-DateToday+1))/(INDEX($A$5:$A$10,$X130+1)-INDEX($A$5:$A$10,$X130)))/INDEX(G$5:G$10,$X130+1)^((INDEX($A$5:$A$10,$X130)-($I130-DateToday+1))/(INDEX($A$5:$A$10,$X130+1)-INDEX($A$5:$A$10,$X130))))</f>
        <v>0.00235963751130986</v>
      </c>
      <c r="AE130" s="321" t="n">
        <v>0.073760630218137</v>
      </c>
      <c r="AF130" s="316" t="n">
        <f aca="false">(1+AE130/2)^(-2*(I131-DateToday)/365.25)</f>
        <v>0.469838716606261</v>
      </c>
      <c r="AG130" s="316" t="n">
        <f aca="false">AG129*(1+IF(AND(M130=1,L130&gt;YearStart),Escalation,0))</f>
        <v>1</v>
      </c>
      <c r="AH130" s="322" t="n">
        <f aca="false">IF(OR(DateStart&gt;=I131,DateEnd&lt;I130),0,Volume*AG130)</f>
        <v>0</v>
      </c>
      <c r="AI130" s="322" t="n">
        <f aca="false">AH130*AF130</f>
        <v>0</v>
      </c>
      <c r="AJ130" s="322" t="n">
        <f aca="false">IF(OR(DateStart2&gt;=I131,DateEnd2&lt;I130),0,VolumeSwaption*AG130)</f>
        <v>0</v>
      </c>
      <c r="AK130" s="322" t="n">
        <f aca="false">AJ130*AF130</f>
        <v>0</v>
      </c>
      <c r="AL130" s="316" t="str">
        <f aca="true">IF(AH130,OFFSET(BY130,0,HorizontalPriceOffset)+PriceSpreadAsian,"")</f>
        <v/>
      </c>
      <c r="AM130" s="316" t="str">
        <f aca="false">IF(AH130,Strike1/AL130-1,"")</f>
        <v/>
      </c>
      <c r="AN130" s="316" t="str">
        <f aca="false">IF(AH130,Strike2/AL130-1,"")</f>
        <v/>
      </c>
      <c r="AO130" s="323" t="str">
        <f aca="false">IF(AH130,IF(VolOverrideAsian,VolOverrideAsian,IF(ProductGroup=1,IF(Product&lt;3,DA131,DE131),W131)+VolSpreadAsian),"")</f>
        <v/>
      </c>
      <c r="AP130" s="323" t="str">
        <f aca="false">IF($AH130,$AO130+IF(SkewFlag=1,IF(AM130&gt;0,$AA130*MIN(AM130/10%,1)+($Z130-$AA130)*MAX(0,MIN(AM130/10%-1,1))+($Y130-$Z130)*MAX(0,AM130/10%-2),$AB130*MIN(-AM130/10%,1)+($AC130-$AB130)*MAX(0,MIN(-AM130/10%-1,1))+($AD130-$AC130)*MAX(0,-AM130/10%-2)),0),"")</f>
        <v/>
      </c>
      <c r="AQ130" s="323" t="str">
        <f aca="false">IF($AH130,$AO130+IF(SkewFlag=1,IF(AN130&gt;0,$AA130*MIN(AN130/10%,1)+($Z130-$AA130)*MAX(0,MIN(AN130/10%-1,1))+($Y130-$Z130)*MAX(0,AN130/10%-2),$AB130*MIN(-AN130/10%,1)+($AC130-$AB130)*MAX(0,MIN(-AN130/10%-1,1))+($AD130-$AC130)*MAX(0,-AN130/10%-2)),0),"")</f>
        <v/>
      </c>
      <c r="AR130" s="324" t="n">
        <f aca="false">IF(AH130,xASN(AL130,Strike1,AE130,AP130,0,N130,0,P130,Q130,IF(OptControl=4,0,1),0),0)</f>
        <v>0</v>
      </c>
      <c r="AS130" s="324" t="n">
        <f aca="false">IF(AH130,xASN(AL130,Strike1,AE130,AP130,0,N130,0,P130,Q130,IF(OptControl=4,0,1),1),0)</f>
        <v>0</v>
      </c>
      <c r="AT130" s="324" t="n">
        <f aca="false">IF(AH130,xASN(AL130,Strike1,AE130,AP130,0,N130,0,P130,Q130,IF(OptControl=4,0,1),2),0)</f>
        <v>0</v>
      </c>
      <c r="AU130" s="324" t="n">
        <f aca="false">IF(AH130,xASN(AL130,Strike1,AE130,AP130,0,N130,0,P130,Q130,IF(OptControl=4,0,1),3)/100,0)</f>
        <v>0</v>
      </c>
      <c r="AV130" s="324" t="n">
        <f aca="false">IF(AH130,xASN(AL130,Strike1,AE130,AP130,0,N130,0,P130-DaysForThetaCalculation/365.25,Q130-DaysForThetaCalculation/365.25,IF(OptControl=4,0,1),0)-xASN(AL130,Strike1,AE130,AP130,0,N130,0,P130,Q130,IF(OptControl=4,0,1),0),0)</f>
        <v>0</v>
      </c>
      <c r="AW130" s="324" t="n">
        <f aca="false">IF(AH130,xASN(AL130,Strike2,AE130,AQ130,0,N130,0,P130,Q130,IF(OptControl=3,1,0),0),0)</f>
        <v>0</v>
      </c>
      <c r="AX130" s="324" t="n">
        <f aca="false">IF(AH130,xASN(AL130,Strike2,AE130,AQ130,0,N130,0,P130,Q130,IF(OptControl=3,1,0),1),0)</f>
        <v>0</v>
      </c>
      <c r="AY130" s="324" t="n">
        <f aca="false">IF(AH130,xASN(AL130,Strike2,AE130,AQ130,0,N130,0,P130,Q130,IF(OptControl=3,1,0),2),0)</f>
        <v>0</v>
      </c>
      <c r="AZ130" s="324" t="n">
        <f aca="false">IF(AH130,xASN(AL130,Strike2,AE130,AQ130,0,N130,0,P130,Q130,IF(OptControl=3,1,0),3)/100,0)</f>
        <v>0</v>
      </c>
      <c r="BA130" s="324" t="n">
        <f aca="false">IF(AH130,xASN(AL130,Strike2,AE130,AQ130,0,N130,0,P130-DaysForThetaCalculation/365.25,Q130-DaysForThetaCalculation/365.25,IF(OptControl=3,1,0),0)-xASN(AL130,Strike2,AE130,AQ130,0,N130,0,P130,Q130,IF(OptControl=3,1,0),0),0)</f>
        <v>0</v>
      </c>
      <c r="BB130" s="325" t="str">
        <f aca="false">IF(AH130,IF(ProductGroup=1,IF(Product=1,BX130+PriceSpreadEuro,IF(Product=3,CK130+PriceSpreadEuro,"N/A")),"N/A"),"")</f>
        <v/>
      </c>
      <c r="BC130" s="316" t="str">
        <f aca="false">IF(AH130,Strike1/BB130-1,"")</f>
        <v/>
      </c>
      <c r="BD130" s="316" t="str">
        <f aca="false">IF(AH130,Strike2/BB130-1,"")</f>
        <v/>
      </c>
      <c r="BE130" s="326" t="str">
        <f aca="false">IF(AH130,IF(VolOverrideEuro,VolOverrideEuro,IF(ProductGroup=1,IF(Product&lt;3,DA130,DE130)+VolSpreadEuro,"N/A")),"")</f>
        <v/>
      </c>
      <c r="BF130" s="323" t="str">
        <f aca="false">IF($AH130,$BE130+IF(SkewFlag=1,IF(BC130&gt;0,$AA130*MIN(BC130/10%,1)+($Z130-$AA130)*MAX(0,MIN(BC130/10%-1,1))+($Y130-$Z130)*MAX(0,BC130/10%-2),$AB130*MIN(-BC130/10%,1)+($AC130-$AB130)*MAX(0,MIN(-BC130/10%-1,1))+($AD130-$AC130)*MAX(0,-BC130/10%-2)),0),"")</f>
        <v/>
      </c>
      <c r="BG130" s="323" t="str">
        <f aca="false">IF($AH130,$BE130+IF(SkewFlag=1,IF(BD130&gt;0,$AA130*MIN(BD130/10%,1)+($Z130-$AA130)*MAX(0,MIN(BD130/10%-1,1))+($Y130-$Z130)*MAX(0,BD130/10%-2),$AB130*MIN(-BD130/10%,1)+($AC130-$AB130)*MAX(0,MIN(-BD130/10%-1,1))+($AD130-$AC130)*MAX(0,-BD130/10%-2)),0),"")</f>
        <v/>
      </c>
      <c r="BH130" s="324" t="n">
        <f aca="false">IF(AH130,xEURO(BB130,Strike1,AE130,AE130,BF130,O130,IF(OptControl=4,0,1),0),0)</f>
        <v>0</v>
      </c>
      <c r="BI130" s="324" t="n">
        <f aca="false">IF(AH130,xEURO(BB130,Strike1,AE130,AE130,BF130,O130,IF(OptControl=4,0,1),1),0)</f>
        <v>0</v>
      </c>
      <c r="BJ130" s="324" t="n">
        <f aca="false">IF(AH130,xEURO(BB130,Strike1,AE130,AE130,BF130,O130,IF(OptControl=4,0,1),2),0)</f>
        <v>0</v>
      </c>
      <c r="BK130" s="324" t="n">
        <f aca="false">IF(AH130,xEURO(BB130,Strike1,AE130,AE130,BF130,O130,IF(OptControl=4,0,1),3)/100,0)</f>
        <v>0</v>
      </c>
      <c r="BL130" s="324" t="n">
        <f aca="false">IF(AH130,xEURO(BB130,Strike1,AE130,AE130,BF130,O130-DaysForThetaCalculation,IF(OptControl=4,0,1),0)-xEURO(BB130,Strike1,AE130,AE130,BF130,O130,IF(OptControl=4,0,1),0),0)</f>
        <v>0</v>
      </c>
      <c r="BM130" s="324" t="n">
        <f aca="false">IF(AH130,xEURO(BB130,Strike2,AE130,AE130,BG130,O130,IF(OptControl=3,1,0),0),0)</f>
        <v>0</v>
      </c>
      <c r="BN130" s="324" t="n">
        <f aca="false">IF(AH130,xEURO(BB130,Strike2,AE130,AE130,BG130,O130,IF(OptControl=3,1,0),1),0)</f>
        <v>0</v>
      </c>
      <c r="BO130" s="324" t="n">
        <f aca="false">IF(AH130,xEURO(BB130,Strike2,AE130,AE130,BG130,O130,IF(OptControl=3,1,0),2),0)</f>
        <v>0</v>
      </c>
      <c r="BP130" s="324" t="n">
        <f aca="false">IF(AH130,xEURO(BB130,Strike2,AE130,AE130,BG130,O130,IF(OptControl=3,1,0),3)/100,0)</f>
        <v>0</v>
      </c>
      <c r="BQ130" s="327" t="n">
        <f aca="false">IF(AH130,xEURO(BB130,Strike2,AE130,AE130,BG130,O130-DaysForThetaCalculation,IF(OptControl=3,1,0),0)-xEURO(BB130,Strike2,AE130,AE130,BG130,O130,IF(OptControl=3,1,0),0),0)</f>
        <v>0</v>
      </c>
      <c r="BR130" s="343"/>
      <c r="BS130" s="314"/>
      <c r="BT130" s="329" t="n">
        <f aca="false">BS130*100/42</f>
        <v>0</v>
      </c>
      <c r="BU130" s="329" t="n">
        <f aca="false">BS131-$U130</f>
        <v>-28.1619047619047</v>
      </c>
      <c r="BV130" s="224"/>
      <c r="BW130" s="329" t="n">
        <f aca="false">BW118+VLOOKUP(1900+$L130,ProductSpreadTable,2)</f>
        <v>15.489</v>
      </c>
      <c r="BX130" s="329" t="n">
        <f aca="false">($V129+BW129)*100/42</f>
        <v>102.214624505929</v>
      </c>
      <c r="BY130" s="332" t="n">
        <f aca="false">BX131</f>
        <v>103.930725623583</v>
      </c>
      <c r="BZ130" s="314"/>
      <c r="CA130" s="329" t="n">
        <f aca="false">BZ130*100/42</f>
        <v>0</v>
      </c>
      <c r="CB130" s="329" t="n">
        <f aca="false">BZ130-$U130</f>
        <v>-28.1619047619047</v>
      </c>
      <c r="CC130" s="329" t="n">
        <f aca="false">CC118+VLOOKUP(1900+$L130,ProductSpreadTable,3)</f>
        <v>13.074</v>
      </c>
      <c r="CD130" s="329" t="n">
        <f aca="false">($V130+CC130)*100/42</f>
        <v>98.1807256235826</v>
      </c>
      <c r="CE130" s="333" t="n">
        <f aca="false">CD130-BY130</f>
        <v>-5.75</v>
      </c>
      <c r="CF130" s="314"/>
      <c r="CG130" s="329" t="n">
        <f aca="false">CF130*100/42</f>
        <v>0</v>
      </c>
      <c r="CH130" s="329" t="n">
        <f aca="false">CF131-$U130</f>
        <v>-28.1619047619047</v>
      </c>
      <c r="CI130" s="224"/>
      <c r="CJ130" s="329" t="n">
        <f aca="false">CJ118+VLOOKUP(1900+$L130,ProductSpreadTable,4)</f>
        <v>9.3859999999999</v>
      </c>
      <c r="CK130" s="329" t="n">
        <f aca="false">($V129+CJ129)*100/42</f>
        <v>86.9377846790888</v>
      </c>
      <c r="CL130" s="329" t="n">
        <f aca="false">CK131</f>
        <v>89.39977324263</v>
      </c>
      <c r="CM130" s="314"/>
      <c r="CN130" s="329" t="n">
        <f aca="false">CM130*100/42</f>
        <v>0</v>
      </c>
      <c r="CO130" s="329" t="n">
        <f aca="false">CM130-$U130</f>
        <v>-28.1619047619047</v>
      </c>
      <c r="CP130" s="329" t="n">
        <f aca="false">CP118+VLOOKUP(1900+$L130,ProductSpreadTable,5)</f>
        <v>8.4619999999999</v>
      </c>
      <c r="CQ130" s="329" t="n">
        <f aca="false">($V130+CP130)*100/42</f>
        <v>87.19977324263</v>
      </c>
      <c r="CR130" s="333" t="n">
        <f aca="false">CQ130-CL130</f>
        <v>-2.2</v>
      </c>
      <c r="CS130" s="314"/>
      <c r="CT130" s="329" t="n">
        <f aca="false">CS130*100/42</f>
        <v>0</v>
      </c>
      <c r="CU130" s="329" t="n">
        <f aca="false">CT130-CG131</f>
        <v>0</v>
      </c>
      <c r="CV130" s="329" t="n">
        <f aca="false">CV118+VLOOKUP(1900+$L130,ProductSpreadTable,6)</f>
        <v>1.94999999999999</v>
      </c>
      <c r="CW130" s="333" t="n">
        <f aca="false">CL130+CV130</f>
        <v>91.34977324263</v>
      </c>
      <c r="CX130" s="318"/>
      <c r="CY130" s="326" t="n">
        <f aca="false">CX130-$W130</f>
        <v>-0.167699999999999</v>
      </c>
      <c r="CZ130" s="326" t="n">
        <f aca="false">VLOOKUP(1900+$L130,ProductSpreadTable,7)</f>
        <v>-0.03</v>
      </c>
      <c r="DA130" s="365" t="n">
        <f aca="false">$W130+CZ130</f>
        <v>0.137699999999999</v>
      </c>
      <c r="DB130" s="318"/>
      <c r="DC130" s="326" t="n">
        <f aca="false">DB130-$W130</f>
        <v>-0.167699999999999</v>
      </c>
      <c r="DD130" s="326" t="n">
        <f aca="false">VLOOKUP(1900+$L130,ProductSpreadTable,8)</f>
        <v>0.03</v>
      </c>
      <c r="DE130" s="365" t="n">
        <f aca="false">$W130+DD130</f>
        <v>0.197699999999999</v>
      </c>
      <c r="DG130" s="336"/>
      <c r="DH130" s="314"/>
      <c r="DI130" s="325" t="n">
        <f aca="false">DH130-$U130</f>
        <v>-28.1619047619047</v>
      </c>
      <c r="DJ130" s="325" t="n">
        <f aca="false">VLOOKUP(1900+$L130,ResidSpreadTable,2)</f>
        <v>-2</v>
      </c>
      <c r="DK130" s="337" t="n">
        <f aca="false">$V130+DJ130</f>
        <v>26.1619047619047</v>
      </c>
      <c r="DL130" s="314"/>
      <c r="DM130" s="325" t="n">
        <f aca="false">DL130-$U130</f>
        <v>-28.1619047619047</v>
      </c>
      <c r="DN130" s="325" t="n">
        <f aca="false">VLOOKUP(1900+$L130,ResidSpreadTable,3)</f>
        <v>-3</v>
      </c>
      <c r="DO130" s="337" t="n">
        <f aca="false">$V130+DN130</f>
        <v>25.1619047619047</v>
      </c>
      <c r="DP130" s="314"/>
      <c r="DQ130" s="325" t="n">
        <f aca="false">DP130-$U130</f>
        <v>-28.1619047619047</v>
      </c>
      <c r="DR130" s="325" t="n">
        <f aca="false">VLOOKUP(1900+$L130,ResidSpreadTable,4)</f>
        <v>-6</v>
      </c>
      <c r="DS130" s="337" t="n">
        <f aca="false">$V130+DR130</f>
        <v>22.1619047619047</v>
      </c>
      <c r="DT130" s="314"/>
      <c r="DU130" s="325" t="n">
        <f aca="false">DT130-$U130</f>
        <v>-28.1619047619047</v>
      </c>
      <c r="DV130" s="325" t="n">
        <f aca="false">VLOOKUP(1900+$L130,ResidSpreadTable,5)</f>
        <v>-5</v>
      </c>
      <c r="DW130" s="337" t="n">
        <f aca="false">$V130+DV130</f>
        <v>23.1619047619047</v>
      </c>
    </row>
    <row r="131" customFormat="false" ht="12.75" hidden="false" customHeight="false" outlineLevel="0" collapsed="false">
      <c r="B131" s="371" t="n">
        <v>39539</v>
      </c>
      <c r="C131" s="391" t="n">
        <v>39527</v>
      </c>
      <c r="I131" s="338" t="n">
        <f aca="false">EOMONTH(I130,0)+1</f>
        <v>49735</v>
      </c>
      <c r="J131" s="389" t="n">
        <f aca="false">VLOOKUP(I131,$B$12:$C$332,2)</f>
        <v>45644</v>
      </c>
      <c r="K131" s="339" t="n">
        <f aca="false">NETWORKDAYS(I131,J132)/N131</f>
        <v>-139.190476190476</v>
      </c>
      <c r="L131" s="309" t="n">
        <f aca="false">YEAR(I131)-1900</f>
        <v>136</v>
      </c>
      <c r="M131" s="310" t="n">
        <f aca="false">MONTH(I131)</f>
        <v>3</v>
      </c>
      <c r="N131" s="340" t="n">
        <f aca="false">NETWORKDAYS(I131,I132-1)</f>
        <v>21</v>
      </c>
      <c r="O131" s="341" t="n">
        <f aca="false">I131-DateToday-IF(EuroExpDateToggle=1,3+IF(WEEKDAY(I131-1)=7,1,IF(WEEKDAY(I131-1)&lt;5,2,0)),1+IF(WEEKDAY(I131-1)=7,1,IF(WEEKDAY(I131-1)&lt;3,2,0)))</f>
        <v>3806</v>
      </c>
      <c r="P131" s="342" t="n">
        <f aca="false">(I131-DateToday+1)/365.25</f>
        <v>10.4312114989733</v>
      </c>
      <c r="Q131" s="342" t="n">
        <f aca="false">(I132-DateToday)/365.25</f>
        <v>10.5133470225873</v>
      </c>
      <c r="R131" s="314" t="n">
        <v>21.2</v>
      </c>
      <c r="S131" s="347" t="n">
        <v>0</v>
      </c>
      <c r="T131" s="316" t="n">
        <f aca="false">R131+S131/100</f>
        <v>21.2</v>
      </c>
      <c r="U131" s="325" t="n">
        <f aca="false">R132*K131+R133*(1-K131)</f>
        <v>28.2595238095241</v>
      </c>
      <c r="V131" s="337" t="n">
        <f aca="false">T132*K131+T133*(1-K131)</f>
        <v>28.2595238095241</v>
      </c>
      <c r="W131" s="318" t="n">
        <v>0.167299999999999</v>
      </c>
      <c r="X131" s="319" t="str">
        <f aca="false">IF($I131-DateToday+1&gt;=$A$10,"",IF($I131-DateToday+1&lt;$A$5,1,MATCH($I131-DateToday+1,$A$5:$A$10)))</f>
        <v/>
      </c>
      <c r="Y131" s="348" t="n">
        <f aca="false">IF($X131="",Y130^2/Y129,INDEX(B$5:B$10,$X131)^((INDEX($A$5:$A$10,$X131+1)-($I131-DateToday+1))/(INDEX($A$5:$A$10,$X131+1)-INDEX($A$5:$A$10,$X131)))/INDEX(B$5:B$10,$X131+1)^((INDEX($A$5:$A$10,$X131)-($I131-DateToday+1))/(INDEX($A$5:$A$10,$X131+1)-INDEX($A$5:$A$10,$X131))))</f>
        <v>0.00102500055976116</v>
      </c>
      <c r="Z131" s="348" t="n">
        <f aca="false">IF($X131="",Z130^2/Z129,INDEX(C$5:C$10,$X131)^((INDEX($A$5:$A$10,$X131+1)-($I131-DateToday+1))/(INDEX($A$5:$A$10,$X131+1)-INDEX($A$5:$A$10,$X131)))/INDEX(C$5:C$10,$X131+1)^((INDEX($A$5:$A$10,$X131)-($I131-DateToday+1))/(INDEX($A$5:$A$10,$X131+1)-INDEX($A$5:$A$10,$X131))))</f>
        <v>0.000322590369846102</v>
      </c>
      <c r="AA131" s="348" t="n">
        <f aca="false">IF($X131="",AA130^2/AA129,INDEX(D$5:D$10,$X131)^((INDEX($A$5:$A$10,$X131+1)-($I131-DateToday+1))/(INDEX($A$5:$A$10,$X131+1)-INDEX($A$5:$A$10,$X131)))/INDEX(D$5:D$10,$X131+1)^((INDEX($A$5:$A$10,$X131)-($I131-DateToday+1))/(INDEX($A$5:$A$10,$X131+1)-INDEX($A$5:$A$10,$X131))))</f>
        <v>0.00010987387546795</v>
      </c>
      <c r="AB131" s="348" t="n">
        <f aca="false">IF($X131="",AB130^2/AB129,INDEX(E$5:E$10,$X131)^((INDEX($A$5:$A$10,$X131+1)-($I131-DateToday+1))/(INDEX($A$5:$A$10,$X131+1)-INDEX($A$5:$A$10,$X131)))/INDEX(E$5:E$10,$X131+1)^((INDEX($A$5:$A$10,$X131)-($I131-DateToday+1))/(INDEX($A$5:$A$10,$X131+1)-INDEX($A$5:$A$10,$X131))))</f>
        <v>0.000247523866654206</v>
      </c>
      <c r="AC131" s="348" t="n">
        <f aca="false">IF($X131="",AC130^2/AC129,INDEX(F$5:F$10,$X131)^((INDEX($A$5:$A$10,$X131+1)-($I131-DateToday+1))/(INDEX($A$5:$A$10,$X131+1)-INDEX($A$5:$A$10,$X131)))/INDEX(F$5:F$10,$X131+1)^((INDEX($A$5:$A$10,$X131)-($I131-DateToday+1))/(INDEX($A$5:$A$10,$X131+1)-INDEX($A$5:$A$10,$X131))))</f>
        <v>0.000726731585189295</v>
      </c>
      <c r="AD131" s="348" t="n">
        <f aca="false">IF($X131="",AD130^2/AD129,INDEX(G$5:G$10,$X131)^((INDEX($A$5:$A$10,$X131+1)-($I131-DateToday+1))/(INDEX($A$5:$A$10,$X131+1)-INDEX($A$5:$A$10,$X131)))/INDEX(G$5:G$10,$X131+1)^((INDEX($A$5:$A$10,$X131)-($I131-DateToday+1))/(INDEX($A$5:$A$10,$X131+1)-INDEX($A$5:$A$10,$X131))))</f>
        <v>0.00230912126102976</v>
      </c>
      <c r="AE131" s="321" t="n">
        <v>0.073756668659379</v>
      </c>
      <c r="AF131" s="316" t="n">
        <f aca="false">(1+AE131/2)^(-2*(I132-DateToday)/365.25)</f>
        <v>0.466977937280261</v>
      </c>
      <c r="AG131" s="316" t="n">
        <f aca="false">AG130*(1+IF(AND(M131=1,L131&gt;YearStart),Escalation,0))</f>
        <v>1</v>
      </c>
      <c r="AH131" s="322" t="n">
        <f aca="false">IF(OR(DateStart&gt;=I132,DateEnd&lt;I131),0,Volume*AG131)</f>
        <v>0</v>
      </c>
      <c r="AI131" s="322" t="n">
        <f aca="false">AH131*AF131</f>
        <v>0</v>
      </c>
      <c r="AJ131" s="322" t="n">
        <f aca="false">IF(OR(DateStart2&gt;=I132,DateEnd2&lt;I131),0,VolumeSwaption*AG131)</f>
        <v>0</v>
      </c>
      <c r="AK131" s="322" t="n">
        <f aca="false">AJ131*AF131</f>
        <v>0</v>
      </c>
      <c r="AL131" s="316" t="str">
        <f aca="true">IF(AH131,OFFSET(BY131,0,HorizontalPriceOffset)+PriceSpreadAsian,"")</f>
        <v/>
      </c>
      <c r="AM131" s="316" t="str">
        <f aca="false">IF(AH131,Strike1/AL131-1,"")</f>
        <v/>
      </c>
      <c r="AN131" s="316" t="str">
        <f aca="false">IF(AH131,Strike2/AL131-1,"")</f>
        <v/>
      </c>
      <c r="AO131" s="323" t="str">
        <f aca="false">IF(AH131,IF(VolOverrideAsian,VolOverrideAsian,IF(ProductGroup=1,IF(Product&lt;3,DA132,DE132),W132)+VolSpreadAsian),"")</f>
        <v/>
      </c>
      <c r="AP131" s="323" t="str">
        <f aca="false">IF($AH131,$AO131+IF(SkewFlag=1,IF(AM131&gt;0,$AA131*MIN(AM131/10%,1)+($Z131-$AA131)*MAX(0,MIN(AM131/10%-1,1))+($Y131-$Z131)*MAX(0,AM131/10%-2),$AB131*MIN(-AM131/10%,1)+($AC131-$AB131)*MAX(0,MIN(-AM131/10%-1,1))+($AD131-$AC131)*MAX(0,-AM131/10%-2)),0),"")</f>
        <v/>
      </c>
      <c r="AQ131" s="323" t="str">
        <f aca="false">IF($AH131,$AO131+IF(SkewFlag=1,IF(AN131&gt;0,$AA131*MIN(AN131/10%,1)+($Z131-$AA131)*MAX(0,MIN(AN131/10%-1,1))+($Y131-$Z131)*MAX(0,AN131/10%-2),$AB131*MIN(-AN131/10%,1)+($AC131-$AB131)*MAX(0,MIN(-AN131/10%-1,1))+($AD131-$AC131)*MAX(0,-AN131/10%-2)),0),"")</f>
        <v/>
      </c>
      <c r="AR131" s="324" t="n">
        <f aca="false">IF(AH131,xASN(AL131,Strike1,AE131,AP131,0,N131,0,P131,Q131,IF(OptControl=4,0,1),0),0)</f>
        <v>0</v>
      </c>
      <c r="AS131" s="324" t="n">
        <f aca="false">IF(AH131,xASN(AL131,Strike1,AE131,AP131,0,N131,0,P131,Q131,IF(OptControl=4,0,1),1),0)</f>
        <v>0</v>
      </c>
      <c r="AT131" s="324" t="n">
        <f aca="false">IF(AH131,xASN(AL131,Strike1,AE131,AP131,0,N131,0,P131,Q131,IF(OptControl=4,0,1),2),0)</f>
        <v>0</v>
      </c>
      <c r="AU131" s="324" t="n">
        <f aca="false">IF(AH131,xASN(AL131,Strike1,AE131,AP131,0,N131,0,P131,Q131,IF(OptControl=4,0,1),3)/100,0)</f>
        <v>0</v>
      </c>
      <c r="AV131" s="324" t="n">
        <f aca="false">IF(AH131,xASN(AL131,Strike1,AE131,AP131,0,N131,0,P131-DaysForThetaCalculation/365.25,Q131-DaysForThetaCalculation/365.25,IF(OptControl=4,0,1),0)-xASN(AL131,Strike1,AE131,AP131,0,N131,0,P131,Q131,IF(OptControl=4,0,1),0),0)</f>
        <v>0</v>
      </c>
      <c r="AW131" s="324" t="n">
        <f aca="false">IF(AH131,xASN(AL131,Strike2,AE131,AQ131,0,N131,0,P131,Q131,IF(OptControl=3,1,0),0),0)</f>
        <v>0</v>
      </c>
      <c r="AX131" s="324" t="n">
        <f aca="false">IF(AH131,xASN(AL131,Strike2,AE131,AQ131,0,N131,0,P131,Q131,IF(OptControl=3,1,0),1),0)</f>
        <v>0</v>
      </c>
      <c r="AY131" s="324" t="n">
        <f aca="false">IF(AH131,xASN(AL131,Strike2,AE131,AQ131,0,N131,0,P131,Q131,IF(OptControl=3,1,0),2),0)</f>
        <v>0</v>
      </c>
      <c r="AZ131" s="324" t="n">
        <f aca="false">IF(AH131,xASN(AL131,Strike2,AE131,AQ131,0,N131,0,P131,Q131,IF(OptControl=3,1,0),3)/100,0)</f>
        <v>0</v>
      </c>
      <c r="BA131" s="324" t="n">
        <f aca="false">IF(AH131,xASN(AL131,Strike2,AE131,AQ131,0,N131,0,P131-DaysForThetaCalculation/365.25,Q131-DaysForThetaCalculation/365.25,IF(OptControl=3,1,0),0)-xASN(AL131,Strike2,AE131,AQ131,0,N131,0,P131,Q131,IF(OptControl=3,1,0),0),0)</f>
        <v>0</v>
      </c>
      <c r="BB131" s="325" t="str">
        <f aca="false">IF(AH131,IF(ProductGroup=1,IF(Product=1,BX131+PriceSpreadEuro,IF(Product=3,CK131+PriceSpreadEuro,"N/A")),"N/A"),"")</f>
        <v/>
      </c>
      <c r="BC131" s="316" t="str">
        <f aca="false">IF(AH131,Strike1/BB131-1,"")</f>
        <v/>
      </c>
      <c r="BD131" s="316" t="str">
        <f aca="false">IF(AH131,Strike2/BB131-1,"")</f>
        <v/>
      </c>
      <c r="BE131" s="326" t="str">
        <f aca="false">IF(AH131,IF(VolOverrideEuro,VolOverrideEuro,IF(ProductGroup=1,IF(Product&lt;3,DA131,DE131)+VolSpreadEuro,"N/A")),"")</f>
        <v/>
      </c>
      <c r="BF131" s="323" t="str">
        <f aca="false">IF($AH131,$BE131+IF(SkewFlag=1,IF(BC131&gt;0,$AA131*MIN(BC131/10%,1)+($Z131-$AA131)*MAX(0,MIN(BC131/10%-1,1))+($Y131-$Z131)*MAX(0,BC131/10%-2),$AB131*MIN(-BC131/10%,1)+($AC131-$AB131)*MAX(0,MIN(-BC131/10%-1,1))+($AD131-$AC131)*MAX(0,-BC131/10%-2)),0),"")</f>
        <v/>
      </c>
      <c r="BG131" s="323" t="str">
        <f aca="false">IF($AH131,$BE131+IF(SkewFlag=1,IF(BD131&gt;0,$AA131*MIN(BD131/10%,1)+($Z131-$AA131)*MAX(0,MIN(BD131/10%-1,1))+($Y131-$Z131)*MAX(0,BD131/10%-2),$AB131*MIN(-BD131/10%,1)+($AC131-$AB131)*MAX(0,MIN(-BD131/10%-1,1))+($AD131-$AC131)*MAX(0,-BD131/10%-2)),0),"")</f>
        <v/>
      </c>
      <c r="BH131" s="324" t="n">
        <f aca="false">IF(AH131,xEURO(BB131,Strike1,AE131,AE131,BF131,O131,IF(OptControl=4,0,1),0),0)</f>
        <v>0</v>
      </c>
      <c r="BI131" s="324" t="n">
        <f aca="false">IF(AH131,xEURO(BB131,Strike1,AE131,AE131,BF131,O131,IF(OptControl=4,0,1),1),0)</f>
        <v>0</v>
      </c>
      <c r="BJ131" s="324" t="n">
        <f aca="false">IF(AH131,xEURO(BB131,Strike1,AE131,AE131,BF131,O131,IF(OptControl=4,0,1),2),0)</f>
        <v>0</v>
      </c>
      <c r="BK131" s="324" t="n">
        <f aca="false">IF(AH131,xEURO(BB131,Strike1,AE131,AE131,BF131,O131,IF(OptControl=4,0,1),3)/100,0)</f>
        <v>0</v>
      </c>
      <c r="BL131" s="324" t="n">
        <f aca="false">IF(AH131,xEURO(BB131,Strike1,AE131,AE131,BF131,O131-DaysForThetaCalculation,IF(OptControl=4,0,1),0)-xEURO(BB131,Strike1,AE131,AE131,BF131,O131,IF(OptControl=4,0,1),0),0)</f>
        <v>0</v>
      </c>
      <c r="BM131" s="324" t="n">
        <f aca="false">IF(AH131,xEURO(BB131,Strike2,AE131,AE131,BG131,O131,IF(OptControl=3,1,0),0),0)</f>
        <v>0</v>
      </c>
      <c r="BN131" s="324" t="n">
        <f aca="false">IF(AH131,xEURO(BB131,Strike2,AE131,AE131,BG131,O131,IF(OptControl=3,1,0),1),0)</f>
        <v>0</v>
      </c>
      <c r="BO131" s="324" t="n">
        <f aca="false">IF(AH131,xEURO(BB131,Strike2,AE131,AE131,BG131,O131,IF(OptControl=3,1,0),2),0)</f>
        <v>0</v>
      </c>
      <c r="BP131" s="324" t="n">
        <f aca="false">IF(AH131,xEURO(BB131,Strike2,AE131,AE131,BG131,O131,IF(OptControl=3,1,0),3)/100,0)</f>
        <v>0</v>
      </c>
      <c r="BQ131" s="327" t="n">
        <f aca="false">IF(AH131,xEURO(BB131,Strike2,AE131,AE131,BG131,O131-DaysForThetaCalculation,IF(OptControl=3,1,0),0)-xEURO(BB131,Strike2,AE131,AE131,BG131,O131,IF(OptControl=3,1,0),0),0)</f>
        <v>0</v>
      </c>
      <c r="BR131" s="343"/>
      <c r="BS131" s="314"/>
      <c r="BT131" s="329" t="n">
        <f aca="false">BS131*100/42</f>
        <v>0</v>
      </c>
      <c r="BU131" s="329" t="n">
        <f aca="false">BS132-$U131</f>
        <v>-28.2595238095241</v>
      </c>
      <c r="BV131" s="224"/>
      <c r="BW131" s="329" t="n">
        <f aca="false">BW119+VLOOKUP(1900+$L131,ProductSpreadTable,2)</f>
        <v>13.0169999999999</v>
      </c>
      <c r="BX131" s="329" t="n">
        <f aca="false">($V130+BW130)*100/42</f>
        <v>103.930725623583</v>
      </c>
      <c r="BY131" s="332" t="n">
        <f aca="false">BX132</f>
        <v>98.2774376417239</v>
      </c>
      <c r="BZ131" s="314"/>
      <c r="CA131" s="329" t="n">
        <f aca="false">BZ131*100/42</f>
        <v>0</v>
      </c>
      <c r="CB131" s="329" t="n">
        <f aca="false">BZ131-$U131</f>
        <v>-28.2595238095241</v>
      </c>
      <c r="CC131" s="329" t="n">
        <f aca="false">CC119+VLOOKUP(1900+$L131,ProductSpreadTable,3)</f>
        <v>10.6019999999999</v>
      </c>
      <c r="CD131" s="329" t="n">
        <f aca="false">($V131+CC131)*100/42</f>
        <v>92.5274376417239</v>
      </c>
      <c r="CE131" s="333" t="n">
        <f aca="false">CD131-BY131</f>
        <v>-5.75</v>
      </c>
      <c r="CF131" s="314"/>
      <c r="CG131" s="329" t="n">
        <f aca="false">CF131*100/42</f>
        <v>0</v>
      </c>
      <c r="CH131" s="329" t="n">
        <f aca="false">CF132-$U131</f>
        <v>-28.2595238095241</v>
      </c>
      <c r="CI131" s="224"/>
      <c r="CJ131" s="329" t="n">
        <f aca="false">CJ119+VLOOKUP(1900+$L131,ProductSpreadTable,4)</f>
        <v>10.9089999999999</v>
      </c>
      <c r="CK131" s="329" t="n">
        <f aca="false">($V130+CJ130)*100/42</f>
        <v>89.39977324263</v>
      </c>
      <c r="CL131" s="329" t="n">
        <f aca="false">CK132</f>
        <v>93.2583900226763</v>
      </c>
      <c r="CM131" s="314"/>
      <c r="CN131" s="329" t="n">
        <f aca="false">CM131*100/42</f>
        <v>0</v>
      </c>
      <c r="CO131" s="329" t="n">
        <f aca="false">CM131-$U131</f>
        <v>-28.2595238095241</v>
      </c>
      <c r="CP131" s="329" t="n">
        <f aca="false">CP119+VLOOKUP(1900+$L131,ProductSpreadTable,5)</f>
        <v>8.40773913043481</v>
      </c>
      <c r="CQ131" s="329" t="n">
        <f aca="false">($V131+CP131)*100/42</f>
        <v>87.3030069999022</v>
      </c>
      <c r="CR131" s="333" t="n">
        <f aca="false">CQ131-CL131</f>
        <v>-5.95538302277406</v>
      </c>
      <c r="CS131" s="314"/>
      <c r="CT131" s="329" t="n">
        <f aca="false">CS131*100/42</f>
        <v>0</v>
      </c>
      <c r="CU131" s="329" t="n">
        <f aca="false">CT131-CG132</f>
        <v>0</v>
      </c>
      <c r="CV131" s="329" t="n">
        <f aca="false">CV119+VLOOKUP(1900+$L131,ProductSpreadTable,6)</f>
        <v>1.95000000000001</v>
      </c>
      <c r="CW131" s="333" t="n">
        <f aca="false">CL131+CV131</f>
        <v>95.2083900226763</v>
      </c>
      <c r="CX131" s="318"/>
      <c r="CY131" s="326" t="n">
        <f aca="false">CX131-$W131</f>
        <v>-0.167299999999999</v>
      </c>
      <c r="CZ131" s="326" t="n">
        <f aca="false">VLOOKUP(1900+$L131,ProductSpreadTable,7)</f>
        <v>-0.03</v>
      </c>
      <c r="DA131" s="365" t="n">
        <f aca="false">$W131+CZ131</f>
        <v>0.137299999999999</v>
      </c>
      <c r="DB131" s="318"/>
      <c r="DC131" s="326" t="n">
        <f aca="false">DB131-$W131</f>
        <v>-0.167299999999999</v>
      </c>
      <c r="DD131" s="326" t="n">
        <f aca="false">VLOOKUP(1900+$L131,ProductSpreadTable,8)</f>
        <v>0.03</v>
      </c>
      <c r="DE131" s="365" t="n">
        <f aca="false">$W131+DD131</f>
        <v>0.197299999999999</v>
      </c>
      <c r="DG131" s="336"/>
      <c r="DH131" s="314"/>
      <c r="DI131" s="325" t="n">
        <f aca="false">DH131-$U131</f>
        <v>-28.2595238095241</v>
      </c>
      <c r="DJ131" s="325" t="n">
        <f aca="false">VLOOKUP(1900+$L131,ResidSpreadTable,2)</f>
        <v>-2</v>
      </c>
      <c r="DK131" s="337" t="n">
        <f aca="false">$V131+DJ131</f>
        <v>26.2595238095241</v>
      </c>
      <c r="DL131" s="314"/>
      <c r="DM131" s="325" t="n">
        <f aca="false">DL131-$U131</f>
        <v>-28.2595238095241</v>
      </c>
      <c r="DN131" s="325" t="n">
        <f aca="false">VLOOKUP(1900+$L131,ResidSpreadTable,3)</f>
        <v>-3</v>
      </c>
      <c r="DO131" s="337" t="n">
        <f aca="false">$V131+DN131</f>
        <v>25.2595238095241</v>
      </c>
      <c r="DP131" s="314"/>
      <c r="DQ131" s="325" t="n">
        <f aca="false">DP131-$U131</f>
        <v>-28.2595238095241</v>
      </c>
      <c r="DR131" s="325" t="n">
        <f aca="false">VLOOKUP(1900+$L131,ResidSpreadTable,4)</f>
        <v>-6</v>
      </c>
      <c r="DS131" s="337" t="n">
        <f aca="false">$V131+DR131</f>
        <v>22.2595238095241</v>
      </c>
      <c r="DT131" s="314"/>
      <c r="DU131" s="325" t="n">
        <f aca="false">DT131-$U131</f>
        <v>-28.2595238095241</v>
      </c>
      <c r="DV131" s="325" t="n">
        <f aca="false">VLOOKUP(1900+$L131,ResidSpreadTable,5)</f>
        <v>-5</v>
      </c>
      <c r="DW131" s="337" t="n">
        <f aca="false">$V131+DV131</f>
        <v>23.2595238095241</v>
      </c>
    </row>
    <row r="132" customFormat="false" ht="12.75" hidden="false" customHeight="false" outlineLevel="0" collapsed="false">
      <c r="B132" s="371" t="n">
        <v>39569</v>
      </c>
      <c r="C132" s="391" t="n">
        <v>39558</v>
      </c>
      <c r="I132" s="338" t="n">
        <f aca="false">EOMONTH(I131,0)+1</f>
        <v>49766</v>
      </c>
      <c r="J132" s="389" t="n">
        <f aca="false">VLOOKUP(I132,$B$12:$C$332,2)</f>
        <v>45644</v>
      </c>
      <c r="K132" s="339" t="n">
        <f aca="false">NETWORKDAYS(I132,J133)/N132</f>
        <v>-133.863636363636</v>
      </c>
      <c r="L132" s="309" t="n">
        <f aca="false">YEAR(I132)-1900</f>
        <v>136</v>
      </c>
      <c r="M132" s="310" t="n">
        <f aca="false">MONTH(I132)</f>
        <v>4</v>
      </c>
      <c r="N132" s="340" t="n">
        <f aca="false">NETWORKDAYS(I132,I133-1)</f>
        <v>22</v>
      </c>
      <c r="O132" s="341" t="n">
        <f aca="false">I132-DateToday-IF(EuroExpDateToggle=1,3+IF(WEEKDAY(I132-1)=7,1,IF(WEEKDAY(I132-1)&lt;5,2,0)),1+IF(WEEKDAY(I132-1)=7,1,IF(WEEKDAY(I132-1)&lt;3,2,0)))</f>
        <v>3835</v>
      </c>
      <c r="P132" s="342" t="n">
        <f aca="false">(I132-DateToday+1)/365.25</f>
        <v>10.5160848733744</v>
      </c>
      <c r="Q132" s="342" t="n">
        <f aca="false">(I133-DateToday)/365.25</f>
        <v>10.5954825462012</v>
      </c>
      <c r="R132" s="314" t="n">
        <v>21.25</v>
      </c>
      <c r="S132" s="347" t="n">
        <v>0</v>
      </c>
      <c r="T132" s="316" t="n">
        <f aca="false">R132+S132/100</f>
        <v>21.25</v>
      </c>
      <c r="U132" s="325" t="n">
        <f aca="false">R133*K132+R134*(1-K132)</f>
        <v>28.0431818181819</v>
      </c>
      <c r="V132" s="337" t="n">
        <f aca="false">T133*K132+T134*(1-K132)</f>
        <v>28.0431818181819</v>
      </c>
      <c r="W132" s="318" t="n">
        <v>0.166899999999999</v>
      </c>
      <c r="X132" s="319" t="str">
        <f aca="false">IF($I132-DateToday+1&gt;=$A$10,"",IF($I132-DateToday+1&lt;$A$5,1,MATCH($I132-DateToday+1,$A$5:$A$10)))</f>
        <v/>
      </c>
      <c r="Y132" s="348" t="n">
        <f aca="false">IF($X132="",Y131^2/Y130,INDEX(B$5:B$10,$X132)^((INDEX($A$5:$A$10,$X132+1)-($I132-DateToday+1))/(INDEX($A$5:$A$10,$X132+1)-INDEX($A$5:$A$10,$X132)))/INDEX(B$5:B$10,$X132+1)^((INDEX($A$5:$A$10,$X132)-($I132-DateToday+1))/(INDEX($A$5:$A$10,$X132+1)-INDEX($A$5:$A$10,$X132))))</f>
        <v>0.00100305685672798</v>
      </c>
      <c r="Z132" s="348" t="n">
        <f aca="false">IF($X132="",Z131^2/Z130,INDEX(C$5:C$10,$X132)^((INDEX($A$5:$A$10,$X132+1)-($I132-DateToday+1))/(INDEX($A$5:$A$10,$X132+1)-INDEX($A$5:$A$10,$X132)))/INDEX(C$5:C$10,$X132+1)^((INDEX($A$5:$A$10,$X132)-($I132-DateToday+1))/(INDEX($A$5:$A$10,$X132+1)-INDEX($A$5:$A$10,$X132))))</f>
        <v>0.000313994011056582</v>
      </c>
      <c r="AA132" s="348" t="n">
        <f aca="false">IF($X132="",AA131^2/AA130,INDEX(D$5:D$10,$X132)^((INDEX($A$5:$A$10,$X132+1)-($I132-DateToday+1))/(INDEX($A$5:$A$10,$X132+1)-INDEX($A$5:$A$10,$X132)))/INDEX(D$5:D$10,$X132+1)^((INDEX($A$5:$A$10,$X132)-($I132-DateToday+1))/(INDEX($A$5:$A$10,$X132+1)-INDEX($A$5:$A$10,$X132))))</f>
        <v>0.000106659180715786</v>
      </c>
      <c r="AB132" s="348" t="n">
        <f aca="false">IF($X132="",AB131^2/AB130,INDEX(E$5:E$10,$X132)^((INDEX($A$5:$A$10,$X132+1)-($I132-DateToday+1))/(INDEX($A$5:$A$10,$X132+1)-INDEX($A$5:$A$10,$X132)))/INDEX(E$5:E$10,$X132+1)^((INDEX($A$5:$A$10,$X132)-($I132-DateToday+1))/(INDEX($A$5:$A$10,$X132+1)-INDEX($A$5:$A$10,$X132))))</f>
        <v>0.000240281802316532</v>
      </c>
      <c r="AC132" s="348" t="n">
        <f aca="false">IF($X132="",AC131^2/AC130,INDEX(F$5:F$10,$X132)^((INDEX($A$5:$A$10,$X132+1)-($I132-DateToday+1))/(INDEX($A$5:$A$10,$X132+1)-INDEX($A$5:$A$10,$X132)))/INDEX(F$5:F$10,$X132+1)^((INDEX($A$5:$A$10,$X132)-($I132-DateToday+1))/(INDEX($A$5:$A$10,$X132+1)-INDEX($A$5:$A$10,$X132))))</f>
        <v>0.000707365708108265</v>
      </c>
      <c r="AD132" s="348" t="n">
        <f aca="false">IF($X132="",AD131^2/AD130,INDEX(G$5:G$10,$X132)^((INDEX($A$5:$A$10,$X132+1)-($I132-DateToday+1))/(INDEX($A$5:$A$10,$X132+1)-INDEX($A$5:$A$10,$X132)))/INDEX(G$5:G$10,$X132+1)^((INDEX($A$5:$A$10,$X132)-($I132-DateToday+1))/(INDEX($A$5:$A$10,$X132+1)-INDEX($A$5:$A$10,$X132))))</f>
        <v>0.00225968648683663</v>
      </c>
      <c r="AE132" s="321" t="n">
        <v>0.073752834892844</v>
      </c>
      <c r="AF132" s="316" t="n">
        <f aca="false">(1+AE132/2)^(-2*(I133-DateToday)/365.25)</f>
        <v>0.46422631402173</v>
      </c>
      <c r="AG132" s="316" t="n">
        <f aca="false">AG131*(1+IF(AND(M132=1,L132&gt;YearStart),Escalation,0))</f>
        <v>1</v>
      </c>
      <c r="AH132" s="322" t="n">
        <f aca="false">IF(OR(DateStart&gt;=I133,DateEnd&lt;I132),0,Volume*AG132)</f>
        <v>0</v>
      </c>
      <c r="AI132" s="322" t="n">
        <f aca="false">AH132*AF132</f>
        <v>0</v>
      </c>
      <c r="AJ132" s="322" t="n">
        <f aca="false">IF(OR(DateStart2&gt;=I133,DateEnd2&lt;I132),0,VolumeSwaption*AG132)</f>
        <v>0</v>
      </c>
      <c r="AK132" s="322" t="n">
        <f aca="false">AJ132*AF132</f>
        <v>0</v>
      </c>
      <c r="AL132" s="316" t="str">
        <f aca="true">IF(AH132,OFFSET(BY132,0,HorizontalPriceOffset)+PriceSpreadAsian,"")</f>
        <v/>
      </c>
      <c r="AM132" s="316" t="str">
        <f aca="false">IF(AH132,Strike1/AL132-1,"")</f>
        <v/>
      </c>
      <c r="AN132" s="316" t="str">
        <f aca="false">IF(AH132,Strike2/AL132-1,"")</f>
        <v/>
      </c>
      <c r="AO132" s="323" t="str">
        <f aca="false">IF(AH132,IF(VolOverrideAsian,VolOverrideAsian,IF(ProductGroup=1,IF(Product&lt;3,DA133,DE133),W133)+VolSpreadAsian),"")</f>
        <v/>
      </c>
      <c r="AP132" s="323" t="str">
        <f aca="false">IF($AH132,$AO132+IF(SkewFlag=1,IF(AM132&gt;0,$AA132*MIN(AM132/10%,1)+($Z132-$AA132)*MAX(0,MIN(AM132/10%-1,1))+($Y132-$Z132)*MAX(0,AM132/10%-2),$AB132*MIN(-AM132/10%,1)+($AC132-$AB132)*MAX(0,MIN(-AM132/10%-1,1))+($AD132-$AC132)*MAX(0,-AM132/10%-2)),0),"")</f>
        <v/>
      </c>
      <c r="AQ132" s="323" t="str">
        <f aca="false">IF($AH132,$AO132+IF(SkewFlag=1,IF(AN132&gt;0,$AA132*MIN(AN132/10%,1)+($Z132-$AA132)*MAX(0,MIN(AN132/10%-1,1))+($Y132-$Z132)*MAX(0,AN132/10%-2),$AB132*MIN(-AN132/10%,1)+($AC132-$AB132)*MAX(0,MIN(-AN132/10%-1,1))+($AD132-$AC132)*MAX(0,-AN132/10%-2)),0),"")</f>
        <v/>
      </c>
      <c r="AR132" s="324" t="n">
        <f aca="false">IF(AH132,xASN(AL132,Strike1,AE132,AP132,0,N132,0,P132,Q132,IF(OptControl=4,0,1),0),0)</f>
        <v>0</v>
      </c>
      <c r="AS132" s="324" t="n">
        <f aca="false">IF(AH132,xASN(AL132,Strike1,AE132,AP132,0,N132,0,P132,Q132,IF(OptControl=4,0,1),1),0)</f>
        <v>0</v>
      </c>
      <c r="AT132" s="324" t="n">
        <f aca="false">IF(AH132,xASN(AL132,Strike1,AE132,AP132,0,N132,0,P132,Q132,IF(OptControl=4,0,1),2),0)</f>
        <v>0</v>
      </c>
      <c r="AU132" s="324" t="n">
        <f aca="false">IF(AH132,xASN(AL132,Strike1,AE132,AP132,0,N132,0,P132,Q132,IF(OptControl=4,0,1),3)/100,0)</f>
        <v>0</v>
      </c>
      <c r="AV132" s="324" t="n">
        <f aca="false">IF(AH132,xASN(AL132,Strike1,AE132,AP132,0,N132,0,P132-DaysForThetaCalculation/365.25,Q132-DaysForThetaCalculation/365.25,IF(OptControl=4,0,1),0)-xASN(AL132,Strike1,AE132,AP132,0,N132,0,P132,Q132,IF(OptControl=4,0,1),0),0)</f>
        <v>0</v>
      </c>
      <c r="AW132" s="324" t="n">
        <f aca="false">IF(AH132,xASN(AL132,Strike2,AE132,AQ132,0,N132,0,P132,Q132,IF(OptControl=3,1,0),0),0)</f>
        <v>0</v>
      </c>
      <c r="AX132" s="324" t="n">
        <f aca="false">IF(AH132,xASN(AL132,Strike2,AE132,AQ132,0,N132,0,P132,Q132,IF(OptControl=3,1,0),1),0)</f>
        <v>0</v>
      </c>
      <c r="AY132" s="324" t="n">
        <f aca="false">IF(AH132,xASN(AL132,Strike2,AE132,AQ132,0,N132,0,P132,Q132,IF(OptControl=3,1,0),2),0)</f>
        <v>0</v>
      </c>
      <c r="AZ132" s="324" t="n">
        <f aca="false">IF(AH132,xASN(AL132,Strike2,AE132,AQ132,0,N132,0,P132,Q132,IF(OptControl=3,1,0),3)/100,0)</f>
        <v>0</v>
      </c>
      <c r="BA132" s="324" t="n">
        <f aca="false">IF(AH132,xASN(AL132,Strike2,AE132,AQ132,0,N132,0,P132-DaysForThetaCalculation/365.25,Q132-DaysForThetaCalculation/365.25,IF(OptControl=3,1,0),0)-xASN(AL132,Strike2,AE132,AQ132,0,N132,0,P132,Q132,IF(OptControl=3,1,0),0),0)</f>
        <v>0</v>
      </c>
      <c r="BB132" s="325" t="str">
        <f aca="false">IF(AH132,IF(ProductGroup=1,IF(Product=1,BX132+PriceSpreadEuro,IF(Product=3,CK132+PriceSpreadEuro,"N/A")),"N/A"),"")</f>
        <v/>
      </c>
      <c r="BC132" s="316" t="str">
        <f aca="false">IF(AH132,Strike1/BB132-1,"")</f>
        <v/>
      </c>
      <c r="BD132" s="316" t="str">
        <f aca="false">IF(AH132,Strike2/BB132-1,"")</f>
        <v/>
      </c>
      <c r="BE132" s="326" t="str">
        <f aca="false">IF(AH132,IF(VolOverrideEuro,VolOverrideEuro,IF(ProductGroup=1,IF(Product&lt;3,DA132,DE132)+VolSpreadEuro,"N/A")),"")</f>
        <v/>
      </c>
      <c r="BF132" s="323" t="str">
        <f aca="false">IF($AH132,$BE132+IF(SkewFlag=1,IF(BC132&gt;0,$AA132*MIN(BC132/10%,1)+($Z132-$AA132)*MAX(0,MIN(BC132/10%-1,1))+($Y132-$Z132)*MAX(0,BC132/10%-2),$AB132*MIN(-BC132/10%,1)+($AC132-$AB132)*MAX(0,MIN(-BC132/10%-1,1))+($AD132-$AC132)*MAX(0,-BC132/10%-2)),0),"")</f>
        <v/>
      </c>
      <c r="BG132" s="323" t="str">
        <f aca="false">IF($AH132,$BE132+IF(SkewFlag=1,IF(BD132&gt;0,$AA132*MIN(BD132/10%,1)+($Z132-$AA132)*MAX(0,MIN(BD132/10%-1,1))+($Y132-$Z132)*MAX(0,BD132/10%-2),$AB132*MIN(-BD132/10%,1)+($AC132-$AB132)*MAX(0,MIN(-BD132/10%-1,1))+($AD132-$AC132)*MAX(0,-BD132/10%-2)),0),"")</f>
        <v/>
      </c>
      <c r="BH132" s="324" t="n">
        <f aca="false">IF(AH132,xEURO(BB132,Strike1,AE132,AE132,BF132,O132,IF(OptControl=4,0,1),0),0)</f>
        <v>0</v>
      </c>
      <c r="BI132" s="324" t="n">
        <f aca="false">IF(AH132,xEURO(BB132,Strike1,AE132,AE132,BF132,O132,IF(OptControl=4,0,1),1),0)</f>
        <v>0</v>
      </c>
      <c r="BJ132" s="324" t="n">
        <f aca="false">IF(AH132,xEURO(BB132,Strike1,AE132,AE132,BF132,O132,IF(OptControl=4,0,1),2),0)</f>
        <v>0</v>
      </c>
      <c r="BK132" s="324" t="n">
        <f aca="false">IF(AH132,xEURO(BB132,Strike1,AE132,AE132,BF132,O132,IF(OptControl=4,0,1),3)/100,0)</f>
        <v>0</v>
      </c>
      <c r="BL132" s="324" t="n">
        <f aca="false">IF(AH132,xEURO(BB132,Strike1,AE132,AE132,BF132,O132-DaysForThetaCalculation,IF(OptControl=4,0,1),0)-xEURO(BB132,Strike1,AE132,AE132,BF132,O132,IF(OptControl=4,0,1),0),0)</f>
        <v>0</v>
      </c>
      <c r="BM132" s="324" t="n">
        <f aca="false">IF(AH132,xEURO(BB132,Strike2,AE132,AE132,BG132,O132,IF(OptControl=3,1,0),0),0)</f>
        <v>0</v>
      </c>
      <c r="BN132" s="324" t="n">
        <f aca="false">IF(AH132,xEURO(BB132,Strike2,AE132,AE132,BG132,O132,IF(OptControl=3,1,0),1),0)</f>
        <v>0</v>
      </c>
      <c r="BO132" s="324" t="n">
        <f aca="false">IF(AH132,xEURO(BB132,Strike2,AE132,AE132,BG132,O132,IF(OptControl=3,1,0),2),0)</f>
        <v>0</v>
      </c>
      <c r="BP132" s="324" t="n">
        <f aca="false">IF(AH132,xEURO(BB132,Strike2,AE132,AE132,BG132,O132,IF(OptControl=3,1,0),3)/100,0)</f>
        <v>0</v>
      </c>
      <c r="BQ132" s="327" t="n">
        <f aca="false">IF(AH132,xEURO(BB132,Strike2,AE132,AE132,BG132,O132-DaysForThetaCalculation,IF(OptControl=3,1,0),0)-xEURO(BB132,Strike2,AE132,AE132,BG132,O132,IF(OptControl=3,1,0),0),0)</f>
        <v>0</v>
      </c>
      <c r="BR132" s="343"/>
      <c r="BS132" s="314"/>
      <c r="BT132" s="329" t="n">
        <f aca="false">BS132*100/42</f>
        <v>0</v>
      </c>
      <c r="BU132" s="329" t="n">
        <f aca="false">BS133-$U132</f>
        <v>-28.0431818181819</v>
      </c>
      <c r="BV132" s="224"/>
      <c r="BW132" s="329" t="n">
        <f aca="false">BW120+VLOOKUP(1900+$L132,ProductSpreadTable,2)</f>
        <v>12.5888181818182</v>
      </c>
      <c r="BX132" s="329" t="n">
        <f aca="false">($V131+BW131)*100/42</f>
        <v>98.2774376417239</v>
      </c>
      <c r="BY132" s="332" t="n">
        <f aca="false">BX133</f>
        <v>96.7428571428573</v>
      </c>
      <c r="BZ132" s="314"/>
      <c r="CA132" s="329" t="n">
        <f aca="false">BZ132*100/42</f>
        <v>0</v>
      </c>
      <c r="CB132" s="329" t="n">
        <f aca="false">BZ132-$U132</f>
        <v>-28.0431818181819</v>
      </c>
      <c r="CC132" s="329" t="n">
        <f aca="false">CC120+VLOOKUP(1900+$L132,ProductSpreadTable,3)</f>
        <v>10.2788181818182</v>
      </c>
      <c r="CD132" s="329" t="n">
        <f aca="false">($V132+CC132)*100/42</f>
        <v>91.2428571428573</v>
      </c>
      <c r="CE132" s="333" t="n">
        <f aca="false">CD132-BY132</f>
        <v>-5.49999999999999</v>
      </c>
      <c r="CF132" s="314"/>
      <c r="CG132" s="329" t="n">
        <f aca="false">CF132*100/42</f>
        <v>0</v>
      </c>
      <c r="CH132" s="329" t="n">
        <f aca="false">CF133-$U132</f>
        <v>-28.0431818181819</v>
      </c>
      <c r="CI132" s="224"/>
      <c r="CJ132" s="329" t="n">
        <f aca="false">CJ120+VLOOKUP(1900+$L132,ProductSpreadTable,4)</f>
        <v>11.4468181818182</v>
      </c>
      <c r="CK132" s="329" t="n">
        <f aca="false">($V131+CJ131)*100/42</f>
        <v>93.2583900226763</v>
      </c>
      <c r="CL132" s="329" t="n">
        <f aca="false">CK133</f>
        <v>94.0238095238097</v>
      </c>
      <c r="CM132" s="314"/>
      <c r="CN132" s="329" t="n">
        <f aca="false">CM132*100/42</f>
        <v>0</v>
      </c>
      <c r="CO132" s="329" t="n">
        <f aca="false">CM132-$U132</f>
        <v>-28.0431818181819</v>
      </c>
      <c r="CP132" s="329" t="n">
        <f aca="false">CP120+VLOOKUP(1900+$L132,ProductSpreadTable,5)</f>
        <v>10.2498181818182</v>
      </c>
      <c r="CQ132" s="329" t="n">
        <f aca="false">($V132+CP132)*100/42</f>
        <v>91.1738095238097</v>
      </c>
      <c r="CR132" s="333" t="n">
        <f aca="false">CQ132-CL132</f>
        <v>-2.85000000000001</v>
      </c>
      <c r="CS132" s="314"/>
      <c r="CT132" s="329" t="n">
        <f aca="false">CS132*100/42</f>
        <v>0</v>
      </c>
      <c r="CU132" s="329" t="n">
        <f aca="false">CT132-CG133</f>
        <v>0</v>
      </c>
      <c r="CV132" s="329" t="n">
        <f aca="false">CV120+VLOOKUP(1900+$L132,ProductSpreadTable,6)</f>
        <v>2.10000000000001</v>
      </c>
      <c r="CW132" s="333" t="n">
        <f aca="false">CL132+CV132</f>
        <v>96.1238095238097</v>
      </c>
      <c r="CX132" s="318"/>
      <c r="CY132" s="326" t="n">
        <f aca="false">CX132-$W132</f>
        <v>-0.166899999999999</v>
      </c>
      <c r="CZ132" s="326" t="n">
        <f aca="false">VLOOKUP(1900+$L132,ProductSpreadTable,7)</f>
        <v>-0.03</v>
      </c>
      <c r="DA132" s="365" t="n">
        <f aca="false">$W132+CZ132</f>
        <v>0.136899999999999</v>
      </c>
      <c r="DB132" s="318"/>
      <c r="DC132" s="326" t="n">
        <f aca="false">DB132-$W132</f>
        <v>-0.166899999999999</v>
      </c>
      <c r="DD132" s="326" t="n">
        <f aca="false">VLOOKUP(1900+$L132,ProductSpreadTable,8)</f>
        <v>0.03</v>
      </c>
      <c r="DE132" s="365" t="n">
        <f aca="false">$W132+DD132</f>
        <v>0.196899999999999</v>
      </c>
      <c r="DG132" s="336"/>
      <c r="DH132" s="314"/>
      <c r="DI132" s="325" t="n">
        <f aca="false">DH132-$U132</f>
        <v>-28.0431818181819</v>
      </c>
      <c r="DJ132" s="325" t="n">
        <f aca="false">VLOOKUP(1900+$L132,ResidSpreadTable,2)</f>
        <v>-2</v>
      </c>
      <c r="DK132" s="337" t="n">
        <f aca="false">$V132+DJ132</f>
        <v>26.0431818181819</v>
      </c>
      <c r="DL132" s="314"/>
      <c r="DM132" s="325" t="n">
        <f aca="false">DL132-$U132</f>
        <v>-28.0431818181819</v>
      </c>
      <c r="DN132" s="325" t="n">
        <f aca="false">VLOOKUP(1900+$L132,ResidSpreadTable,3)</f>
        <v>-3</v>
      </c>
      <c r="DO132" s="337" t="n">
        <f aca="false">$V132+DN132</f>
        <v>25.0431818181819</v>
      </c>
      <c r="DP132" s="314"/>
      <c r="DQ132" s="325" t="n">
        <f aca="false">DP132-$U132</f>
        <v>-28.0431818181819</v>
      </c>
      <c r="DR132" s="325" t="n">
        <f aca="false">VLOOKUP(1900+$L132,ResidSpreadTable,4)</f>
        <v>-6</v>
      </c>
      <c r="DS132" s="337" t="n">
        <f aca="false">$V132+DR132</f>
        <v>22.0431818181819</v>
      </c>
      <c r="DT132" s="314"/>
      <c r="DU132" s="325" t="n">
        <f aca="false">DT132-$U132</f>
        <v>-28.0431818181819</v>
      </c>
      <c r="DV132" s="325" t="n">
        <f aca="false">VLOOKUP(1900+$L132,ResidSpreadTable,5)</f>
        <v>-5</v>
      </c>
      <c r="DW132" s="337" t="n">
        <f aca="false">$V132+DV132</f>
        <v>23.0431818181819</v>
      </c>
    </row>
    <row r="133" customFormat="false" ht="12.75" hidden="false" customHeight="false" outlineLevel="0" collapsed="false">
      <c r="B133" s="371" t="n">
        <v>39600</v>
      </c>
      <c r="C133" s="391" t="n">
        <v>39590</v>
      </c>
      <c r="I133" s="338" t="n">
        <f aca="false">EOMONTH(I132,0)+1</f>
        <v>49796</v>
      </c>
      <c r="J133" s="389" t="n">
        <f aca="false">VLOOKUP(I133,$B$12:$C$332,2)</f>
        <v>45644</v>
      </c>
      <c r="K133" s="339" t="n">
        <f aca="false">NETWORKDAYS(I133,J134)/N133</f>
        <v>-134.863636363636</v>
      </c>
      <c r="L133" s="309" t="n">
        <f aca="false">YEAR(I133)-1900</f>
        <v>136</v>
      </c>
      <c r="M133" s="310" t="n">
        <f aca="false">MONTH(I133)</f>
        <v>5</v>
      </c>
      <c r="N133" s="340" t="n">
        <f aca="false">NETWORKDAYS(I133,I134-1)</f>
        <v>22</v>
      </c>
      <c r="O133" s="341" t="n">
        <f aca="false">I133-DateToday-IF(EuroExpDateToggle=1,3+IF(WEEKDAY(I133-1)=7,1,IF(WEEKDAY(I133-1)&lt;5,2,0)),1+IF(WEEKDAY(I133-1)=7,1,IF(WEEKDAY(I133-1)&lt;3,2,0)))</f>
        <v>3865</v>
      </c>
      <c r="P133" s="342" t="n">
        <f aca="false">(I133-DateToday+1)/365.25</f>
        <v>10.5982203969884</v>
      </c>
      <c r="Q133" s="342" t="n">
        <f aca="false">(I134-DateToday)/365.25</f>
        <v>10.6803559206023</v>
      </c>
      <c r="R133" s="314" t="n">
        <v>21.3</v>
      </c>
      <c r="S133" s="347" t="n">
        <v>0</v>
      </c>
      <c r="T133" s="316" t="n">
        <f aca="false">R133+S133/100</f>
        <v>21.3</v>
      </c>
      <c r="U133" s="325" t="n">
        <f aca="false">R134*K133+R135*(1-K133)</f>
        <v>28.1431818181813</v>
      </c>
      <c r="V133" s="337" t="n">
        <f aca="false">T134*K133+T135*(1-K133)</f>
        <v>28.1431818181813</v>
      </c>
      <c r="W133" s="318" t="n">
        <v>0.166499999999999</v>
      </c>
      <c r="X133" s="319" t="str">
        <f aca="false">IF($I133-DateToday+1&gt;=$A$10,"",IF($I133-DateToday+1&lt;$A$5,1,MATCH($I133-DateToday+1,$A$5:$A$10)))</f>
        <v/>
      </c>
      <c r="Y133" s="348" t="n">
        <f aca="false">IF($X133="",Y132^2/Y131,INDEX(B$5:B$10,$X133)^((INDEX($A$5:$A$10,$X133+1)-($I133-DateToday+1))/(INDEX($A$5:$A$10,$X133+1)-INDEX($A$5:$A$10,$X133)))/INDEX(B$5:B$10,$X133+1)^((INDEX($A$5:$A$10,$X133)-($I133-DateToday+1))/(INDEX($A$5:$A$10,$X133+1)-INDEX($A$5:$A$10,$X133))))</f>
        <v>0.000981582935001971</v>
      </c>
      <c r="Z133" s="348" t="n">
        <f aca="false">IF($X133="",Z132^2/Z131,INDEX(C$5:C$10,$X133)^((INDEX($A$5:$A$10,$X133+1)-($I133-DateToday+1))/(INDEX($A$5:$A$10,$X133+1)-INDEX($A$5:$A$10,$X133)))/INDEX(C$5:C$10,$X133+1)^((INDEX($A$5:$A$10,$X133)-($I133-DateToday+1))/(INDEX($A$5:$A$10,$X133+1)-INDEX($A$5:$A$10,$X133))))</f>
        <v>0.000305626727253006</v>
      </c>
      <c r="AA133" s="348" t="n">
        <f aca="false">IF($X133="",AA132^2/AA131,INDEX(D$5:D$10,$X133)^((INDEX($A$5:$A$10,$X133+1)-($I133-DateToday+1))/(INDEX($A$5:$A$10,$X133+1)-INDEX($A$5:$A$10,$X133)))/INDEX(D$5:D$10,$X133+1)^((INDEX($A$5:$A$10,$X133)-($I133-DateToday+1))/(INDEX($A$5:$A$10,$X133+1)-INDEX($A$5:$A$10,$X133))))</f>
        <v>0.000103538541646154</v>
      </c>
      <c r="AB133" s="348" t="n">
        <f aca="false">IF($X133="",AB132^2/AB131,INDEX(E$5:E$10,$X133)^((INDEX($A$5:$A$10,$X133+1)-($I133-DateToday+1))/(INDEX($A$5:$A$10,$X133+1)-INDEX($A$5:$A$10,$X133)))/INDEX(E$5:E$10,$X133+1)^((INDEX($A$5:$A$10,$X133)-($I133-DateToday+1))/(INDEX($A$5:$A$10,$X133+1)-INDEX($A$5:$A$10,$X133))))</f>
        <v>0.000233251626620465</v>
      </c>
      <c r="AC133" s="348" t="n">
        <f aca="false">IF($X133="",AC132^2/AC131,INDEX(F$5:F$10,$X133)^((INDEX($A$5:$A$10,$X133+1)-($I133-DateToday+1))/(INDEX($A$5:$A$10,$X133+1)-INDEX($A$5:$A$10,$X133)))/INDEX(F$5:F$10,$X133+1)^((INDEX($A$5:$A$10,$X133)-($I133-DateToday+1))/(INDEX($A$5:$A$10,$X133+1)-INDEX($A$5:$A$10,$X133))))</f>
        <v>0.000688515891155568</v>
      </c>
      <c r="AD133" s="348" t="n">
        <f aca="false">IF($X133="",AD132^2/AD131,INDEX(G$5:G$10,$X133)^((INDEX($A$5:$A$10,$X133+1)-($I133-DateToday+1))/(INDEX($A$5:$A$10,$X133+1)-INDEX($A$5:$A$10,$X133)))/INDEX(G$5:G$10,$X133+1)^((INDEX($A$5:$A$10,$X133)-($I133-DateToday+1))/(INDEX($A$5:$A$10,$X133+1)-INDEX($A$5:$A$10,$X133))))</f>
        <v>0.00221131003597226</v>
      </c>
      <c r="AE133" s="321" t="n">
        <v>0.073748873334097</v>
      </c>
      <c r="AF133" s="316" t="n">
        <f aca="false">(1+AE133/2)^(-2*(I134-DateToday)/365.25)</f>
        <v>0.46140029668981</v>
      </c>
      <c r="AG133" s="316" t="n">
        <f aca="false">AG132*(1+IF(AND(M133=1,L133&gt;YearStart),Escalation,0))</f>
        <v>1</v>
      </c>
      <c r="AH133" s="322" t="n">
        <f aca="false">IF(OR(DateStart&gt;=I134,DateEnd&lt;I133),0,Volume*AG133)</f>
        <v>0</v>
      </c>
      <c r="AI133" s="322" t="n">
        <f aca="false">AH133*AF133</f>
        <v>0</v>
      </c>
      <c r="AJ133" s="322" t="n">
        <f aca="false">IF(OR(DateStart2&gt;=I134,DateEnd2&lt;I133),0,VolumeSwaption*AG133)</f>
        <v>0</v>
      </c>
      <c r="AK133" s="322" t="n">
        <f aca="false">AJ133*AF133</f>
        <v>0</v>
      </c>
      <c r="AL133" s="316" t="str">
        <f aca="true">IF(AH133,OFFSET(BY133,0,HorizontalPriceOffset)+PriceSpreadAsian,"")</f>
        <v/>
      </c>
      <c r="AM133" s="316" t="str">
        <f aca="false">IF(AH133,Strike1/AL133-1,"")</f>
        <v/>
      </c>
      <c r="AN133" s="316" t="str">
        <f aca="false">IF(AH133,Strike2/AL133-1,"")</f>
        <v/>
      </c>
      <c r="AO133" s="323" t="str">
        <f aca="false">IF(AH133,IF(VolOverrideAsian,VolOverrideAsian,IF(ProductGroup=1,IF(Product&lt;3,DA134,DE134),W134)+VolSpreadAsian),"")</f>
        <v/>
      </c>
      <c r="AP133" s="323" t="str">
        <f aca="false">IF($AH133,$AO133+IF(SkewFlag=1,IF(AM133&gt;0,$AA133*MIN(AM133/10%,1)+($Z133-$AA133)*MAX(0,MIN(AM133/10%-1,1))+($Y133-$Z133)*MAX(0,AM133/10%-2),$AB133*MIN(-AM133/10%,1)+($AC133-$AB133)*MAX(0,MIN(-AM133/10%-1,1))+($AD133-$AC133)*MAX(0,-AM133/10%-2)),0),"")</f>
        <v/>
      </c>
      <c r="AQ133" s="323" t="str">
        <f aca="false">IF($AH133,$AO133+IF(SkewFlag=1,IF(AN133&gt;0,$AA133*MIN(AN133/10%,1)+($Z133-$AA133)*MAX(0,MIN(AN133/10%-1,1))+($Y133-$Z133)*MAX(0,AN133/10%-2),$AB133*MIN(-AN133/10%,1)+($AC133-$AB133)*MAX(0,MIN(-AN133/10%-1,1))+($AD133-$AC133)*MAX(0,-AN133/10%-2)),0),"")</f>
        <v/>
      </c>
      <c r="AR133" s="324" t="n">
        <f aca="false">IF(AH133,xASN(AL133,Strike1,AE133,AP133,0,N133,0,P133,Q133,IF(OptControl=4,0,1),0),0)</f>
        <v>0</v>
      </c>
      <c r="AS133" s="324" t="n">
        <f aca="false">IF(AH133,xASN(AL133,Strike1,AE133,AP133,0,N133,0,P133,Q133,IF(OptControl=4,0,1),1),0)</f>
        <v>0</v>
      </c>
      <c r="AT133" s="324" t="n">
        <f aca="false">IF(AH133,xASN(AL133,Strike1,AE133,AP133,0,N133,0,P133,Q133,IF(OptControl=4,0,1),2),0)</f>
        <v>0</v>
      </c>
      <c r="AU133" s="324" t="n">
        <f aca="false">IF(AH133,xASN(AL133,Strike1,AE133,AP133,0,N133,0,P133,Q133,IF(OptControl=4,0,1),3)/100,0)</f>
        <v>0</v>
      </c>
      <c r="AV133" s="324" t="n">
        <f aca="false">IF(AH133,xASN(AL133,Strike1,AE133,AP133,0,N133,0,P133-DaysForThetaCalculation/365.25,Q133-DaysForThetaCalculation/365.25,IF(OptControl=4,0,1),0)-xASN(AL133,Strike1,AE133,AP133,0,N133,0,P133,Q133,IF(OptControl=4,0,1),0),0)</f>
        <v>0</v>
      </c>
      <c r="AW133" s="324" t="n">
        <f aca="false">IF(AH133,xASN(AL133,Strike2,AE133,AQ133,0,N133,0,P133,Q133,IF(OptControl=3,1,0),0),0)</f>
        <v>0</v>
      </c>
      <c r="AX133" s="324" t="n">
        <f aca="false">IF(AH133,xASN(AL133,Strike2,AE133,AQ133,0,N133,0,P133,Q133,IF(OptControl=3,1,0),1),0)</f>
        <v>0</v>
      </c>
      <c r="AY133" s="324" t="n">
        <f aca="false">IF(AH133,xASN(AL133,Strike2,AE133,AQ133,0,N133,0,P133,Q133,IF(OptControl=3,1,0),2),0)</f>
        <v>0</v>
      </c>
      <c r="AZ133" s="324" t="n">
        <f aca="false">IF(AH133,xASN(AL133,Strike2,AE133,AQ133,0,N133,0,P133,Q133,IF(OptControl=3,1,0),3)/100,0)</f>
        <v>0</v>
      </c>
      <c r="BA133" s="324" t="n">
        <f aca="false">IF(AH133,xASN(AL133,Strike2,AE133,AQ133,0,N133,0,P133-DaysForThetaCalculation/365.25,Q133-DaysForThetaCalculation/365.25,IF(OptControl=3,1,0),0)-xASN(AL133,Strike2,AE133,AQ133,0,N133,0,P133,Q133,IF(OptControl=3,1,0),0),0)</f>
        <v>0</v>
      </c>
      <c r="BB133" s="325" t="str">
        <f aca="false">IF(AH133,IF(ProductGroup=1,IF(Product=1,BX133+PriceSpreadEuro,IF(Product=3,CK133+PriceSpreadEuro,"N/A")),"N/A"),"")</f>
        <v/>
      </c>
      <c r="BC133" s="316" t="str">
        <f aca="false">IF(AH133,Strike1/BB133-1,"")</f>
        <v/>
      </c>
      <c r="BD133" s="316" t="str">
        <f aca="false">IF(AH133,Strike2/BB133-1,"")</f>
        <v/>
      </c>
      <c r="BE133" s="326" t="str">
        <f aca="false">IF(AH133,IF(VolOverrideEuro,VolOverrideEuro,IF(ProductGroup=1,IF(Product&lt;3,DA133,DE133)+VolSpreadEuro,"N/A")),"")</f>
        <v/>
      </c>
      <c r="BF133" s="323" t="str">
        <f aca="false">IF($AH133,$BE133+IF(SkewFlag=1,IF(BC133&gt;0,$AA133*MIN(BC133/10%,1)+($Z133-$AA133)*MAX(0,MIN(BC133/10%-1,1))+($Y133-$Z133)*MAX(0,BC133/10%-2),$AB133*MIN(-BC133/10%,1)+($AC133-$AB133)*MAX(0,MIN(-BC133/10%-1,1))+($AD133-$AC133)*MAX(0,-BC133/10%-2)),0),"")</f>
        <v/>
      </c>
      <c r="BG133" s="323" t="str">
        <f aca="false">IF($AH133,$BE133+IF(SkewFlag=1,IF(BD133&gt;0,$AA133*MIN(BD133/10%,1)+($Z133-$AA133)*MAX(0,MIN(BD133/10%-1,1))+($Y133-$Z133)*MAX(0,BD133/10%-2),$AB133*MIN(-BD133/10%,1)+($AC133-$AB133)*MAX(0,MIN(-BD133/10%-1,1))+($AD133-$AC133)*MAX(0,-BD133/10%-2)),0),"")</f>
        <v/>
      </c>
      <c r="BH133" s="324" t="n">
        <f aca="false">IF(AH133,xEURO(BB133,Strike1,AE133,AE133,BF133,O133,IF(OptControl=4,0,1),0),0)</f>
        <v>0</v>
      </c>
      <c r="BI133" s="324" t="n">
        <f aca="false">IF(AH133,xEURO(BB133,Strike1,AE133,AE133,BF133,O133,IF(OptControl=4,0,1),1),0)</f>
        <v>0</v>
      </c>
      <c r="BJ133" s="324" t="n">
        <f aca="false">IF(AH133,xEURO(BB133,Strike1,AE133,AE133,BF133,O133,IF(OptControl=4,0,1),2),0)</f>
        <v>0</v>
      </c>
      <c r="BK133" s="324" t="n">
        <f aca="false">IF(AH133,xEURO(BB133,Strike1,AE133,AE133,BF133,O133,IF(OptControl=4,0,1),3)/100,0)</f>
        <v>0</v>
      </c>
      <c r="BL133" s="324" t="n">
        <f aca="false">IF(AH133,xEURO(BB133,Strike1,AE133,AE133,BF133,O133-DaysForThetaCalculation,IF(OptControl=4,0,1),0)-xEURO(BB133,Strike1,AE133,AE133,BF133,O133,IF(OptControl=4,0,1),0),0)</f>
        <v>0</v>
      </c>
      <c r="BM133" s="324" t="n">
        <f aca="false">IF(AH133,xEURO(BB133,Strike2,AE133,AE133,BG133,O133,IF(OptControl=3,1,0),0),0)</f>
        <v>0</v>
      </c>
      <c r="BN133" s="324" t="n">
        <f aca="false">IF(AH133,xEURO(BB133,Strike2,AE133,AE133,BG133,O133,IF(OptControl=3,1,0),1),0)</f>
        <v>0</v>
      </c>
      <c r="BO133" s="324" t="n">
        <f aca="false">IF(AH133,xEURO(BB133,Strike2,AE133,AE133,BG133,O133,IF(OptControl=3,1,0),2),0)</f>
        <v>0</v>
      </c>
      <c r="BP133" s="324" t="n">
        <f aca="false">IF(AH133,xEURO(BB133,Strike2,AE133,AE133,BG133,O133,IF(OptControl=3,1,0),3)/100,0)</f>
        <v>0</v>
      </c>
      <c r="BQ133" s="327" t="n">
        <f aca="false">IF(AH133,xEURO(BB133,Strike2,AE133,AE133,BG133,O133-DaysForThetaCalculation,IF(OptControl=3,1,0),0)-xEURO(BB133,Strike2,AE133,AE133,BG133,O133,IF(OptControl=3,1,0),0),0)</f>
        <v>0</v>
      </c>
      <c r="BR133" s="343"/>
      <c r="BS133" s="314"/>
      <c r="BT133" s="329" t="n">
        <f aca="false">BS133*100/42</f>
        <v>0</v>
      </c>
      <c r="BU133" s="329" t="n">
        <f aca="false">BS134-$U133</f>
        <v>-28.1431818181813</v>
      </c>
      <c r="BV133" s="224"/>
      <c r="BW133" s="329" t="n">
        <f aca="false">BW121+VLOOKUP(1900+$L133,ProductSpreadTable,2)</f>
        <v>12.5970952380953</v>
      </c>
      <c r="BX133" s="329" t="n">
        <f aca="false">($V132+BW132)*100/42</f>
        <v>96.7428571428573</v>
      </c>
      <c r="BY133" s="332" t="n">
        <f aca="false">BX134</f>
        <v>97.0006596578016</v>
      </c>
      <c r="BZ133" s="314"/>
      <c r="CA133" s="329" t="n">
        <f aca="false">BZ133*100/42</f>
        <v>0</v>
      </c>
      <c r="CB133" s="329" t="n">
        <f aca="false">BZ133-$U133</f>
        <v>-28.1431818181813</v>
      </c>
      <c r="CC133" s="329" t="n">
        <f aca="false">CC121+VLOOKUP(1900+$L133,ProductSpreadTable,3)</f>
        <v>10.2870952380953</v>
      </c>
      <c r="CD133" s="329" t="n">
        <f aca="false">($V133+CC133)*100/42</f>
        <v>91.5006596578016</v>
      </c>
      <c r="CE133" s="333" t="n">
        <f aca="false">CD133-BY133</f>
        <v>-5.50000000000001</v>
      </c>
      <c r="CF133" s="314"/>
      <c r="CG133" s="329" t="n">
        <f aca="false">CF133*100/42</f>
        <v>0</v>
      </c>
      <c r="CH133" s="329" t="n">
        <f aca="false">CF134-$U133</f>
        <v>-28.1431818181813</v>
      </c>
      <c r="CI133" s="224"/>
      <c r="CJ133" s="329" t="n">
        <f aca="false">CJ121+VLOOKUP(1900+$L133,ProductSpreadTable,4)</f>
        <v>12.1690952380953</v>
      </c>
      <c r="CK133" s="329" t="n">
        <f aca="false">($V132+CJ132)*100/42</f>
        <v>94.0238095238097</v>
      </c>
      <c r="CL133" s="329" t="n">
        <f aca="false">CK134</f>
        <v>95.981612038754</v>
      </c>
      <c r="CM133" s="314"/>
      <c r="CN133" s="329" t="n">
        <f aca="false">CM133*100/42</f>
        <v>0</v>
      </c>
      <c r="CO133" s="329" t="n">
        <f aca="false">CM133-$U133</f>
        <v>-28.1431818181813</v>
      </c>
      <c r="CP133" s="329" t="n">
        <f aca="false">CP121+VLOOKUP(1900+$L133,ProductSpreadTable,5)</f>
        <v>10.9720952380953</v>
      </c>
      <c r="CQ133" s="329" t="n">
        <f aca="false">($V133+CP133)*100/42</f>
        <v>93.131612038754</v>
      </c>
      <c r="CR133" s="333" t="n">
        <f aca="false">CQ133-CL133</f>
        <v>-2.84999999999998</v>
      </c>
      <c r="CS133" s="314"/>
      <c r="CT133" s="329" t="n">
        <f aca="false">CS133*100/42</f>
        <v>0</v>
      </c>
      <c r="CU133" s="329" t="n">
        <f aca="false">CT133-CG134</f>
        <v>0</v>
      </c>
      <c r="CV133" s="329" t="n">
        <f aca="false">CV121+VLOOKUP(1900+$L133,ProductSpreadTable,6)</f>
        <v>2.10000000000001</v>
      </c>
      <c r="CW133" s="333" t="n">
        <f aca="false">CL133+CV133</f>
        <v>98.081612038754</v>
      </c>
      <c r="CX133" s="318"/>
      <c r="CY133" s="326" t="n">
        <f aca="false">CX133-$W133</f>
        <v>-0.166499999999999</v>
      </c>
      <c r="CZ133" s="326" t="n">
        <f aca="false">VLOOKUP(1900+$L133,ProductSpreadTable,7)</f>
        <v>-0.03</v>
      </c>
      <c r="DA133" s="365" t="n">
        <f aca="false">$W133+CZ133</f>
        <v>0.136499999999999</v>
      </c>
      <c r="DB133" s="318"/>
      <c r="DC133" s="326" t="n">
        <f aca="false">DB133-$W133</f>
        <v>-0.166499999999999</v>
      </c>
      <c r="DD133" s="326" t="n">
        <f aca="false">VLOOKUP(1900+$L133,ProductSpreadTable,8)</f>
        <v>0.03</v>
      </c>
      <c r="DE133" s="365" t="n">
        <f aca="false">$W133+DD133</f>
        <v>0.196499999999999</v>
      </c>
      <c r="DG133" s="336"/>
      <c r="DH133" s="314"/>
      <c r="DI133" s="325" t="n">
        <f aca="false">DH133-$U133</f>
        <v>-28.1431818181813</v>
      </c>
      <c r="DJ133" s="325" t="n">
        <f aca="false">VLOOKUP(1900+$L133,ResidSpreadTable,2)</f>
        <v>-2</v>
      </c>
      <c r="DK133" s="337" t="n">
        <f aca="false">$V133+DJ133</f>
        <v>26.1431818181813</v>
      </c>
      <c r="DL133" s="314"/>
      <c r="DM133" s="325" t="n">
        <f aca="false">DL133-$U133</f>
        <v>-28.1431818181813</v>
      </c>
      <c r="DN133" s="325" t="n">
        <f aca="false">VLOOKUP(1900+$L133,ResidSpreadTable,3)</f>
        <v>-3</v>
      </c>
      <c r="DO133" s="337" t="n">
        <f aca="false">$V133+DN133</f>
        <v>25.1431818181813</v>
      </c>
      <c r="DP133" s="314"/>
      <c r="DQ133" s="325" t="n">
        <f aca="false">DP133-$U133</f>
        <v>-28.1431818181813</v>
      </c>
      <c r="DR133" s="325" t="n">
        <f aca="false">VLOOKUP(1900+$L133,ResidSpreadTable,4)</f>
        <v>-6</v>
      </c>
      <c r="DS133" s="337" t="n">
        <f aca="false">$V133+DR133</f>
        <v>22.1431818181813</v>
      </c>
      <c r="DT133" s="314"/>
      <c r="DU133" s="325" t="n">
        <f aca="false">DT133-$U133</f>
        <v>-28.1431818181813</v>
      </c>
      <c r="DV133" s="325" t="n">
        <f aca="false">VLOOKUP(1900+$L133,ResidSpreadTable,5)</f>
        <v>-5</v>
      </c>
      <c r="DW133" s="337" t="n">
        <f aca="false">$V133+DV133</f>
        <v>23.1431818181813</v>
      </c>
    </row>
    <row r="134" customFormat="false" ht="12.75" hidden="false" customHeight="false" outlineLevel="0" collapsed="false">
      <c r="B134" s="371" t="n">
        <v>39630</v>
      </c>
      <c r="C134" s="391" t="n">
        <v>39619</v>
      </c>
      <c r="I134" s="338" t="n">
        <f aca="false">EOMONTH(I133,0)+1</f>
        <v>49827</v>
      </c>
      <c r="J134" s="389" t="n">
        <f aca="false">VLOOKUP(I134,$B$12:$C$332,2)</f>
        <v>45644</v>
      </c>
      <c r="K134" s="339" t="n">
        <f aca="false">NETWORKDAYS(I134,J135)/N134</f>
        <v>-142.285714285714</v>
      </c>
      <c r="L134" s="309" t="n">
        <f aca="false">YEAR(I134)-1900</f>
        <v>136</v>
      </c>
      <c r="M134" s="310" t="n">
        <f aca="false">MONTH(I134)</f>
        <v>6</v>
      </c>
      <c r="N134" s="340" t="n">
        <f aca="false">NETWORKDAYS(I134,I135-1)</f>
        <v>21</v>
      </c>
      <c r="O134" s="341" t="n">
        <f aca="false">I134-DateToday-IF(EuroExpDateToggle=1,3+IF(WEEKDAY(I134-1)=7,1,IF(WEEKDAY(I134-1)&lt;5,2,0)),1+IF(WEEKDAY(I134-1)=7,1,IF(WEEKDAY(I134-1)&lt;3,2,0)))</f>
        <v>3897</v>
      </c>
      <c r="P134" s="342" t="n">
        <f aca="false">(I134-DateToday+1)/365.25</f>
        <v>10.6830937713895</v>
      </c>
      <c r="Q134" s="342" t="n">
        <f aca="false">(I135-DateToday)/365.25</f>
        <v>10.7624914442163</v>
      </c>
      <c r="R134" s="314" t="n">
        <v>21.35</v>
      </c>
      <c r="S134" s="347" t="n">
        <v>0</v>
      </c>
      <c r="T134" s="316" t="n">
        <f aca="false">R134+S134/100</f>
        <v>21.35</v>
      </c>
      <c r="U134" s="325" t="n">
        <f aca="false">R135*K134+R136*(1-K134)</f>
        <v>28.5642857142861</v>
      </c>
      <c r="V134" s="337" t="n">
        <f aca="false">T135*K134+T136*(1-K134)</f>
        <v>28.5642857142861</v>
      </c>
      <c r="W134" s="318" t="n">
        <v>0.166099999999999</v>
      </c>
      <c r="X134" s="319" t="str">
        <f aca="false">IF($I134-DateToday+1&gt;=$A$10,"",IF($I134-DateToday+1&lt;$A$5,1,MATCH($I134-DateToday+1,$A$5:$A$10)))</f>
        <v/>
      </c>
      <c r="Y134" s="348" t="n">
        <f aca="false">IF($X134="",Y133^2/Y132,INDEX(B$5:B$10,$X134)^((INDEX($A$5:$A$10,$X134+1)-($I134-DateToday+1))/(INDEX($A$5:$A$10,$X134+1)-INDEX($A$5:$A$10,$X134)))/INDEX(B$5:B$10,$X134+1)^((INDEX($A$5:$A$10,$X134)-($I134-DateToday+1))/(INDEX($A$5:$A$10,$X134+1)-INDEX($A$5:$A$10,$X134))))</f>
        <v>0.000960568737279838</v>
      </c>
      <c r="Z134" s="348" t="n">
        <f aca="false">IF($X134="",Z133^2/Z132,INDEX(C$5:C$10,$X134)^((INDEX($A$5:$A$10,$X134+1)-($I134-DateToday+1))/(INDEX($A$5:$A$10,$X134+1)-INDEX($A$5:$A$10,$X134)))/INDEX(C$5:C$10,$X134+1)^((INDEX($A$5:$A$10,$X134)-($I134-DateToday+1))/(INDEX($A$5:$A$10,$X134+1)-INDEX($A$5:$A$10,$X134))))</f>
        <v>0.000297482414066016</v>
      </c>
      <c r="AA134" s="348" t="n">
        <f aca="false">IF($X134="",AA133^2/AA132,INDEX(D$5:D$10,$X134)^((INDEX($A$5:$A$10,$X134+1)-($I134-DateToday+1))/(INDEX($A$5:$A$10,$X134+1)-INDEX($A$5:$A$10,$X134)))/INDEX(D$5:D$10,$X134+1)^((INDEX($A$5:$A$10,$X134)-($I134-DateToday+1))/(INDEX($A$5:$A$10,$X134+1)-INDEX($A$5:$A$10,$X134))))</f>
        <v>0.000100509206373697</v>
      </c>
      <c r="AB134" s="348" t="n">
        <f aca="false">IF($X134="",AB133^2/AB132,INDEX(E$5:E$10,$X134)^((INDEX($A$5:$A$10,$X134+1)-($I134-DateToday+1))/(INDEX($A$5:$A$10,$X134+1)-INDEX($A$5:$A$10,$X134)))/INDEX(E$5:E$10,$X134+1)^((INDEX($A$5:$A$10,$X134)-($I134-DateToday+1))/(INDEX($A$5:$A$10,$X134+1)-INDEX($A$5:$A$10,$X134))))</f>
        <v>0.000226427140118674</v>
      </c>
      <c r="AC134" s="348" t="n">
        <f aca="false">IF($X134="",AC133^2/AC132,INDEX(F$5:F$10,$X134)^((INDEX($A$5:$A$10,$X134+1)-($I134-DateToday+1))/(INDEX($A$5:$A$10,$X134+1)-INDEX($A$5:$A$10,$X134)))/INDEX(F$5:F$10,$X134+1)^((INDEX($A$5:$A$10,$X134)-($I134-DateToday+1))/(INDEX($A$5:$A$10,$X134+1)-INDEX($A$5:$A$10,$X134))))</f>
        <v>0.000670168382407917</v>
      </c>
      <c r="AD134" s="348" t="n">
        <f aca="false">IF($X134="",AD133^2/AD132,INDEX(G$5:G$10,$X134)^((INDEX($A$5:$A$10,$X134+1)-($I134-DateToday+1))/(INDEX($A$5:$A$10,$X134+1)-INDEX($A$5:$A$10,$X134)))/INDEX(G$5:G$10,$X134+1)^((INDEX($A$5:$A$10,$X134)-($I134-DateToday+1))/(INDEX($A$5:$A$10,$X134+1)-INDEX($A$5:$A$10,$X134))))</f>
        <v>0.00216396925134385</v>
      </c>
      <c r="AE134" s="321" t="n">
        <v>0.073745039567572</v>
      </c>
      <c r="AF134" s="316" t="n">
        <f aca="false">(1+AE134/2)^(-2*(I135-DateToday)/365.25)</f>
        <v>0.458682105692164</v>
      </c>
      <c r="AG134" s="316" t="n">
        <f aca="false">AG133*(1+IF(AND(M134=1,L134&gt;YearStart),Escalation,0))</f>
        <v>1</v>
      </c>
      <c r="AH134" s="322" t="n">
        <f aca="false">IF(OR(DateStart&gt;=I135,DateEnd&lt;I134),0,Volume*AG134)</f>
        <v>0</v>
      </c>
      <c r="AI134" s="322" t="n">
        <f aca="false">AH134*AF134</f>
        <v>0</v>
      </c>
      <c r="AJ134" s="322" t="n">
        <f aca="false">IF(OR(DateStart2&gt;=I135,DateEnd2&lt;I134),0,VolumeSwaption*AG134)</f>
        <v>0</v>
      </c>
      <c r="AK134" s="322" t="n">
        <f aca="false">AJ134*AF134</f>
        <v>0</v>
      </c>
      <c r="AL134" s="316" t="str">
        <f aca="true">IF(AH134,OFFSET(BY134,0,HorizontalPriceOffset)+PriceSpreadAsian,"")</f>
        <v/>
      </c>
      <c r="AM134" s="316" t="str">
        <f aca="false">IF(AH134,Strike1/AL134-1,"")</f>
        <v/>
      </c>
      <c r="AN134" s="316" t="str">
        <f aca="false">IF(AH134,Strike2/AL134-1,"")</f>
        <v/>
      </c>
      <c r="AO134" s="323" t="str">
        <f aca="false">IF(AH134,IF(VolOverrideAsian,VolOverrideAsian,IF(ProductGroup=1,IF(Product&lt;3,DA135,DE135),W135)+VolSpreadAsian),"")</f>
        <v/>
      </c>
      <c r="AP134" s="323" t="str">
        <f aca="false">IF($AH134,$AO134+IF(SkewFlag=1,IF(AM134&gt;0,$AA134*MIN(AM134/10%,1)+($Z134-$AA134)*MAX(0,MIN(AM134/10%-1,1))+($Y134-$Z134)*MAX(0,AM134/10%-2),$AB134*MIN(-AM134/10%,1)+($AC134-$AB134)*MAX(0,MIN(-AM134/10%-1,1))+($AD134-$AC134)*MAX(0,-AM134/10%-2)),0),"")</f>
        <v/>
      </c>
      <c r="AQ134" s="323" t="str">
        <f aca="false">IF($AH134,$AO134+IF(SkewFlag=1,IF(AN134&gt;0,$AA134*MIN(AN134/10%,1)+($Z134-$AA134)*MAX(0,MIN(AN134/10%-1,1))+($Y134-$Z134)*MAX(0,AN134/10%-2),$AB134*MIN(-AN134/10%,1)+($AC134-$AB134)*MAX(0,MIN(-AN134/10%-1,1))+($AD134-$AC134)*MAX(0,-AN134/10%-2)),0),"")</f>
        <v/>
      </c>
      <c r="AR134" s="324" t="n">
        <f aca="false">IF(AH134,xASN(AL134,Strike1,AE134,AP134,0,N134,0,P134,Q134,IF(OptControl=4,0,1),0),0)</f>
        <v>0</v>
      </c>
      <c r="AS134" s="324" t="n">
        <f aca="false">IF(AH134,xASN(AL134,Strike1,AE134,AP134,0,N134,0,P134,Q134,IF(OptControl=4,0,1),1),0)</f>
        <v>0</v>
      </c>
      <c r="AT134" s="324" t="n">
        <f aca="false">IF(AH134,xASN(AL134,Strike1,AE134,AP134,0,N134,0,P134,Q134,IF(OptControl=4,0,1),2),0)</f>
        <v>0</v>
      </c>
      <c r="AU134" s="324" t="n">
        <f aca="false">IF(AH134,xASN(AL134,Strike1,AE134,AP134,0,N134,0,P134,Q134,IF(OptControl=4,0,1),3)/100,0)</f>
        <v>0</v>
      </c>
      <c r="AV134" s="324" t="n">
        <f aca="false">IF(AH134,xASN(AL134,Strike1,AE134,AP134,0,N134,0,P134-DaysForThetaCalculation/365.25,Q134-DaysForThetaCalculation/365.25,IF(OptControl=4,0,1),0)-xASN(AL134,Strike1,AE134,AP134,0,N134,0,P134,Q134,IF(OptControl=4,0,1),0),0)</f>
        <v>0</v>
      </c>
      <c r="AW134" s="324" t="n">
        <f aca="false">IF(AH134,xASN(AL134,Strike2,AE134,AQ134,0,N134,0,P134,Q134,IF(OptControl=3,1,0),0),0)</f>
        <v>0</v>
      </c>
      <c r="AX134" s="324" t="n">
        <f aca="false">IF(AH134,xASN(AL134,Strike2,AE134,AQ134,0,N134,0,P134,Q134,IF(OptControl=3,1,0),1),0)</f>
        <v>0</v>
      </c>
      <c r="AY134" s="324" t="n">
        <f aca="false">IF(AH134,xASN(AL134,Strike2,AE134,AQ134,0,N134,0,P134,Q134,IF(OptControl=3,1,0),2),0)</f>
        <v>0</v>
      </c>
      <c r="AZ134" s="324" t="n">
        <f aca="false">IF(AH134,xASN(AL134,Strike2,AE134,AQ134,0,N134,0,P134,Q134,IF(OptControl=3,1,0),3)/100,0)</f>
        <v>0</v>
      </c>
      <c r="BA134" s="324" t="n">
        <f aca="false">IF(AH134,xASN(AL134,Strike2,AE134,AQ134,0,N134,0,P134-DaysForThetaCalculation/365.25,Q134-DaysForThetaCalculation/365.25,IF(OptControl=3,1,0),0)-xASN(AL134,Strike2,AE134,AQ134,0,N134,0,P134,Q134,IF(OptControl=3,1,0),0),0)</f>
        <v>0</v>
      </c>
      <c r="BB134" s="325" t="str">
        <f aca="false">IF(AH134,IF(ProductGroup=1,IF(Product=1,BX134+PriceSpreadEuro,IF(Product=3,CK134+PriceSpreadEuro,"N/A")),"N/A"),"")</f>
        <v/>
      </c>
      <c r="BC134" s="316" t="str">
        <f aca="false">IF(AH134,Strike1/BB134-1,"")</f>
        <v/>
      </c>
      <c r="BD134" s="316" t="str">
        <f aca="false">IF(AH134,Strike2/BB134-1,"")</f>
        <v/>
      </c>
      <c r="BE134" s="326" t="str">
        <f aca="false">IF(AH134,IF(VolOverrideEuro,VolOverrideEuro,IF(ProductGroup=1,IF(Product&lt;3,DA134,DE134)+VolSpreadEuro,"N/A")),"")</f>
        <v/>
      </c>
      <c r="BF134" s="323" t="str">
        <f aca="false">IF($AH134,$BE134+IF(SkewFlag=1,IF(BC134&gt;0,$AA134*MIN(BC134/10%,1)+($Z134-$AA134)*MAX(0,MIN(BC134/10%-1,1))+($Y134-$Z134)*MAX(0,BC134/10%-2),$AB134*MIN(-BC134/10%,1)+($AC134-$AB134)*MAX(0,MIN(-BC134/10%-1,1))+($AD134-$AC134)*MAX(0,-BC134/10%-2)),0),"")</f>
        <v/>
      </c>
      <c r="BG134" s="323" t="str">
        <f aca="false">IF($AH134,$BE134+IF(SkewFlag=1,IF(BD134&gt;0,$AA134*MIN(BD134/10%,1)+($Z134-$AA134)*MAX(0,MIN(BD134/10%-1,1))+($Y134-$Z134)*MAX(0,BD134/10%-2),$AB134*MIN(-BD134/10%,1)+($AC134-$AB134)*MAX(0,MIN(-BD134/10%-1,1))+($AD134-$AC134)*MAX(0,-BD134/10%-2)),0),"")</f>
        <v/>
      </c>
      <c r="BH134" s="324" t="n">
        <f aca="false">IF(AH134,xEURO(BB134,Strike1,AE134,AE134,BF134,O134,IF(OptControl=4,0,1),0),0)</f>
        <v>0</v>
      </c>
      <c r="BI134" s="324" t="n">
        <f aca="false">IF(AH134,xEURO(BB134,Strike1,AE134,AE134,BF134,O134,IF(OptControl=4,0,1),1),0)</f>
        <v>0</v>
      </c>
      <c r="BJ134" s="324" t="n">
        <f aca="false">IF(AH134,xEURO(BB134,Strike1,AE134,AE134,BF134,O134,IF(OptControl=4,0,1),2),0)</f>
        <v>0</v>
      </c>
      <c r="BK134" s="324" t="n">
        <f aca="false">IF(AH134,xEURO(BB134,Strike1,AE134,AE134,BF134,O134,IF(OptControl=4,0,1),3)/100,0)</f>
        <v>0</v>
      </c>
      <c r="BL134" s="324" t="n">
        <f aca="false">IF(AH134,xEURO(BB134,Strike1,AE134,AE134,BF134,O134-DaysForThetaCalculation,IF(OptControl=4,0,1),0)-xEURO(BB134,Strike1,AE134,AE134,BF134,O134,IF(OptControl=4,0,1),0),0)</f>
        <v>0</v>
      </c>
      <c r="BM134" s="324" t="n">
        <f aca="false">IF(AH134,xEURO(BB134,Strike2,AE134,AE134,BG134,O134,IF(OptControl=3,1,0),0),0)</f>
        <v>0</v>
      </c>
      <c r="BN134" s="324" t="n">
        <f aca="false">IF(AH134,xEURO(BB134,Strike2,AE134,AE134,BG134,O134,IF(OptControl=3,1,0),1),0)</f>
        <v>0</v>
      </c>
      <c r="BO134" s="324" t="n">
        <f aca="false">IF(AH134,xEURO(BB134,Strike2,AE134,AE134,BG134,O134,IF(OptControl=3,1,0),2),0)</f>
        <v>0</v>
      </c>
      <c r="BP134" s="324" t="n">
        <f aca="false">IF(AH134,xEURO(BB134,Strike2,AE134,AE134,BG134,O134,IF(OptControl=3,1,0),3)/100,0)</f>
        <v>0</v>
      </c>
      <c r="BQ134" s="327" t="n">
        <f aca="false">IF(AH134,xEURO(BB134,Strike2,AE134,AE134,BG134,O134-DaysForThetaCalculation,IF(OptControl=3,1,0),0)-xEURO(BB134,Strike2,AE134,AE134,BG134,O134,IF(OptControl=3,1,0),0),0)</f>
        <v>0</v>
      </c>
      <c r="BR134" s="343"/>
      <c r="BS134" s="314"/>
      <c r="BT134" s="329" t="n">
        <f aca="false">BS134*100/42</f>
        <v>0</v>
      </c>
      <c r="BU134" s="329" t="n">
        <f aca="false">BS135-$U134</f>
        <v>-28.5642857142861</v>
      </c>
      <c r="BV134" s="224"/>
      <c r="BW134" s="329" t="n">
        <f aca="false">BW122+VLOOKUP(1900+$L134,ProductSpreadTable,2)</f>
        <v>12.4918181818182</v>
      </c>
      <c r="BX134" s="329" t="n">
        <f aca="false">($V133+BW133)*100/42</f>
        <v>97.0006596578016</v>
      </c>
      <c r="BY134" s="332" t="n">
        <f aca="false">BX135</f>
        <v>97.7526283240579</v>
      </c>
      <c r="BZ134" s="314"/>
      <c r="CA134" s="329" t="n">
        <f aca="false">BZ134*100/42</f>
        <v>0</v>
      </c>
      <c r="CB134" s="329" t="n">
        <f aca="false">BZ134-$U134</f>
        <v>-28.5642857142861</v>
      </c>
      <c r="CC134" s="329" t="n">
        <f aca="false">CC122+VLOOKUP(1900+$L134,ProductSpreadTable,3)</f>
        <v>10.1818181818182</v>
      </c>
      <c r="CD134" s="329" t="n">
        <f aca="false">($V134+CC134)*100/42</f>
        <v>92.2526283240579</v>
      </c>
      <c r="CE134" s="333" t="n">
        <f aca="false">CD134-BY134</f>
        <v>-5.5</v>
      </c>
      <c r="CF134" s="314"/>
      <c r="CG134" s="329" t="n">
        <f aca="false">CF134*100/42</f>
        <v>0</v>
      </c>
      <c r="CH134" s="329" t="n">
        <f aca="false">CF135-$U134</f>
        <v>-28.5642857142861</v>
      </c>
      <c r="CI134" s="224"/>
      <c r="CJ134" s="329" t="n">
        <f aca="false">CJ122+VLOOKUP(1900+$L134,ProductSpreadTable,4)</f>
        <v>12.2528181818182</v>
      </c>
      <c r="CK134" s="329" t="n">
        <f aca="false">($V133+CJ133)*100/42</f>
        <v>95.981612038754</v>
      </c>
      <c r="CL134" s="329" t="n">
        <f aca="false">CK135</f>
        <v>97.1835807050103</v>
      </c>
      <c r="CM134" s="314"/>
      <c r="CN134" s="329" t="n">
        <f aca="false">CM134*100/42</f>
        <v>0</v>
      </c>
      <c r="CO134" s="329" t="n">
        <f aca="false">CM134-$U134</f>
        <v>-28.5642857142861</v>
      </c>
      <c r="CP134" s="329" t="n">
        <f aca="false">CP122+VLOOKUP(1900+$L134,ProductSpreadTable,5)</f>
        <v>11.0558181818182</v>
      </c>
      <c r="CQ134" s="329" t="n">
        <f aca="false">($V134+CP134)*100/42</f>
        <v>94.3335807050103</v>
      </c>
      <c r="CR134" s="333" t="n">
        <f aca="false">CQ134-CL134</f>
        <v>-2.84999999999997</v>
      </c>
      <c r="CS134" s="314"/>
      <c r="CT134" s="329" t="n">
        <f aca="false">CS134*100/42</f>
        <v>0</v>
      </c>
      <c r="CU134" s="329" t="n">
        <f aca="false">CT134-CG135</f>
        <v>0</v>
      </c>
      <c r="CV134" s="329" t="n">
        <f aca="false">CV122+VLOOKUP(1900+$L134,ProductSpreadTable,6)</f>
        <v>2.10000000000001</v>
      </c>
      <c r="CW134" s="333" t="n">
        <f aca="false">CL134+CV134</f>
        <v>99.2835807050103</v>
      </c>
      <c r="CX134" s="318"/>
      <c r="CY134" s="326" t="n">
        <f aca="false">CX134-$W134</f>
        <v>-0.166099999999999</v>
      </c>
      <c r="CZ134" s="326" t="n">
        <f aca="false">VLOOKUP(1900+$L134,ProductSpreadTable,7)</f>
        <v>-0.03</v>
      </c>
      <c r="DA134" s="365" t="n">
        <f aca="false">$W134+CZ134</f>
        <v>0.136099999999999</v>
      </c>
      <c r="DB134" s="318"/>
      <c r="DC134" s="326" t="n">
        <f aca="false">DB134-$W134</f>
        <v>-0.166099999999999</v>
      </c>
      <c r="DD134" s="326" t="n">
        <f aca="false">VLOOKUP(1900+$L134,ProductSpreadTable,8)</f>
        <v>0.03</v>
      </c>
      <c r="DE134" s="365" t="n">
        <f aca="false">$W134+DD134</f>
        <v>0.196099999999999</v>
      </c>
      <c r="DG134" s="336"/>
      <c r="DH134" s="314"/>
      <c r="DI134" s="325" t="n">
        <f aca="false">DH134-$U134</f>
        <v>-28.5642857142861</v>
      </c>
      <c r="DJ134" s="325" t="n">
        <f aca="false">VLOOKUP(1900+$L134,ResidSpreadTable,2)</f>
        <v>-2</v>
      </c>
      <c r="DK134" s="337" t="n">
        <f aca="false">$V134+DJ134</f>
        <v>26.5642857142861</v>
      </c>
      <c r="DL134" s="314"/>
      <c r="DM134" s="325" t="n">
        <f aca="false">DL134-$U134</f>
        <v>-28.5642857142861</v>
      </c>
      <c r="DN134" s="325" t="n">
        <f aca="false">VLOOKUP(1900+$L134,ResidSpreadTable,3)</f>
        <v>-3</v>
      </c>
      <c r="DO134" s="337" t="n">
        <f aca="false">$V134+DN134</f>
        <v>25.5642857142861</v>
      </c>
      <c r="DP134" s="314"/>
      <c r="DQ134" s="325" t="n">
        <f aca="false">DP134-$U134</f>
        <v>-28.5642857142861</v>
      </c>
      <c r="DR134" s="325" t="n">
        <f aca="false">VLOOKUP(1900+$L134,ResidSpreadTable,4)</f>
        <v>-6</v>
      </c>
      <c r="DS134" s="337" t="n">
        <f aca="false">$V134+DR134</f>
        <v>22.5642857142861</v>
      </c>
      <c r="DT134" s="314"/>
      <c r="DU134" s="325" t="n">
        <f aca="false">DT134-$U134</f>
        <v>-28.5642857142861</v>
      </c>
      <c r="DV134" s="325" t="n">
        <f aca="false">VLOOKUP(1900+$L134,ResidSpreadTable,5)</f>
        <v>-5</v>
      </c>
      <c r="DW134" s="337" t="n">
        <f aca="false">$V134+DV134</f>
        <v>23.5642857142861</v>
      </c>
    </row>
    <row r="135" customFormat="false" ht="12.75" hidden="false" customHeight="false" outlineLevel="0" collapsed="false">
      <c r="B135" s="371" t="n">
        <v>39661</v>
      </c>
      <c r="C135" s="391" t="n">
        <v>39649</v>
      </c>
      <c r="I135" s="338" t="n">
        <f aca="false">EOMONTH(I134,0)+1</f>
        <v>49857</v>
      </c>
      <c r="J135" s="389" t="n">
        <f aca="false">VLOOKUP(I135,$B$12:$C$332,2)</f>
        <v>45644</v>
      </c>
      <c r="K135" s="339" t="n">
        <f aca="false">NETWORKDAYS(I135,J136)/N135</f>
        <v>-130.869565217391</v>
      </c>
      <c r="L135" s="309" t="n">
        <f aca="false">YEAR(I135)-1900</f>
        <v>136</v>
      </c>
      <c r="M135" s="310" t="n">
        <f aca="false">MONTH(I135)</f>
        <v>7</v>
      </c>
      <c r="N135" s="340" t="n">
        <f aca="false">NETWORKDAYS(I135,I136-1)</f>
        <v>23</v>
      </c>
      <c r="O135" s="341" t="n">
        <f aca="false">I135-DateToday-IF(EuroExpDateToggle=1,3+IF(WEEKDAY(I135-1)=7,1,IF(WEEKDAY(I135-1)&lt;5,2,0)),1+IF(WEEKDAY(I135-1)=7,1,IF(WEEKDAY(I135-1)&lt;3,2,0)))</f>
        <v>3926</v>
      </c>
      <c r="P135" s="342" t="n">
        <f aca="false">(I135-DateToday+1)/365.25</f>
        <v>10.7652292950034</v>
      </c>
      <c r="Q135" s="342" t="n">
        <f aca="false">(I136-DateToday)/365.25</f>
        <v>10.8473648186174</v>
      </c>
      <c r="R135" s="314" t="n">
        <v>21.4</v>
      </c>
      <c r="S135" s="347" t="n">
        <v>0</v>
      </c>
      <c r="T135" s="316" t="n">
        <f aca="false">R135+S135/100</f>
        <v>21.4</v>
      </c>
      <c r="U135" s="325" t="n">
        <f aca="false">R136*K135+R137*(1-K135)</f>
        <v>28.0434782608695</v>
      </c>
      <c r="V135" s="337" t="n">
        <f aca="false">T136*K135+T137*(1-K135)</f>
        <v>28.0434782608695</v>
      </c>
      <c r="W135" s="318" t="n">
        <v>0.165699999999999</v>
      </c>
      <c r="X135" s="319" t="str">
        <f aca="false">IF($I135-DateToday+1&gt;=$A$10,"",IF($I135-DateToday+1&lt;$A$5,1,MATCH($I135-DateToday+1,$A$5:$A$10)))</f>
        <v/>
      </c>
      <c r="Y135" s="348" t="n">
        <f aca="false">IF($X135="",Y134^2/Y133,INDEX(B$5:B$10,$X135)^((INDEX($A$5:$A$10,$X135+1)-($I135-DateToday+1))/(INDEX($A$5:$A$10,$X135+1)-INDEX($A$5:$A$10,$X135)))/INDEX(B$5:B$10,$X135+1)^((INDEX($A$5:$A$10,$X135)-($I135-DateToday+1))/(INDEX($A$5:$A$10,$X135+1)-INDEX($A$5:$A$10,$X135))))</f>
        <v>0.00094000442156987</v>
      </c>
      <c r="Z135" s="348" t="n">
        <f aca="false">IF($X135="",Z134^2/Z133,INDEX(C$5:C$10,$X135)^((INDEX($A$5:$A$10,$X135+1)-($I135-DateToday+1))/(INDEX($A$5:$A$10,$X135+1)-INDEX($A$5:$A$10,$X135)))/INDEX(C$5:C$10,$X135+1)^((INDEX($A$5:$A$10,$X135)-($I135-DateToday+1))/(INDEX($A$5:$A$10,$X135+1)-INDEX($A$5:$A$10,$X135))))</f>
        <v>0.000289555129794932</v>
      </c>
      <c r="AA135" s="348" t="n">
        <f aca="false">IF($X135="",AA134^2/AA133,INDEX(D$5:D$10,$X135)^((INDEX($A$5:$A$10,$X135+1)-($I135-DateToday+1))/(INDEX($A$5:$A$10,$X135+1)-INDEX($A$5:$A$10,$X135)))/INDEX(D$5:D$10,$X135+1)^((INDEX($A$5:$A$10,$X135)-($I135-DateToday+1))/(INDEX($A$5:$A$10,$X135+1)-INDEX($A$5:$A$10,$X135))))</f>
        <v>9.75685035278421E-005</v>
      </c>
      <c r="AB135" s="348" t="n">
        <f aca="false">IF($X135="",AB134^2/AB133,INDEX(E$5:E$10,$X135)^((INDEX($A$5:$A$10,$X135+1)-($I135-DateToday+1))/(INDEX($A$5:$A$10,$X135+1)-INDEX($A$5:$A$10,$X135)))/INDEX(E$5:E$10,$X135+1)^((INDEX($A$5:$A$10,$X135)-($I135-DateToday+1))/(INDEX($A$5:$A$10,$X135+1)-INDEX($A$5:$A$10,$X135))))</f>
        <v>0.000219802324747533</v>
      </c>
      <c r="AC135" s="348" t="n">
        <f aca="false">IF($X135="",AC134^2/AC133,INDEX(F$5:F$10,$X135)^((INDEX($A$5:$A$10,$X135+1)-($I135-DateToday+1))/(INDEX($A$5:$A$10,$X135+1)-INDEX($A$5:$A$10,$X135)))/INDEX(F$5:F$10,$X135+1)^((INDEX($A$5:$A$10,$X135)-($I135-DateToday+1))/(INDEX($A$5:$A$10,$X135+1)-INDEX($A$5:$A$10,$X135))))</f>
        <v>0.00065230979640202</v>
      </c>
      <c r="AD135" s="348" t="n">
        <f aca="false">IF($X135="",AD134^2/AD133,INDEX(G$5:G$10,$X135)^((INDEX($A$5:$A$10,$X135+1)-($I135-DateToday+1))/(INDEX($A$5:$A$10,$X135+1)-INDEX($A$5:$A$10,$X135)))/INDEX(G$5:G$10,$X135+1)^((INDEX($A$5:$A$10,$X135)-($I135-DateToday+1))/(INDEX($A$5:$A$10,$X135+1)-INDEX($A$5:$A$10,$X135))))</f>
        <v>0.00211764196091243</v>
      </c>
      <c r="AE135" s="321" t="n">
        <v>0.073741078008835</v>
      </c>
      <c r="AF135" s="316" t="n">
        <f aca="false">(1+AE135/2)^(-2*(I136-DateToday)/365.25)</f>
        <v>0.455890421067278</v>
      </c>
      <c r="AG135" s="316" t="n">
        <f aca="false">AG134*(1+IF(AND(M135=1,L135&gt;YearStart),Escalation,0))</f>
        <v>1</v>
      </c>
      <c r="AH135" s="322" t="n">
        <f aca="false">IF(OR(DateStart&gt;=I136,DateEnd&lt;I135),0,Volume*AG135)</f>
        <v>0</v>
      </c>
      <c r="AI135" s="322" t="n">
        <f aca="false">AH135*AF135</f>
        <v>0</v>
      </c>
      <c r="AJ135" s="322" t="n">
        <f aca="false">IF(OR(DateStart2&gt;=I136,DateEnd2&lt;I135),0,VolumeSwaption*AG135)</f>
        <v>0</v>
      </c>
      <c r="AK135" s="322" t="n">
        <f aca="false">AJ135*AF135</f>
        <v>0</v>
      </c>
      <c r="AL135" s="316" t="str">
        <f aca="true">IF(AH135,OFFSET(BY135,0,HorizontalPriceOffset)+PriceSpreadAsian,"")</f>
        <v/>
      </c>
      <c r="AM135" s="316" t="str">
        <f aca="false">IF(AH135,Strike1/AL135-1,"")</f>
        <v/>
      </c>
      <c r="AN135" s="316" t="str">
        <f aca="false">IF(AH135,Strike2/AL135-1,"")</f>
        <v/>
      </c>
      <c r="AO135" s="323" t="str">
        <f aca="false">IF(AH135,IF(VolOverrideAsian,VolOverrideAsian,IF(ProductGroup=1,IF(Product&lt;3,DA136,DE136),W136)+VolSpreadAsian),"")</f>
        <v/>
      </c>
      <c r="AP135" s="323" t="str">
        <f aca="false">IF($AH135,$AO135+IF(SkewFlag=1,IF(AM135&gt;0,$AA135*MIN(AM135/10%,1)+($Z135-$AA135)*MAX(0,MIN(AM135/10%-1,1))+($Y135-$Z135)*MAX(0,AM135/10%-2),$AB135*MIN(-AM135/10%,1)+($AC135-$AB135)*MAX(0,MIN(-AM135/10%-1,1))+($AD135-$AC135)*MAX(0,-AM135/10%-2)),0),"")</f>
        <v/>
      </c>
      <c r="AQ135" s="323" t="str">
        <f aca="false">IF($AH135,$AO135+IF(SkewFlag=1,IF(AN135&gt;0,$AA135*MIN(AN135/10%,1)+($Z135-$AA135)*MAX(0,MIN(AN135/10%-1,1))+($Y135-$Z135)*MAX(0,AN135/10%-2),$AB135*MIN(-AN135/10%,1)+($AC135-$AB135)*MAX(0,MIN(-AN135/10%-1,1))+($AD135-$AC135)*MAX(0,-AN135/10%-2)),0),"")</f>
        <v/>
      </c>
      <c r="AR135" s="324" t="n">
        <f aca="false">IF(AH135,xASN(AL135,Strike1,AE135,AP135,0,N135,0,P135,Q135,IF(OptControl=4,0,1),0),0)</f>
        <v>0</v>
      </c>
      <c r="AS135" s="324" t="n">
        <f aca="false">IF(AH135,xASN(AL135,Strike1,AE135,AP135,0,N135,0,P135,Q135,IF(OptControl=4,0,1),1),0)</f>
        <v>0</v>
      </c>
      <c r="AT135" s="324" t="n">
        <f aca="false">IF(AH135,xASN(AL135,Strike1,AE135,AP135,0,N135,0,P135,Q135,IF(OptControl=4,0,1),2),0)</f>
        <v>0</v>
      </c>
      <c r="AU135" s="324" t="n">
        <f aca="false">IF(AH135,xASN(AL135,Strike1,AE135,AP135,0,N135,0,P135,Q135,IF(OptControl=4,0,1),3)/100,0)</f>
        <v>0</v>
      </c>
      <c r="AV135" s="324" t="n">
        <f aca="false">IF(AH135,xASN(AL135,Strike1,AE135,AP135,0,N135,0,P135-DaysForThetaCalculation/365.25,Q135-DaysForThetaCalculation/365.25,IF(OptControl=4,0,1),0)-xASN(AL135,Strike1,AE135,AP135,0,N135,0,P135,Q135,IF(OptControl=4,0,1),0),0)</f>
        <v>0</v>
      </c>
      <c r="AW135" s="324" t="n">
        <f aca="false">IF(AH135,xASN(AL135,Strike2,AE135,AQ135,0,N135,0,P135,Q135,IF(OptControl=3,1,0),0),0)</f>
        <v>0</v>
      </c>
      <c r="AX135" s="324" t="n">
        <f aca="false">IF(AH135,xASN(AL135,Strike2,AE135,AQ135,0,N135,0,P135,Q135,IF(OptControl=3,1,0),1),0)</f>
        <v>0</v>
      </c>
      <c r="AY135" s="324" t="n">
        <f aca="false">IF(AH135,xASN(AL135,Strike2,AE135,AQ135,0,N135,0,P135,Q135,IF(OptControl=3,1,0),2),0)</f>
        <v>0</v>
      </c>
      <c r="AZ135" s="324" t="n">
        <f aca="false">IF(AH135,xASN(AL135,Strike2,AE135,AQ135,0,N135,0,P135,Q135,IF(OptControl=3,1,0),3)/100,0)</f>
        <v>0</v>
      </c>
      <c r="BA135" s="324" t="n">
        <f aca="false">IF(AH135,xASN(AL135,Strike2,AE135,AQ135,0,N135,0,P135-DaysForThetaCalculation/365.25,Q135-DaysForThetaCalculation/365.25,IF(OptControl=3,1,0),0)-xASN(AL135,Strike2,AE135,AQ135,0,N135,0,P135,Q135,IF(OptControl=3,1,0),0),0)</f>
        <v>0</v>
      </c>
      <c r="BB135" s="325" t="str">
        <f aca="false">IF(AH135,IF(ProductGroup=1,IF(Product=1,BX135+PriceSpreadEuro,IF(Product=3,CK135+PriceSpreadEuro,"N/A")),"N/A"),"")</f>
        <v/>
      </c>
      <c r="BC135" s="316" t="str">
        <f aca="false">IF(AH135,Strike1/BB135-1,"")</f>
        <v/>
      </c>
      <c r="BD135" s="316" t="str">
        <f aca="false">IF(AH135,Strike2/BB135-1,"")</f>
        <v/>
      </c>
      <c r="BE135" s="326" t="str">
        <f aca="false">IF(AH135,IF(VolOverrideEuro,VolOverrideEuro,IF(ProductGroup=1,IF(Product&lt;3,DA135,DE135)+VolSpreadEuro,"N/A")),"")</f>
        <v/>
      </c>
      <c r="BF135" s="323" t="str">
        <f aca="false">IF($AH135,$BE135+IF(SkewFlag=1,IF(BC135&gt;0,$AA135*MIN(BC135/10%,1)+($Z135-$AA135)*MAX(0,MIN(BC135/10%-1,1))+($Y135-$Z135)*MAX(0,BC135/10%-2),$AB135*MIN(-BC135/10%,1)+($AC135-$AB135)*MAX(0,MIN(-BC135/10%-1,1))+($AD135-$AC135)*MAX(0,-BC135/10%-2)),0),"")</f>
        <v/>
      </c>
      <c r="BG135" s="323" t="str">
        <f aca="false">IF($AH135,$BE135+IF(SkewFlag=1,IF(BD135&gt;0,$AA135*MIN(BD135/10%,1)+($Z135-$AA135)*MAX(0,MIN(BD135/10%-1,1))+($Y135-$Z135)*MAX(0,BD135/10%-2),$AB135*MIN(-BD135/10%,1)+($AC135-$AB135)*MAX(0,MIN(-BD135/10%-1,1))+($AD135-$AC135)*MAX(0,-BD135/10%-2)),0),"")</f>
        <v/>
      </c>
      <c r="BH135" s="324" t="n">
        <f aca="false">IF(AH135,xEURO(BB135,Strike1,AE135,AE135,BF135,O135,IF(OptControl=4,0,1),0),0)</f>
        <v>0</v>
      </c>
      <c r="BI135" s="324" t="n">
        <f aca="false">IF(AH135,xEURO(BB135,Strike1,AE135,AE135,BF135,O135,IF(OptControl=4,0,1),1),0)</f>
        <v>0</v>
      </c>
      <c r="BJ135" s="324" t="n">
        <f aca="false">IF(AH135,xEURO(BB135,Strike1,AE135,AE135,BF135,O135,IF(OptControl=4,0,1),2),0)</f>
        <v>0</v>
      </c>
      <c r="BK135" s="324" t="n">
        <f aca="false">IF(AH135,xEURO(BB135,Strike1,AE135,AE135,BF135,O135,IF(OptControl=4,0,1),3)/100,0)</f>
        <v>0</v>
      </c>
      <c r="BL135" s="324" t="n">
        <f aca="false">IF(AH135,xEURO(BB135,Strike1,AE135,AE135,BF135,O135-DaysForThetaCalculation,IF(OptControl=4,0,1),0)-xEURO(BB135,Strike1,AE135,AE135,BF135,O135,IF(OptControl=4,0,1),0),0)</f>
        <v>0</v>
      </c>
      <c r="BM135" s="324" t="n">
        <f aca="false">IF(AH135,xEURO(BB135,Strike2,AE135,AE135,BG135,O135,IF(OptControl=3,1,0),0),0)</f>
        <v>0</v>
      </c>
      <c r="BN135" s="324" t="n">
        <f aca="false">IF(AH135,xEURO(BB135,Strike2,AE135,AE135,BG135,O135,IF(OptControl=3,1,0),1),0)</f>
        <v>0</v>
      </c>
      <c r="BO135" s="324" t="n">
        <f aca="false">IF(AH135,xEURO(BB135,Strike2,AE135,AE135,BG135,O135,IF(OptControl=3,1,0),2),0)</f>
        <v>0</v>
      </c>
      <c r="BP135" s="324" t="n">
        <f aca="false">IF(AH135,xEURO(BB135,Strike2,AE135,AE135,BG135,O135,IF(OptControl=3,1,0),3)/100,0)</f>
        <v>0</v>
      </c>
      <c r="BQ135" s="327" t="n">
        <f aca="false">IF(AH135,xEURO(BB135,Strike2,AE135,AE135,BG135,O135-DaysForThetaCalculation,IF(OptControl=3,1,0),0)-xEURO(BB135,Strike2,AE135,AE135,BG135,O135,IF(OptControl=3,1,0),0),0)</f>
        <v>0</v>
      </c>
      <c r="BR135" s="343"/>
      <c r="BS135" s="314"/>
      <c r="BT135" s="329" t="n">
        <f aca="false">BS135*100/42</f>
        <v>0</v>
      </c>
      <c r="BU135" s="329" t="n">
        <f aca="false">BS136-$U135</f>
        <v>-28.0434782608695</v>
      </c>
      <c r="BV135" s="224"/>
      <c r="BW135" s="329" t="n">
        <f aca="false">BW123+VLOOKUP(1900+$L135,ProductSpreadTable,2)</f>
        <v>12.4738260869565</v>
      </c>
      <c r="BX135" s="329" t="n">
        <f aca="false">($V134+BW134)*100/42</f>
        <v>97.7526283240579</v>
      </c>
      <c r="BY135" s="332" t="n">
        <f aca="false">BX136</f>
        <v>96.4697722567287</v>
      </c>
      <c r="BZ135" s="314"/>
      <c r="CA135" s="329" t="n">
        <f aca="false">BZ135*100/42</f>
        <v>0</v>
      </c>
      <c r="CB135" s="329" t="n">
        <f aca="false">BZ135-$U135</f>
        <v>-28.0434782608695</v>
      </c>
      <c r="CC135" s="329" t="n">
        <f aca="false">CC123+VLOOKUP(1900+$L135,ProductSpreadTable,3)</f>
        <v>10.9618260869565</v>
      </c>
      <c r="CD135" s="329" t="n">
        <f aca="false">($V135+CC135)*100/42</f>
        <v>92.8697722567287</v>
      </c>
      <c r="CE135" s="333" t="n">
        <f aca="false">CD135-BY135</f>
        <v>-3.59999999999997</v>
      </c>
      <c r="CF135" s="314"/>
      <c r="CG135" s="329" t="n">
        <f aca="false">CF135*100/42</f>
        <v>0</v>
      </c>
      <c r="CH135" s="329" t="n">
        <f aca="false">CF136-$U135</f>
        <v>-28.0434782608695</v>
      </c>
      <c r="CI135" s="224"/>
      <c r="CJ135" s="329" t="n">
        <f aca="false">CJ123+VLOOKUP(1900+$L135,ProductSpreadTable,4)</f>
        <v>11.7938260869565</v>
      </c>
      <c r="CK135" s="329" t="n">
        <f aca="false">($V134+CJ134)*100/42</f>
        <v>97.1835807050103</v>
      </c>
      <c r="CL135" s="329" t="n">
        <f aca="false">CK136</f>
        <v>94.8507246376811</v>
      </c>
      <c r="CM135" s="314"/>
      <c r="CN135" s="329" t="n">
        <f aca="false">CM135*100/42</f>
        <v>0</v>
      </c>
      <c r="CO135" s="329" t="n">
        <f aca="false">CM135-$U135</f>
        <v>-28.0434782608695</v>
      </c>
      <c r="CP135" s="329" t="n">
        <f aca="false">CP123+VLOOKUP(1900+$L135,ProductSpreadTable,5)</f>
        <v>10.6808260869565</v>
      </c>
      <c r="CQ135" s="329" t="n">
        <f aca="false">($V135+CP135)*100/42</f>
        <v>92.2007246376811</v>
      </c>
      <c r="CR135" s="333" t="n">
        <f aca="false">CQ135-CL135</f>
        <v>-2.64999999999999</v>
      </c>
      <c r="CS135" s="314"/>
      <c r="CT135" s="329" t="n">
        <f aca="false">CS135*100/42</f>
        <v>0</v>
      </c>
      <c r="CU135" s="329" t="n">
        <f aca="false">CT135-CG136</f>
        <v>0</v>
      </c>
      <c r="CV135" s="329" t="n">
        <f aca="false">CV123+VLOOKUP(1900+$L135,ProductSpreadTable,6)</f>
        <v>2.10000000000001</v>
      </c>
      <c r="CW135" s="333" t="n">
        <f aca="false">CL135+CV135</f>
        <v>96.9507246376811</v>
      </c>
      <c r="CX135" s="318"/>
      <c r="CY135" s="326" t="n">
        <f aca="false">CX135-$W135</f>
        <v>-0.165699999999999</v>
      </c>
      <c r="CZ135" s="326" t="n">
        <f aca="false">VLOOKUP(1900+$L135,ProductSpreadTable,7)</f>
        <v>-0.03</v>
      </c>
      <c r="DA135" s="365" t="n">
        <f aca="false">$W135+CZ135</f>
        <v>0.135699999999999</v>
      </c>
      <c r="DB135" s="318"/>
      <c r="DC135" s="326" t="n">
        <f aca="false">DB135-$W135</f>
        <v>-0.165699999999999</v>
      </c>
      <c r="DD135" s="326" t="n">
        <f aca="false">VLOOKUP(1900+$L135,ProductSpreadTable,8)</f>
        <v>0.03</v>
      </c>
      <c r="DE135" s="365" t="n">
        <f aca="false">$W135+DD135</f>
        <v>0.195699999999999</v>
      </c>
      <c r="DG135" s="336"/>
      <c r="DH135" s="314"/>
      <c r="DI135" s="325" t="n">
        <f aca="false">DH135-$U135</f>
        <v>-28.0434782608695</v>
      </c>
      <c r="DJ135" s="325" t="n">
        <f aca="false">VLOOKUP(1900+$L135,ResidSpreadTable,2)</f>
        <v>-2</v>
      </c>
      <c r="DK135" s="337" t="n">
        <f aca="false">$V135+DJ135</f>
        <v>26.0434782608695</v>
      </c>
      <c r="DL135" s="314"/>
      <c r="DM135" s="325" t="n">
        <f aca="false">DL135-$U135</f>
        <v>-28.0434782608695</v>
      </c>
      <c r="DN135" s="325" t="n">
        <f aca="false">VLOOKUP(1900+$L135,ResidSpreadTable,3)</f>
        <v>-3</v>
      </c>
      <c r="DO135" s="337" t="n">
        <f aca="false">$V135+DN135</f>
        <v>25.0434782608695</v>
      </c>
      <c r="DP135" s="314"/>
      <c r="DQ135" s="325" t="n">
        <f aca="false">DP135-$U135</f>
        <v>-28.0434782608695</v>
      </c>
      <c r="DR135" s="325" t="n">
        <f aca="false">VLOOKUP(1900+$L135,ResidSpreadTable,4)</f>
        <v>-6</v>
      </c>
      <c r="DS135" s="337" t="n">
        <f aca="false">$V135+DR135</f>
        <v>22.0434782608695</v>
      </c>
      <c r="DT135" s="314"/>
      <c r="DU135" s="325" t="n">
        <f aca="false">DT135-$U135</f>
        <v>-28.0434782608695</v>
      </c>
      <c r="DV135" s="325" t="n">
        <f aca="false">VLOOKUP(1900+$L135,ResidSpreadTable,5)</f>
        <v>-5</v>
      </c>
      <c r="DW135" s="337" t="n">
        <f aca="false">$V135+DV135</f>
        <v>23.0434782608695</v>
      </c>
    </row>
    <row r="136" customFormat="false" ht="12.75" hidden="false" customHeight="false" outlineLevel="0" collapsed="false">
      <c r="B136" s="371" t="n">
        <v>39692</v>
      </c>
      <c r="C136" s="391" t="n">
        <v>39681</v>
      </c>
      <c r="I136" s="338" t="n">
        <f aca="false">EOMONTH(I135,0)+1</f>
        <v>49888</v>
      </c>
      <c r="J136" s="389" t="n">
        <f aca="false">VLOOKUP(I136,$B$12:$C$332,2)</f>
        <v>45644</v>
      </c>
      <c r="K136" s="339" t="n">
        <f aca="false">NETWORKDAYS(I136,J137)/N136</f>
        <v>-144.428571428571</v>
      </c>
      <c r="L136" s="309" t="n">
        <f aca="false">YEAR(I136)-1900</f>
        <v>136</v>
      </c>
      <c r="M136" s="310" t="n">
        <f aca="false">MONTH(I136)</f>
        <v>8</v>
      </c>
      <c r="N136" s="340" t="n">
        <f aca="false">NETWORKDAYS(I136,I137-1)</f>
        <v>21</v>
      </c>
      <c r="O136" s="341" t="n">
        <f aca="false">I136-DateToday-IF(EuroExpDateToggle=1,3+IF(WEEKDAY(I136-1)=7,1,IF(WEEKDAY(I136-1)&lt;5,2,0)),1+IF(WEEKDAY(I136-1)=7,1,IF(WEEKDAY(I136-1)&lt;3,2,0)))</f>
        <v>3959</v>
      </c>
      <c r="P136" s="342" t="n">
        <f aca="false">(I136-DateToday+1)/365.25</f>
        <v>10.8501026694045</v>
      </c>
      <c r="Q136" s="342" t="n">
        <f aca="false">(I137-DateToday)/365.25</f>
        <v>10.9322381930185</v>
      </c>
      <c r="R136" s="314" t="n">
        <v>21.45</v>
      </c>
      <c r="S136" s="347" t="n">
        <v>0</v>
      </c>
      <c r="T136" s="316" t="n">
        <f aca="false">R136+S136/100</f>
        <v>21.45</v>
      </c>
      <c r="U136" s="325" t="n">
        <f aca="false">R137*K136+R138*(1-K136)</f>
        <v>28.7714285714287</v>
      </c>
      <c r="V136" s="337" t="n">
        <f aca="false">T137*K136+T138*(1-K136)</f>
        <v>28.7714285714287</v>
      </c>
      <c r="W136" s="318" t="n">
        <v>0.165299999999999</v>
      </c>
      <c r="X136" s="319" t="str">
        <f aca="false">IF($I136-DateToday+1&gt;=$A$10,"",IF($I136-DateToday+1&lt;$A$5,1,MATCH($I136-DateToday+1,$A$5:$A$10)))</f>
        <v/>
      </c>
      <c r="Y136" s="348" t="n">
        <f aca="false">IF($X136="",Y135^2/Y134,INDEX(B$5:B$10,$X136)^((INDEX($A$5:$A$10,$X136+1)-($I136-DateToday+1))/(INDEX($A$5:$A$10,$X136+1)-INDEX($A$5:$A$10,$X136)))/INDEX(B$5:B$10,$X136+1)^((INDEX($A$5:$A$10,$X136)-($I136-DateToday+1))/(INDEX($A$5:$A$10,$X136+1)-INDEX($A$5:$A$10,$X136))))</f>
        <v>0.000919880356582423</v>
      </c>
      <c r="Z136" s="348" t="n">
        <f aca="false">IF($X136="",Z135^2/Z134,INDEX(C$5:C$10,$X136)^((INDEX($A$5:$A$10,$X136+1)-($I136-DateToday+1))/(INDEX($A$5:$A$10,$X136+1)-INDEX($A$5:$A$10,$X136)))/INDEX(C$5:C$10,$X136+1)^((INDEX($A$5:$A$10,$X136)-($I136-DateToday+1))/(INDEX($A$5:$A$10,$X136+1)-INDEX($A$5:$A$10,$X136))))</f>
        <v>0.000281839091072974</v>
      </c>
      <c r="AA136" s="348" t="n">
        <f aca="false">IF($X136="",AA135^2/AA134,INDEX(D$5:D$10,$X136)^((INDEX($A$5:$A$10,$X136+1)-($I136-DateToday+1))/(INDEX($A$5:$A$10,$X136+1)-INDEX($A$5:$A$10,$X136)))/INDEX(D$5:D$10,$X136+1)^((INDEX($A$5:$A$10,$X136)-($I136-DateToday+1))/(INDEX($A$5:$A$10,$X136+1)-INDEX($A$5:$A$10,$X136))))</f>
        <v>9.47138398970964E-005</v>
      </c>
      <c r="AB136" s="348" t="n">
        <f aca="false">IF($X136="",AB135^2/AB134,INDEX(E$5:E$10,$X136)^((INDEX($A$5:$A$10,$X136+1)-($I136-DateToday+1))/(INDEX($A$5:$A$10,$X136+1)-INDEX($A$5:$A$10,$X136)))/INDEX(E$5:E$10,$X136+1)^((INDEX($A$5:$A$10,$X136)-($I136-DateToday+1))/(INDEX($A$5:$A$10,$X136+1)-INDEX($A$5:$A$10,$X136))))</f>
        <v>0.000213371338520189</v>
      </c>
      <c r="AC136" s="348" t="n">
        <f aca="false">IF($X136="",AC135^2/AC134,INDEX(F$5:F$10,$X136)^((INDEX($A$5:$A$10,$X136+1)-($I136-DateToday+1))/(INDEX($A$5:$A$10,$X136+1)-INDEX($A$5:$A$10,$X136)))/INDEX(F$5:F$10,$X136+1)^((INDEX($A$5:$A$10,$X136)-($I136-DateToday+1))/(INDEX($A$5:$A$10,$X136+1)-INDEX($A$5:$A$10,$X136))))</f>
        <v>0.000634927104369193</v>
      </c>
      <c r="AD136" s="348" t="n">
        <f aca="false">IF($X136="",AD135^2/AD134,INDEX(G$5:G$10,$X136)^((INDEX($A$5:$A$10,$X136+1)-($I136-DateToday+1))/(INDEX($A$5:$A$10,$X136+1)-INDEX($A$5:$A$10,$X136)))/INDEX(G$5:G$10,$X136+1)^((INDEX($A$5:$A$10,$X136)-($I136-DateToday+1))/(INDEX($A$5:$A$10,$X136+1)-INDEX($A$5:$A$10,$X136))))</f>
        <v>0.00207230646730871</v>
      </c>
      <c r="AE136" s="321" t="n">
        <v>0.073737116450102</v>
      </c>
      <c r="AF136" s="316" t="n">
        <f aca="false">(1+AE136/2)^(-2*(I137-DateToday)/365.25)</f>
        <v>0.453116021423403</v>
      </c>
      <c r="AG136" s="316" t="n">
        <f aca="false">AG135*(1+IF(AND(M136=1,L136&gt;YearStart),Escalation,0))</f>
        <v>1</v>
      </c>
      <c r="AH136" s="322" t="n">
        <f aca="false">IF(OR(DateStart&gt;=I137,DateEnd&lt;I136),0,Volume*AG136)</f>
        <v>0</v>
      </c>
      <c r="AI136" s="322" t="n">
        <f aca="false">AH136*AF136</f>
        <v>0</v>
      </c>
      <c r="AJ136" s="322" t="n">
        <f aca="false">IF(OR(DateStart2&gt;=I137,DateEnd2&lt;I136),0,VolumeSwaption*AG136)</f>
        <v>0</v>
      </c>
      <c r="AK136" s="322" t="n">
        <f aca="false">AJ136*AF136</f>
        <v>0</v>
      </c>
      <c r="AL136" s="316" t="str">
        <f aca="true">IF(AH136,OFFSET(BY136,0,HorizontalPriceOffset)+PriceSpreadAsian,"")</f>
        <v/>
      </c>
      <c r="AM136" s="316" t="str">
        <f aca="false">IF(AH136,Strike1/AL136-1,"")</f>
        <v/>
      </c>
      <c r="AN136" s="316" t="str">
        <f aca="false">IF(AH136,Strike2/AL136-1,"")</f>
        <v/>
      </c>
      <c r="AO136" s="323" t="str">
        <f aca="false">IF(AH136,IF(VolOverrideAsian,VolOverrideAsian,IF(ProductGroup=1,IF(Product&lt;3,DA137,DE137),W137)+VolSpreadAsian),"")</f>
        <v/>
      </c>
      <c r="AP136" s="323" t="str">
        <f aca="false">IF($AH136,$AO136+IF(SkewFlag=1,IF(AM136&gt;0,$AA136*MIN(AM136/10%,1)+($Z136-$AA136)*MAX(0,MIN(AM136/10%-1,1))+($Y136-$Z136)*MAX(0,AM136/10%-2),$AB136*MIN(-AM136/10%,1)+($AC136-$AB136)*MAX(0,MIN(-AM136/10%-1,1))+($AD136-$AC136)*MAX(0,-AM136/10%-2)),0),"")</f>
        <v/>
      </c>
      <c r="AQ136" s="323" t="str">
        <f aca="false">IF($AH136,$AO136+IF(SkewFlag=1,IF(AN136&gt;0,$AA136*MIN(AN136/10%,1)+($Z136-$AA136)*MAX(0,MIN(AN136/10%-1,1))+($Y136-$Z136)*MAX(0,AN136/10%-2),$AB136*MIN(-AN136/10%,1)+($AC136-$AB136)*MAX(0,MIN(-AN136/10%-1,1))+($AD136-$AC136)*MAX(0,-AN136/10%-2)),0),"")</f>
        <v/>
      </c>
      <c r="AR136" s="324" t="n">
        <f aca="false">IF(AH136,xASN(AL136,Strike1,AE136,AP136,0,N136,0,P136,Q136,IF(OptControl=4,0,1),0),0)</f>
        <v>0</v>
      </c>
      <c r="AS136" s="324" t="n">
        <f aca="false">IF(AH136,xASN(AL136,Strike1,AE136,AP136,0,N136,0,P136,Q136,IF(OptControl=4,0,1),1),0)</f>
        <v>0</v>
      </c>
      <c r="AT136" s="324" t="n">
        <f aca="false">IF(AH136,xASN(AL136,Strike1,AE136,AP136,0,N136,0,P136,Q136,IF(OptControl=4,0,1),2),0)</f>
        <v>0</v>
      </c>
      <c r="AU136" s="324" t="n">
        <f aca="false">IF(AH136,xASN(AL136,Strike1,AE136,AP136,0,N136,0,P136,Q136,IF(OptControl=4,0,1),3)/100,0)</f>
        <v>0</v>
      </c>
      <c r="AV136" s="324" t="n">
        <f aca="false">IF(AH136,xASN(AL136,Strike1,AE136,AP136,0,N136,0,P136-DaysForThetaCalculation/365.25,Q136-DaysForThetaCalculation/365.25,IF(OptControl=4,0,1),0)-xASN(AL136,Strike1,AE136,AP136,0,N136,0,P136,Q136,IF(OptControl=4,0,1),0),0)</f>
        <v>0</v>
      </c>
      <c r="AW136" s="324" t="n">
        <f aca="false">IF(AH136,xASN(AL136,Strike2,AE136,AQ136,0,N136,0,P136,Q136,IF(OptControl=3,1,0),0),0)</f>
        <v>0</v>
      </c>
      <c r="AX136" s="324" t="n">
        <f aca="false">IF(AH136,xASN(AL136,Strike2,AE136,AQ136,0,N136,0,P136,Q136,IF(OptControl=3,1,0),1),0)</f>
        <v>0</v>
      </c>
      <c r="AY136" s="324" t="n">
        <f aca="false">IF(AH136,xASN(AL136,Strike2,AE136,AQ136,0,N136,0,P136,Q136,IF(OptControl=3,1,0),2),0)</f>
        <v>0</v>
      </c>
      <c r="AZ136" s="324" t="n">
        <f aca="false">IF(AH136,xASN(AL136,Strike2,AE136,AQ136,0,N136,0,P136,Q136,IF(OptControl=3,1,0),3)/100,0)</f>
        <v>0</v>
      </c>
      <c r="BA136" s="324" t="n">
        <f aca="false">IF(AH136,xASN(AL136,Strike2,AE136,AQ136,0,N136,0,P136-DaysForThetaCalculation/365.25,Q136-DaysForThetaCalculation/365.25,IF(OptControl=3,1,0),0)-xASN(AL136,Strike2,AE136,AQ136,0,N136,0,P136,Q136,IF(OptControl=3,1,0),0),0)</f>
        <v>0</v>
      </c>
      <c r="BB136" s="325" t="str">
        <f aca="false">IF(AH136,IF(ProductGroup=1,IF(Product=1,BX136+PriceSpreadEuro,IF(Product=3,CK136+PriceSpreadEuro,"N/A")),"N/A"),"")</f>
        <v/>
      </c>
      <c r="BC136" s="316" t="str">
        <f aca="false">IF(AH136,Strike1/BB136-1,"")</f>
        <v/>
      </c>
      <c r="BD136" s="316" t="str">
        <f aca="false">IF(AH136,Strike2/BB136-1,"")</f>
        <v/>
      </c>
      <c r="BE136" s="326" t="str">
        <f aca="false">IF(AH136,IF(VolOverrideEuro,VolOverrideEuro,IF(ProductGroup=1,IF(Product&lt;3,DA136,DE136)+VolSpreadEuro,"N/A")),"")</f>
        <v/>
      </c>
      <c r="BF136" s="323" t="str">
        <f aca="false">IF($AH136,$BE136+IF(SkewFlag=1,IF(BC136&gt;0,$AA136*MIN(BC136/10%,1)+($Z136-$AA136)*MAX(0,MIN(BC136/10%-1,1))+($Y136-$Z136)*MAX(0,BC136/10%-2),$AB136*MIN(-BC136/10%,1)+($AC136-$AB136)*MAX(0,MIN(-BC136/10%-1,1))+($AD136-$AC136)*MAX(0,-BC136/10%-2)),0),"")</f>
        <v/>
      </c>
      <c r="BG136" s="323" t="str">
        <f aca="false">IF($AH136,$BE136+IF(SkewFlag=1,IF(BD136&gt;0,$AA136*MIN(BD136/10%,1)+($Z136-$AA136)*MAX(0,MIN(BD136/10%-1,1))+($Y136-$Z136)*MAX(0,BD136/10%-2),$AB136*MIN(-BD136/10%,1)+($AC136-$AB136)*MAX(0,MIN(-BD136/10%-1,1))+($AD136-$AC136)*MAX(0,-BD136/10%-2)),0),"")</f>
        <v/>
      </c>
      <c r="BH136" s="324" t="n">
        <f aca="false">IF(AH136,xEURO(BB136,Strike1,AE136,AE136,BF136,O136,IF(OptControl=4,0,1),0),0)</f>
        <v>0</v>
      </c>
      <c r="BI136" s="324" t="n">
        <f aca="false">IF(AH136,xEURO(BB136,Strike1,AE136,AE136,BF136,O136,IF(OptControl=4,0,1),1),0)</f>
        <v>0</v>
      </c>
      <c r="BJ136" s="324" t="n">
        <f aca="false">IF(AH136,xEURO(BB136,Strike1,AE136,AE136,BF136,O136,IF(OptControl=4,0,1),2),0)</f>
        <v>0</v>
      </c>
      <c r="BK136" s="324" t="n">
        <f aca="false">IF(AH136,xEURO(BB136,Strike1,AE136,AE136,BF136,O136,IF(OptControl=4,0,1),3)/100,0)</f>
        <v>0</v>
      </c>
      <c r="BL136" s="324" t="n">
        <f aca="false">IF(AH136,xEURO(BB136,Strike1,AE136,AE136,BF136,O136-DaysForThetaCalculation,IF(OptControl=4,0,1),0)-xEURO(BB136,Strike1,AE136,AE136,BF136,O136,IF(OptControl=4,0,1),0),0)</f>
        <v>0</v>
      </c>
      <c r="BM136" s="324" t="n">
        <f aca="false">IF(AH136,xEURO(BB136,Strike2,AE136,AE136,BG136,O136,IF(OptControl=3,1,0),0),0)</f>
        <v>0</v>
      </c>
      <c r="BN136" s="324" t="n">
        <f aca="false">IF(AH136,xEURO(BB136,Strike2,AE136,AE136,BG136,O136,IF(OptControl=3,1,0),1),0)</f>
        <v>0</v>
      </c>
      <c r="BO136" s="324" t="n">
        <f aca="false">IF(AH136,xEURO(BB136,Strike2,AE136,AE136,BG136,O136,IF(OptControl=3,1,0),2),0)</f>
        <v>0</v>
      </c>
      <c r="BP136" s="324" t="n">
        <f aca="false">IF(AH136,xEURO(BB136,Strike2,AE136,AE136,BG136,O136,IF(OptControl=3,1,0),3)/100,0)</f>
        <v>0</v>
      </c>
      <c r="BQ136" s="327" t="n">
        <f aca="false">IF(AH136,xEURO(BB136,Strike2,AE136,AE136,BG136,O136-DaysForThetaCalculation,IF(OptControl=3,1,0),0)-xEURO(BB136,Strike2,AE136,AE136,BG136,O136,IF(OptControl=3,1,0),0),0)</f>
        <v>0</v>
      </c>
      <c r="BR136" s="343"/>
      <c r="BS136" s="314"/>
      <c r="BT136" s="329" t="n">
        <f aca="false">BS136*100/42</f>
        <v>0</v>
      </c>
      <c r="BU136" s="329" t="n">
        <f aca="false">BS137-$U136</f>
        <v>-28.7714285714287</v>
      </c>
      <c r="BV136" s="224"/>
      <c r="BW136" s="329" t="n">
        <f aca="false">BW124+VLOOKUP(1900+$L136,ProductSpreadTable,2)</f>
        <v>13.7765714285714</v>
      </c>
      <c r="BX136" s="329" t="n">
        <f aca="false">($V135+BW135)*100/42</f>
        <v>96.4697722567287</v>
      </c>
      <c r="BY136" s="332" t="n">
        <f aca="false">BX137</f>
        <v>101.304761904762</v>
      </c>
      <c r="BZ136" s="314"/>
      <c r="CA136" s="329" t="n">
        <f aca="false">BZ136*100/42</f>
        <v>0</v>
      </c>
      <c r="CB136" s="329" t="n">
        <f aca="false">BZ136-$U136</f>
        <v>-28.7714285714287</v>
      </c>
      <c r="CC136" s="329" t="n">
        <f aca="false">CC124+VLOOKUP(1900+$L136,ProductSpreadTable,3)</f>
        <v>12.2185714285714</v>
      </c>
      <c r="CD136" s="329" t="n">
        <f aca="false">($V136+CC136)*100/42</f>
        <v>97.5952380952385</v>
      </c>
      <c r="CE136" s="333" t="n">
        <f aca="false">CD136-BY136</f>
        <v>-3.7095238095238</v>
      </c>
      <c r="CF136" s="314"/>
      <c r="CG136" s="329" t="n">
        <f aca="false">CF136*100/42</f>
        <v>0</v>
      </c>
      <c r="CH136" s="329" t="n">
        <f aca="false">CF137-$U136</f>
        <v>-28.7714285714287</v>
      </c>
      <c r="CI136" s="224"/>
      <c r="CJ136" s="329" t="n">
        <f aca="false">CJ124+VLOOKUP(1900+$L136,ProductSpreadTable,4)</f>
        <v>12.0045714285714</v>
      </c>
      <c r="CK136" s="329" t="n">
        <f aca="false">($V135+CJ135)*100/42</f>
        <v>94.8507246376811</v>
      </c>
      <c r="CL136" s="329" t="n">
        <f aca="false">CK137</f>
        <v>97.0857142857146</v>
      </c>
      <c r="CM136" s="314"/>
      <c r="CN136" s="329" t="n">
        <f aca="false">CM136*100/42</f>
        <v>0</v>
      </c>
      <c r="CO136" s="329" t="n">
        <f aca="false">CM136-$U136</f>
        <v>-28.7714285714287</v>
      </c>
      <c r="CP136" s="329" t="n">
        <f aca="false">CP124+VLOOKUP(1900+$L136,ProductSpreadTable,5)</f>
        <v>10.8915714285714</v>
      </c>
      <c r="CQ136" s="329" t="n">
        <f aca="false">($V136+CP136)*100/42</f>
        <v>94.4357142857147</v>
      </c>
      <c r="CR136" s="333" t="n">
        <f aca="false">CQ136-CL136</f>
        <v>-2.64999999999998</v>
      </c>
      <c r="CS136" s="314"/>
      <c r="CT136" s="329" t="n">
        <f aca="false">CS136*100/42</f>
        <v>0</v>
      </c>
      <c r="CU136" s="329" t="n">
        <f aca="false">CT136-CG137</f>
        <v>0</v>
      </c>
      <c r="CV136" s="329" t="n">
        <f aca="false">CV124+VLOOKUP(1900+$L136,ProductSpreadTable,6)</f>
        <v>2.10000000000001</v>
      </c>
      <c r="CW136" s="333" t="n">
        <f aca="false">CL136+CV136</f>
        <v>99.1857142857146</v>
      </c>
      <c r="CX136" s="318"/>
      <c r="CY136" s="326" t="n">
        <f aca="false">CX136-$W136</f>
        <v>-0.165299999999999</v>
      </c>
      <c r="CZ136" s="326" t="n">
        <f aca="false">VLOOKUP(1900+$L136,ProductSpreadTable,7)</f>
        <v>-0.03</v>
      </c>
      <c r="DA136" s="365" t="n">
        <f aca="false">$W136+CZ136</f>
        <v>0.135299999999999</v>
      </c>
      <c r="DB136" s="318"/>
      <c r="DC136" s="326" t="n">
        <f aca="false">DB136-$W136</f>
        <v>-0.165299999999999</v>
      </c>
      <c r="DD136" s="326" t="n">
        <f aca="false">VLOOKUP(1900+$L136,ProductSpreadTable,8)</f>
        <v>0.03</v>
      </c>
      <c r="DE136" s="365" t="n">
        <f aca="false">$W136+DD136</f>
        <v>0.195299999999999</v>
      </c>
      <c r="DG136" s="336"/>
      <c r="DH136" s="314"/>
      <c r="DI136" s="325" t="n">
        <f aca="false">DH136-$U136</f>
        <v>-28.7714285714287</v>
      </c>
      <c r="DJ136" s="325" t="n">
        <f aca="false">VLOOKUP(1900+$L136,ResidSpreadTable,2)</f>
        <v>-2</v>
      </c>
      <c r="DK136" s="337" t="n">
        <f aca="false">$V136+DJ136</f>
        <v>26.7714285714287</v>
      </c>
      <c r="DL136" s="314"/>
      <c r="DM136" s="325" t="n">
        <f aca="false">DL136-$U136</f>
        <v>-28.7714285714287</v>
      </c>
      <c r="DN136" s="325" t="n">
        <f aca="false">VLOOKUP(1900+$L136,ResidSpreadTable,3)</f>
        <v>-3</v>
      </c>
      <c r="DO136" s="337" t="n">
        <f aca="false">$V136+DN136</f>
        <v>25.7714285714287</v>
      </c>
      <c r="DP136" s="314"/>
      <c r="DQ136" s="325" t="n">
        <f aca="false">DP136-$U136</f>
        <v>-28.7714285714287</v>
      </c>
      <c r="DR136" s="325" t="n">
        <f aca="false">VLOOKUP(1900+$L136,ResidSpreadTable,4)</f>
        <v>-6</v>
      </c>
      <c r="DS136" s="337" t="n">
        <f aca="false">$V136+DR136</f>
        <v>22.7714285714287</v>
      </c>
      <c r="DT136" s="314"/>
      <c r="DU136" s="325" t="n">
        <f aca="false">DT136-$U136</f>
        <v>-28.7714285714287</v>
      </c>
      <c r="DV136" s="325" t="n">
        <f aca="false">VLOOKUP(1900+$L136,ResidSpreadTable,5)</f>
        <v>-5</v>
      </c>
      <c r="DW136" s="337" t="n">
        <f aca="false">$V136+DV136</f>
        <v>23.7714285714287</v>
      </c>
    </row>
    <row r="137" customFormat="false" ht="12.75" hidden="false" customHeight="false" outlineLevel="0" collapsed="false">
      <c r="B137" s="371" t="n">
        <v>39722</v>
      </c>
      <c r="C137" s="391" t="n">
        <v>39711</v>
      </c>
      <c r="I137" s="338" t="n">
        <f aca="false">EOMONTH(I136,0)+1</f>
        <v>49919</v>
      </c>
      <c r="J137" s="389" t="n">
        <f aca="false">VLOOKUP(I137,$B$12:$C$332,2)</f>
        <v>45644</v>
      </c>
      <c r="K137" s="339" t="n">
        <f aca="false">NETWORKDAYS(I137,J138)/N137</f>
        <v>-138.818181818182</v>
      </c>
      <c r="L137" s="309" t="n">
        <f aca="false">YEAR(I137)-1900</f>
        <v>136</v>
      </c>
      <c r="M137" s="310" t="n">
        <f aca="false">MONTH(I137)</f>
        <v>9</v>
      </c>
      <c r="N137" s="340" t="n">
        <f aca="false">NETWORKDAYS(I137,I138-1)</f>
        <v>22</v>
      </c>
      <c r="O137" s="341" t="n">
        <f aca="false">I137-DateToday-IF(EuroExpDateToggle=1,3+IF(WEEKDAY(I137-1)=7,1,IF(WEEKDAY(I137-1)&lt;5,2,0)),1+IF(WEEKDAY(I137-1)=7,1,IF(WEEKDAY(I137-1)&lt;3,2,0)))</f>
        <v>3988</v>
      </c>
      <c r="P137" s="342" t="n">
        <f aca="false">(I137-DateToday+1)/365.25</f>
        <v>10.9349760438056</v>
      </c>
      <c r="Q137" s="342" t="n">
        <f aca="false">(I138-DateToday)/365.25</f>
        <v>11.0143737166324</v>
      </c>
      <c r="R137" s="314" t="n">
        <v>21.5</v>
      </c>
      <c r="S137" s="347" t="n">
        <v>0</v>
      </c>
      <c r="T137" s="316" t="n">
        <f aca="false">R137+S137/100</f>
        <v>21.5</v>
      </c>
      <c r="U137" s="325" t="n">
        <f aca="false">R138*K137+R139*(1-K137)</f>
        <v>28.5409090909088</v>
      </c>
      <c r="V137" s="337" t="n">
        <f aca="false">T138*K137+T139*(1-K137)</f>
        <v>28.5409090909088</v>
      </c>
      <c r="W137" s="318" t="n">
        <v>0.164899999999999</v>
      </c>
      <c r="X137" s="319" t="str">
        <f aca="false">IF($I137-DateToday+1&gt;=$A$10,"",IF($I137-DateToday+1&lt;$A$5,1,MATCH($I137-DateToday+1,$A$5:$A$10)))</f>
        <v/>
      </c>
      <c r="Y137" s="348" t="n">
        <f aca="false">IF($X137="",Y136^2/Y135,INDEX(B$5:B$10,$X137)^((INDEX($A$5:$A$10,$X137+1)-($I137-DateToday+1))/(INDEX($A$5:$A$10,$X137+1)-INDEX($A$5:$A$10,$X137)))/INDEX(B$5:B$10,$X137+1)^((INDEX($A$5:$A$10,$X137)-($I137-DateToday+1))/(INDEX($A$5:$A$10,$X137+1)-INDEX($A$5:$A$10,$X137))))</f>
        <v>0.000900187117219118</v>
      </c>
      <c r="Z137" s="348" t="n">
        <f aca="false">IF($X137="",Z136^2/Z135,INDEX(C$5:C$10,$X137)^((INDEX($A$5:$A$10,$X137+1)-($I137-DateToday+1))/(INDEX($A$5:$A$10,$X137+1)-INDEX($A$5:$A$10,$X137)))/INDEX(C$5:C$10,$X137+1)^((INDEX($A$5:$A$10,$X137)-($I137-DateToday+1))/(INDEX($A$5:$A$10,$X137+1)-INDEX($A$5:$A$10,$X137))))</f>
        <v>0.000274328668647992</v>
      </c>
      <c r="AA137" s="348" t="n">
        <f aca="false">IF($X137="",AA136^2/AA135,INDEX(D$5:D$10,$X137)^((INDEX($A$5:$A$10,$X137+1)-($I137-DateToday+1))/(INDEX($A$5:$A$10,$X137+1)-INDEX($A$5:$A$10,$X137)))/INDEX(D$5:D$10,$X137+1)^((INDEX($A$5:$A$10,$X137)-($I137-DateToday+1))/(INDEX($A$5:$A$10,$X137+1)-INDEX($A$5:$A$10,$X137))))</f>
        <v>9.1942698142264E-005</v>
      </c>
      <c r="AB137" s="348" t="n">
        <f aca="false">IF($X137="",AB136^2/AB135,INDEX(E$5:E$10,$X137)^((INDEX($A$5:$A$10,$X137+1)-($I137-DateToday+1))/(INDEX($A$5:$A$10,$X137+1)-INDEX($A$5:$A$10,$X137)))/INDEX(E$5:E$10,$X137+1)^((INDEX($A$5:$A$10,$X137)-($I137-DateToday+1))/(INDEX($A$5:$A$10,$X137+1)-INDEX($A$5:$A$10,$X137))))</f>
        <v>0.000207128510374902</v>
      </c>
      <c r="AC137" s="348" t="n">
        <f aca="false">IF($X137="",AC136^2/AC135,INDEX(F$5:F$10,$X137)^((INDEX($A$5:$A$10,$X137+1)-($I137-DateToday+1))/(INDEX($A$5:$A$10,$X137+1)-INDEX($A$5:$A$10,$X137)))/INDEX(F$5:F$10,$X137+1)^((INDEX($A$5:$A$10,$X137)-($I137-DateToday+1))/(INDEX($A$5:$A$10,$X137+1)-INDEX($A$5:$A$10,$X137))))</f>
        <v>0.000618007624730193</v>
      </c>
      <c r="AD137" s="348" t="n">
        <f aca="false">IF($X137="",AD136^2/AD135,INDEX(G$5:G$10,$X137)^((INDEX($A$5:$A$10,$X137+1)-($I137-DateToday+1))/(INDEX($A$5:$A$10,$X137+1)-INDEX($A$5:$A$10,$X137)))/INDEX(G$5:G$10,$X137+1)^((INDEX($A$5:$A$10,$X137)-($I137-DateToday+1))/(INDEX($A$5:$A$10,$X137+1)-INDEX($A$5:$A$10,$X137))))</f>
        <v>0.00202794153767106</v>
      </c>
      <c r="AE137" s="321" t="n">
        <v>0.073733538268026</v>
      </c>
      <c r="AF137" s="316" t="n">
        <f aca="false">(1+AE137/2)^(-2*(I138-DateToday)/365.25)</f>
        <v>0.4504462507163</v>
      </c>
      <c r="AG137" s="316" t="n">
        <f aca="false">AG136*(1+IF(AND(M137=1,L137&gt;YearStart),Escalation,0))</f>
        <v>1</v>
      </c>
      <c r="AH137" s="322" t="n">
        <f aca="false">IF(OR(DateStart&gt;=I138,DateEnd&lt;I137),0,Volume*AG137)</f>
        <v>0</v>
      </c>
      <c r="AI137" s="322" t="n">
        <f aca="false">AH137*AF137</f>
        <v>0</v>
      </c>
      <c r="AJ137" s="322" t="n">
        <f aca="false">IF(OR(DateStart2&gt;=I138,DateEnd2&lt;I137),0,VolumeSwaption*AG137)</f>
        <v>0</v>
      </c>
      <c r="AK137" s="322" t="n">
        <f aca="false">AJ137*AF137</f>
        <v>0</v>
      </c>
      <c r="AL137" s="316" t="str">
        <f aca="true">IF(AH137,OFFSET(BY137,0,HorizontalPriceOffset)+PriceSpreadAsian,"")</f>
        <v/>
      </c>
      <c r="AM137" s="316" t="str">
        <f aca="false">IF(AH137,Strike1/AL137-1,"")</f>
        <v/>
      </c>
      <c r="AN137" s="316" t="str">
        <f aca="false">IF(AH137,Strike2/AL137-1,"")</f>
        <v/>
      </c>
      <c r="AO137" s="323" t="str">
        <f aca="false">IF(AH137,IF(VolOverrideAsian,VolOverrideAsian,IF(ProductGroup=1,IF(Product&lt;3,DA138,DE138),W138)+VolSpreadAsian),"")</f>
        <v/>
      </c>
      <c r="AP137" s="323" t="str">
        <f aca="false">IF($AH137,$AO137+IF(SkewFlag=1,IF(AM137&gt;0,$AA137*MIN(AM137/10%,1)+($Z137-$AA137)*MAX(0,MIN(AM137/10%-1,1))+($Y137-$Z137)*MAX(0,AM137/10%-2),$AB137*MIN(-AM137/10%,1)+($AC137-$AB137)*MAX(0,MIN(-AM137/10%-1,1))+($AD137-$AC137)*MAX(0,-AM137/10%-2)),0),"")</f>
        <v/>
      </c>
      <c r="AQ137" s="323" t="str">
        <f aca="false">IF($AH137,$AO137+IF(SkewFlag=1,IF(AN137&gt;0,$AA137*MIN(AN137/10%,1)+($Z137-$AA137)*MAX(0,MIN(AN137/10%-1,1))+($Y137-$Z137)*MAX(0,AN137/10%-2),$AB137*MIN(-AN137/10%,1)+($AC137-$AB137)*MAX(0,MIN(-AN137/10%-1,1))+($AD137-$AC137)*MAX(0,-AN137/10%-2)),0),"")</f>
        <v/>
      </c>
      <c r="AR137" s="324" t="n">
        <f aca="false">IF(AH137,xASN(AL137,Strike1,AE137,AP137,0,N137,0,P137,Q137,IF(OptControl=4,0,1),0),0)</f>
        <v>0</v>
      </c>
      <c r="AS137" s="324" t="n">
        <f aca="false">IF(AH137,xASN(AL137,Strike1,AE137,AP137,0,N137,0,P137,Q137,IF(OptControl=4,0,1),1),0)</f>
        <v>0</v>
      </c>
      <c r="AT137" s="324" t="n">
        <f aca="false">IF(AH137,xASN(AL137,Strike1,AE137,AP137,0,N137,0,P137,Q137,IF(OptControl=4,0,1),2),0)</f>
        <v>0</v>
      </c>
      <c r="AU137" s="324" t="n">
        <f aca="false">IF(AH137,xASN(AL137,Strike1,AE137,AP137,0,N137,0,P137,Q137,IF(OptControl=4,0,1),3)/100,0)</f>
        <v>0</v>
      </c>
      <c r="AV137" s="324" t="n">
        <f aca="false">IF(AH137,xASN(AL137,Strike1,AE137,AP137,0,N137,0,P137-DaysForThetaCalculation/365.25,Q137-DaysForThetaCalculation/365.25,IF(OptControl=4,0,1),0)-xASN(AL137,Strike1,AE137,AP137,0,N137,0,P137,Q137,IF(OptControl=4,0,1),0),0)</f>
        <v>0</v>
      </c>
      <c r="AW137" s="324" t="n">
        <f aca="false">IF(AH137,xASN(AL137,Strike2,AE137,AQ137,0,N137,0,P137,Q137,IF(OptControl=3,1,0),0),0)</f>
        <v>0</v>
      </c>
      <c r="AX137" s="324" t="n">
        <f aca="false">IF(AH137,xASN(AL137,Strike2,AE137,AQ137,0,N137,0,P137,Q137,IF(OptControl=3,1,0),1),0)</f>
        <v>0</v>
      </c>
      <c r="AY137" s="324" t="n">
        <f aca="false">IF(AH137,xASN(AL137,Strike2,AE137,AQ137,0,N137,0,P137,Q137,IF(OptControl=3,1,0),2),0)</f>
        <v>0</v>
      </c>
      <c r="AZ137" s="324" t="n">
        <f aca="false">IF(AH137,xASN(AL137,Strike2,AE137,AQ137,0,N137,0,P137,Q137,IF(OptControl=3,1,0),3)/100,0)</f>
        <v>0</v>
      </c>
      <c r="BA137" s="324" t="n">
        <f aca="false">IF(AH137,xASN(AL137,Strike2,AE137,AQ137,0,N137,0,P137-DaysForThetaCalculation/365.25,Q137-DaysForThetaCalculation/365.25,IF(OptControl=3,1,0),0)-xASN(AL137,Strike2,AE137,AQ137,0,N137,0,P137,Q137,IF(OptControl=3,1,0),0),0)</f>
        <v>0</v>
      </c>
      <c r="BB137" s="325" t="str">
        <f aca="false">IF(AH137,IF(ProductGroup=1,IF(Product=1,BX137+PriceSpreadEuro,IF(Product=3,CK137+PriceSpreadEuro,"N/A")),"N/A"),"")</f>
        <v/>
      </c>
      <c r="BC137" s="316" t="str">
        <f aca="false">IF(AH137,Strike1/BB137-1,"")</f>
        <v/>
      </c>
      <c r="BD137" s="316" t="str">
        <f aca="false">IF(AH137,Strike2/BB137-1,"")</f>
        <v/>
      </c>
      <c r="BE137" s="326" t="str">
        <f aca="false">IF(AH137,IF(VolOverrideEuro,VolOverrideEuro,IF(ProductGroup=1,IF(Product&lt;3,DA137,DE137)+VolSpreadEuro,"N/A")),"")</f>
        <v/>
      </c>
      <c r="BF137" s="323" t="str">
        <f aca="false">IF($AH137,$BE137+IF(SkewFlag=1,IF(BC137&gt;0,$AA137*MIN(BC137/10%,1)+($Z137-$AA137)*MAX(0,MIN(BC137/10%-1,1))+($Y137-$Z137)*MAX(0,BC137/10%-2),$AB137*MIN(-BC137/10%,1)+($AC137-$AB137)*MAX(0,MIN(-BC137/10%-1,1))+($AD137-$AC137)*MAX(0,-BC137/10%-2)),0),"")</f>
        <v/>
      </c>
      <c r="BG137" s="323" t="str">
        <f aca="false">IF($AH137,$BE137+IF(SkewFlag=1,IF(BD137&gt;0,$AA137*MIN(BD137/10%,1)+($Z137-$AA137)*MAX(0,MIN(BD137/10%-1,1))+($Y137-$Z137)*MAX(0,BD137/10%-2),$AB137*MIN(-BD137/10%,1)+($AC137-$AB137)*MAX(0,MIN(-BD137/10%-1,1))+($AD137-$AC137)*MAX(0,-BD137/10%-2)),0),"")</f>
        <v/>
      </c>
      <c r="BH137" s="324" t="n">
        <f aca="false">IF(AH137,xEURO(BB137,Strike1,AE137,AE137,BF137,O137,IF(OptControl=4,0,1),0),0)</f>
        <v>0</v>
      </c>
      <c r="BI137" s="324" t="n">
        <f aca="false">IF(AH137,xEURO(BB137,Strike1,AE137,AE137,BF137,O137,IF(OptControl=4,0,1),1),0)</f>
        <v>0</v>
      </c>
      <c r="BJ137" s="324" t="n">
        <f aca="false">IF(AH137,xEURO(BB137,Strike1,AE137,AE137,BF137,O137,IF(OptControl=4,0,1),2),0)</f>
        <v>0</v>
      </c>
      <c r="BK137" s="324" t="n">
        <f aca="false">IF(AH137,xEURO(BB137,Strike1,AE137,AE137,BF137,O137,IF(OptControl=4,0,1),3)/100,0)</f>
        <v>0</v>
      </c>
      <c r="BL137" s="324" t="n">
        <f aca="false">IF(AH137,xEURO(BB137,Strike1,AE137,AE137,BF137,O137-DaysForThetaCalculation,IF(OptControl=4,0,1),0)-xEURO(BB137,Strike1,AE137,AE137,BF137,O137,IF(OptControl=4,0,1),0),0)</f>
        <v>0</v>
      </c>
      <c r="BM137" s="324" t="n">
        <f aca="false">IF(AH137,xEURO(BB137,Strike2,AE137,AE137,BG137,O137,IF(OptControl=3,1,0),0),0)</f>
        <v>0</v>
      </c>
      <c r="BN137" s="324" t="n">
        <f aca="false">IF(AH137,xEURO(BB137,Strike2,AE137,AE137,BG137,O137,IF(OptControl=3,1,0),1),0)</f>
        <v>0</v>
      </c>
      <c r="BO137" s="324" t="n">
        <f aca="false">IF(AH137,xEURO(BB137,Strike2,AE137,AE137,BG137,O137,IF(OptControl=3,1,0),2),0)</f>
        <v>0</v>
      </c>
      <c r="BP137" s="324" t="n">
        <f aca="false">IF(AH137,xEURO(BB137,Strike2,AE137,AE137,BG137,O137,IF(OptControl=3,1,0),3)/100,0)</f>
        <v>0</v>
      </c>
      <c r="BQ137" s="327" t="n">
        <f aca="false">IF(AH137,xEURO(BB137,Strike2,AE137,AE137,BG137,O137-DaysForThetaCalculation,IF(OptControl=3,1,0),0)-xEURO(BB137,Strike2,AE137,AE137,BG137,O137,IF(OptControl=3,1,0),0),0)</f>
        <v>0</v>
      </c>
      <c r="BR137" s="343"/>
      <c r="BS137" s="314"/>
      <c r="BT137" s="329" t="n">
        <f aca="false">BS137*100/42</f>
        <v>0</v>
      </c>
      <c r="BU137" s="329" t="n">
        <f aca="false">BS138-$U137</f>
        <v>-28.5409090909088</v>
      </c>
      <c r="BV137" s="224"/>
      <c r="BW137" s="329" t="n">
        <f aca="false">BW125+VLOOKUP(1900+$L137,ProductSpreadTable,2)</f>
        <v>11.842</v>
      </c>
      <c r="BX137" s="329" t="n">
        <f aca="false">($V136+BW136)*100/42</f>
        <v>101.304761904762</v>
      </c>
      <c r="BY137" s="332" t="n">
        <f aca="false">BX138</f>
        <v>96.1497835497829</v>
      </c>
      <c r="BZ137" s="314"/>
      <c r="CA137" s="329" t="n">
        <f aca="false">BZ137*100/42</f>
        <v>0</v>
      </c>
      <c r="CB137" s="329" t="n">
        <f aca="false">BZ137-$U137</f>
        <v>-28.5409090909088</v>
      </c>
      <c r="CC137" s="329" t="n">
        <f aca="false">CC125+VLOOKUP(1900+$L137,ProductSpreadTable,3)</f>
        <v>14.193</v>
      </c>
      <c r="CD137" s="329" t="n">
        <f aca="false">($V137+CC137)*100/42</f>
        <v>101.747402597402</v>
      </c>
      <c r="CE137" s="333" t="n">
        <f aca="false">CD137-BY137</f>
        <v>5.59761904761895</v>
      </c>
      <c r="CF137" s="314"/>
      <c r="CG137" s="329" t="n">
        <f aca="false">CF137*100/42</f>
        <v>0</v>
      </c>
      <c r="CH137" s="329" t="n">
        <f aca="false">CF138-$U137</f>
        <v>-28.5409090909088</v>
      </c>
      <c r="CI137" s="224"/>
      <c r="CJ137" s="329" t="n">
        <f aca="false">CJ125+VLOOKUP(1900+$L137,ProductSpreadTable,4)</f>
        <v>11.174</v>
      </c>
      <c r="CK137" s="329" t="n">
        <f aca="false">($V136+CJ136)*100/42</f>
        <v>97.0857142857146</v>
      </c>
      <c r="CL137" s="329" t="n">
        <f aca="false">CK138</f>
        <v>94.5593073593066</v>
      </c>
      <c r="CM137" s="314"/>
      <c r="CN137" s="329" t="n">
        <f aca="false">CM137*100/42</f>
        <v>0</v>
      </c>
      <c r="CO137" s="329" t="n">
        <f aca="false">CM137-$U137</f>
        <v>-28.5409090909088</v>
      </c>
      <c r="CP137" s="329" t="n">
        <f aca="false">CP125+VLOOKUP(1900+$L137,ProductSpreadTable,5)</f>
        <v>10.061</v>
      </c>
      <c r="CQ137" s="329" t="n">
        <f aca="false">($V137+CP137)*100/42</f>
        <v>91.9093073593066</v>
      </c>
      <c r="CR137" s="333" t="n">
        <f aca="false">CQ137-CL137</f>
        <v>-2.65000000000001</v>
      </c>
      <c r="CS137" s="314"/>
      <c r="CT137" s="329" t="n">
        <f aca="false">CS137*100/42</f>
        <v>0</v>
      </c>
      <c r="CU137" s="329" t="n">
        <f aca="false">CT137-CG138</f>
        <v>0</v>
      </c>
      <c r="CV137" s="329" t="n">
        <f aca="false">CV125+VLOOKUP(1900+$L137,ProductSpreadTable,6)</f>
        <v>2.09999999999999</v>
      </c>
      <c r="CW137" s="333" t="n">
        <f aca="false">CL137+CV137</f>
        <v>96.6593073593066</v>
      </c>
      <c r="CX137" s="318"/>
      <c r="CY137" s="326" t="n">
        <f aca="false">CX137-$W137</f>
        <v>-0.164899999999999</v>
      </c>
      <c r="CZ137" s="326" t="n">
        <f aca="false">VLOOKUP(1900+$L137,ProductSpreadTable,7)</f>
        <v>-0.03</v>
      </c>
      <c r="DA137" s="365" t="n">
        <f aca="false">$W137+CZ137</f>
        <v>0.134899999999999</v>
      </c>
      <c r="DB137" s="318"/>
      <c r="DC137" s="326" t="n">
        <f aca="false">DB137-$W137</f>
        <v>-0.164899999999999</v>
      </c>
      <c r="DD137" s="326" t="n">
        <f aca="false">VLOOKUP(1900+$L137,ProductSpreadTable,8)</f>
        <v>0.03</v>
      </c>
      <c r="DE137" s="365" t="n">
        <f aca="false">$W137+DD137</f>
        <v>0.194899999999999</v>
      </c>
      <c r="DG137" s="336"/>
      <c r="DH137" s="314"/>
      <c r="DI137" s="325" t="n">
        <f aca="false">DH137-$U137</f>
        <v>-28.5409090909088</v>
      </c>
      <c r="DJ137" s="325" t="n">
        <f aca="false">VLOOKUP(1900+$L137,ResidSpreadTable,2)</f>
        <v>-2</v>
      </c>
      <c r="DK137" s="337" t="n">
        <f aca="false">$V137+DJ137</f>
        <v>26.5409090909088</v>
      </c>
      <c r="DL137" s="314"/>
      <c r="DM137" s="325" t="n">
        <f aca="false">DL137-$U137</f>
        <v>-28.5409090909088</v>
      </c>
      <c r="DN137" s="325" t="n">
        <f aca="false">VLOOKUP(1900+$L137,ResidSpreadTable,3)</f>
        <v>-3</v>
      </c>
      <c r="DO137" s="337" t="n">
        <f aca="false">$V137+DN137</f>
        <v>25.5409090909088</v>
      </c>
      <c r="DP137" s="314"/>
      <c r="DQ137" s="325" t="n">
        <f aca="false">DP137-$U137</f>
        <v>-28.5409090909088</v>
      </c>
      <c r="DR137" s="325" t="n">
        <f aca="false">VLOOKUP(1900+$L137,ResidSpreadTable,4)</f>
        <v>-6</v>
      </c>
      <c r="DS137" s="337" t="n">
        <f aca="false">$V137+DR137</f>
        <v>22.5409090909088</v>
      </c>
      <c r="DT137" s="314"/>
      <c r="DU137" s="325" t="n">
        <f aca="false">DT137-$U137</f>
        <v>-28.5409090909088</v>
      </c>
      <c r="DV137" s="325" t="n">
        <f aca="false">VLOOKUP(1900+$L137,ResidSpreadTable,5)</f>
        <v>-5</v>
      </c>
      <c r="DW137" s="337" t="n">
        <f aca="false">$V137+DV137</f>
        <v>23.5409090909088</v>
      </c>
    </row>
    <row r="138" customFormat="false" ht="12.75" hidden="false" customHeight="false" outlineLevel="0" collapsed="false">
      <c r="B138" s="371" t="n">
        <v>39753</v>
      </c>
      <c r="C138" s="391" t="n">
        <v>39743</v>
      </c>
      <c r="I138" s="338" t="n">
        <f aca="false">EOMONTH(I137,0)+1</f>
        <v>49949</v>
      </c>
      <c r="J138" s="389" t="n">
        <f aca="false">VLOOKUP(I138,$B$12:$C$332,2)</f>
        <v>45644</v>
      </c>
      <c r="K138" s="339" t="n">
        <f aca="false">NETWORKDAYS(I138,J139)/N138</f>
        <v>-133.739130434783</v>
      </c>
      <c r="L138" s="309" t="n">
        <f aca="false">YEAR(I138)-1900</f>
        <v>136</v>
      </c>
      <c r="M138" s="310" t="n">
        <f aca="false">MONTH(I138)</f>
        <v>10</v>
      </c>
      <c r="N138" s="340" t="n">
        <f aca="false">NETWORKDAYS(I138,I139-1)</f>
        <v>23</v>
      </c>
      <c r="O138" s="341" t="n">
        <f aca="false">I138-DateToday-IF(EuroExpDateToggle=1,3+IF(WEEKDAY(I138-1)=7,1,IF(WEEKDAY(I138-1)&lt;5,2,0)),1+IF(WEEKDAY(I138-1)=7,1,IF(WEEKDAY(I138-1)&lt;3,2,0)))</f>
        <v>4018</v>
      </c>
      <c r="P138" s="342" t="n">
        <f aca="false">(I138-DateToday+1)/365.25</f>
        <v>11.0171115674196</v>
      </c>
      <c r="Q138" s="342" t="n">
        <f aca="false">(I139-DateToday)/365.25</f>
        <v>11.0992470910335</v>
      </c>
      <c r="R138" s="314" t="n">
        <v>21.55</v>
      </c>
      <c r="S138" s="347" t="n">
        <v>0</v>
      </c>
      <c r="T138" s="316" t="n">
        <f aca="false">R138+S138/100</f>
        <v>21.55</v>
      </c>
      <c r="U138" s="325" t="n">
        <f aca="false">R139*K138+R140*(1-K138)</f>
        <v>28.3369565217386</v>
      </c>
      <c r="V138" s="337" t="n">
        <f aca="false">T139*K138+T140*(1-K138)</f>
        <v>28.3369565217386</v>
      </c>
      <c r="W138" s="318" t="n">
        <v>0.164499999999999</v>
      </c>
      <c r="X138" s="319" t="str">
        <f aca="false">IF($I138-DateToday+1&gt;=$A$10,"",IF($I138-DateToday+1&lt;$A$5,1,MATCH($I138-DateToday+1,$A$5:$A$10)))</f>
        <v/>
      </c>
      <c r="Y138" s="348" t="n">
        <f aca="false">IF($X138="",Y137^2/Y136,INDEX(B$5:B$10,$X138)^((INDEX($A$5:$A$10,$X138+1)-($I138-DateToday+1))/(INDEX($A$5:$A$10,$X138+1)-INDEX($A$5:$A$10,$X138)))/INDEX(B$5:B$10,$X138+1)^((INDEX($A$5:$A$10,$X138)-($I138-DateToday+1))/(INDEX($A$5:$A$10,$X138+1)-INDEX($A$5:$A$10,$X138))))</f>
        <v>0.000880915480158597</v>
      </c>
      <c r="Z138" s="348" t="n">
        <f aca="false">IF($X138="",Z137^2/Z136,INDEX(C$5:C$10,$X138)^((INDEX($A$5:$A$10,$X138+1)-($I138-DateToday+1))/(INDEX($A$5:$A$10,$X138+1)-INDEX($A$5:$A$10,$X138)))/INDEX(C$5:C$10,$X138+1)^((INDEX($A$5:$A$10,$X138)-($I138-DateToday+1))/(INDEX($A$5:$A$10,$X138+1)-INDEX($A$5:$A$10,$X138))))</f>
        <v>0.000267018383275634</v>
      </c>
      <c r="AA138" s="348" t="n">
        <f aca="false">IF($X138="",AA137^2/AA136,INDEX(D$5:D$10,$X138)^((INDEX($A$5:$A$10,$X138+1)-($I138-DateToday+1))/(INDEX($A$5:$A$10,$X138+1)-INDEX($A$5:$A$10,$X138)))/INDEX(D$5:D$10,$X138+1)^((INDEX($A$5:$A$10,$X138)-($I138-DateToday+1))/(INDEX($A$5:$A$10,$X138+1)-INDEX($A$5:$A$10,$X138))))</f>
        <v>8.92526345765718E-005</v>
      </c>
      <c r="AB138" s="348" t="n">
        <f aca="false">IF($X138="",AB137^2/AB136,INDEX(E$5:E$10,$X138)^((INDEX($A$5:$A$10,$X138+1)-($I138-DateToday+1))/(INDEX($A$5:$A$10,$X138+1)-INDEX($A$5:$A$10,$X138)))/INDEX(E$5:E$10,$X138+1)^((INDEX($A$5:$A$10,$X138)-($I138-DateToday+1))/(INDEX($A$5:$A$10,$X138+1)-INDEX($A$5:$A$10,$X138))))</f>
        <v>0.000201068335174111</v>
      </c>
      <c r="AC138" s="348" t="n">
        <f aca="false">IF($X138="",AC137^2/AC136,INDEX(F$5:F$10,$X138)^((INDEX($A$5:$A$10,$X138+1)-($I138-DateToday+1))/(INDEX($A$5:$A$10,$X138+1)-INDEX($A$5:$A$10,$X138)))/INDEX(F$5:F$10,$X138+1)^((INDEX($A$5:$A$10,$X138)-($I138-DateToday+1))/(INDEX($A$5:$A$10,$X138+1)-INDEX($A$5:$A$10,$X138))))</f>
        <v>0.000601539013843345</v>
      </c>
      <c r="AD138" s="348" t="n">
        <f aca="false">IF($X138="",AD137^2/AD136,INDEX(G$5:G$10,$X138)^((INDEX($A$5:$A$10,$X138+1)-($I138-DateToday+1))/(INDEX($A$5:$A$10,$X138+1)-INDEX($A$5:$A$10,$X138)))/INDEX(G$5:G$10,$X138+1)^((INDEX($A$5:$A$10,$X138)-($I138-DateToday+1))/(INDEX($A$5:$A$10,$X138+1)-INDEX($A$5:$A$10,$X138))))</f>
        <v>0.00198452639370112</v>
      </c>
      <c r="AE138" s="321" t="n">
        <v>0.073729576709304</v>
      </c>
      <c r="AF138" s="316" t="n">
        <f aca="false">(1+AE138/2)^(-2*(I139-DateToday)/365.25)</f>
        <v>0.4477055445632</v>
      </c>
      <c r="AG138" s="316" t="n">
        <f aca="false">AG137*(1+IF(AND(M138=1,L138&gt;YearStart),Escalation,0))</f>
        <v>1</v>
      </c>
      <c r="AH138" s="322" t="n">
        <f aca="false">IF(OR(DateStart&gt;=I139,DateEnd&lt;I138),0,Volume*AG138)</f>
        <v>0</v>
      </c>
      <c r="AI138" s="322" t="n">
        <f aca="false">AH138*AF138</f>
        <v>0</v>
      </c>
      <c r="AJ138" s="322" t="n">
        <f aca="false">IF(OR(DateStart2&gt;=I139,DateEnd2&lt;I138),0,VolumeSwaption*AG138)</f>
        <v>0</v>
      </c>
      <c r="AK138" s="322" t="n">
        <f aca="false">AJ138*AF138</f>
        <v>0</v>
      </c>
      <c r="AL138" s="316" t="str">
        <f aca="true">IF(AH138,OFFSET(BY138,0,HorizontalPriceOffset)+PriceSpreadAsian,"")</f>
        <v/>
      </c>
      <c r="AM138" s="316" t="str">
        <f aca="false">IF(AH138,Strike1/AL138-1,"")</f>
        <v/>
      </c>
      <c r="AN138" s="316" t="str">
        <f aca="false">IF(AH138,Strike2/AL138-1,"")</f>
        <v/>
      </c>
      <c r="AO138" s="323" t="str">
        <f aca="false">IF(AH138,IF(VolOverrideAsian,VolOverrideAsian,IF(ProductGroup=1,IF(Product&lt;3,DA139,DE139),W139)+VolSpreadAsian),"")</f>
        <v/>
      </c>
      <c r="AP138" s="323" t="str">
        <f aca="false">IF($AH138,$AO138+IF(SkewFlag=1,IF(AM138&gt;0,$AA138*MIN(AM138/10%,1)+($Z138-$AA138)*MAX(0,MIN(AM138/10%-1,1))+($Y138-$Z138)*MAX(0,AM138/10%-2),$AB138*MIN(-AM138/10%,1)+($AC138-$AB138)*MAX(0,MIN(-AM138/10%-1,1))+($AD138-$AC138)*MAX(0,-AM138/10%-2)),0),"")</f>
        <v/>
      </c>
      <c r="AQ138" s="323" t="str">
        <f aca="false">IF($AH138,$AO138+IF(SkewFlag=1,IF(AN138&gt;0,$AA138*MIN(AN138/10%,1)+($Z138-$AA138)*MAX(0,MIN(AN138/10%-1,1))+($Y138-$Z138)*MAX(0,AN138/10%-2),$AB138*MIN(-AN138/10%,1)+($AC138-$AB138)*MAX(0,MIN(-AN138/10%-1,1))+($AD138-$AC138)*MAX(0,-AN138/10%-2)),0),"")</f>
        <v/>
      </c>
      <c r="AR138" s="324" t="n">
        <f aca="false">IF(AH138,xASN(AL138,Strike1,AE138,AP138,0,N138,0,P138,Q138,IF(OptControl=4,0,1),0),0)</f>
        <v>0</v>
      </c>
      <c r="AS138" s="324" t="n">
        <f aca="false">IF(AH138,xASN(AL138,Strike1,AE138,AP138,0,N138,0,P138,Q138,IF(OptControl=4,0,1),1),0)</f>
        <v>0</v>
      </c>
      <c r="AT138" s="324" t="n">
        <f aca="false">IF(AH138,xASN(AL138,Strike1,AE138,AP138,0,N138,0,P138,Q138,IF(OptControl=4,0,1),2),0)</f>
        <v>0</v>
      </c>
      <c r="AU138" s="324" t="n">
        <f aca="false">IF(AH138,xASN(AL138,Strike1,AE138,AP138,0,N138,0,P138,Q138,IF(OptControl=4,0,1),3)/100,0)</f>
        <v>0</v>
      </c>
      <c r="AV138" s="324" t="n">
        <f aca="false">IF(AH138,xASN(AL138,Strike1,AE138,AP138,0,N138,0,P138-DaysForThetaCalculation/365.25,Q138-DaysForThetaCalculation/365.25,IF(OptControl=4,0,1),0)-xASN(AL138,Strike1,AE138,AP138,0,N138,0,P138,Q138,IF(OptControl=4,0,1),0),0)</f>
        <v>0</v>
      </c>
      <c r="AW138" s="324" t="n">
        <f aca="false">IF(AH138,xASN(AL138,Strike2,AE138,AQ138,0,N138,0,P138,Q138,IF(OptControl=3,1,0),0),0)</f>
        <v>0</v>
      </c>
      <c r="AX138" s="324" t="n">
        <f aca="false">IF(AH138,xASN(AL138,Strike2,AE138,AQ138,0,N138,0,P138,Q138,IF(OptControl=3,1,0),1),0)</f>
        <v>0</v>
      </c>
      <c r="AY138" s="324" t="n">
        <f aca="false">IF(AH138,xASN(AL138,Strike2,AE138,AQ138,0,N138,0,P138,Q138,IF(OptControl=3,1,0),2),0)</f>
        <v>0</v>
      </c>
      <c r="AZ138" s="324" t="n">
        <f aca="false">IF(AH138,xASN(AL138,Strike2,AE138,AQ138,0,N138,0,P138,Q138,IF(OptControl=3,1,0),3)/100,0)</f>
        <v>0</v>
      </c>
      <c r="BA138" s="324" t="n">
        <f aca="false">IF(AH138,xASN(AL138,Strike2,AE138,AQ138,0,N138,0,P138-DaysForThetaCalculation/365.25,Q138-DaysForThetaCalculation/365.25,IF(OptControl=3,1,0),0)-xASN(AL138,Strike2,AE138,AQ138,0,N138,0,P138,Q138,IF(OptControl=3,1,0),0),0)</f>
        <v>0</v>
      </c>
      <c r="BB138" s="325" t="str">
        <f aca="false">IF(AH138,IF(ProductGroup=1,IF(Product=1,BX138+PriceSpreadEuro,IF(Product=3,CK138+PriceSpreadEuro,"N/A")),"N/A"),"")</f>
        <v/>
      </c>
      <c r="BC138" s="316" t="str">
        <f aca="false">IF(AH138,Strike1/BB138-1,"")</f>
        <v/>
      </c>
      <c r="BD138" s="316" t="str">
        <f aca="false">IF(AH138,Strike2/BB138-1,"")</f>
        <v/>
      </c>
      <c r="BE138" s="326" t="str">
        <f aca="false">IF(AH138,IF(VolOverrideEuro,VolOverrideEuro,IF(ProductGroup=1,IF(Product&lt;3,DA138,DE138)+VolSpreadEuro,"N/A")),"")</f>
        <v/>
      </c>
      <c r="BF138" s="323" t="str">
        <f aca="false">IF($AH138,$BE138+IF(SkewFlag=1,IF(BC138&gt;0,$AA138*MIN(BC138/10%,1)+($Z138-$AA138)*MAX(0,MIN(BC138/10%-1,1))+($Y138-$Z138)*MAX(0,BC138/10%-2),$AB138*MIN(-BC138/10%,1)+($AC138-$AB138)*MAX(0,MIN(-BC138/10%-1,1))+($AD138-$AC138)*MAX(0,-BC138/10%-2)),0),"")</f>
        <v/>
      </c>
      <c r="BG138" s="323" t="str">
        <f aca="false">IF($AH138,$BE138+IF(SkewFlag=1,IF(BD138&gt;0,$AA138*MIN(BD138/10%,1)+($Z138-$AA138)*MAX(0,MIN(BD138/10%-1,1))+($Y138-$Z138)*MAX(0,BD138/10%-2),$AB138*MIN(-BD138/10%,1)+($AC138-$AB138)*MAX(0,MIN(-BD138/10%-1,1))+($AD138-$AC138)*MAX(0,-BD138/10%-2)),0),"")</f>
        <v/>
      </c>
      <c r="BH138" s="324" t="n">
        <f aca="false">IF(AH138,xEURO(BB138,Strike1,AE138,AE138,BF138,O138,IF(OptControl=4,0,1),0),0)</f>
        <v>0</v>
      </c>
      <c r="BI138" s="324" t="n">
        <f aca="false">IF(AH138,xEURO(BB138,Strike1,AE138,AE138,BF138,O138,IF(OptControl=4,0,1),1),0)</f>
        <v>0</v>
      </c>
      <c r="BJ138" s="324" t="n">
        <f aca="false">IF(AH138,xEURO(BB138,Strike1,AE138,AE138,BF138,O138,IF(OptControl=4,0,1),2),0)</f>
        <v>0</v>
      </c>
      <c r="BK138" s="324" t="n">
        <f aca="false">IF(AH138,xEURO(BB138,Strike1,AE138,AE138,BF138,O138,IF(OptControl=4,0,1),3)/100,0)</f>
        <v>0</v>
      </c>
      <c r="BL138" s="324" t="n">
        <f aca="false">IF(AH138,xEURO(BB138,Strike1,AE138,AE138,BF138,O138-DaysForThetaCalculation,IF(OptControl=4,0,1),0)-xEURO(BB138,Strike1,AE138,AE138,BF138,O138,IF(OptControl=4,0,1),0),0)</f>
        <v>0</v>
      </c>
      <c r="BM138" s="324" t="n">
        <f aca="false">IF(AH138,xEURO(BB138,Strike2,AE138,AE138,BG138,O138,IF(OptControl=3,1,0),0),0)</f>
        <v>0</v>
      </c>
      <c r="BN138" s="324" t="n">
        <f aca="false">IF(AH138,xEURO(BB138,Strike2,AE138,AE138,BG138,O138,IF(OptControl=3,1,0),1),0)</f>
        <v>0</v>
      </c>
      <c r="BO138" s="324" t="n">
        <f aca="false">IF(AH138,xEURO(BB138,Strike2,AE138,AE138,BG138,O138,IF(OptControl=3,1,0),2),0)</f>
        <v>0</v>
      </c>
      <c r="BP138" s="324" t="n">
        <f aca="false">IF(AH138,xEURO(BB138,Strike2,AE138,AE138,BG138,O138,IF(OptControl=3,1,0),3)/100,0)</f>
        <v>0</v>
      </c>
      <c r="BQ138" s="327" t="n">
        <f aca="false">IF(AH138,xEURO(BB138,Strike2,AE138,AE138,BG138,O138-DaysForThetaCalculation,IF(OptControl=3,1,0),0)-xEURO(BB138,Strike2,AE138,AE138,BG138,O138,IF(OptControl=3,1,0),0),0)</f>
        <v>0</v>
      </c>
      <c r="BR138" s="343"/>
      <c r="BS138" s="314"/>
      <c r="BT138" s="329" t="n">
        <f aca="false">BS138*100/42</f>
        <v>0</v>
      </c>
      <c r="BU138" s="329" t="n">
        <f aca="false">BS139-$U138</f>
        <v>-28.3369565217386</v>
      </c>
      <c r="BV138" s="224"/>
      <c r="BW138" s="329" t="n">
        <f aca="false">BW126+VLOOKUP(1900+$L138,ProductSpreadTable,2)</f>
        <v>22.074347826087</v>
      </c>
      <c r="BX138" s="329" t="n">
        <f aca="false">($V137+BW137)*100/42</f>
        <v>96.1497835497829</v>
      </c>
      <c r="BY138" s="332" t="n">
        <f aca="false">BX139</f>
        <v>120.02691511387</v>
      </c>
      <c r="BZ138" s="314"/>
      <c r="CA138" s="329" t="n">
        <f aca="false">BZ138*100/42</f>
        <v>0</v>
      </c>
      <c r="CB138" s="329" t="n">
        <f aca="false">BZ138-$U138</f>
        <v>-28.3369565217386</v>
      </c>
      <c r="CC138" s="329" t="n">
        <f aca="false">CC126+VLOOKUP(1900+$L138,ProductSpreadTable,3)</f>
        <v>19.449347826087</v>
      </c>
      <c r="CD138" s="329" t="n">
        <f aca="false">($V138+CC138)*100/42</f>
        <v>113.77691511387</v>
      </c>
      <c r="CE138" s="333" t="n">
        <f aca="false">CD138-BY138</f>
        <v>-6.25</v>
      </c>
      <c r="CF138" s="314"/>
      <c r="CG138" s="329" t="n">
        <f aca="false">CF138*100/42</f>
        <v>0</v>
      </c>
      <c r="CH138" s="329" t="n">
        <f aca="false">CF139-$U138</f>
        <v>-28.3369565217386</v>
      </c>
      <c r="CI138" s="224"/>
      <c r="CJ138" s="329" t="n">
        <f aca="false">CJ126+VLOOKUP(1900+$L138,ProductSpreadTable,4)</f>
        <v>9.86163636363635</v>
      </c>
      <c r="CK138" s="329" t="n">
        <f aca="false">($V137+CJ137)*100/42</f>
        <v>94.5593073593066</v>
      </c>
      <c r="CL138" s="329" t="n">
        <f aca="false">CK139</f>
        <v>90.9490306794641</v>
      </c>
      <c r="CM138" s="314"/>
      <c r="CN138" s="329" t="n">
        <f aca="false">CM138*100/42</f>
        <v>0</v>
      </c>
      <c r="CO138" s="329" t="n">
        <f aca="false">CM138-$U138</f>
        <v>-28.3369565217386</v>
      </c>
      <c r="CP138" s="329" t="n">
        <f aca="false">CP126+VLOOKUP(1900+$L138,ProductSpreadTable,5)</f>
        <v>8.93763636363634</v>
      </c>
      <c r="CQ138" s="329" t="n">
        <f aca="false">($V138+CP138)*100/42</f>
        <v>88.749030679464</v>
      </c>
      <c r="CR138" s="333" t="n">
        <f aca="false">CQ138-CL138</f>
        <v>-2.20000000000002</v>
      </c>
      <c r="CS138" s="314"/>
      <c r="CT138" s="329" t="n">
        <f aca="false">CS138*100/42</f>
        <v>0</v>
      </c>
      <c r="CU138" s="329" t="n">
        <f aca="false">CT138-CG139</f>
        <v>0</v>
      </c>
      <c r="CV138" s="329" t="n">
        <f aca="false">CV126+VLOOKUP(1900+$L138,ProductSpreadTable,6)</f>
        <v>2.09999999999999</v>
      </c>
      <c r="CW138" s="333" t="n">
        <f aca="false">CL138+CV138</f>
        <v>93.0490306794641</v>
      </c>
      <c r="CX138" s="318"/>
      <c r="CY138" s="326" t="n">
        <f aca="false">CX138-$W138</f>
        <v>-0.164499999999999</v>
      </c>
      <c r="CZ138" s="326" t="n">
        <f aca="false">VLOOKUP(1900+$L138,ProductSpreadTable,7)</f>
        <v>-0.03</v>
      </c>
      <c r="DA138" s="365" t="n">
        <f aca="false">$W138+CZ138</f>
        <v>0.134499999999999</v>
      </c>
      <c r="DB138" s="318"/>
      <c r="DC138" s="326" t="n">
        <f aca="false">DB138-$W138</f>
        <v>-0.164499999999999</v>
      </c>
      <c r="DD138" s="326" t="n">
        <f aca="false">VLOOKUP(1900+$L138,ProductSpreadTable,8)</f>
        <v>0.03</v>
      </c>
      <c r="DE138" s="365" t="n">
        <f aca="false">$W138+DD138</f>
        <v>0.194499999999999</v>
      </c>
      <c r="DG138" s="336"/>
      <c r="DH138" s="314"/>
      <c r="DI138" s="325" t="n">
        <f aca="false">DH138-$U138</f>
        <v>-28.3369565217386</v>
      </c>
      <c r="DJ138" s="325" t="n">
        <f aca="false">VLOOKUP(1900+$L138,ResidSpreadTable,2)</f>
        <v>-2</v>
      </c>
      <c r="DK138" s="337" t="n">
        <f aca="false">$V138+DJ138</f>
        <v>26.3369565217386</v>
      </c>
      <c r="DL138" s="314"/>
      <c r="DM138" s="325" t="n">
        <f aca="false">DL138-$U138</f>
        <v>-28.3369565217386</v>
      </c>
      <c r="DN138" s="325" t="n">
        <f aca="false">VLOOKUP(1900+$L138,ResidSpreadTable,3)</f>
        <v>-3</v>
      </c>
      <c r="DO138" s="337" t="n">
        <f aca="false">$V138+DN138</f>
        <v>25.3369565217386</v>
      </c>
      <c r="DP138" s="314"/>
      <c r="DQ138" s="325" t="n">
        <f aca="false">DP138-$U138</f>
        <v>-28.3369565217386</v>
      </c>
      <c r="DR138" s="325" t="n">
        <f aca="false">VLOOKUP(1900+$L138,ResidSpreadTable,4)</f>
        <v>-6</v>
      </c>
      <c r="DS138" s="337" t="n">
        <f aca="false">$V138+DR138</f>
        <v>22.3369565217386</v>
      </c>
      <c r="DT138" s="314"/>
      <c r="DU138" s="325" t="n">
        <f aca="false">DT138-$U138</f>
        <v>-28.3369565217386</v>
      </c>
      <c r="DV138" s="325" t="n">
        <f aca="false">VLOOKUP(1900+$L138,ResidSpreadTable,5)</f>
        <v>-5</v>
      </c>
      <c r="DW138" s="337" t="n">
        <f aca="false">$V138+DV138</f>
        <v>23.3369565217386</v>
      </c>
    </row>
    <row r="139" customFormat="false" ht="12.75" hidden="false" customHeight="false" outlineLevel="0" collapsed="false">
      <c r="B139" s="371" t="n">
        <v>39783</v>
      </c>
      <c r="C139" s="391" t="n">
        <v>39771</v>
      </c>
      <c r="I139" s="338" t="n">
        <f aca="false">EOMONTH(I138,0)+1</f>
        <v>49980</v>
      </c>
      <c r="J139" s="389" t="n">
        <f aca="false">VLOOKUP(I139,$B$12:$C$332,2)</f>
        <v>45644</v>
      </c>
      <c r="K139" s="339" t="n">
        <f aca="false">NETWORKDAYS(I139,J140)/N139</f>
        <v>-154.9</v>
      </c>
      <c r="L139" s="309" t="n">
        <f aca="false">YEAR(I139)-1900</f>
        <v>136</v>
      </c>
      <c r="M139" s="310" t="n">
        <f aca="false">MONTH(I139)</f>
        <v>11</v>
      </c>
      <c r="N139" s="340" t="n">
        <f aca="false">NETWORKDAYS(I139,I140-1)</f>
        <v>20</v>
      </c>
      <c r="O139" s="341" t="n">
        <f aca="false">I139-DateToday-IF(EuroExpDateToggle=1,3+IF(WEEKDAY(I139-1)=7,1,IF(WEEKDAY(I139-1)&lt;5,2,0)),1+IF(WEEKDAY(I139-1)=7,1,IF(WEEKDAY(I139-1)&lt;3,2,0)))</f>
        <v>4051</v>
      </c>
      <c r="P139" s="342" t="n">
        <f aca="false">(I139-DateToday+1)/365.25</f>
        <v>11.1019849418207</v>
      </c>
      <c r="Q139" s="342" t="n">
        <f aca="false">(I140-DateToday)/365.25</f>
        <v>11.1813826146475</v>
      </c>
      <c r="R139" s="314" t="n">
        <v>21.6</v>
      </c>
      <c r="S139" s="347" t="n">
        <v>0</v>
      </c>
      <c r="T139" s="316" t="n">
        <f aca="false">R139+S139/100</f>
        <v>21.6</v>
      </c>
      <c r="U139" s="325" t="n">
        <f aca="false">R140*K139+R141*(1-K139)</f>
        <v>29.4450000000002</v>
      </c>
      <c r="V139" s="337" t="n">
        <f aca="false">T140*K139+T141*(1-K139)</f>
        <v>29.4450000000002</v>
      </c>
      <c r="W139" s="318" t="n">
        <v>0.164099999999999</v>
      </c>
      <c r="X139" s="319" t="str">
        <f aca="false">IF($I139-DateToday+1&gt;=$A$10,"",IF($I139-DateToday+1&lt;$A$5,1,MATCH($I139-DateToday+1,$A$5:$A$10)))</f>
        <v/>
      </c>
      <c r="Y139" s="348" t="n">
        <f aca="false">IF($X139="",Y138^2/Y137,INDEX(B$5:B$10,$X139)^((INDEX($A$5:$A$10,$X139+1)-($I139-DateToday+1))/(INDEX($A$5:$A$10,$X139+1)-INDEX($A$5:$A$10,$X139)))/INDEX(B$5:B$10,$X139+1)^((INDEX($A$5:$A$10,$X139)-($I139-DateToday+1))/(INDEX($A$5:$A$10,$X139+1)-INDEX($A$5:$A$10,$X139))))</f>
        <v>0.000862056419536783</v>
      </c>
      <c r="Z139" s="348" t="n">
        <f aca="false">IF($X139="",Z138^2/Z137,INDEX(C$5:C$10,$X139)^((INDEX($A$5:$A$10,$X139+1)-($I139-DateToday+1))/(INDEX($A$5:$A$10,$X139+1)-INDEX($A$5:$A$10,$X139)))/INDEX(C$5:C$10,$X139+1)^((INDEX($A$5:$A$10,$X139)-($I139-DateToday+1))/(INDEX($A$5:$A$10,$X139+1)-INDEX($A$5:$A$10,$X139))))</f>
        <v>0.000259902901721953</v>
      </c>
      <c r="AA139" s="348" t="n">
        <f aca="false">IF($X139="",AA138^2/AA137,INDEX(D$5:D$10,$X139)^((INDEX($A$5:$A$10,$X139+1)-($I139-DateToday+1))/(INDEX($A$5:$A$10,$X139+1)-INDEX($A$5:$A$10,$X139)))/INDEX(D$5:D$10,$X139+1)^((INDEX($A$5:$A$10,$X139)-($I139-DateToday+1))/(INDEX($A$5:$A$10,$X139+1)-INDEX($A$5:$A$10,$X139))))</f>
        <v>8.66412770107435E-005</v>
      </c>
      <c r="AB139" s="348" t="n">
        <f aca="false">IF($X139="",AB138^2/AB137,INDEX(E$5:E$10,$X139)^((INDEX($A$5:$A$10,$X139+1)-($I139-DateToday+1))/(INDEX($A$5:$A$10,$X139+1)-INDEX($A$5:$A$10,$X139)))/INDEX(E$5:E$10,$X139+1)^((INDEX($A$5:$A$10,$X139)-($I139-DateToday+1))/(INDEX($A$5:$A$10,$X139+1)-INDEX($A$5:$A$10,$X139))))</f>
        <v>0.000195185468849813</v>
      </c>
      <c r="AC139" s="348" t="n">
        <f aca="false">IF($X139="",AC138^2/AC137,INDEX(F$5:F$10,$X139)^((INDEX($A$5:$A$10,$X139+1)-($I139-DateToday+1))/(INDEX($A$5:$A$10,$X139+1)-INDEX($A$5:$A$10,$X139)))/INDEX(F$5:F$10,$X139+1)^((INDEX($A$5:$A$10,$X139)-($I139-DateToday+1))/(INDEX($A$5:$A$10,$X139+1)-INDEX($A$5:$A$10,$X139))))</f>
        <v>0.000585509256999213</v>
      </c>
      <c r="AD139" s="348" t="n">
        <f aca="false">IF($X139="",AD138^2/AD137,INDEX(G$5:G$10,$X139)^((INDEX($A$5:$A$10,$X139+1)-($I139-DateToday+1))/(INDEX($A$5:$A$10,$X139+1)-INDEX($A$5:$A$10,$X139)))/INDEX(G$5:G$10,$X139+1)^((INDEX($A$5:$A$10,$X139)-($I139-DateToday+1))/(INDEX($A$5:$A$10,$X139+1)-INDEX($A$5:$A$10,$X139))))</f>
        <v>0.0019420407019323</v>
      </c>
      <c r="AE139" s="321" t="n">
        <v>0.073725742942804</v>
      </c>
      <c r="AF139" s="316" t="n">
        <f aca="false">(1+AE139/2)^(-2*(I140-DateToday)/365.25)</f>
        <v>0.445069401605613</v>
      </c>
      <c r="AG139" s="316" t="n">
        <f aca="false">AG138*(1+IF(AND(M139=1,L139&gt;YearStart),Escalation,0))</f>
        <v>1</v>
      </c>
      <c r="AH139" s="322" t="n">
        <f aca="false">IF(OR(DateStart&gt;=I140,DateEnd&lt;I139),0,Volume*AG139)</f>
        <v>0</v>
      </c>
      <c r="AI139" s="322" t="n">
        <f aca="false">AH139*AF139</f>
        <v>0</v>
      </c>
      <c r="AJ139" s="322" t="n">
        <f aca="false">IF(OR(DateStart2&gt;=I140,DateEnd2&lt;I139),0,VolumeSwaption*AG139)</f>
        <v>0</v>
      </c>
      <c r="AK139" s="322" t="n">
        <f aca="false">AJ139*AF139</f>
        <v>0</v>
      </c>
      <c r="AL139" s="316" t="str">
        <f aca="true">IF(AH139,OFFSET(BY139,0,HorizontalPriceOffset)+PriceSpreadAsian,"")</f>
        <v/>
      </c>
      <c r="AM139" s="316" t="str">
        <f aca="false">IF(AH139,Strike1/AL139-1,"")</f>
        <v/>
      </c>
      <c r="AN139" s="316" t="str">
        <f aca="false">IF(AH139,Strike2/AL139-1,"")</f>
        <v/>
      </c>
      <c r="AO139" s="323" t="str">
        <f aca="false">IF(AH139,IF(VolOverrideAsian,VolOverrideAsian,IF(ProductGroup=1,IF(Product&lt;3,DA140,DE140),W140)+VolSpreadAsian),"")</f>
        <v/>
      </c>
      <c r="AP139" s="323" t="str">
        <f aca="false">IF($AH139,$AO139+IF(SkewFlag=1,IF(AM139&gt;0,$AA139*MIN(AM139/10%,1)+($Z139-$AA139)*MAX(0,MIN(AM139/10%-1,1))+($Y139-$Z139)*MAX(0,AM139/10%-2),$AB139*MIN(-AM139/10%,1)+($AC139-$AB139)*MAX(0,MIN(-AM139/10%-1,1))+($AD139-$AC139)*MAX(0,-AM139/10%-2)),0),"")</f>
        <v/>
      </c>
      <c r="AQ139" s="323" t="str">
        <f aca="false">IF($AH139,$AO139+IF(SkewFlag=1,IF(AN139&gt;0,$AA139*MIN(AN139/10%,1)+($Z139-$AA139)*MAX(0,MIN(AN139/10%-1,1))+($Y139-$Z139)*MAX(0,AN139/10%-2),$AB139*MIN(-AN139/10%,1)+($AC139-$AB139)*MAX(0,MIN(-AN139/10%-1,1))+($AD139-$AC139)*MAX(0,-AN139/10%-2)),0),"")</f>
        <v/>
      </c>
      <c r="AR139" s="324" t="n">
        <f aca="false">IF(AH139,xASN(AL139,Strike1,AE139,AP139,0,N139,0,P139,Q139,IF(OptControl=4,0,1),0),0)</f>
        <v>0</v>
      </c>
      <c r="AS139" s="324" t="n">
        <f aca="false">IF(AH139,xASN(AL139,Strike1,AE139,AP139,0,N139,0,P139,Q139,IF(OptControl=4,0,1),1),0)</f>
        <v>0</v>
      </c>
      <c r="AT139" s="324" t="n">
        <f aca="false">IF(AH139,xASN(AL139,Strike1,AE139,AP139,0,N139,0,P139,Q139,IF(OptControl=4,0,1),2),0)</f>
        <v>0</v>
      </c>
      <c r="AU139" s="324" t="n">
        <f aca="false">IF(AH139,xASN(AL139,Strike1,AE139,AP139,0,N139,0,P139,Q139,IF(OptControl=4,0,1),3)/100,0)</f>
        <v>0</v>
      </c>
      <c r="AV139" s="324" t="n">
        <f aca="false">IF(AH139,xASN(AL139,Strike1,AE139,AP139,0,N139,0,P139-DaysForThetaCalculation/365.25,Q139-DaysForThetaCalculation/365.25,IF(OptControl=4,0,1),0)-xASN(AL139,Strike1,AE139,AP139,0,N139,0,P139,Q139,IF(OptControl=4,0,1),0),0)</f>
        <v>0</v>
      </c>
      <c r="AW139" s="324" t="n">
        <f aca="false">IF(AH139,xASN(AL139,Strike2,AE139,AQ139,0,N139,0,P139,Q139,IF(OptControl=3,1,0),0),0)</f>
        <v>0</v>
      </c>
      <c r="AX139" s="324" t="n">
        <f aca="false">IF(AH139,xASN(AL139,Strike2,AE139,AQ139,0,N139,0,P139,Q139,IF(OptControl=3,1,0),1),0)</f>
        <v>0</v>
      </c>
      <c r="AY139" s="324" t="n">
        <f aca="false">IF(AH139,xASN(AL139,Strike2,AE139,AQ139,0,N139,0,P139,Q139,IF(OptControl=3,1,0),2),0)</f>
        <v>0</v>
      </c>
      <c r="AZ139" s="324" t="n">
        <f aca="false">IF(AH139,xASN(AL139,Strike2,AE139,AQ139,0,N139,0,P139,Q139,IF(OptControl=3,1,0),3)/100,0)</f>
        <v>0</v>
      </c>
      <c r="BA139" s="324" t="n">
        <f aca="false">IF(AH139,xASN(AL139,Strike2,AE139,AQ139,0,N139,0,P139-DaysForThetaCalculation/365.25,Q139-DaysForThetaCalculation/365.25,IF(OptControl=3,1,0),0)-xASN(AL139,Strike2,AE139,AQ139,0,N139,0,P139,Q139,IF(OptControl=3,1,0),0),0)</f>
        <v>0</v>
      </c>
      <c r="BB139" s="325" t="str">
        <f aca="false">IF(AH139,IF(ProductGroup=1,IF(Product=1,BX139+PriceSpreadEuro,IF(Product=3,CK139+PriceSpreadEuro,"N/A")),"N/A"),"")</f>
        <v/>
      </c>
      <c r="BC139" s="316" t="str">
        <f aca="false">IF(AH139,Strike1/BB139-1,"")</f>
        <v/>
      </c>
      <c r="BD139" s="316" t="str">
        <f aca="false">IF(AH139,Strike2/BB139-1,"")</f>
        <v/>
      </c>
      <c r="BE139" s="326" t="str">
        <f aca="false">IF(AH139,IF(VolOverrideEuro,VolOverrideEuro,IF(ProductGroup=1,IF(Product&lt;3,DA139,DE139)+VolSpreadEuro,"N/A")),"")</f>
        <v/>
      </c>
      <c r="BF139" s="323" t="str">
        <f aca="false">IF($AH139,$BE139+IF(SkewFlag=1,IF(BC139&gt;0,$AA139*MIN(BC139/10%,1)+($Z139-$AA139)*MAX(0,MIN(BC139/10%-1,1))+($Y139-$Z139)*MAX(0,BC139/10%-2),$AB139*MIN(-BC139/10%,1)+($AC139-$AB139)*MAX(0,MIN(-BC139/10%-1,1))+($AD139-$AC139)*MAX(0,-BC139/10%-2)),0),"")</f>
        <v/>
      </c>
      <c r="BG139" s="323" t="str">
        <f aca="false">IF($AH139,$BE139+IF(SkewFlag=1,IF(BD139&gt;0,$AA139*MIN(BD139/10%,1)+($Z139-$AA139)*MAX(0,MIN(BD139/10%-1,1))+($Y139-$Z139)*MAX(0,BD139/10%-2),$AB139*MIN(-BD139/10%,1)+($AC139-$AB139)*MAX(0,MIN(-BD139/10%-1,1))+($AD139-$AC139)*MAX(0,-BD139/10%-2)),0),"")</f>
        <v/>
      </c>
      <c r="BH139" s="324" t="n">
        <f aca="false">IF(AH139,xEURO(BB139,Strike1,AE139,AE139,BF139,O139,IF(OptControl=4,0,1),0),0)</f>
        <v>0</v>
      </c>
      <c r="BI139" s="324" t="n">
        <f aca="false">IF(AH139,xEURO(BB139,Strike1,AE139,AE139,BF139,O139,IF(OptControl=4,0,1),1),0)</f>
        <v>0</v>
      </c>
      <c r="BJ139" s="324" t="n">
        <f aca="false">IF(AH139,xEURO(BB139,Strike1,AE139,AE139,BF139,O139,IF(OptControl=4,0,1),2),0)</f>
        <v>0</v>
      </c>
      <c r="BK139" s="324" t="n">
        <f aca="false">IF(AH139,xEURO(BB139,Strike1,AE139,AE139,BF139,O139,IF(OptControl=4,0,1),3)/100,0)</f>
        <v>0</v>
      </c>
      <c r="BL139" s="324" t="n">
        <f aca="false">IF(AH139,xEURO(BB139,Strike1,AE139,AE139,BF139,O139-DaysForThetaCalculation,IF(OptControl=4,0,1),0)-xEURO(BB139,Strike1,AE139,AE139,BF139,O139,IF(OptControl=4,0,1),0),0)</f>
        <v>0</v>
      </c>
      <c r="BM139" s="324" t="n">
        <f aca="false">IF(AH139,xEURO(BB139,Strike2,AE139,AE139,BG139,O139,IF(OptControl=3,1,0),0),0)</f>
        <v>0</v>
      </c>
      <c r="BN139" s="324" t="n">
        <f aca="false">IF(AH139,xEURO(BB139,Strike2,AE139,AE139,BG139,O139,IF(OptControl=3,1,0),1),0)</f>
        <v>0</v>
      </c>
      <c r="BO139" s="324" t="n">
        <f aca="false">IF(AH139,xEURO(BB139,Strike2,AE139,AE139,BG139,O139,IF(OptControl=3,1,0),2),0)</f>
        <v>0</v>
      </c>
      <c r="BP139" s="324" t="n">
        <f aca="false">IF(AH139,xEURO(BB139,Strike2,AE139,AE139,BG139,O139,IF(OptControl=3,1,0),3)/100,0)</f>
        <v>0</v>
      </c>
      <c r="BQ139" s="327" t="n">
        <f aca="false">IF(AH139,xEURO(BB139,Strike2,AE139,AE139,BG139,O139-DaysForThetaCalculation,IF(OptControl=3,1,0),0)-xEURO(BB139,Strike2,AE139,AE139,BG139,O139,IF(OptControl=3,1,0),0),0)</f>
        <v>0</v>
      </c>
      <c r="BR139" s="343"/>
      <c r="BS139" s="314"/>
      <c r="BT139" s="329" t="n">
        <f aca="false">BS139*100/42</f>
        <v>0</v>
      </c>
      <c r="BU139" s="329" t="n">
        <f aca="false">BS140-$U139</f>
        <v>-29.4450000000002</v>
      </c>
      <c r="BV139" s="224"/>
      <c r="BW139" s="329" t="n">
        <f aca="false">BW127+VLOOKUP(1900+$L139,ProductSpreadTable,2)</f>
        <v>20.09</v>
      </c>
      <c r="BX139" s="329" t="n">
        <f aca="false">($V138+BW138)*100/42</f>
        <v>120.02691511387</v>
      </c>
      <c r="BY139" s="332" t="n">
        <f aca="false">BX140</f>
        <v>117.940476190476</v>
      </c>
      <c r="BZ139" s="314"/>
      <c r="CA139" s="329" t="n">
        <f aca="false">BZ139*100/42</f>
        <v>0</v>
      </c>
      <c r="CB139" s="329" t="n">
        <f aca="false">BZ139-$U139</f>
        <v>-29.4450000000002</v>
      </c>
      <c r="CC139" s="329" t="n">
        <f aca="false">CC127+VLOOKUP(1900+$L139,ProductSpreadTable,3)</f>
        <v>17.465</v>
      </c>
      <c r="CD139" s="329" t="n">
        <f aca="false">($V139+CC139)*100/42</f>
        <v>111.690476190476</v>
      </c>
      <c r="CE139" s="333" t="n">
        <f aca="false">CD139-BY139</f>
        <v>-6.24999999999999</v>
      </c>
      <c r="CF139" s="314"/>
      <c r="CG139" s="329" t="n">
        <f aca="false">CF139*100/42</f>
        <v>0</v>
      </c>
      <c r="CH139" s="329" t="n">
        <f aca="false">CF140-$U139</f>
        <v>-29.4450000000002</v>
      </c>
      <c r="CI139" s="224"/>
      <c r="CJ139" s="329" t="n">
        <f aca="false">CJ127+VLOOKUP(1900+$L139,ProductSpreadTable,4)</f>
        <v>9.30552380952372</v>
      </c>
      <c r="CK139" s="329" t="n">
        <f aca="false">($V138+CJ138)*100/42</f>
        <v>90.9490306794641</v>
      </c>
      <c r="CL139" s="329" t="n">
        <f aca="false">CK140</f>
        <v>92.2631519274378</v>
      </c>
      <c r="CM139" s="314"/>
      <c r="CN139" s="329" t="n">
        <f aca="false">CM139*100/42</f>
        <v>0</v>
      </c>
      <c r="CO139" s="329" t="n">
        <f aca="false">CM139-$U139</f>
        <v>-29.4450000000002</v>
      </c>
      <c r="CP139" s="329" t="n">
        <f aca="false">CP127+VLOOKUP(1900+$L139,ProductSpreadTable,5)</f>
        <v>8.38152380952373</v>
      </c>
      <c r="CQ139" s="329" t="n">
        <f aca="false">($V139+CP139)*100/42</f>
        <v>90.0631519274378</v>
      </c>
      <c r="CR139" s="333" t="n">
        <f aca="false">CQ139-CL139</f>
        <v>-2.19999999999997</v>
      </c>
      <c r="CS139" s="314"/>
      <c r="CT139" s="329" t="n">
        <f aca="false">CS139*100/42</f>
        <v>0</v>
      </c>
      <c r="CU139" s="329" t="n">
        <f aca="false">CT139-CG140</f>
        <v>0</v>
      </c>
      <c r="CV139" s="329" t="n">
        <f aca="false">CV127+VLOOKUP(1900+$L139,ProductSpreadTable,6)</f>
        <v>2.10000000000001</v>
      </c>
      <c r="CW139" s="333" t="n">
        <f aca="false">CL139+CV139</f>
        <v>94.3631519274378</v>
      </c>
      <c r="CX139" s="318"/>
      <c r="CY139" s="326" t="n">
        <f aca="false">CX139-$W139</f>
        <v>-0.164099999999999</v>
      </c>
      <c r="CZ139" s="326" t="n">
        <f aca="false">VLOOKUP(1900+$L139,ProductSpreadTable,7)</f>
        <v>-0.03</v>
      </c>
      <c r="DA139" s="365" t="n">
        <f aca="false">$W139+CZ139</f>
        <v>0.134099999999999</v>
      </c>
      <c r="DB139" s="318"/>
      <c r="DC139" s="326" t="n">
        <f aca="false">DB139-$W139</f>
        <v>-0.164099999999999</v>
      </c>
      <c r="DD139" s="326" t="n">
        <f aca="false">VLOOKUP(1900+$L139,ProductSpreadTable,8)</f>
        <v>0.03</v>
      </c>
      <c r="DE139" s="365" t="n">
        <f aca="false">$W139+DD139</f>
        <v>0.194099999999999</v>
      </c>
      <c r="DG139" s="336"/>
      <c r="DH139" s="314"/>
      <c r="DI139" s="325" t="n">
        <f aca="false">DH139-$U139</f>
        <v>-29.4450000000002</v>
      </c>
      <c r="DJ139" s="325" t="n">
        <f aca="false">VLOOKUP(1900+$L139,ResidSpreadTable,2)</f>
        <v>-2</v>
      </c>
      <c r="DK139" s="337" t="n">
        <f aca="false">$V139+DJ139</f>
        <v>27.4450000000002</v>
      </c>
      <c r="DL139" s="314"/>
      <c r="DM139" s="325" t="n">
        <f aca="false">DL139-$U139</f>
        <v>-29.4450000000002</v>
      </c>
      <c r="DN139" s="325" t="n">
        <f aca="false">VLOOKUP(1900+$L139,ResidSpreadTable,3)</f>
        <v>-3</v>
      </c>
      <c r="DO139" s="337" t="n">
        <f aca="false">$V139+DN139</f>
        <v>26.4450000000002</v>
      </c>
      <c r="DP139" s="314"/>
      <c r="DQ139" s="325" t="n">
        <f aca="false">DP139-$U139</f>
        <v>-29.4450000000002</v>
      </c>
      <c r="DR139" s="325" t="n">
        <f aca="false">VLOOKUP(1900+$L139,ResidSpreadTable,4)</f>
        <v>-6</v>
      </c>
      <c r="DS139" s="337" t="n">
        <f aca="false">$V139+DR139</f>
        <v>23.4450000000002</v>
      </c>
      <c r="DT139" s="314"/>
      <c r="DU139" s="325" t="n">
        <f aca="false">DT139-$U139</f>
        <v>-29.4450000000002</v>
      </c>
      <c r="DV139" s="325" t="n">
        <f aca="false">VLOOKUP(1900+$L139,ResidSpreadTable,5)</f>
        <v>-5</v>
      </c>
      <c r="DW139" s="337" t="n">
        <f aca="false">$V139+DV139</f>
        <v>24.4450000000002</v>
      </c>
    </row>
    <row r="140" customFormat="false" ht="12.75" hidden="false" customHeight="false" outlineLevel="0" collapsed="false">
      <c r="B140" s="371" t="n">
        <v>39814</v>
      </c>
      <c r="C140" s="391" t="n">
        <v>39801</v>
      </c>
      <c r="I140" s="338" t="n">
        <f aca="false">EOMONTH(I139,0)+1</f>
        <v>50010</v>
      </c>
      <c r="J140" s="389" t="n">
        <f aca="false">VLOOKUP(I140,$B$12:$C$332,2)</f>
        <v>45644</v>
      </c>
      <c r="K140" s="339" t="n">
        <f aca="false">NETWORKDAYS(I140,J141)/N140</f>
        <v>-135.608695652174</v>
      </c>
      <c r="L140" s="309" t="n">
        <f aca="false">YEAR(I140)-1900</f>
        <v>136</v>
      </c>
      <c r="M140" s="310" t="n">
        <f aca="false">MONTH(I140)</f>
        <v>12</v>
      </c>
      <c r="N140" s="340" t="n">
        <f aca="false">NETWORKDAYS(I140,I141-1)</f>
        <v>23</v>
      </c>
      <c r="O140" s="341" t="n">
        <f aca="false">I140-DateToday-IF(EuroExpDateToggle=1,3+IF(WEEKDAY(I140-1)=7,1,IF(WEEKDAY(I140-1)&lt;5,2,0)),1+IF(WEEKDAY(I140-1)=7,1,IF(WEEKDAY(I140-1)&lt;3,2,0)))</f>
        <v>4079</v>
      </c>
      <c r="P140" s="342" t="n">
        <f aca="false">(I140-DateToday+1)/365.25</f>
        <v>11.1841204654346</v>
      </c>
      <c r="Q140" s="342" t="n">
        <f aca="false">(I141-DateToday)/365.25</f>
        <v>11.2662559890486</v>
      </c>
      <c r="R140" s="314" t="n">
        <v>21.65</v>
      </c>
      <c r="S140" s="347" t="n">
        <v>0</v>
      </c>
      <c r="T140" s="316" t="n">
        <f aca="false">R140+S140/100</f>
        <v>21.65</v>
      </c>
      <c r="U140" s="325" t="n">
        <f aca="false">R141*K140+R142*(1-K140)</f>
        <v>28.5304347826086</v>
      </c>
      <c r="V140" s="337" t="n">
        <f aca="false">T141*K140+T142*(1-K140)</f>
        <v>28.5304347826086</v>
      </c>
      <c r="W140" s="318" t="n">
        <v>0.163699999999999</v>
      </c>
      <c r="X140" s="319" t="str">
        <f aca="false">IF($I140-DateToday+1&gt;=$A$10,"",IF($I140-DateToday+1&lt;$A$5,1,MATCH($I140-DateToday+1,$A$5:$A$10)))</f>
        <v/>
      </c>
      <c r="Y140" s="348" t="n">
        <f aca="false">IF($X140="",Y139^2/Y138,INDEX(B$5:B$10,$X140)^((INDEX($A$5:$A$10,$X140+1)-($I140-DateToday+1))/(INDEX($A$5:$A$10,$X140+1)-INDEX($A$5:$A$10,$X140)))/INDEX(B$5:B$10,$X140+1)^((INDEX($A$5:$A$10,$X140)-($I140-DateToday+1))/(INDEX($A$5:$A$10,$X140+1)-INDEX($A$5:$A$10,$X140))))</f>
        <v>0.000843601102719622</v>
      </c>
      <c r="Z140" s="348" t="n">
        <f aca="false">IF($X140="",Z139^2/Z138,INDEX(C$5:C$10,$X140)^((INDEX($A$5:$A$10,$X140+1)-($I140-DateToday+1))/(INDEX($A$5:$A$10,$X140+1)-INDEX($A$5:$A$10,$X140)))/INDEX(C$5:C$10,$X140+1)^((INDEX($A$5:$A$10,$X140)-($I140-DateToday+1))/(INDEX($A$5:$A$10,$X140+1)-INDEX($A$5:$A$10,$X140))))</f>
        <v>0.000252977032872536</v>
      </c>
      <c r="AA140" s="348" t="n">
        <f aca="false">IF($X140="",AA139^2/AA138,INDEX(D$5:D$10,$X140)^((INDEX($A$5:$A$10,$X140+1)-($I140-DateToday+1))/(INDEX($A$5:$A$10,$X140+1)-INDEX($A$5:$A$10,$X140)))/INDEX(D$5:D$10,$X140+1)^((INDEX($A$5:$A$10,$X140)-($I140-DateToday+1))/(INDEX($A$5:$A$10,$X140+1)-INDEX($A$5:$A$10,$X140))))</f>
        <v>8.41063226611222E-005</v>
      </c>
      <c r="AB140" s="348" t="n">
        <f aca="false">IF($X140="",AB139^2/AB138,INDEX(E$5:E$10,$X140)^((INDEX($A$5:$A$10,$X140+1)-($I140-DateToday+1))/(INDEX($A$5:$A$10,$X140+1)-INDEX($A$5:$A$10,$X140)))/INDEX(E$5:E$10,$X140+1)^((INDEX($A$5:$A$10,$X140)-($I140-DateToday+1))/(INDEX($A$5:$A$10,$X140+1)-INDEX($A$5:$A$10,$X140))))</f>
        <v>0.000189474723690986</v>
      </c>
      <c r="AC140" s="348" t="n">
        <f aca="false">IF($X140="",AC139^2/AC138,INDEX(F$5:F$10,$X140)^((INDEX($A$5:$A$10,$X140+1)-($I140-DateToday+1))/(INDEX($A$5:$A$10,$X140+1)-INDEX($A$5:$A$10,$X140)))/INDEX(F$5:F$10,$X140+1)^((INDEX($A$5:$A$10,$X140)-($I140-DateToday+1))/(INDEX($A$5:$A$10,$X140+1)-INDEX($A$5:$A$10,$X140))))</f>
        <v>0.000569906659655245</v>
      </c>
      <c r="AD140" s="348" t="n">
        <f aca="false">IF($X140="",AD139^2/AD138,INDEX(G$5:G$10,$X140)^((INDEX($A$5:$A$10,$X140+1)-($I140-DateToday+1))/(INDEX($A$5:$A$10,$X140+1)-INDEX($A$5:$A$10,$X140)))/INDEX(G$5:G$10,$X140+1)^((INDEX($A$5:$A$10,$X140)-($I140-DateToday+1))/(INDEX($A$5:$A$10,$X140+1)-INDEX($A$5:$A$10,$X140))))</f>
        <v>0.00190046456420661</v>
      </c>
      <c r="AE140" s="321" t="n">
        <v>0.073721781384091</v>
      </c>
      <c r="AF140" s="316" t="n">
        <f aca="false">(1+AE140/2)^(-2*(I141-DateToday)/365.25)</f>
        <v>0.442361975090908</v>
      </c>
      <c r="AG140" s="316" t="n">
        <f aca="false">AG139*(1+IF(AND(M140=1,L140&gt;YearStart),Escalation,0))</f>
        <v>1</v>
      </c>
      <c r="AH140" s="322" t="n">
        <f aca="false">IF(OR(DateStart&gt;=I141,DateEnd&lt;I140),0,Volume*AG140)</f>
        <v>0</v>
      </c>
      <c r="AI140" s="322" t="n">
        <f aca="false">AH140*AF140</f>
        <v>0</v>
      </c>
      <c r="AJ140" s="322" t="n">
        <f aca="false">IF(OR(DateStart2&gt;=I141,DateEnd2&lt;I140),0,VolumeSwaption*AG140)</f>
        <v>0</v>
      </c>
      <c r="AK140" s="322" t="n">
        <f aca="false">AJ140*AF140</f>
        <v>0</v>
      </c>
      <c r="AL140" s="316" t="str">
        <f aca="true">IF(AH140,OFFSET(BY140,0,HorizontalPriceOffset)+PriceSpreadAsian,"")</f>
        <v/>
      </c>
      <c r="AM140" s="316" t="str">
        <f aca="false">IF(AH140,Strike1/AL140-1,"")</f>
        <v/>
      </c>
      <c r="AN140" s="316" t="str">
        <f aca="false">IF(AH140,Strike2/AL140-1,"")</f>
        <v/>
      </c>
      <c r="AO140" s="323" t="str">
        <f aca="false">IF(AH140,IF(VolOverrideAsian,VolOverrideAsian,IF(ProductGroup=1,IF(Product&lt;3,DA141,DE141),W141)+VolSpreadAsian),"")</f>
        <v/>
      </c>
      <c r="AP140" s="323" t="str">
        <f aca="false">IF($AH140,$AO140+IF(SkewFlag=1,IF(AM140&gt;0,$AA140*MIN(AM140/10%,1)+($Z140-$AA140)*MAX(0,MIN(AM140/10%-1,1))+($Y140-$Z140)*MAX(0,AM140/10%-2),$AB140*MIN(-AM140/10%,1)+($AC140-$AB140)*MAX(0,MIN(-AM140/10%-1,1))+($AD140-$AC140)*MAX(0,-AM140/10%-2)),0),"")</f>
        <v/>
      </c>
      <c r="AQ140" s="323" t="str">
        <f aca="false">IF($AH140,$AO140+IF(SkewFlag=1,IF(AN140&gt;0,$AA140*MIN(AN140/10%,1)+($Z140-$AA140)*MAX(0,MIN(AN140/10%-1,1))+($Y140-$Z140)*MAX(0,AN140/10%-2),$AB140*MIN(-AN140/10%,1)+($AC140-$AB140)*MAX(0,MIN(-AN140/10%-1,1))+($AD140-$AC140)*MAX(0,-AN140/10%-2)),0),"")</f>
        <v/>
      </c>
      <c r="AR140" s="324" t="n">
        <f aca="false">IF(AH140,xASN(AL140,Strike1,AE140,AP140,0,N140,0,P140,Q140,IF(OptControl=4,0,1),0),0)</f>
        <v>0</v>
      </c>
      <c r="AS140" s="324" t="n">
        <f aca="false">IF(AH140,xASN(AL140,Strike1,AE140,AP140,0,N140,0,P140,Q140,IF(OptControl=4,0,1),1),0)</f>
        <v>0</v>
      </c>
      <c r="AT140" s="324" t="n">
        <f aca="false">IF(AH140,xASN(AL140,Strike1,AE140,AP140,0,N140,0,P140,Q140,IF(OptControl=4,0,1),2),0)</f>
        <v>0</v>
      </c>
      <c r="AU140" s="324" t="n">
        <f aca="false">IF(AH140,xASN(AL140,Strike1,AE140,AP140,0,N140,0,P140,Q140,IF(OptControl=4,0,1),3)/100,0)</f>
        <v>0</v>
      </c>
      <c r="AV140" s="324" t="n">
        <f aca="false">IF(AH140,xASN(AL140,Strike1,AE140,AP140,0,N140,0,P140-DaysForThetaCalculation/365.25,Q140-DaysForThetaCalculation/365.25,IF(OptControl=4,0,1),0)-xASN(AL140,Strike1,AE140,AP140,0,N140,0,P140,Q140,IF(OptControl=4,0,1),0),0)</f>
        <v>0</v>
      </c>
      <c r="AW140" s="324" t="n">
        <f aca="false">IF(AH140,xASN(AL140,Strike2,AE140,AQ140,0,N140,0,P140,Q140,IF(OptControl=3,1,0),0),0)</f>
        <v>0</v>
      </c>
      <c r="AX140" s="324" t="n">
        <f aca="false">IF(AH140,xASN(AL140,Strike2,AE140,AQ140,0,N140,0,P140,Q140,IF(OptControl=3,1,0),1),0)</f>
        <v>0</v>
      </c>
      <c r="AY140" s="324" t="n">
        <f aca="false">IF(AH140,xASN(AL140,Strike2,AE140,AQ140,0,N140,0,P140,Q140,IF(OptControl=3,1,0),2),0)</f>
        <v>0</v>
      </c>
      <c r="AZ140" s="324" t="n">
        <f aca="false">IF(AH140,xASN(AL140,Strike2,AE140,AQ140,0,N140,0,P140,Q140,IF(OptControl=3,1,0),3)/100,0)</f>
        <v>0</v>
      </c>
      <c r="BA140" s="324" t="n">
        <f aca="false">IF(AH140,xASN(AL140,Strike2,AE140,AQ140,0,N140,0,P140-DaysForThetaCalculation/365.25,Q140-DaysForThetaCalculation/365.25,IF(OptControl=3,1,0),0)-xASN(AL140,Strike2,AE140,AQ140,0,N140,0,P140,Q140,IF(OptControl=3,1,0),0),0)</f>
        <v>0</v>
      </c>
      <c r="BB140" s="325" t="str">
        <f aca="false">IF(AH140,IF(ProductGroup=1,IF(Product=1,BX140+PriceSpreadEuro,IF(Product=3,CK140+PriceSpreadEuro,"N/A")),"N/A"),"")</f>
        <v/>
      </c>
      <c r="BC140" s="316" t="str">
        <f aca="false">IF(AH140,Strike1/BB140-1,"")</f>
        <v/>
      </c>
      <c r="BD140" s="316" t="str">
        <f aca="false">IF(AH140,Strike2/BB140-1,"")</f>
        <v/>
      </c>
      <c r="BE140" s="326" t="str">
        <f aca="false">IF(AH140,IF(VolOverrideEuro,VolOverrideEuro,IF(ProductGroup=1,IF(Product&lt;3,DA140,DE140)+VolSpreadEuro,"N/A")),"")</f>
        <v/>
      </c>
      <c r="BF140" s="323" t="str">
        <f aca="false">IF($AH140,$BE140+IF(SkewFlag=1,IF(BC140&gt;0,$AA140*MIN(BC140/10%,1)+($Z140-$AA140)*MAX(0,MIN(BC140/10%-1,1))+($Y140-$Z140)*MAX(0,BC140/10%-2),$AB140*MIN(-BC140/10%,1)+($AC140-$AB140)*MAX(0,MIN(-BC140/10%-1,1))+($AD140-$AC140)*MAX(0,-BC140/10%-2)),0),"")</f>
        <v/>
      </c>
      <c r="BG140" s="323" t="str">
        <f aca="false">IF($AH140,$BE140+IF(SkewFlag=1,IF(BD140&gt;0,$AA140*MIN(BD140/10%,1)+($Z140-$AA140)*MAX(0,MIN(BD140/10%-1,1))+($Y140-$Z140)*MAX(0,BD140/10%-2),$AB140*MIN(-BD140/10%,1)+($AC140-$AB140)*MAX(0,MIN(-BD140/10%-1,1))+($AD140-$AC140)*MAX(0,-BD140/10%-2)),0),"")</f>
        <v/>
      </c>
      <c r="BH140" s="324" t="n">
        <f aca="false">IF(AH140,xEURO(BB140,Strike1,AE140,AE140,BF140,O140,IF(OptControl=4,0,1),0),0)</f>
        <v>0</v>
      </c>
      <c r="BI140" s="324" t="n">
        <f aca="false">IF(AH140,xEURO(BB140,Strike1,AE140,AE140,BF140,O140,IF(OptControl=4,0,1),1),0)</f>
        <v>0</v>
      </c>
      <c r="BJ140" s="324" t="n">
        <f aca="false">IF(AH140,xEURO(BB140,Strike1,AE140,AE140,BF140,O140,IF(OptControl=4,0,1),2),0)</f>
        <v>0</v>
      </c>
      <c r="BK140" s="324" t="n">
        <f aca="false">IF(AH140,xEURO(BB140,Strike1,AE140,AE140,BF140,O140,IF(OptControl=4,0,1),3)/100,0)</f>
        <v>0</v>
      </c>
      <c r="BL140" s="324" t="n">
        <f aca="false">IF(AH140,xEURO(BB140,Strike1,AE140,AE140,BF140,O140-DaysForThetaCalculation,IF(OptControl=4,0,1),0)-xEURO(BB140,Strike1,AE140,AE140,BF140,O140,IF(OptControl=4,0,1),0),0)</f>
        <v>0</v>
      </c>
      <c r="BM140" s="324" t="n">
        <f aca="false">IF(AH140,xEURO(BB140,Strike2,AE140,AE140,BG140,O140,IF(OptControl=3,1,0),0),0)</f>
        <v>0</v>
      </c>
      <c r="BN140" s="324" t="n">
        <f aca="false">IF(AH140,xEURO(BB140,Strike2,AE140,AE140,BG140,O140,IF(OptControl=3,1,0),1),0)</f>
        <v>0</v>
      </c>
      <c r="BO140" s="324" t="n">
        <f aca="false">IF(AH140,xEURO(BB140,Strike2,AE140,AE140,BG140,O140,IF(OptControl=3,1,0),2),0)</f>
        <v>0</v>
      </c>
      <c r="BP140" s="324" t="n">
        <f aca="false">IF(AH140,xEURO(BB140,Strike2,AE140,AE140,BG140,O140,IF(OptControl=3,1,0),3)/100,0)</f>
        <v>0</v>
      </c>
      <c r="BQ140" s="327" t="n">
        <f aca="false">IF(AH140,xEURO(BB140,Strike2,AE140,AE140,BG140,O140-DaysForThetaCalculation,IF(OptControl=3,1,0),0)-xEURO(BB140,Strike2,AE140,AE140,BG140,O140,IF(OptControl=3,1,0),0),0)</f>
        <v>0</v>
      </c>
      <c r="BR140" s="343"/>
      <c r="BS140" s="314"/>
      <c r="BT140" s="329" t="n">
        <f aca="false">BS140*100/42</f>
        <v>0</v>
      </c>
      <c r="BU140" s="329" t="n">
        <f aca="false">BS141-$U140</f>
        <v>-28.5304347826086</v>
      </c>
      <c r="BV140" s="224"/>
      <c r="BW140" s="329" t="n">
        <f aca="false">BW128+VLOOKUP(1900+$L140,ProductSpreadTable,2)</f>
        <v>16.1939565217392</v>
      </c>
      <c r="BX140" s="329" t="n">
        <f aca="false">($V139+BW139)*100/42</f>
        <v>117.940476190476</v>
      </c>
      <c r="BY140" s="332" t="n">
        <f aca="false">BX141</f>
        <v>106.486645962733</v>
      </c>
      <c r="BZ140" s="314"/>
      <c r="CA140" s="329" t="n">
        <f aca="false">BZ140*100/42</f>
        <v>0</v>
      </c>
      <c r="CB140" s="329" t="n">
        <f aca="false">BZ140-$U140</f>
        <v>-28.5304347826086</v>
      </c>
      <c r="CC140" s="329" t="n">
        <f aca="false">CC128+VLOOKUP(1900+$L140,ProductSpreadTable,3)</f>
        <v>13.5689565217392</v>
      </c>
      <c r="CD140" s="329" t="n">
        <f aca="false">($V140+CC140)*100/42</f>
        <v>100.236645962733</v>
      </c>
      <c r="CE140" s="333" t="n">
        <f aca="false">CD140-BY140</f>
        <v>-6.24999999999997</v>
      </c>
      <c r="CF140" s="314"/>
      <c r="CG140" s="329" t="n">
        <f aca="false">CF140*100/42</f>
        <v>0</v>
      </c>
      <c r="CH140" s="329" t="n">
        <f aca="false">CF141-$U140</f>
        <v>-28.5304347826086</v>
      </c>
      <c r="CI140" s="224"/>
      <c r="CJ140" s="329" t="n">
        <f aca="false">CJ128+VLOOKUP(1900+$L140,ProductSpreadTable,4)</f>
        <v>8.65800000000003</v>
      </c>
      <c r="CK140" s="329" t="n">
        <f aca="false">($V139+CJ139)*100/42</f>
        <v>92.2631519274378</v>
      </c>
      <c r="CL140" s="329" t="n">
        <f aca="false">CK141</f>
        <v>88.5438923395444</v>
      </c>
      <c r="CM140" s="314"/>
      <c r="CN140" s="329" t="n">
        <f aca="false">CM140*100/42</f>
        <v>0</v>
      </c>
      <c r="CO140" s="329" t="n">
        <f aca="false">CM140-$U140</f>
        <v>-28.5304347826086</v>
      </c>
      <c r="CP140" s="329" t="n">
        <f aca="false">CP128+VLOOKUP(1900+$L140,ProductSpreadTable,5)</f>
        <v>7.73400000000003</v>
      </c>
      <c r="CQ140" s="329" t="n">
        <f aca="false">($V140+CP140)*100/42</f>
        <v>86.3438923395444</v>
      </c>
      <c r="CR140" s="333" t="n">
        <f aca="false">CQ140-CL140</f>
        <v>-2.2</v>
      </c>
      <c r="CS140" s="314"/>
      <c r="CT140" s="329" t="n">
        <f aca="false">CS140*100/42</f>
        <v>0</v>
      </c>
      <c r="CU140" s="329" t="n">
        <f aca="false">CT140-CG141</f>
        <v>0</v>
      </c>
      <c r="CV140" s="329" t="n">
        <f aca="false">CV128+VLOOKUP(1900+$L140,ProductSpreadTable,6)</f>
        <v>2.09999999999999</v>
      </c>
      <c r="CW140" s="333" t="n">
        <f aca="false">CL140+CV140</f>
        <v>90.6438923395444</v>
      </c>
      <c r="CX140" s="318"/>
      <c r="CY140" s="326" t="n">
        <f aca="false">CX140-$W140</f>
        <v>-0.163699999999999</v>
      </c>
      <c r="CZ140" s="326" t="n">
        <f aca="false">VLOOKUP(1900+$L140,ProductSpreadTable,7)</f>
        <v>-0.03</v>
      </c>
      <c r="DA140" s="365" t="n">
        <f aca="false">$W140+CZ140</f>
        <v>0.133699999999999</v>
      </c>
      <c r="DB140" s="318"/>
      <c r="DC140" s="326" t="n">
        <f aca="false">DB140-$W140</f>
        <v>-0.163699999999999</v>
      </c>
      <c r="DD140" s="326" t="n">
        <f aca="false">VLOOKUP(1900+$L140,ProductSpreadTable,8)</f>
        <v>0.03</v>
      </c>
      <c r="DE140" s="365" t="n">
        <f aca="false">$W140+DD140</f>
        <v>0.193699999999999</v>
      </c>
      <c r="DG140" s="336"/>
      <c r="DH140" s="314"/>
      <c r="DI140" s="325" t="n">
        <f aca="false">DH140-$U140</f>
        <v>-28.5304347826086</v>
      </c>
      <c r="DJ140" s="325" t="n">
        <f aca="false">VLOOKUP(1900+$L140,ResidSpreadTable,2)</f>
        <v>-2</v>
      </c>
      <c r="DK140" s="337" t="n">
        <f aca="false">$V140+DJ140</f>
        <v>26.5304347826086</v>
      </c>
      <c r="DL140" s="314"/>
      <c r="DM140" s="325" t="n">
        <f aca="false">DL140-$U140</f>
        <v>-28.5304347826086</v>
      </c>
      <c r="DN140" s="325" t="n">
        <f aca="false">VLOOKUP(1900+$L140,ResidSpreadTable,3)</f>
        <v>-3</v>
      </c>
      <c r="DO140" s="337" t="n">
        <f aca="false">$V140+DN140</f>
        <v>25.5304347826086</v>
      </c>
      <c r="DP140" s="314"/>
      <c r="DQ140" s="325" t="n">
        <f aca="false">DP140-$U140</f>
        <v>-28.5304347826086</v>
      </c>
      <c r="DR140" s="325" t="n">
        <f aca="false">VLOOKUP(1900+$L140,ResidSpreadTable,4)</f>
        <v>-6</v>
      </c>
      <c r="DS140" s="337" t="n">
        <f aca="false">$V140+DR140</f>
        <v>22.5304347826086</v>
      </c>
      <c r="DT140" s="314"/>
      <c r="DU140" s="325" t="n">
        <f aca="false">DT140-$U140</f>
        <v>-28.5304347826086</v>
      </c>
      <c r="DV140" s="325" t="n">
        <f aca="false">VLOOKUP(1900+$L140,ResidSpreadTable,5)</f>
        <v>-5</v>
      </c>
      <c r="DW140" s="337" t="n">
        <f aca="false">$V140+DV140</f>
        <v>23.5304347826086</v>
      </c>
    </row>
    <row r="141" customFormat="false" ht="12.75" hidden="false" customHeight="false" outlineLevel="0" collapsed="false">
      <c r="B141" s="371" t="n">
        <v>39845</v>
      </c>
      <c r="C141" s="391" t="n">
        <v>39835</v>
      </c>
      <c r="I141" s="338" t="n">
        <f aca="false">EOMONTH(I140,0)+1</f>
        <v>50041</v>
      </c>
      <c r="J141" s="389" t="n">
        <f aca="false">VLOOKUP(I141,$B$12:$C$332,2)</f>
        <v>45644</v>
      </c>
      <c r="K141" s="339" t="n">
        <f aca="false">NETWORKDAYS(I141,J142)/N141</f>
        <v>-142.818181818182</v>
      </c>
      <c r="L141" s="309" t="n">
        <f aca="false">YEAR(I141)-1900</f>
        <v>137</v>
      </c>
      <c r="M141" s="310" t="n">
        <f aca="false">MONTH(I141)</f>
        <v>1</v>
      </c>
      <c r="N141" s="340" t="n">
        <f aca="false">NETWORKDAYS(I141,I142-1)</f>
        <v>22</v>
      </c>
      <c r="O141" s="341" t="n">
        <f aca="false">I141-DateToday-IF(EuroExpDateToggle=1,3+IF(WEEKDAY(I141-1)=7,1,IF(WEEKDAY(I141-1)&lt;5,2,0)),1+IF(WEEKDAY(I141-1)=7,1,IF(WEEKDAY(I141-1)&lt;3,2,0)))</f>
        <v>4110</v>
      </c>
      <c r="P141" s="342" t="n">
        <f aca="false">(I141-DateToday+1)/365.25</f>
        <v>11.2689938398357</v>
      </c>
      <c r="Q141" s="342" t="n">
        <f aca="false">(I142-DateToday)/365.25</f>
        <v>11.3511293634497</v>
      </c>
      <c r="R141" s="314" t="n">
        <v>21.7</v>
      </c>
      <c r="S141" s="347" t="n">
        <v>0</v>
      </c>
      <c r="T141" s="316" t="n">
        <f aca="false">R141+S141/100</f>
        <v>21.7</v>
      </c>
      <c r="U141" s="325" t="n">
        <f aca="false">R142*K141+R143*(1-K141)</f>
        <v>28.9409090909089</v>
      </c>
      <c r="V141" s="337" t="n">
        <f aca="false">T142*K141+T143*(1-K141)</f>
        <v>28.9409090909089</v>
      </c>
      <c r="W141" s="318" t="n">
        <v>0.163299999999999</v>
      </c>
      <c r="X141" s="319" t="str">
        <f aca="false">IF($I141-DateToday+1&gt;=$A$10,"",IF($I141-DateToday+1&lt;$A$5,1,MATCH($I141-DateToday+1,$A$5:$A$10)))</f>
        <v/>
      </c>
      <c r="Y141" s="348" t="n">
        <f aca="false">IF($X141="",Y140^2/Y139,INDEX(B$5:B$10,$X141)^((INDEX($A$5:$A$10,$X141+1)-($I141-DateToday+1))/(INDEX($A$5:$A$10,$X141+1)-INDEX($A$5:$A$10,$X141)))/INDEX(B$5:B$10,$X141+1)^((INDEX($A$5:$A$10,$X141)-($I141-DateToday+1))/(INDEX($A$5:$A$10,$X141+1)-INDEX($A$5:$A$10,$X141))))</f>
        <v>0.000825540886166323</v>
      </c>
      <c r="Z141" s="348" t="n">
        <f aca="false">IF($X141="",Z140^2/Z139,INDEX(C$5:C$10,$X141)^((INDEX($A$5:$A$10,$X141+1)-($I141-DateToday+1))/(INDEX($A$5:$A$10,$X141+1)-INDEX($A$5:$A$10,$X141)))/INDEX(C$5:C$10,$X141+1)^((INDEX($A$5:$A$10,$X141)-($I141-DateToday+1))/(INDEX($A$5:$A$10,$X141+1)-INDEX($A$5:$A$10,$X141))))</f>
        <v>0.00024623572394531</v>
      </c>
      <c r="AA141" s="348" t="n">
        <f aca="false">IF($X141="",AA140^2/AA139,INDEX(D$5:D$10,$X141)^((INDEX($A$5:$A$10,$X141+1)-($I141-DateToday+1))/(INDEX($A$5:$A$10,$X141+1)-INDEX($A$5:$A$10,$X141)))/INDEX(D$5:D$10,$X141+1)^((INDEX($A$5:$A$10,$X141)-($I141-DateToday+1))/(INDEX($A$5:$A$10,$X141+1)-INDEX($A$5:$A$10,$X141))))</f>
        <v>8.16455361189984E-005</v>
      </c>
      <c r="AB141" s="348" t="n">
        <f aca="false">IF($X141="",AB140^2/AB139,INDEX(E$5:E$10,$X141)^((INDEX($A$5:$A$10,$X141+1)-($I141-DateToday+1))/(INDEX($A$5:$A$10,$X141+1)-INDEX($A$5:$A$10,$X141)))/INDEX(E$5:E$10,$X141+1)^((INDEX($A$5:$A$10,$X141)-($I141-DateToday+1))/(INDEX($A$5:$A$10,$X141+1)-INDEX($A$5:$A$10,$X141))))</f>
        <v>0.000183931063768889</v>
      </c>
      <c r="AC141" s="348" t="n">
        <f aca="false">IF($X141="",AC140^2/AC139,INDEX(F$5:F$10,$X141)^((INDEX($A$5:$A$10,$X141+1)-($I141-DateToday+1))/(INDEX($A$5:$A$10,$X141+1)-INDEX($A$5:$A$10,$X141)))/INDEX(F$5:F$10,$X141+1)^((INDEX($A$5:$A$10,$X141)-($I141-DateToday+1))/(INDEX($A$5:$A$10,$X141+1)-INDEX($A$5:$A$10,$X141))))</f>
        <v>0.000554719838903991</v>
      </c>
      <c r="AD141" s="348" t="n">
        <f aca="false">IF($X141="",AD140^2/AD139,INDEX(G$5:G$10,$X141)^((INDEX($A$5:$A$10,$X141+1)-($I141-DateToday+1))/(INDEX($A$5:$A$10,$X141+1)-INDEX($A$5:$A$10,$X141)))/INDEX(G$5:G$10,$X141+1)^((INDEX($A$5:$A$10,$X141)-($I141-DateToday+1))/(INDEX($A$5:$A$10,$X141+1)-INDEX($A$5:$A$10,$X141))))</f>
        <v>0.00185977850835533</v>
      </c>
      <c r="AE141" s="321" t="n">
        <v>0.073717947617601</v>
      </c>
      <c r="AF141" s="316" t="n">
        <f aca="false">(1+AE141/2)^(-2*(I142-DateToday)/365.25)</f>
        <v>0.439670688352409</v>
      </c>
      <c r="AG141" s="316" t="n">
        <f aca="false">AG140*(1+IF(AND(M141=1,L141&gt;YearStart),Escalation,0))</f>
        <v>1</v>
      </c>
      <c r="AH141" s="322" t="n">
        <f aca="false">IF(OR(DateStart&gt;=I142,DateEnd&lt;I141),0,Volume*AG141)</f>
        <v>0</v>
      </c>
      <c r="AI141" s="322" t="n">
        <f aca="false">AH141*AF141</f>
        <v>0</v>
      </c>
      <c r="AJ141" s="322" t="n">
        <f aca="false">IF(OR(DateStart2&gt;=I142,DateEnd2&lt;I141),0,VolumeSwaption*AG141)</f>
        <v>0</v>
      </c>
      <c r="AK141" s="322" t="n">
        <f aca="false">AJ141*AF141</f>
        <v>0</v>
      </c>
      <c r="AL141" s="316" t="str">
        <f aca="true">IF(AH141,OFFSET(BY141,0,HorizontalPriceOffset)+PriceSpreadAsian,"")</f>
        <v/>
      </c>
      <c r="AM141" s="316" t="str">
        <f aca="false">IF(AH141,Strike1/AL141-1,"")</f>
        <v/>
      </c>
      <c r="AN141" s="316" t="str">
        <f aca="false">IF(AH141,Strike2/AL141-1,"")</f>
        <v/>
      </c>
      <c r="AO141" s="323" t="str">
        <f aca="false">IF(AH141,IF(VolOverrideAsian,VolOverrideAsian,IF(ProductGroup=1,IF(Product&lt;3,DA142,DE142),W142)+VolSpreadAsian),"")</f>
        <v/>
      </c>
      <c r="AP141" s="323" t="str">
        <f aca="false">IF($AH141,$AO141+IF(SkewFlag=1,IF(AM141&gt;0,$AA141*MIN(AM141/10%,1)+($Z141-$AA141)*MAX(0,MIN(AM141/10%-1,1))+($Y141-$Z141)*MAX(0,AM141/10%-2),$AB141*MIN(-AM141/10%,1)+($AC141-$AB141)*MAX(0,MIN(-AM141/10%-1,1))+($AD141-$AC141)*MAX(0,-AM141/10%-2)),0),"")</f>
        <v/>
      </c>
      <c r="AQ141" s="323" t="str">
        <f aca="false">IF($AH141,$AO141+IF(SkewFlag=1,IF(AN141&gt;0,$AA141*MIN(AN141/10%,1)+($Z141-$AA141)*MAX(0,MIN(AN141/10%-1,1))+($Y141-$Z141)*MAX(0,AN141/10%-2),$AB141*MIN(-AN141/10%,1)+($AC141-$AB141)*MAX(0,MIN(-AN141/10%-1,1))+($AD141-$AC141)*MAX(0,-AN141/10%-2)),0),"")</f>
        <v/>
      </c>
      <c r="AR141" s="324" t="n">
        <f aca="false">IF(AH141,xASN(AL141,Strike1,AE141,AP141,0,N141,0,P141,Q141,IF(OptControl=4,0,1),0),0)</f>
        <v>0</v>
      </c>
      <c r="AS141" s="324" t="n">
        <f aca="false">IF(AH141,xASN(AL141,Strike1,AE141,AP141,0,N141,0,P141,Q141,IF(OptControl=4,0,1),1),0)</f>
        <v>0</v>
      </c>
      <c r="AT141" s="324" t="n">
        <f aca="false">IF(AH141,xASN(AL141,Strike1,AE141,AP141,0,N141,0,P141,Q141,IF(OptControl=4,0,1),2),0)</f>
        <v>0</v>
      </c>
      <c r="AU141" s="324" t="n">
        <f aca="false">IF(AH141,xASN(AL141,Strike1,AE141,AP141,0,N141,0,P141,Q141,IF(OptControl=4,0,1),3)/100,0)</f>
        <v>0</v>
      </c>
      <c r="AV141" s="324" t="n">
        <f aca="false">IF(AH141,xASN(AL141,Strike1,AE141,AP141,0,N141,0,P141-DaysForThetaCalculation/365.25,Q141-DaysForThetaCalculation/365.25,IF(OptControl=4,0,1),0)-xASN(AL141,Strike1,AE141,AP141,0,N141,0,P141,Q141,IF(OptControl=4,0,1),0),0)</f>
        <v>0</v>
      </c>
      <c r="AW141" s="324" t="n">
        <f aca="false">IF(AH141,xASN(AL141,Strike2,AE141,AQ141,0,N141,0,P141,Q141,IF(OptControl=3,1,0),0),0)</f>
        <v>0</v>
      </c>
      <c r="AX141" s="324" t="n">
        <f aca="false">IF(AH141,xASN(AL141,Strike2,AE141,AQ141,0,N141,0,P141,Q141,IF(OptControl=3,1,0),1),0)</f>
        <v>0</v>
      </c>
      <c r="AY141" s="324" t="n">
        <f aca="false">IF(AH141,xASN(AL141,Strike2,AE141,AQ141,0,N141,0,P141,Q141,IF(OptControl=3,1,0),2),0)</f>
        <v>0</v>
      </c>
      <c r="AZ141" s="324" t="n">
        <f aca="false">IF(AH141,xASN(AL141,Strike2,AE141,AQ141,0,N141,0,P141,Q141,IF(OptControl=3,1,0),3)/100,0)</f>
        <v>0</v>
      </c>
      <c r="BA141" s="324" t="n">
        <f aca="false">IF(AH141,xASN(AL141,Strike2,AE141,AQ141,0,N141,0,P141-DaysForThetaCalculation/365.25,Q141-DaysForThetaCalculation/365.25,IF(OptControl=3,1,0),0)-xASN(AL141,Strike2,AE141,AQ141,0,N141,0,P141,Q141,IF(OptControl=3,1,0),0),0)</f>
        <v>0</v>
      </c>
      <c r="BB141" s="325" t="str">
        <f aca="false">IF(AH141,IF(ProductGroup=1,IF(Product=1,BX141+PriceSpreadEuro,IF(Product=3,CK141+PriceSpreadEuro,"N/A")),"N/A"),"")</f>
        <v/>
      </c>
      <c r="BC141" s="316" t="str">
        <f aca="false">IF(AH141,Strike1/BB141-1,"")</f>
        <v/>
      </c>
      <c r="BD141" s="316" t="str">
        <f aca="false">IF(AH141,Strike2/BB141-1,"")</f>
        <v/>
      </c>
      <c r="BE141" s="326" t="str">
        <f aca="false">IF(AH141,IF(VolOverrideEuro,VolOverrideEuro,IF(ProductGroup=1,IF(Product&lt;3,DA141,DE141)+VolSpreadEuro,"N/A")),"")</f>
        <v/>
      </c>
      <c r="BF141" s="323" t="str">
        <f aca="false">IF($AH141,$BE141+IF(SkewFlag=1,IF(BC141&gt;0,$AA141*MIN(BC141/10%,1)+($Z141-$AA141)*MAX(0,MIN(BC141/10%-1,1))+($Y141-$Z141)*MAX(0,BC141/10%-2),$AB141*MIN(-BC141/10%,1)+($AC141-$AB141)*MAX(0,MIN(-BC141/10%-1,1))+($AD141-$AC141)*MAX(0,-BC141/10%-2)),0),"")</f>
        <v/>
      </c>
      <c r="BG141" s="323" t="str">
        <f aca="false">IF($AH141,$BE141+IF(SkewFlag=1,IF(BD141&gt;0,$AA141*MIN(BD141/10%,1)+($Z141-$AA141)*MAX(0,MIN(BD141/10%-1,1))+($Y141-$Z141)*MAX(0,BD141/10%-2),$AB141*MIN(-BD141/10%,1)+($AC141-$AB141)*MAX(0,MIN(-BD141/10%-1,1))+($AD141-$AC141)*MAX(0,-BD141/10%-2)),0),"")</f>
        <v/>
      </c>
      <c r="BH141" s="324" t="n">
        <f aca="false">IF(AH141,xEURO(BB141,Strike1,AE141,AE141,BF141,O141,IF(OptControl=4,0,1),0),0)</f>
        <v>0</v>
      </c>
      <c r="BI141" s="324" t="n">
        <f aca="false">IF(AH141,xEURO(BB141,Strike1,AE141,AE141,BF141,O141,IF(OptControl=4,0,1),1),0)</f>
        <v>0</v>
      </c>
      <c r="BJ141" s="324" t="n">
        <f aca="false">IF(AH141,xEURO(BB141,Strike1,AE141,AE141,BF141,O141,IF(OptControl=4,0,1),2),0)</f>
        <v>0</v>
      </c>
      <c r="BK141" s="324" t="n">
        <f aca="false">IF(AH141,xEURO(BB141,Strike1,AE141,AE141,BF141,O141,IF(OptControl=4,0,1),3)/100,0)</f>
        <v>0</v>
      </c>
      <c r="BL141" s="324" t="n">
        <f aca="false">IF(AH141,xEURO(BB141,Strike1,AE141,AE141,BF141,O141-DaysForThetaCalculation,IF(OptControl=4,0,1),0)-xEURO(BB141,Strike1,AE141,AE141,BF141,O141,IF(OptControl=4,0,1),0),0)</f>
        <v>0</v>
      </c>
      <c r="BM141" s="324" t="n">
        <f aca="false">IF(AH141,xEURO(BB141,Strike2,AE141,AE141,BG141,O141,IF(OptControl=3,1,0),0),0)</f>
        <v>0</v>
      </c>
      <c r="BN141" s="324" t="n">
        <f aca="false">IF(AH141,xEURO(BB141,Strike2,AE141,AE141,BG141,O141,IF(OptControl=3,1,0),1),0)</f>
        <v>0</v>
      </c>
      <c r="BO141" s="324" t="n">
        <f aca="false">IF(AH141,xEURO(BB141,Strike2,AE141,AE141,BG141,O141,IF(OptControl=3,1,0),2),0)</f>
        <v>0</v>
      </c>
      <c r="BP141" s="324" t="n">
        <f aca="false">IF(AH141,xEURO(BB141,Strike2,AE141,AE141,BG141,O141,IF(OptControl=3,1,0),3)/100,0)</f>
        <v>0</v>
      </c>
      <c r="BQ141" s="327" t="n">
        <f aca="false">IF(AH141,xEURO(BB141,Strike2,AE141,AE141,BG141,O141-DaysForThetaCalculation,IF(OptControl=3,1,0),0)-xEURO(BB141,Strike2,AE141,AE141,BG141,O141,IF(OptControl=3,1,0),0),0)</f>
        <v>0</v>
      </c>
      <c r="BR141" s="343"/>
      <c r="BS141" s="314"/>
      <c r="BT141" s="329" t="n">
        <f aca="false">BS141*100/42</f>
        <v>0</v>
      </c>
      <c r="BU141" s="329" t="n">
        <f aca="false">BS142-$U141</f>
        <v>-28.9409090909089</v>
      </c>
      <c r="BV141" s="224"/>
      <c r="BW141" s="329" t="n">
        <f aca="false">BW129+VLOOKUP(1900+$L141,ProductSpreadTable,2)</f>
        <v>15.6192727272728</v>
      </c>
      <c r="BX141" s="329" t="n">
        <f aca="false">($V140+BW140)*100/42</f>
        <v>106.486645962733</v>
      </c>
      <c r="BY141" s="332" t="n">
        <f aca="false">BX142</f>
        <v>106.095670995671</v>
      </c>
      <c r="BZ141" s="314"/>
      <c r="CA141" s="329" t="n">
        <f aca="false">BZ141*100/42</f>
        <v>0</v>
      </c>
      <c r="CB141" s="329" t="n">
        <f aca="false">BZ141-$U141</f>
        <v>-28.9409090909089</v>
      </c>
      <c r="CC141" s="329" t="n">
        <f aca="false">CC129+VLOOKUP(1900+$L141,ProductSpreadTable,3)</f>
        <v>13.2042727272728</v>
      </c>
      <c r="CD141" s="329" t="n">
        <f aca="false">($V141+CC141)*100/42</f>
        <v>100.345670995671</v>
      </c>
      <c r="CE141" s="333" t="n">
        <f aca="false">CD141-BY141</f>
        <v>-5.75</v>
      </c>
      <c r="CF141" s="314"/>
      <c r="CG141" s="329" t="n">
        <f aca="false">CF141*100/42</f>
        <v>0</v>
      </c>
      <c r="CH141" s="329" t="n">
        <f aca="false">CF142-$U141</f>
        <v>-28.9409090909089</v>
      </c>
      <c r="CI141" s="224"/>
      <c r="CJ141" s="329" t="n">
        <f aca="false">CJ129+VLOOKUP(1900+$L141,ProductSpreadTable,4)</f>
        <v>9.20299999999997</v>
      </c>
      <c r="CK141" s="329" t="n">
        <f aca="false">($V140+CJ140)*100/42</f>
        <v>88.5438923395444</v>
      </c>
      <c r="CL141" s="329" t="n">
        <f aca="false">CK142</f>
        <v>90.8188311688307</v>
      </c>
      <c r="CM141" s="314"/>
      <c r="CN141" s="329" t="n">
        <f aca="false">CM141*100/42</f>
        <v>0</v>
      </c>
      <c r="CO141" s="329" t="n">
        <f aca="false">CM141-$U141</f>
        <v>-28.9409090909089</v>
      </c>
      <c r="CP141" s="329" t="n">
        <f aca="false">CP129+VLOOKUP(1900+$L141,ProductSpreadTable,5)</f>
        <v>8.27899999999997</v>
      </c>
      <c r="CQ141" s="329" t="n">
        <f aca="false">($V141+CP141)*100/42</f>
        <v>88.6188311688307</v>
      </c>
      <c r="CR141" s="333" t="n">
        <f aca="false">CQ141-CL141</f>
        <v>-2.20000000000002</v>
      </c>
      <c r="CS141" s="314"/>
      <c r="CT141" s="329" t="n">
        <f aca="false">CS141*100/42</f>
        <v>0</v>
      </c>
      <c r="CU141" s="329" t="n">
        <f aca="false">CT141-CG142</f>
        <v>0</v>
      </c>
      <c r="CV141" s="329" t="n">
        <f aca="false">CV129+VLOOKUP(1900+$L141,ProductSpreadTable,6)</f>
        <v>2.09999999999999</v>
      </c>
      <c r="CW141" s="333" t="n">
        <f aca="false">CL141+CV141</f>
        <v>92.9188311688307</v>
      </c>
      <c r="CX141" s="318"/>
      <c r="CY141" s="326" t="n">
        <f aca="false">CX141-$W141</f>
        <v>-0.163299999999999</v>
      </c>
      <c r="CZ141" s="326" t="n">
        <f aca="false">VLOOKUP(1900+$L141,ProductSpreadTable,7)</f>
        <v>-0.03</v>
      </c>
      <c r="DA141" s="365" t="n">
        <f aca="false">$W141+CZ141</f>
        <v>0.133299999999999</v>
      </c>
      <c r="DB141" s="318"/>
      <c r="DC141" s="326" t="n">
        <f aca="false">DB141-$W141</f>
        <v>-0.163299999999999</v>
      </c>
      <c r="DD141" s="326" t="n">
        <f aca="false">VLOOKUP(1900+$L141,ProductSpreadTable,8)</f>
        <v>0.03</v>
      </c>
      <c r="DE141" s="365" t="n">
        <f aca="false">$W141+DD141</f>
        <v>0.193299999999999</v>
      </c>
      <c r="DG141" s="336"/>
      <c r="DH141" s="314"/>
      <c r="DI141" s="325" t="n">
        <f aca="false">DH141-$U141</f>
        <v>-28.9409090909089</v>
      </c>
      <c r="DJ141" s="325" t="n">
        <f aca="false">VLOOKUP(1900+$L141,ResidSpreadTable,2)</f>
        <v>-2</v>
      </c>
      <c r="DK141" s="337" t="n">
        <f aca="false">$V141+DJ141</f>
        <v>26.9409090909089</v>
      </c>
      <c r="DL141" s="314"/>
      <c r="DM141" s="325" t="n">
        <f aca="false">DL141-$U141</f>
        <v>-28.9409090909089</v>
      </c>
      <c r="DN141" s="325" t="n">
        <f aca="false">VLOOKUP(1900+$L141,ResidSpreadTable,3)</f>
        <v>-3</v>
      </c>
      <c r="DO141" s="337" t="n">
        <f aca="false">$V141+DN141</f>
        <v>25.9409090909089</v>
      </c>
      <c r="DP141" s="314"/>
      <c r="DQ141" s="325" t="n">
        <f aca="false">DP141-$U141</f>
        <v>-28.9409090909089</v>
      </c>
      <c r="DR141" s="325" t="n">
        <f aca="false">VLOOKUP(1900+$L141,ResidSpreadTable,4)</f>
        <v>-6</v>
      </c>
      <c r="DS141" s="337" t="n">
        <f aca="false">$V141+DR141</f>
        <v>22.9409090909089</v>
      </c>
      <c r="DT141" s="314"/>
      <c r="DU141" s="325" t="n">
        <f aca="false">DT141-$U141</f>
        <v>-28.9409090909089</v>
      </c>
      <c r="DV141" s="325" t="n">
        <f aca="false">VLOOKUP(1900+$L141,ResidSpreadTable,5)</f>
        <v>-5</v>
      </c>
      <c r="DW141" s="337" t="n">
        <f aca="false">$V141+DV141</f>
        <v>23.9409090909089</v>
      </c>
    </row>
    <row r="142" customFormat="false" ht="12.75" hidden="false" customHeight="false" outlineLevel="0" collapsed="false">
      <c r="B142" s="371" t="n">
        <v>39873</v>
      </c>
      <c r="C142" s="391" t="n">
        <v>39864</v>
      </c>
      <c r="I142" s="338" t="n">
        <f aca="false">EOMONTH(I141,0)+1</f>
        <v>50072</v>
      </c>
      <c r="J142" s="389" t="n">
        <f aca="false">VLOOKUP(I142,$B$12:$C$332,2)</f>
        <v>45644</v>
      </c>
      <c r="K142" s="339" t="n">
        <f aca="false">NETWORKDAYS(I142,J143)/N142</f>
        <v>-158.15</v>
      </c>
      <c r="L142" s="309" t="n">
        <f aca="false">YEAR(I142)-1900</f>
        <v>137</v>
      </c>
      <c r="M142" s="310" t="n">
        <f aca="false">MONTH(I142)</f>
        <v>2</v>
      </c>
      <c r="N142" s="340" t="n">
        <f aca="false">NETWORKDAYS(I142,I143-1)</f>
        <v>20</v>
      </c>
      <c r="O142" s="341" t="n">
        <f aca="false">I142-DateToday-IF(EuroExpDateToggle=1,3+IF(WEEKDAY(I142-1)=7,1,IF(WEEKDAY(I142-1)&lt;5,2,0)),1+IF(WEEKDAY(I142-1)=7,1,IF(WEEKDAY(I142-1)&lt;3,2,0)))</f>
        <v>4142</v>
      </c>
      <c r="P142" s="342" t="n">
        <f aca="false">(I142-DateToday+1)/365.25</f>
        <v>11.3538672142368</v>
      </c>
      <c r="Q142" s="342" t="n">
        <f aca="false">(I143-DateToday)/365.25</f>
        <v>11.4277891854894</v>
      </c>
      <c r="R142" s="314" t="n">
        <v>21.75</v>
      </c>
      <c r="S142" s="347" t="n">
        <v>0</v>
      </c>
      <c r="T142" s="316" t="n">
        <f aca="false">R142+S142/100</f>
        <v>21.75</v>
      </c>
      <c r="U142" s="325" t="n">
        <f aca="false">R143*K142+R144*(1-K142)</f>
        <v>29.7575000000002</v>
      </c>
      <c r="V142" s="337" t="n">
        <f aca="false">T143*K142+T144*(1-K142)</f>
        <v>29.7575000000002</v>
      </c>
      <c r="W142" s="318" t="n">
        <v>0.162899999999999</v>
      </c>
      <c r="X142" s="319" t="str">
        <f aca="false">IF($I142-DateToday+1&gt;=$A$10,"",IF($I142-DateToday+1&lt;$A$5,1,MATCH($I142-DateToday+1,$A$5:$A$10)))</f>
        <v/>
      </c>
      <c r="Y142" s="348" t="n">
        <f aca="false">IF($X142="",Y141^2/Y140,INDEX(B$5:B$10,$X142)^((INDEX($A$5:$A$10,$X142+1)-($I142-DateToday+1))/(INDEX($A$5:$A$10,$X142+1)-INDEX($A$5:$A$10,$X142)))/INDEX(B$5:B$10,$X142+1)^((INDEX($A$5:$A$10,$X142)-($I142-DateToday+1))/(INDEX($A$5:$A$10,$X142+1)-INDEX($A$5:$A$10,$X142))))</f>
        <v>0.000807867311381153</v>
      </c>
      <c r="Z142" s="348" t="n">
        <f aca="false">IF($X142="",Z141^2/Z140,INDEX(C$5:C$10,$X142)^((INDEX($A$5:$A$10,$X142+1)-($I142-DateToday+1))/(INDEX($A$5:$A$10,$X142+1)-INDEX($A$5:$A$10,$X142)))/INDEX(C$5:C$10,$X142+1)^((INDEX($A$5:$A$10,$X142)-($I142-DateToday+1))/(INDEX($A$5:$A$10,$X142+1)-INDEX($A$5:$A$10,$X142))))</f>
        <v>0.000239674056804283</v>
      </c>
      <c r="AA142" s="348" t="n">
        <f aca="false">IF($X142="",AA141^2/AA140,INDEX(D$5:D$10,$X142)^((INDEX($A$5:$A$10,$X142+1)-($I142-DateToday+1))/(INDEX($A$5:$A$10,$X142+1)-INDEX($A$5:$A$10,$X142)))/INDEX(D$5:D$10,$X142+1)^((INDEX($A$5:$A$10,$X142)-($I142-DateToday+1))/(INDEX($A$5:$A$10,$X142+1)-INDEX($A$5:$A$10,$X142))))</f>
        <v>7.92567473793501E-005</v>
      </c>
      <c r="AB142" s="348" t="n">
        <f aca="false">IF($X142="",AB141^2/AB140,INDEX(E$5:E$10,$X142)^((INDEX($A$5:$A$10,$X142+1)-($I142-DateToday+1))/(INDEX($A$5:$A$10,$X142+1)-INDEX($A$5:$A$10,$X142)))/INDEX(E$5:E$10,$X142+1)^((INDEX($A$5:$A$10,$X142)-($I142-DateToday+1))/(INDEX($A$5:$A$10,$X142+1)-INDEX($A$5:$A$10,$X142))))</f>
        <v>0.00017854960049621</v>
      </c>
      <c r="AC142" s="348" t="n">
        <f aca="false">IF($X142="",AC141^2/AC140,INDEX(F$5:F$10,$X142)^((INDEX($A$5:$A$10,$X142+1)-($I142-DateToday+1))/(INDEX($A$5:$A$10,$X142+1)-INDEX($A$5:$A$10,$X142)))/INDEX(F$5:F$10,$X142+1)^((INDEX($A$5:$A$10,$X142)-($I142-DateToday+1))/(INDEX($A$5:$A$10,$X142+1)-INDEX($A$5:$A$10,$X142))))</f>
        <v>0.000539937715168684</v>
      </c>
      <c r="AD142" s="348" t="n">
        <f aca="false">IF($X142="",AD141^2/AD140,INDEX(G$5:G$10,$X142)^((INDEX($A$5:$A$10,$X142+1)-($I142-DateToday+1))/(INDEX($A$5:$A$10,$X142+1)-INDEX($A$5:$A$10,$X142)))/INDEX(G$5:G$10,$X142+1)^((INDEX($A$5:$A$10,$X142)-($I142-DateToday+1))/(INDEX($A$5:$A$10,$X142+1)-INDEX($A$5:$A$10,$X142))))</f>
        <v>0.0018199634790793</v>
      </c>
      <c r="AE142" s="321" t="n">
        <v>0.073713986058899</v>
      </c>
      <c r="AF142" s="316" t="n">
        <f aca="false">(1+AE142/2)^(-2*(I143-DateToday)/365.25)</f>
        <v>0.437256564635375</v>
      </c>
      <c r="AG142" s="316" t="n">
        <f aca="false">AG141*(1+IF(AND(M142=1,L142&gt;YearStart),Escalation,0))</f>
        <v>1</v>
      </c>
      <c r="AH142" s="322" t="n">
        <f aca="false">IF(OR(DateStart&gt;=I143,DateEnd&lt;I142),0,Volume*AG142)</f>
        <v>0</v>
      </c>
      <c r="AI142" s="322" t="n">
        <f aca="false">AH142*AF142</f>
        <v>0</v>
      </c>
      <c r="AJ142" s="322" t="n">
        <f aca="false">IF(OR(DateStart2&gt;=I143,DateEnd2&lt;I142),0,VolumeSwaption*AG142)</f>
        <v>0</v>
      </c>
      <c r="AK142" s="322" t="n">
        <f aca="false">AJ142*AF142</f>
        <v>0</v>
      </c>
      <c r="AL142" s="316" t="str">
        <f aca="true">IF(AH142,OFFSET(BY142,0,HorizontalPriceOffset)+PriceSpreadAsian,"")</f>
        <v/>
      </c>
      <c r="AM142" s="316" t="str">
        <f aca="false">IF(AH142,Strike1/AL142-1,"")</f>
        <v/>
      </c>
      <c r="AN142" s="316" t="str">
        <f aca="false">IF(AH142,Strike2/AL142-1,"")</f>
        <v/>
      </c>
      <c r="AO142" s="323" t="str">
        <f aca="false">IF(AH142,IF(VolOverrideAsian,VolOverrideAsian,IF(ProductGroup=1,IF(Product&lt;3,DA143,DE143),W143)+VolSpreadAsian),"")</f>
        <v/>
      </c>
      <c r="AP142" s="323" t="str">
        <f aca="false">IF($AH142,$AO142+IF(SkewFlag=1,IF(AM142&gt;0,$AA142*MIN(AM142/10%,1)+($Z142-$AA142)*MAX(0,MIN(AM142/10%-1,1))+($Y142-$Z142)*MAX(0,AM142/10%-2),$AB142*MIN(-AM142/10%,1)+($AC142-$AB142)*MAX(0,MIN(-AM142/10%-1,1))+($AD142-$AC142)*MAX(0,-AM142/10%-2)),0),"")</f>
        <v/>
      </c>
      <c r="AQ142" s="323" t="str">
        <f aca="false">IF($AH142,$AO142+IF(SkewFlag=1,IF(AN142&gt;0,$AA142*MIN(AN142/10%,1)+($Z142-$AA142)*MAX(0,MIN(AN142/10%-1,1))+($Y142-$Z142)*MAX(0,AN142/10%-2),$AB142*MIN(-AN142/10%,1)+($AC142-$AB142)*MAX(0,MIN(-AN142/10%-1,1))+($AD142-$AC142)*MAX(0,-AN142/10%-2)),0),"")</f>
        <v/>
      </c>
      <c r="AR142" s="324" t="n">
        <f aca="false">IF(AH142,xASN(AL142,Strike1,AE142,AP142,0,N142,0,P142,Q142,IF(OptControl=4,0,1),0),0)</f>
        <v>0</v>
      </c>
      <c r="AS142" s="324" t="n">
        <f aca="false">IF(AH142,xASN(AL142,Strike1,AE142,AP142,0,N142,0,P142,Q142,IF(OptControl=4,0,1),1),0)</f>
        <v>0</v>
      </c>
      <c r="AT142" s="324" t="n">
        <f aca="false">IF(AH142,xASN(AL142,Strike1,AE142,AP142,0,N142,0,P142,Q142,IF(OptControl=4,0,1),2),0)</f>
        <v>0</v>
      </c>
      <c r="AU142" s="324" t="n">
        <f aca="false">IF(AH142,xASN(AL142,Strike1,AE142,AP142,0,N142,0,P142,Q142,IF(OptControl=4,0,1),3)/100,0)</f>
        <v>0</v>
      </c>
      <c r="AV142" s="324" t="n">
        <f aca="false">IF(AH142,xASN(AL142,Strike1,AE142,AP142,0,N142,0,P142-DaysForThetaCalculation/365.25,Q142-DaysForThetaCalculation/365.25,IF(OptControl=4,0,1),0)-xASN(AL142,Strike1,AE142,AP142,0,N142,0,P142,Q142,IF(OptControl=4,0,1),0),0)</f>
        <v>0</v>
      </c>
      <c r="AW142" s="324" t="n">
        <f aca="false">IF(AH142,xASN(AL142,Strike2,AE142,AQ142,0,N142,0,P142,Q142,IF(OptControl=3,1,0),0),0)</f>
        <v>0</v>
      </c>
      <c r="AX142" s="324" t="n">
        <f aca="false">IF(AH142,xASN(AL142,Strike2,AE142,AQ142,0,N142,0,P142,Q142,IF(OptControl=3,1,0),1),0)</f>
        <v>0</v>
      </c>
      <c r="AY142" s="324" t="n">
        <f aca="false">IF(AH142,xASN(AL142,Strike2,AE142,AQ142,0,N142,0,P142,Q142,IF(OptControl=3,1,0),2),0)</f>
        <v>0</v>
      </c>
      <c r="AZ142" s="324" t="n">
        <f aca="false">IF(AH142,xASN(AL142,Strike2,AE142,AQ142,0,N142,0,P142,Q142,IF(OptControl=3,1,0),3)/100,0)</f>
        <v>0</v>
      </c>
      <c r="BA142" s="324" t="n">
        <f aca="false">IF(AH142,xASN(AL142,Strike2,AE142,AQ142,0,N142,0,P142-DaysForThetaCalculation/365.25,Q142-DaysForThetaCalculation/365.25,IF(OptControl=3,1,0),0)-xASN(AL142,Strike2,AE142,AQ142,0,N142,0,P142,Q142,IF(OptControl=3,1,0),0),0)</f>
        <v>0</v>
      </c>
      <c r="BB142" s="325" t="str">
        <f aca="false">IF(AH142,IF(ProductGroup=1,IF(Product=1,BX142+PriceSpreadEuro,IF(Product=3,CK142+PriceSpreadEuro,"N/A")),"N/A"),"")</f>
        <v/>
      </c>
      <c r="BC142" s="316" t="str">
        <f aca="false">IF(AH142,Strike1/BB142-1,"")</f>
        <v/>
      </c>
      <c r="BD142" s="316" t="str">
        <f aca="false">IF(AH142,Strike2/BB142-1,"")</f>
        <v/>
      </c>
      <c r="BE142" s="326" t="str">
        <f aca="false">IF(AH142,IF(VolOverrideEuro,VolOverrideEuro,IF(ProductGroup=1,IF(Product&lt;3,DA142,DE142)+VolSpreadEuro,"N/A")),"")</f>
        <v/>
      </c>
      <c r="BF142" s="323" t="str">
        <f aca="false">IF($AH142,$BE142+IF(SkewFlag=1,IF(BC142&gt;0,$AA142*MIN(BC142/10%,1)+($Z142-$AA142)*MAX(0,MIN(BC142/10%-1,1))+($Y142-$Z142)*MAX(0,BC142/10%-2),$AB142*MIN(-BC142/10%,1)+($AC142-$AB142)*MAX(0,MIN(-BC142/10%-1,1))+($AD142-$AC142)*MAX(0,-BC142/10%-2)),0),"")</f>
        <v/>
      </c>
      <c r="BG142" s="323" t="str">
        <f aca="false">IF($AH142,$BE142+IF(SkewFlag=1,IF(BD142&gt;0,$AA142*MIN(BD142/10%,1)+($Z142-$AA142)*MAX(0,MIN(BD142/10%-1,1))+($Y142-$Z142)*MAX(0,BD142/10%-2),$AB142*MIN(-BD142/10%,1)+($AC142-$AB142)*MAX(0,MIN(-BD142/10%-1,1))+($AD142-$AC142)*MAX(0,-BD142/10%-2)),0),"")</f>
        <v/>
      </c>
      <c r="BH142" s="324" t="n">
        <f aca="false">IF(AH142,xEURO(BB142,Strike1,AE142,AE142,BF142,O142,IF(OptControl=4,0,1),0),0)</f>
        <v>0</v>
      </c>
      <c r="BI142" s="324" t="n">
        <f aca="false">IF(AH142,xEURO(BB142,Strike1,AE142,AE142,BF142,O142,IF(OptControl=4,0,1),1),0)</f>
        <v>0</v>
      </c>
      <c r="BJ142" s="324" t="n">
        <f aca="false">IF(AH142,xEURO(BB142,Strike1,AE142,AE142,BF142,O142,IF(OptControl=4,0,1),2),0)</f>
        <v>0</v>
      </c>
      <c r="BK142" s="324" t="n">
        <f aca="false">IF(AH142,xEURO(BB142,Strike1,AE142,AE142,BF142,O142,IF(OptControl=4,0,1),3)/100,0)</f>
        <v>0</v>
      </c>
      <c r="BL142" s="324" t="n">
        <f aca="false">IF(AH142,xEURO(BB142,Strike1,AE142,AE142,BF142,O142-DaysForThetaCalculation,IF(OptControl=4,0,1),0)-xEURO(BB142,Strike1,AE142,AE142,BF142,O142,IF(OptControl=4,0,1),0),0)</f>
        <v>0</v>
      </c>
      <c r="BM142" s="324" t="n">
        <f aca="false">IF(AH142,xEURO(BB142,Strike2,AE142,AE142,BG142,O142,IF(OptControl=3,1,0),0),0)</f>
        <v>0</v>
      </c>
      <c r="BN142" s="324" t="n">
        <f aca="false">IF(AH142,xEURO(BB142,Strike2,AE142,AE142,BG142,O142,IF(OptControl=3,1,0),1),0)</f>
        <v>0</v>
      </c>
      <c r="BO142" s="324" t="n">
        <f aca="false">IF(AH142,xEURO(BB142,Strike2,AE142,AE142,BG142,O142,IF(OptControl=3,1,0),2),0)</f>
        <v>0</v>
      </c>
      <c r="BP142" s="324" t="n">
        <f aca="false">IF(AH142,xEURO(BB142,Strike2,AE142,AE142,BG142,O142,IF(OptControl=3,1,0),3)/100,0)</f>
        <v>0</v>
      </c>
      <c r="BQ142" s="327" t="n">
        <f aca="false">IF(AH142,xEURO(BB142,Strike2,AE142,AE142,BG142,O142-DaysForThetaCalculation,IF(OptControl=3,1,0),0)-xEURO(BB142,Strike2,AE142,AE142,BG142,O142,IF(OptControl=3,1,0),0),0)</f>
        <v>0</v>
      </c>
      <c r="BR142" s="343"/>
      <c r="BS142" s="314"/>
      <c r="BT142" s="329" t="n">
        <f aca="false">BS142*100/42</f>
        <v>0</v>
      </c>
      <c r="BU142" s="329" t="n">
        <f aca="false">BS143-$U142</f>
        <v>-29.7575000000002</v>
      </c>
      <c r="BV142" s="224"/>
      <c r="BW142" s="329" t="n">
        <f aca="false">BW130+VLOOKUP(1900+$L142,ProductSpreadTable,2)</f>
        <v>15.639</v>
      </c>
      <c r="BX142" s="329" t="n">
        <f aca="false">($V141+BW141)*100/42</f>
        <v>106.095670995671</v>
      </c>
      <c r="BY142" s="332" t="n">
        <f aca="false">BX143</f>
        <v>108.086904761905</v>
      </c>
      <c r="BZ142" s="314"/>
      <c r="CA142" s="329" t="n">
        <f aca="false">BZ142*100/42</f>
        <v>0</v>
      </c>
      <c r="CB142" s="329" t="n">
        <f aca="false">BZ142-$U142</f>
        <v>-29.7575000000002</v>
      </c>
      <c r="CC142" s="329" t="n">
        <f aca="false">CC130+VLOOKUP(1900+$L142,ProductSpreadTable,3)</f>
        <v>13.224</v>
      </c>
      <c r="CD142" s="329" t="n">
        <f aca="false">($V142+CC142)*100/42</f>
        <v>102.336904761905</v>
      </c>
      <c r="CE142" s="333" t="n">
        <f aca="false">CD142-BY142</f>
        <v>-5.75</v>
      </c>
      <c r="CF142" s="314"/>
      <c r="CG142" s="329" t="n">
        <f aca="false">CF142*100/42</f>
        <v>0</v>
      </c>
      <c r="CH142" s="329" t="n">
        <f aca="false">CF143-$U142</f>
        <v>-29.7575000000002</v>
      </c>
      <c r="CI142" s="224"/>
      <c r="CJ142" s="329" t="n">
        <f aca="false">CJ130+VLOOKUP(1900+$L142,ProductSpreadTable,4)</f>
        <v>9.5359999999999</v>
      </c>
      <c r="CK142" s="329" t="n">
        <f aca="false">($V141+CJ141)*100/42</f>
        <v>90.8188311688307</v>
      </c>
      <c r="CL142" s="329" t="n">
        <f aca="false">CK143</f>
        <v>93.5559523809526</v>
      </c>
      <c r="CM142" s="314"/>
      <c r="CN142" s="329" t="n">
        <f aca="false">CM142*100/42</f>
        <v>0</v>
      </c>
      <c r="CO142" s="329" t="n">
        <f aca="false">CM142-$U142</f>
        <v>-29.7575000000002</v>
      </c>
      <c r="CP142" s="329" t="n">
        <f aca="false">CP130+VLOOKUP(1900+$L142,ProductSpreadTable,5)</f>
        <v>8.6119999999999</v>
      </c>
      <c r="CQ142" s="329" t="n">
        <f aca="false">($V142+CP142)*100/42</f>
        <v>91.3559523809525</v>
      </c>
      <c r="CR142" s="333" t="n">
        <f aca="false">CQ142-CL142</f>
        <v>-2.2</v>
      </c>
      <c r="CS142" s="314"/>
      <c r="CT142" s="329" t="n">
        <f aca="false">CS142*100/42</f>
        <v>0</v>
      </c>
      <c r="CU142" s="329" t="n">
        <f aca="false">CT142-CG143</f>
        <v>0</v>
      </c>
      <c r="CV142" s="329" t="n">
        <f aca="false">CV130+VLOOKUP(1900+$L142,ProductSpreadTable,6)</f>
        <v>2.09999999999999</v>
      </c>
      <c r="CW142" s="333" t="n">
        <f aca="false">CL142+CV142</f>
        <v>95.6559523809525</v>
      </c>
      <c r="CX142" s="318"/>
      <c r="CY142" s="326" t="n">
        <f aca="false">CX142-$W142</f>
        <v>-0.162899999999999</v>
      </c>
      <c r="CZ142" s="326" t="n">
        <f aca="false">VLOOKUP(1900+$L142,ProductSpreadTable,7)</f>
        <v>-0.03</v>
      </c>
      <c r="DA142" s="365" t="n">
        <f aca="false">$W142+CZ142</f>
        <v>0.132899999999999</v>
      </c>
      <c r="DB142" s="318"/>
      <c r="DC142" s="326" t="n">
        <f aca="false">DB142-$W142</f>
        <v>-0.162899999999999</v>
      </c>
      <c r="DD142" s="326" t="n">
        <f aca="false">VLOOKUP(1900+$L142,ProductSpreadTable,8)</f>
        <v>0.03</v>
      </c>
      <c r="DE142" s="365" t="n">
        <f aca="false">$W142+DD142</f>
        <v>0.192899999999999</v>
      </c>
      <c r="DG142" s="336"/>
      <c r="DH142" s="314"/>
      <c r="DI142" s="325" t="n">
        <f aca="false">DH142-$U142</f>
        <v>-29.7575000000002</v>
      </c>
      <c r="DJ142" s="325" t="n">
        <f aca="false">VLOOKUP(1900+$L142,ResidSpreadTable,2)</f>
        <v>-2</v>
      </c>
      <c r="DK142" s="337" t="n">
        <f aca="false">$V142+DJ142</f>
        <v>27.7575000000002</v>
      </c>
      <c r="DL142" s="314"/>
      <c r="DM142" s="325" t="n">
        <f aca="false">DL142-$U142</f>
        <v>-29.7575000000002</v>
      </c>
      <c r="DN142" s="325" t="n">
        <f aca="false">VLOOKUP(1900+$L142,ResidSpreadTable,3)</f>
        <v>-3</v>
      </c>
      <c r="DO142" s="337" t="n">
        <f aca="false">$V142+DN142</f>
        <v>26.7575000000002</v>
      </c>
      <c r="DP142" s="314"/>
      <c r="DQ142" s="325" t="n">
        <f aca="false">DP142-$U142</f>
        <v>-29.7575000000002</v>
      </c>
      <c r="DR142" s="325" t="n">
        <f aca="false">VLOOKUP(1900+$L142,ResidSpreadTable,4)</f>
        <v>-6</v>
      </c>
      <c r="DS142" s="337" t="n">
        <f aca="false">$V142+DR142</f>
        <v>23.7575000000002</v>
      </c>
      <c r="DT142" s="314"/>
      <c r="DU142" s="325" t="n">
        <f aca="false">DT142-$U142</f>
        <v>-29.7575000000002</v>
      </c>
      <c r="DV142" s="325" t="n">
        <f aca="false">VLOOKUP(1900+$L142,ResidSpreadTable,5)</f>
        <v>-5</v>
      </c>
      <c r="DW142" s="337" t="n">
        <f aca="false">$V142+DV142</f>
        <v>24.7575000000002</v>
      </c>
    </row>
    <row r="143" customFormat="false" ht="12.75" hidden="false" customHeight="false" outlineLevel="0" collapsed="false">
      <c r="B143" s="371" t="n">
        <v>39904</v>
      </c>
      <c r="C143" s="391" t="n">
        <v>39892</v>
      </c>
      <c r="I143" s="338" t="n">
        <f aca="false">EOMONTH(I142,0)+1</f>
        <v>50100</v>
      </c>
      <c r="J143" s="389" t="n">
        <f aca="false">VLOOKUP(I143,$B$12:$C$332,2)</f>
        <v>45644</v>
      </c>
      <c r="K143" s="339" t="n">
        <f aca="false">NETWORKDAYS(I143,J144)/N143</f>
        <v>-144.681818181818</v>
      </c>
      <c r="L143" s="309" t="n">
        <f aca="false">YEAR(I143)-1900</f>
        <v>137</v>
      </c>
      <c r="M143" s="310" t="n">
        <f aca="false">MONTH(I143)</f>
        <v>3</v>
      </c>
      <c r="N143" s="340" t="n">
        <f aca="false">NETWORKDAYS(I143,I144-1)</f>
        <v>22</v>
      </c>
      <c r="O143" s="341" t="n">
        <f aca="false">I143-DateToday-IF(EuroExpDateToggle=1,3+IF(WEEKDAY(I143-1)=7,1,IF(WEEKDAY(I143-1)&lt;5,2,0)),1+IF(WEEKDAY(I143-1)=7,1,IF(WEEKDAY(I143-1)&lt;3,2,0)))</f>
        <v>4170</v>
      </c>
      <c r="P143" s="342" t="n">
        <f aca="false">(I143-DateToday+1)/365.25</f>
        <v>11.4305270362765</v>
      </c>
      <c r="Q143" s="342" t="n">
        <f aca="false">(I144-DateToday)/365.25</f>
        <v>11.5126625598905</v>
      </c>
      <c r="R143" s="314" t="n">
        <v>21.8</v>
      </c>
      <c r="S143" s="347" t="n">
        <v>0</v>
      </c>
      <c r="T143" s="316" t="n">
        <f aca="false">R143+S143/100</f>
        <v>21.8</v>
      </c>
      <c r="U143" s="325" t="n">
        <f aca="false">R144*K143+R145*(1-K143)</f>
        <v>29.1340909090904</v>
      </c>
      <c r="V143" s="337" t="n">
        <f aca="false">T144*K143+T145*(1-K143)</f>
        <v>29.1340909090904</v>
      </c>
      <c r="W143" s="318" t="n">
        <v>0.162499999999999</v>
      </c>
      <c r="X143" s="319" t="str">
        <f aca="false">IF($I143-DateToday+1&gt;=$A$10,"",IF($I143-DateToday+1&lt;$A$5,1,MATCH($I143-DateToday+1,$A$5:$A$10)))</f>
        <v/>
      </c>
      <c r="Y143" s="348" t="n">
        <f aca="false">IF($X143="",Y142^2/Y141,INDEX(B$5:B$10,$X143)^((INDEX($A$5:$A$10,$X143+1)-($I143-DateToday+1))/(INDEX($A$5:$A$10,$X143+1)-INDEX($A$5:$A$10,$X143)))/INDEX(B$5:B$10,$X143+1)^((INDEX($A$5:$A$10,$X143)-($I143-DateToday+1))/(INDEX($A$5:$A$10,$X143+1)-INDEX($A$5:$A$10,$X143))))</f>
        <v>0.000790572100951912</v>
      </c>
      <c r="Z143" s="348" t="n">
        <f aca="false">IF($X143="",Z142^2/Z141,INDEX(C$5:C$10,$X143)^((INDEX($A$5:$A$10,$X143+1)-($I143-DateToday+1))/(INDEX($A$5:$A$10,$X143+1)-INDEX($A$5:$A$10,$X143)))/INDEX(C$5:C$10,$X143+1)^((INDEX($A$5:$A$10,$X143)-($I143-DateToday+1))/(INDEX($A$5:$A$10,$X143+1)-INDEX($A$5:$A$10,$X143))))</f>
        <v>0.000233287244371499</v>
      </c>
      <c r="AA143" s="348" t="n">
        <f aca="false">IF($X143="",AA142^2/AA141,INDEX(D$5:D$10,$X143)^((INDEX($A$5:$A$10,$X143+1)-($I143-DateToday+1))/(INDEX($A$5:$A$10,$X143+1)-INDEX($A$5:$A$10,$X143)))/INDEX(D$5:D$10,$X143+1)^((INDEX($A$5:$A$10,$X143)-($I143-DateToday+1))/(INDEX($A$5:$A$10,$X143+1)-INDEX($A$5:$A$10,$X143))))</f>
        <v>7.69378499272592E-005</v>
      </c>
      <c r="AB143" s="348" t="n">
        <f aca="false">IF($X143="",AB142^2/AB141,INDEX(E$5:E$10,$X143)^((INDEX($A$5:$A$10,$X143+1)-($I143-DateToday+1))/(INDEX($A$5:$A$10,$X143+1)-INDEX($A$5:$A$10,$X143)))/INDEX(E$5:E$10,$X143+1)^((INDEX($A$5:$A$10,$X143)-($I143-DateToday+1))/(INDEX($A$5:$A$10,$X143+1)-INDEX($A$5:$A$10,$X143))))</f>
        <v>0.000173325588316139</v>
      </c>
      <c r="AC143" s="348" t="n">
        <f aca="false">IF($X143="",AC142^2/AC141,INDEX(F$5:F$10,$X143)^((INDEX($A$5:$A$10,$X143+1)-($I143-DateToday+1))/(INDEX($A$5:$A$10,$X143+1)-INDEX($A$5:$A$10,$X143)))/INDEX(F$5:F$10,$X143+1)^((INDEX($A$5:$A$10,$X143)-($I143-DateToday+1))/(INDEX($A$5:$A$10,$X143+1)-INDEX($A$5:$A$10,$X143))))</f>
        <v>0.000525549504120109</v>
      </c>
      <c r="AD143" s="348" t="n">
        <f aca="false">IF($X143="",AD142^2/AD141,INDEX(G$5:G$10,$X143)^((INDEX($A$5:$A$10,$X143+1)-($I143-DateToday+1))/(INDEX($A$5:$A$10,$X143+1)-INDEX($A$5:$A$10,$X143)))/INDEX(G$5:G$10,$X143+1)^((INDEX($A$5:$A$10,$X143)-($I143-DateToday+1))/(INDEX($A$5:$A$10,$X143+1)-INDEX($A$5:$A$10,$X143))))</f>
        <v>0.00178100082902431</v>
      </c>
      <c r="AE143" s="321" t="n">
        <v>0.073710024500202</v>
      </c>
      <c r="AF143" s="316" t="n">
        <f aca="false">(1+AE143/2)^(-2*(I144-DateToday)/365.25)</f>
        <v>0.434597492329841</v>
      </c>
      <c r="AG143" s="316" t="n">
        <f aca="false">AG142*(1+IF(AND(M143=1,L143&gt;YearStart),Escalation,0))</f>
        <v>1</v>
      </c>
      <c r="AH143" s="322" t="n">
        <f aca="false">IF(OR(DateStart&gt;=I144,DateEnd&lt;I143),0,Volume*AG143)</f>
        <v>0</v>
      </c>
      <c r="AI143" s="322" t="n">
        <f aca="false">AH143*AF143</f>
        <v>0</v>
      </c>
      <c r="AJ143" s="322" t="n">
        <f aca="false">IF(OR(DateStart2&gt;=I144,DateEnd2&lt;I143),0,VolumeSwaption*AG143)</f>
        <v>0</v>
      </c>
      <c r="AK143" s="322" t="n">
        <f aca="false">AJ143*AF143</f>
        <v>0</v>
      </c>
      <c r="AL143" s="316" t="str">
        <f aca="true">IF(AH143,OFFSET(BY143,0,HorizontalPriceOffset)+PriceSpreadAsian,"")</f>
        <v/>
      </c>
      <c r="AM143" s="316" t="str">
        <f aca="false">IF(AH143,Strike1/AL143-1,"")</f>
        <v/>
      </c>
      <c r="AN143" s="316" t="str">
        <f aca="false">IF(AH143,Strike2/AL143-1,"")</f>
        <v/>
      </c>
      <c r="AO143" s="323" t="str">
        <f aca="false">IF(AH143,IF(VolOverrideAsian,VolOverrideAsian,IF(ProductGroup=1,IF(Product&lt;3,DA144,DE144),W144)+VolSpreadAsian),"")</f>
        <v/>
      </c>
      <c r="AP143" s="323" t="str">
        <f aca="false">IF($AH143,$AO143+IF(SkewFlag=1,IF(AM143&gt;0,$AA143*MIN(AM143/10%,1)+($Z143-$AA143)*MAX(0,MIN(AM143/10%-1,1))+($Y143-$Z143)*MAX(0,AM143/10%-2),$AB143*MIN(-AM143/10%,1)+($AC143-$AB143)*MAX(0,MIN(-AM143/10%-1,1))+($AD143-$AC143)*MAX(0,-AM143/10%-2)),0),"")</f>
        <v/>
      </c>
      <c r="AQ143" s="323" t="str">
        <f aca="false">IF($AH143,$AO143+IF(SkewFlag=1,IF(AN143&gt;0,$AA143*MIN(AN143/10%,1)+($Z143-$AA143)*MAX(0,MIN(AN143/10%-1,1))+($Y143-$Z143)*MAX(0,AN143/10%-2),$AB143*MIN(-AN143/10%,1)+($AC143-$AB143)*MAX(0,MIN(-AN143/10%-1,1))+($AD143-$AC143)*MAX(0,-AN143/10%-2)),0),"")</f>
        <v/>
      </c>
      <c r="AR143" s="324" t="n">
        <f aca="false">IF(AH143,xASN(AL143,Strike1,AE143,AP143,0,N143,0,P143,Q143,IF(OptControl=4,0,1),0),0)</f>
        <v>0</v>
      </c>
      <c r="AS143" s="324" t="n">
        <f aca="false">IF(AH143,xASN(AL143,Strike1,AE143,AP143,0,N143,0,P143,Q143,IF(OptControl=4,0,1),1),0)</f>
        <v>0</v>
      </c>
      <c r="AT143" s="324" t="n">
        <f aca="false">IF(AH143,xASN(AL143,Strike1,AE143,AP143,0,N143,0,P143,Q143,IF(OptControl=4,0,1),2),0)</f>
        <v>0</v>
      </c>
      <c r="AU143" s="324" t="n">
        <f aca="false">IF(AH143,xASN(AL143,Strike1,AE143,AP143,0,N143,0,P143,Q143,IF(OptControl=4,0,1),3)/100,0)</f>
        <v>0</v>
      </c>
      <c r="AV143" s="324" t="n">
        <f aca="false">IF(AH143,xASN(AL143,Strike1,AE143,AP143,0,N143,0,P143-DaysForThetaCalculation/365.25,Q143-DaysForThetaCalculation/365.25,IF(OptControl=4,0,1),0)-xASN(AL143,Strike1,AE143,AP143,0,N143,0,P143,Q143,IF(OptControl=4,0,1),0),0)</f>
        <v>0</v>
      </c>
      <c r="AW143" s="324" t="n">
        <f aca="false">IF(AH143,xASN(AL143,Strike2,AE143,AQ143,0,N143,0,P143,Q143,IF(OptControl=3,1,0),0),0)</f>
        <v>0</v>
      </c>
      <c r="AX143" s="324" t="n">
        <f aca="false">IF(AH143,xASN(AL143,Strike2,AE143,AQ143,0,N143,0,P143,Q143,IF(OptControl=3,1,0),1),0)</f>
        <v>0</v>
      </c>
      <c r="AY143" s="324" t="n">
        <f aca="false">IF(AH143,xASN(AL143,Strike2,AE143,AQ143,0,N143,0,P143,Q143,IF(OptControl=3,1,0),2),0)</f>
        <v>0</v>
      </c>
      <c r="AZ143" s="324" t="n">
        <f aca="false">IF(AH143,xASN(AL143,Strike2,AE143,AQ143,0,N143,0,P143,Q143,IF(OptControl=3,1,0),3)/100,0)</f>
        <v>0</v>
      </c>
      <c r="BA143" s="324" t="n">
        <f aca="false">IF(AH143,xASN(AL143,Strike2,AE143,AQ143,0,N143,0,P143-DaysForThetaCalculation/365.25,Q143-DaysForThetaCalculation/365.25,IF(OptControl=3,1,0),0)-xASN(AL143,Strike2,AE143,AQ143,0,N143,0,P143,Q143,IF(OptControl=3,1,0),0),0)</f>
        <v>0</v>
      </c>
      <c r="BB143" s="325" t="str">
        <f aca="false">IF(AH143,IF(ProductGroup=1,IF(Product=1,BX143+PriceSpreadEuro,IF(Product=3,CK143+PriceSpreadEuro,"N/A")),"N/A"),"")</f>
        <v/>
      </c>
      <c r="BC143" s="316" t="str">
        <f aca="false">IF(AH143,Strike1/BB143-1,"")</f>
        <v/>
      </c>
      <c r="BD143" s="316" t="str">
        <f aca="false">IF(AH143,Strike2/BB143-1,"")</f>
        <v/>
      </c>
      <c r="BE143" s="326" t="str">
        <f aca="false">IF(AH143,IF(VolOverrideEuro,VolOverrideEuro,IF(ProductGroup=1,IF(Product&lt;3,DA143,DE143)+VolSpreadEuro,"N/A")),"")</f>
        <v/>
      </c>
      <c r="BF143" s="323" t="str">
        <f aca="false">IF($AH143,$BE143+IF(SkewFlag=1,IF(BC143&gt;0,$AA143*MIN(BC143/10%,1)+($Z143-$AA143)*MAX(0,MIN(BC143/10%-1,1))+($Y143-$Z143)*MAX(0,BC143/10%-2),$AB143*MIN(-BC143/10%,1)+($AC143-$AB143)*MAX(0,MIN(-BC143/10%-1,1))+($AD143-$AC143)*MAX(0,-BC143/10%-2)),0),"")</f>
        <v/>
      </c>
      <c r="BG143" s="323" t="str">
        <f aca="false">IF($AH143,$BE143+IF(SkewFlag=1,IF(BD143&gt;0,$AA143*MIN(BD143/10%,1)+($Z143-$AA143)*MAX(0,MIN(BD143/10%-1,1))+($Y143-$Z143)*MAX(0,BD143/10%-2),$AB143*MIN(-BD143/10%,1)+($AC143-$AB143)*MAX(0,MIN(-BD143/10%-1,1))+($AD143-$AC143)*MAX(0,-BD143/10%-2)),0),"")</f>
        <v/>
      </c>
      <c r="BH143" s="324" t="n">
        <f aca="false">IF(AH143,xEURO(BB143,Strike1,AE143,AE143,BF143,O143,IF(OptControl=4,0,1),0),0)</f>
        <v>0</v>
      </c>
      <c r="BI143" s="324" t="n">
        <f aca="false">IF(AH143,xEURO(BB143,Strike1,AE143,AE143,BF143,O143,IF(OptControl=4,0,1),1),0)</f>
        <v>0</v>
      </c>
      <c r="BJ143" s="324" t="n">
        <f aca="false">IF(AH143,xEURO(BB143,Strike1,AE143,AE143,BF143,O143,IF(OptControl=4,0,1),2),0)</f>
        <v>0</v>
      </c>
      <c r="BK143" s="324" t="n">
        <f aca="false">IF(AH143,xEURO(BB143,Strike1,AE143,AE143,BF143,O143,IF(OptControl=4,0,1),3)/100,0)</f>
        <v>0</v>
      </c>
      <c r="BL143" s="324" t="n">
        <f aca="false">IF(AH143,xEURO(BB143,Strike1,AE143,AE143,BF143,O143-DaysForThetaCalculation,IF(OptControl=4,0,1),0)-xEURO(BB143,Strike1,AE143,AE143,BF143,O143,IF(OptControl=4,0,1),0),0)</f>
        <v>0</v>
      </c>
      <c r="BM143" s="324" t="n">
        <f aca="false">IF(AH143,xEURO(BB143,Strike2,AE143,AE143,BG143,O143,IF(OptControl=3,1,0),0),0)</f>
        <v>0</v>
      </c>
      <c r="BN143" s="324" t="n">
        <f aca="false">IF(AH143,xEURO(BB143,Strike2,AE143,AE143,BG143,O143,IF(OptControl=3,1,0),1),0)</f>
        <v>0</v>
      </c>
      <c r="BO143" s="324" t="n">
        <f aca="false">IF(AH143,xEURO(BB143,Strike2,AE143,AE143,BG143,O143,IF(OptControl=3,1,0),2),0)</f>
        <v>0</v>
      </c>
      <c r="BP143" s="324" t="n">
        <f aca="false">IF(AH143,xEURO(BB143,Strike2,AE143,AE143,BG143,O143,IF(OptControl=3,1,0),3)/100,0)</f>
        <v>0</v>
      </c>
      <c r="BQ143" s="327" t="n">
        <f aca="false">IF(AH143,xEURO(BB143,Strike2,AE143,AE143,BG143,O143-DaysForThetaCalculation,IF(OptControl=3,1,0),0)-xEURO(BB143,Strike2,AE143,AE143,BG143,O143,IF(OptControl=3,1,0),0),0)</f>
        <v>0</v>
      </c>
      <c r="BR143" s="343"/>
      <c r="BS143" s="314"/>
      <c r="BT143" s="329" t="n">
        <f aca="false">BS143*100/42</f>
        <v>0</v>
      </c>
      <c r="BU143" s="329" t="n">
        <f aca="false">BS144-$U143</f>
        <v>-29.1340909090904</v>
      </c>
      <c r="BV143" s="224"/>
      <c r="BW143" s="329" t="n">
        <f aca="false">BW131+VLOOKUP(1900+$L143,ProductSpreadTable,2)</f>
        <v>13.1669999999999</v>
      </c>
      <c r="BX143" s="329" t="n">
        <f aca="false">($V142+BW142)*100/42</f>
        <v>108.086904761905</v>
      </c>
      <c r="BY143" s="332" t="n">
        <f aca="false">BX144</f>
        <v>100.716883116882</v>
      </c>
      <c r="BZ143" s="314"/>
      <c r="CA143" s="329" t="n">
        <f aca="false">BZ143*100/42</f>
        <v>0</v>
      </c>
      <c r="CB143" s="329" t="n">
        <f aca="false">BZ143-$U143</f>
        <v>-29.1340909090904</v>
      </c>
      <c r="CC143" s="329" t="n">
        <f aca="false">CC131+VLOOKUP(1900+$L143,ProductSpreadTable,3)</f>
        <v>10.7519999999999</v>
      </c>
      <c r="CD143" s="329" t="n">
        <f aca="false">($V143+CC143)*100/42</f>
        <v>94.9668831168818</v>
      </c>
      <c r="CE143" s="333" t="n">
        <f aca="false">CD143-BY143</f>
        <v>-5.75</v>
      </c>
      <c r="CF143" s="314"/>
      <c r="CG143" s="329" t="n">
        <f aca="false">CF143*100/42</f>
        <v>0</v>
      </c>
      <c r="CH143" s="329" t="n">
        <f aca="false">CF144-$U143</f>
        <v>-29.1340909090904</v>
      </c>
      <c r="CI143" s="224"/>
      <c r="CJ143" s="329" t="n">
        <f aca="false">CJ131+VLOOKUP(1900+$L143,ProductSpreadTable,4)</f>
        <v>11.0589999999999</v>
      </c>
      <c r="CK143" s="329" t="n">
        <f aca="false">($V142+CJ142)*100/42</f>
        <v>93.5559523809526</v>
      </c>
      <c r="CL143" s="329" t="n">
        <f aca="false">CK144</f>
        <v>95.6978354978342</v>
      </c>
      <c r="CM143" s="314"/>
      <c r="CN143" s="329" t="n">
        <f aca="false">CM143*100/42</f>
        <v>0</v>
      </c>
      <c r="CO143" s="329" t="n">
        <f aca="false">CM143-$U143</f>
        <v>-29.1340909090904</v>
      </c>
      <c r="CP143" s="329" t="n">
        <f aca="false">CP131+VLOOKUP(1900+$L143,ProductSpreadTable,5)</f>
        <v>8.55773913043482</v>
      </c>
      <c r="CQ143" s="329" t="n">
        <f aca="false">($V143+CP143)*100/42</f>
        <v>89.7424524750601</v>
      </c>
      <c r="CR143" s="333" t="n">
        <f aca="false">CQ143-CL143</f>
        <v>-5.95538302277409</v>
      </c>
      <c r="CS143" s="314"/>
      <c r="CT143" s="329" t="n">
        <f aca="false">CS143*100/42</f>
        <v>0</v>
      </c>
      <c r="CU143" s="329" t="n">
        <f aca="false">CT143-CG144</f>
        <v>0</v>
      </c>
      <c r="CV143" s="329" t="n">
        <f aca="false">CV131+VLOOKUP(1900+$L143,ProductSpreadTable,6)</f>
        <v>2.10000000000001</v>
      </c>
      <c r="CW143" s="333" t="n">
        <f aca="false">CL143+CV143</f>
        <v>97.7978354978342</v>
      </c>
      <c r="CX143" s="318"/>
      <c r="CY143" s="326" t="n">
        <f aca="false">CX143-$W143</f>
        <v>-0.162499999999999</v>
      </c>
      <c r="CZ143" s="326" t="n">
        <f aca="false">VLOOKUP(1900+$L143,ProductSpreadTable,7)</f>
        <v>-0.03</v>
      </c>
      <c r="DA143" s="365" t="n">
        <f aca="false">$W143+CZ143</f>
        <v>0.132499999999999</v>
      </c>
      <c r="DB143" s="318"/>
      <c r="DC143" s="326" t="n">
        <f aca="false">DB143-$W143</f>
        <v>-0.162499999999999</v>
      </c>
      <c r="DD143" s="326" t="n">
        <f aca="false">VLOOKUP(1900+$L143,ProductSpreadTable,8)</f>
        <v>0.03</v>
      </c>
      <c r="DE143" s="365" t="n">
        <f aca="false">$W143+DD143</f>
        <v>0.192499999999999</v>
      </c>
      <c r="DG143" s="336"/>
      <c r="DH143" s="314"/>
      <c r="DI143" s="325" t="n">
        <f aca="false">DH143-$U143</f>
        <v>-29.1340909090904</v>
      </c>
      <c r="DJ143" s="325" t="n">
        <f aca="false">VLOOKUP(1900+$L143,ResidSpreadTable,2)</f>
        <v>-2</v>
      </c>
      <c r="DK143" s="337" t="n">
        <f aca="false">$V143+DJ143</f>
        <v>27.1340909090904</v>
      </c>
      <c r="DL143" s="314"/>
      <c r="DM143" s="325" t="n">
        <f aca="false">DL143-$U143</f>
        <v>-29.1340909090904</v>
      </c>
      <c r="DN143" s="325" t="n">
        <f aca="false">VLOOKUP(1900+$L143,ResidSpreadTable,3)</f>
        <v>-3</v>
      </c>
      <c r="DO143" s="337" t="n">
        <f aca="false">$V143+DN143</f>
        <v>26.1340909090904</v>
      </c>
      <c r="DP143" s="314"/>
      <c r="DQ143" s="325" t="n">
        <f aca="false">DP143-$U143</f>
        <v>-29.1340909090904</v>
      </c>
      <c r="DR143" s="325" t="n">
        <f aca="false">VLOOKUP(1900+$L143,ResidSpreadTable,4)</f>
        <v>-6</v>
      </c>
      <c r="DS143" s="337" t="n">
        <f aca="false">$V143+DR143</f>
        <v>23.1340909090904</v>
      </c>
      <c r="DT143" s="314"/>
      <c r="DU143" s="325" t="n">
        <f aca="false">DT143-$U143</f>
        <v>-29.1340909090904</v>
      </c>
      <c r="DV143" s="325" t="n">
        <f aca="false">VLOOKUP(1900+$L143,ResidSpreadTable,5)</f>
        <v>-5</v>
      </c>
      <c r="DW143" s="337" t="n">
        <f aca="false">$V143+DV143</f>
        <v>24.1340909090904</v>
      </c>
    </row>
    <row r="144" customFormat="false" ht="12.75" hidden="false" customHeight="false" outlineLevel="0" collapsed="false">
      <c r="B144" s="371" t="n">
        <v>39934</v>
      </c>
      <c r="C144" s="391" t="n">
        <v>39923</v>
      </c>
      <c r="I144" s="338" t="n">
        <f aca="false">EOMONTH(I143,0)+1</f>
        <v>50131</v>
      </c>
      <c r="J144" s="389" t="n">
        <f aca="false">VLOOKUP(I144,$B$12:$C$332,2)</f>
        <v>45644</v>
      </c>
      <c r="K144" s="339" t="n">
        <f aca="false">NETWORKDAYS(I144,J145)/N144</f>
        <v>-145.727272727273</v>
      </c>
      <c r="L144" s="309" t="n">
        <f aca="false">YEAR(I144)-1900</f>
        <v>137</v>
      </c>
      <c r="M144" s="310" t="n">
        <f aca="false">MONTH(I144)</f>
        <v>4</v>
      </c>
      <c r="N144" s="340" t="n">
        <f aca="false">NETWORKDAYS(I144,I145-1)</f>
        <v>22</v>
      </c>
      <c r="O144" s="341" t="n">
        <f aca="false">I144-DateToday-IF(EuroExpDateToggle=1,3+IF(WEEKDAY(I144-1)=7,1,IF(WEEKDAY(I144-1)&lt;5,2,0)),1+IF(WEEKDAY(I144-1)=7,1,IF(WEEKDAY(I144-1)&lt;3,2,0)))</f>
        <v>4200</v>
      </c>
      <c r="P144" s="342" t="n">
        <f aca="false">(I144-DateToday+1)/365.25</f>
        <v>11.5154004106776</v>
      </c>
      <c r="Q144" s="342" t="n">
        <f aca="false">(I145-DateToday)/365.25</f>
        <v>11.5947980835044</v>
      </c>
      <c r="R144" s="314" t="n">
        <v>21.85</v>
      </c>
      <c r="S144" s="347" t="n">
        <v>0</v>
      </c>
      <c r="T144" s="316" t="n">
        <f aca="false">R144+S144/100</f>
        <v>21.85</v>
      </c>
      <c r="U144" s="325" t="n">
        <f aca="false">R145*K144+R146*(1-K144)</f>
        <v>29.2363636363639</v>
      </c>
      <c r="V144" s="337" t="n">
        <f aca="false">T145*K144+T146*(1-K144)</f>
        <v>29.2363636363639</v>
      </c>
      <c r="W144" s="318" t="n">
        <v>0.162099999999999</v>
      </c>
      <c r="X144" s="319" t="str">
        <f aca="false">IF($I144-DateToday+1&gt;=$A$10,"",IF($I144-DateToday+1&lt;$A$5,1,MATCH($I144-DateToday+1,$A$5:$A$10)))</f>
        <v/>
      </c>
      <c r="Y144" s="348" t="n">
        <f aca="false">IF($X144="",Y143^2/Y142,INDEX(B$5:B$10,$X144)^((INDEX($A$5:$A$10,$X144+1)-($I144-DateToday+1))/(INDEX($A$5:$A$10,$X144+1)-INDEX($A$5:$A$10,$X144)))/INDEX(B$5:B$10,$X144+1)^((INDEX($A$5:$A$10,$X144)-($I144-DateToday+1))/(INDEX($A$5:$A$10,$X144+1)-INDEX($A$5:$A$10,$X144))))</f>
        <v>0.000773647154673203</v>
      </c>
      <c r="Z144" s="348" t="n">
        <f aca="false">IF($X144="",Z143^2/Z142,INDEX(C$5:C$10,$X144)^((INDEX($A$5:$A$10,$X144+1)-($I144-DateToday+1))/(INDEX($A$5:$A$10,$X144+1)-INDEX($A$5:$A$10,$X144)))/INDEX(C$5:C$10,$X144+1)^((INDEX($A$5:$A$10,$X144)-($I144-DateToday+1))/(INDEX($A$5:$A$10,$X144+1)-INDEX($A$5:$A$10,$X144))))</f>
        <v>0.000227070627134622</v>
      </c>
      <c r="AA144" s="348" t="n">
        <f aca="false">IF($X144="",AA143^2/AA142,INDEX(D$5:D$10,$X144)^((INDEX($A$5:$A$10,$X144+1)-($I144-DateToday+1))/(INDEX($A$5:$A$10,$X144+1)-INDEX($A$5:$A$10,$X144)))/INDEX(D$5:D$10,$X144+1)^((INDEX($A$5:$A$10,$X144)-($I144-DateToday+1))/(INDEX($A$5:$A$10,$X144+1)-INDEX($A$5:$A$10,$X144))))</f>
        <v>7.46867988803151E-005</v>
      </c>
      <c r="AB144" s="348" t="n">
        <f aca="false">IF($X144="",AB143^2/AB142,INDEX(E$5:E$10,$X144)^((INDEX($A$5:$A$10,$X144+1)-($I144-DateToday+1))/(INDEX($A$5:$A$10,$X144+1)-INDEX($A$5:$A$10,$X144)))/INDEX(E$5:E$10,$X144+1)^((INDEX($A$5:$A$10,$X144)-($I144-DateToday+1))/(INDEX($A$5:$A$10,$X144+1)-INDEX($A$5:$A$10,$X144))))</f>
        <v>0.000168254420517584</v>
      </c>
      <c r="AC144" s="348" t="n">
        <f aca="false">IF($X144="",AC143^2/AC142,INDEX(F$5:F$10,$X144)^((INDEX($A$5:$A$10,$X144+1)-($I144-DateToday+1))/(INDEX($A$5:$A$10,$X144+1)-INDEX($A$5:$A$10,$X144)))/INDEX(F$5:F$10,$X144+1)^((INDEX($A$5:$A$10,$X144)-($I144-DateToday+1))/(INDEX($A$5:$A$10,$X144+1)-INDEX($A$5:$A$10,$X144))))</f>
        <v>0.000511544708808872</v>
      </c>
      <c r="AD144" s="348" t="n">
        <f aca="false">IF($X144="",AD143^2/AD142,INDEX(G$5:G$10,$X144)^((INDEX($A$5:$A$10,$X144+1)-($I144-DateToday+1))/(INDEX($A$5:$A$10,$X144+1)-INDEX($A$5:$A$10,$X144)))/INDEX(G$5:G$10,$X144+1)^((INDEX($A$5:$A$10,$X144)-($I144-DateToday+1))/(INDEX($A$5:$A$10,$X144+1)-INDEX($A$5:$A$10,$X144))))</f>
        <v>0.00174287231004764</v>
      </c>
      <c r="AE144" s="321" t="n">
        <v>0.073706190733727</v>
      </c>
      <c r="AF144" s="316" t="n">
        <f aca="false">(1+AE144/2)^(-2*(I145-DateToday)/365.25)</f>
        <v>0.432039860871805</v>
      </c>
      <c r="AG144" s="316" t="n">
        <f aca="false">AG143*(1+IF(AND(M144=1,L144&gt;YearStart),Escalation,0))</f>
        <v>1</v>
      </c>
      <c r="AH144" s="322" t="n">
        <f aca="false">IF(OR(DateStart&gt;=I145,DateEnd&lt;I144),0,Volume*AG144)</f>
        <v>0</v>
      </c>
      <c r="AI144" s="322" t="n">
        <f aca="false">AH144*AF144</f>
        <v>0</v>
      </c>
      <c r="AJ144" s="322" t="n">
        <f aca="false">IF(OR(DateStart2&gt;=I145,DateEnd2&lt;I144),0,VolumeSwaption*AG144)</f>
        <v>0</v>
      </c>
      <c r="AK144" s="322" t="n">
        <f aca="false">AJ144*AF144</f>
        <v>0</v>
      </c>
      <c r="AL144" s="316" t="str">
        <f aca="true">IF(AH144,OFFSET(BY144,0,HorizontalPriceOffset)+PriceSpreadAsian,"")</f>
        <v/>
      </c>
      <c r="AM144" s="316" t="str">
        <f aca="false">IF(AH144,Strike1/AL144-1,"")</f>
        <v/>
      </c>
      <c r="AN144" s="316" t="str">
        <f aca="false">IF(AH144,Strike2/AL144-1,"")</f>
        <v/>
      </c>
      <c r="AO144" s="323" t="str">
        <f aca="false">IF(AH144,IF(VolOverrideAsian,VolOverrideAsian,IF(ProductGroup=1,IF(Product&lt;3,DA145,DE145),W145)+VolSpreadAsian),"")</f>
        <v/>
      </c>
      <c r="AP144" s="323" t="str">
        <f aca="false">IF($AH144,$AO144+IF(SkewFlag=1,IF(AM144&gt;0,$AA144*MIN(AM144/10%,1)+($Z144-$AA144)*MAX(0,MIN(AM144/10%-1,1))+($Y144-$Z144)*MAX(0,AM144/10%-2),$AB144*MIN(-AM144/10%,1)+($AC144-$AB144)*MAX(0,MIN(-AM144/10%-1,1))+($AD144-$AC144)*MAX(0,-AM144/10%-2)),0),"")</f>
        <v/>
      </c>
      <c r="AQ144" s="323" t="str">
        <f aca="false">IF($AH144,$AO144+IF(SkewFlag=1,IF(AN144&gt;0,$AA144*MIN(AN144/10%,1)+($Z144-$AA144)*MAX(0,MIN(AN144/10%-1,1))+($Y144-$Z144)*MAX(0,AN144/10%-2),$AB144*MIN(-AN144/10%,1)+($AC144-$AB144)*MAX(0,MIN(-AN144/10%-1,1))+($AD144-$AC144)*MAX(0,-AN144/10%-2)),0),"")</f>
        <v/>
      </c>
      <c r="AR144" s="324" t="n">
        <f aca="false">IF(AH144,xASN(AL144,Strike1,AE144,AP144,0,N144,0,P144,Q144,IF(OptControl=4,0,1),0),0)</f>
        <v>0</v>
      </c>
      <c r="AS144" s="324" t="n">
        <f aca="false">IF(AH144,xASN(AL144,Strike1,AE144,AP144,0,N144,0,P144,Q144,IF(OptControl=4,0,1),1),0)</f>
        <v>0</v>
      </c>
      <c r="AT144" s="324" t="n">
        <f aca="false">IF(AH144,xASN(AL144,Strike1,AE144,AP144,0,N144,0,P144,Q144,IF(OptControl=4,0,1),2),0)</f>
        <v>0</v>
      </c>
      <c r="AU144" s="324" t="n">
        <f aca="false">IF(AH144,xASN(AL144,Strike1,AE144,AP144,0,N144,0,P144,Q144,IF(OptControl=4,0,1),3)/100,0)</f>
        <v>0</v>
      </c>
      <c r="AV144" s="324" t="n">
        <f aca="false">IF(AH144,xASN(AL144,Strike1,AE144,AP144,0,N144,0,P144-DaysForThetaCalculation/365.25,Q144-DaysForThetaCalculation/365.25,IF(OptControl=4,0,1),0)-xASN(AL144,Strike1,AE144,AP144,0,N144,0,P144,Q144,IF(OptControl=4,0,1),0),0)</f>
        <v>0</v>
      </c>
      <c r="AW144" s="324" t="n">
        <f aca="false">IF(AH144,xASN(AL144,Strike2,AE144,AQ144,0,N144,0,P144,Q144,IF(OptControl=3,1,0),0),0)</f>
        <v>0</v>
      </c>
      <c r="AX144" s="324" t="n">
        <f aca="false">IF(AH144,xASN(AL144,Strike2,AE144,AQ144,0,N144,0,P144,Q144,IF(OptControl=3,1,0),1),0)</f>
        <v>0</v>
      </c>
      <c r="AY144" s="324" t="n">
        <f aca="false">IF(AH144,xASN(AL144,Strike2,AE144,AQ144,0,N144,0,P144,Q144,IF(OptControl=3,1,0),2),0)</f>
        <v>0</v>
      </c>
      <c r="AZ144" s="324" t="n">
        <f aca="false">IF(AH144,xASN(AL144,Strike2,AE144,AQ144,0,N144,0,P144,Q144,IF(OptControl=3,1,0),3)/100,0)</f>
        <v>0</v>
      </c>
      <c r="BA144" s="324" t="n">
        <f aca="false">IF(AH144,xASN(AL144,Strike2,AE144,AQ144,0,N144,0,P144-DaysForThetaCalculation/365.25,Q144-DaysForThetaCalculation/365.25,IF(OptControl=3,1,0),0)-xASN(AL144,Strike2,AE144,AQ144,0,N144,0,P144,Q144,IF(OptControl=3,1,0),0),0)</f>
        <v>0</v>
      </c>
      <c r="BB144" s="325" t="str">
        <f aca="false">IF(AH144,IF(ProductGroup=1,IF(Product=1,BX144+PriceSpreadEuro,IF(Product=3,CK144+PriceSpreadEuro,"N/A")),"N/A"),"")</f>
        <v/>
      </c>
      <c r="BC144" s="316" t="str">
        <f aca="false">IF(AH144,Strike1/BB144-1,"")</f>
        <v/>
      </c>
      <c r="BD144" s="316" t="str">
        <f aca="false">IF(AH144,Strike2/BB144-1,"")</f>
        <v/>
      </c>
      <c r="BE144" s="326" t="str">
        <f aca="false">IF(AH144,IF(VolOverrideEuro,VolOverrideEuro,IF(ProductGroup=1,IF(Product&lt;3,DA144,DE144)+VolSpreadEuro,"N/A")),"")</f>
        <v/>
      </c>
      <c r="BF144" s="323" t="str">
        <f aca="false">IF($AH144,$BE144+IF(SkewFlag=1,IF(BC144&gt;0,$AA144*MIN(BC144/10%,1)+($Z144-$AA144)*MAX(0,MIN(BC144/10%-1,1))+($Y144-$Z144)*MAX(0,BC144/10%-2),$AB144*MIN(-BC144/10%,1)+($AC144-$AB144)*MAX(0,MIN(-BC144/10%-1,1))+($AD144-$AC144)*MAX(0,-BC144/10%-2)),0),"")</f>
        <v/>
      </c>
      <c r="BG144" s="323" t="str">
        <f aca="false">IF($AH144,$BE144+IF(SkewFlag=1,IF(BD144&gt;0,$AA144*MIN(BD144/10%,1)+($Z144-$AA144)*MAX(0,MIN(BD144/10%-1,1))+($Y144-$Z144)*MAX(0,BD144/10%-2),$AB144*MIN(-BD144/10%,1)+($AC144-$AB144)*MAX(0,MIN(-BD144/10%-1,1))+($AD144-$AC144)*MAX(0,-BD144/10%-2)),0),"")</f>
        <v/>
      </c>
      <c r="BH144" s="324" t="n">
        <f aca="false">IF(AH144,xEURO(BB144,Strike1,AE144,AE144,BF144,O144,IF(OptControl=4,0,1),0),0)</f>
        <v>0</v>
      </c>
      <c r="BI144" s="324" t="n">
        <f aca="false">IF(AH144,xEURO(BB144,Strike1,AE144,AE144,BF144,O144,IF(OptControl=4,0,1),1),0)</f>
        <v>0</v>
      </c>
      <c r="BJ144" s="324" t="n">
        <f aca="false">IF(AH144,xEURO(BB144,Strike1,AE144,AE144,BF144,O144,IF(OptControl=4,0,1),2),0)</f>
        <v>0</v>
      </c>
      <c r="BK144" s="324" t="n">
        <f aca="false">IF(AH144,xEURO(BB144,Strike1,AE144,AE144,BF144,O144,IF(OptControl=4,0,1),3)/100,0)</f>
        <v>0</v>
      </c>
      <c r="BL144" s="324" t="n">
        <f aca="false">IF(AH144,xEURO(BB144,Strike1,AE144,AE144,BF144,O144-DaysForThetaCalculation,IF(OptControl=4,0,1),0)-xEURO(BB144,Strike1,AE144,AE144,BF144,O144,IF(OptControl=4,0,1),0),0)</f>
        <v>0</v>
      </c>
      <c r="BM144" s="324" t="n">
        <f aca="false">IF(AH144,xEURO(BB144,Strike2,AE144,AE144,BG144,O144,IF(OptControl=3,1,0),0),0)</f>
        <v>0</v>
      </c>
      <c r="BN144" s="324" t="n">
        <f aca="false">IF(AH144,xEURO(BB144,Strike2,AE144,AE144,BG144,O144,IF(OptControl=3,1,0),1),0)</f>
        <v>0</v>
      </c>
      <c r="BO144" s="324" t="n">
        <f aca="false">IF(AH144,xEURO(BB144,Strike2,AE144,AE144,BG144,O144,IF(OptControl=3,1,0),2),0)</f>
        <v>0</v>
      </c>
      <c r="BP144" s="324" t="n">
        <f aca="false">IF(AH144,xEURO(BB144,Strike2,AE144,AE144,BG144,O144,IF(OptControl=3,1,0),3)/100,0)</f>
        <v>0</v>
      </c>
      <c r="BQ144" s="327" t="n">
        <f aca="false">IF(AH144,xEURO(BB144,Strike2,AE144,AE144,BG144,O144-DaysForThetaCalculation,IF(OptControl=3,1,0),0)-xEURO(BB144,Strike2,AE144,AE144,BG144,O144,IF(OptControl=3,1,0),0),0)</f>
        <v>0</v>
      </c>
      <c r="BR144" s="343"/>
      <c r="BS144" s="314"/>
      <c r="BT144" s="329" t="n">
        <f aca="false">BS144*100/42</f>
        <v>0</v>
      </c>
      <c r="BU144" s="329" t="n">
        <f aca="false">BS145-$U144</f>
        <v>-29.2363636363639</v>
      </c>
      <c r="BV144" s="224"/>
      <c r="BW144" s="329" t="n">
        <f aca="false">BW132+VLOOKUP(1900+$L144,ProductSpreadTable,2)</f>
        <v>12.7388181818182</v>
      </c>
      <c r="BX144" s="329" t="n">
        <f aca="false">($V143+BW143)*100/42</f>
        <v>100.716883116882</v>
      </c>
      <c r="BY144" s="332" t="n">
        <f aca="false">BX145</f>
        <v>99.9409090909097</v>
      </c>
      <c r="BZ144" s="314"/>
      <c r="CA144" s="329" t="n">
        <f aca="false">BZ144*100/42</f>
        <v>0</v>
      </c>
      <c r="CB144" s="329" t="n">
        <f aca="false">BZ144-$U144</f>
        <v>-29.2363636363639</v>
      </c>
      <c r="CC144" s="329" t="n">
        <f aca="false">CC132+VLOOKUP(1900+$L144,ProductSpreadTable,3)</f>
        <v>10.4288181818182</v>
      </c>
      <c r="CD144" s="329" t="n">
        <f aca="false">($V144+CC144)*100/42</f>
        <v>94.4409090909097</v>
      </c>
      <c r="CE144" s="333" t="n">
        <f aca="false">CD144-BY144</f>
        <v>-5.5</v>
      </c>
      <c r="CF144" s="314"/>
      <c r="CG144" s="329" t="n">
        <f aca="false">CF144*100/42</f>
        <v>0</v>
      </c>
      <c r="CH144" s="329" t="n">
        <f aca="false">CF145-$U144</f>
        <v>-29.2363636363639</v>
      </c>
      <c r="CI144" s="224"/>
      <c r="CJ144" s="329" t="n">
        <f aca="false">CJ132+VLOOKUP(1900+$L144,ProductSpreadTable,4)</f>
        <v>11.5968181818182</v>
      </c>
      <c r="CK144" s="329" t="n">
        <f aca="false">($V143+CJ143)*100/42</f>
        <v>95.6978354978342</v>
      </c>
      <c r="CL144" s="329" t="n">
        <f aca="false">CK145</f>
        <v>97.2218614718621</v>
      </c>
      <c r="CM144" s="314"/>
      <c r="CN144" s="329" t="n">
        <f aca="false">CM144*100/42</f>
        <v>0</v>
      </c>
      <c r="CO144" s="329" t="n">
        <f aca="false">CM144-$U144</f>
        <v>-29.2363636363639</v>
      </c>
      <c r="CP144" s="329" t="n">
        <f aca="false">CP132+VLOOKUP(1900+$L144,ProductSpreadTable,5)</f>
        <v>10.3998181818182</v>
      </c>
      <c r="CQ144" s="329" t="n">
        <f aca="false">($V144+CP144)*100/42</f>
        <v>94.3718614718621</v>
      </c>
      <c r="CR144" s="333" t="n">
        <f aca="false">CQ144-CL144</f>
        <v>-2.85000000000001</v>
      </c>
      <c r="CS144" s="314"/>
      <c r="CT144" s="329" t="n">
        <f aca="false">CS144*100/42</f>
        <v>0</v>
      </c>
      <c r="CU144" s="329" t="n">
        <f aca="false">CT144-CG145</f>
        <v>0</v>
      </c>
      <c r="CV144" s="329" t="n">
        <f aca="false">CV132+VLOOKUP(1900+$L144,ProductSpreadTable,6)</f>
        <v>2.25000000000001</v>
      </c>
      <c r="CW144" s="333" t="n">
        <f aca="false">CL144+CV144</f>
        <v>99.4718614718621</v>
      </c>
      <c r="CX144" s="318"/>
      <c r="CY144" s="326" t="n">
        <f aca="false">CX144-$W144</f>
        <v>-0.162099999999999</v>
      </c>
      <c r="CZ144" s="326" t="n">
        <f aca="false">VLOOKUP(1900+$L144,ProductSpreadTable,7)</f>
        <v>-0.03</v>
      </c>
      <c r="DA144" s="365" t="n">
        <f aca="false">$W144+CZ144</f>
        <v>0.132099999999999</v>
      </c>
      <c r="DB144" s="318"/>
      <c r="DC144" s="326" t="n">
        <f aca="false">DB144-$W144</f>
        <v>-0.162099999999999</v>
      </c>
      <c r="DD144" s="326" t="n">
        <f aca="false">VLOOKUP(1900+$L144,ProductSpreadTable,8)</f>
        <v>0.03</v>
      </c>
      <c r="DE144" s="365" t="n">
        <f aca="false">$W144+DD144</f>
        <v>0.192099999999999</v>
      </c>
      <c r="DG144" s="336"/>
      <c r="DH144" s="314"/>
      <c r="DI144" s="325" t="n">
        <f aca="false">DH144-$U144</f>
        <v>-29.2363636363639</v>
      </c>
      <c r="DJ144" s="325" t="n">
        <f aca="false">VLOOKUP(1900+$L144,ResidSpreadTable,2)</f>
        <v>-2</v>
      </c>
      <c r="DK144" s="337" t="n">
        <f aca="false">$V144+DJ144</f>
        <v>27.2363636363639</v>
      </c>
      <c r="DL144" s="314"/>
      <c r="DM144" s="325" t="n">
        <f aca="false">DL144-$U144</f>
        <v>-29.2363636363639</v>
      </c>
      <c r="DN144" s="325" t="n">
        <f aca="false">VLOOKUP(1900+$L144,ResidSpreadTable,3)</f>
        <v>-3</v>
      </c>
      <c r="DO144" s="337" t="n">
        <f aca="false">$V144+DN144</f>
        <v>26.2363636363639</v>
      </c>
      <c r="DP144" s="314"/>
      <c r="DQ144" s="325" t="n">
        <f aca="false">DP144-$U144</f>
        <v>-29.2363636363639</v>
      </c>
      <c r="DR144" s="325" t="n">
        <f aca="false">VLOOKUP(1900+$L144,ResidSpreadTable,4)</f>
        <v>-6</v>
      </c>
      <c r="DS144" s="337" t="n">
        <f aca="false">$V144+DR144</f>
        <v>23.2363636363639</v>
      </c>
      <c r="DT144" s="314"/>
      <c r="DU144" s="325" t="n">
        <f aca="false">DT144-$U144</f>
        <v>-29.2363636363639</v>
      </c>
      <c r="DV144" s="325" t="n">
        <f aca="false">VLOOKUP(1900+$L144,ResidSpreadTable,5)</f>
        <v>-5</v>
      </c>
      <c r="DW144" s="337" t="n">
        <f aca="false">$V144+DV144</f>
        <v>24.2363636363639</v>
      </c>
    </row>
    <row r="145" customFormat="false" ht="12.75" hidden="false" customHeight="false" outlineLevel="0" collapsed="false">
      <c r="B145" s="371" t="n">
        <v>39965</v>
      </c>
      <c r="C145" s="391" t="n">
        <v>39955</v>
      </c>
      <c r="I145" s="338" t="n">
        <f aca="false">EOMONTH(I144,0)+1</f>
        <v>50161</v>
      </c>
      <c r="J145" s="389" t="n">
        <f aca="false">VLOOKUP(I145,$B$12:$C$332,2)</f>
        <v>45644</v>
      </c>
      <c r="K145" s="339" t="n">
        <f aca="false">NETWORKDAYS(I145,J146)/N145</f>
        <v>-153.714285714286</v>
      </c>
      <c r="L145" s="309" t="n">
        <f aca="false">YEAR(I145)-1900</f>
        <v>137</v>
      </c>
      <c r="M145" s="310" t="n">
        <f aca="false">MONTH(I145)</f>
        <v>5</v>
      </c>
      <c r="N145" s="340" t="n">
        <f aca="false">NETWORKDAYS(I145,I146-1)</f>
        <v>21</v>
      </c>
      <c r="O145" s="341" t="n">
        <f aca="false">I145-DateToday-IF(EuroExpDateToggle=1,3+IF(WEEKDAY(I145-1)=7,1,IF(WEEKDAY(I145-1)&lt;5,2,0)),1+IF(WEEKDAY(I145-1)=7,1,IF(WEEKDAY(I145-1)&lt;3,2,0)))</f>
        <v>4232</v>
      </c>
      <c r="P145" s="342" t="n">
        <f aca="false">(I145-DateToday+1)/365.25</f>
        <v>11.5975359342916</v>
      </c>
      <c r="Q145" s="342" t="n">
        <f aca="false">(I146-DateToday)/365.25</f>
        <v>11.6796714579055</v>
      </c>
      <c r="R145" s="314" t="n">
        <v>21.9</v>
      </c>
      <c r="S145" s="347" t="n">
        <v>0</v>
      </c>
      <c r="T145" s="316" t="n">
        <f aca="false">R145+S145/100</f>
        <v>21.9</v>
      </c>
      <c r="U145" s="325" t="n">
        <f aca="false">R146*K145+R147*(1-K145)</f>
        <v>29.6857142857143</v>
      </c>
      <c r="V145" s="337" t="n">
        <f aca="false">T146*K145+T147*(1-K145)</f>
        <v>29.6857142857143</v>
      </c>
      <c r="W145" s="318" t="n">
        <v>0.161699999999999</v>
      </c>
      <c r="X145" s="319" t="str">
        <f aca="false">IF($I145-DateToday+1&gt;=$A$10,"",IF($I145-DateToday+1&lt;$A$5,1,MATCH($I145-DateToday+1,$A$5:$A$10)))</f>
        <v/>
      </c>
      <c r="Y145" s="348" t="n">
        <f aca="false">IF($X145="",Y144^2/Y143,INDEX(B$5:B$10,$X145)^((INDEX($A$5:$A$10,$X145+1)-($I145-DateToday+1))/(INDEX($A$5:$A$10,$X145+1)-INDEX($A$5:$A$10,$X145)))/INDEX(B$5:B$10,$X145+1)^((INDEX($A$5:$A$10,$X145)-($I145-DateToday+1))/(INDEX($A$5:$A$10,$X145+1)-INDEX($A$5:$A$10,$X145))))</f>
        <v>0.000757084545752709</v>
      </c>
      <c r="Z145" s="348" t="n">
        <f aca="false">IF($X145="",Z144^2/Z143,INDEX(C$5:C$10,$X145)^((INDEX($A$5:$A$10,$X145+1)-($I145-DateToday+1))/(INDEX($A$5:$A$10,$X145+1)-INDEX($A$5:$A$10,$X145)))/INDEX(C$5:C$10,$X145+1)^((INDEX($A$5:$A$10,$X145)-($I145-DateToday+1))/(INDEX($A$5:$A$10,$X145+1)-INDEX($A$5:$A$10,$X145))))</f>
        <v>0.000221019669747575</v>
      </c>
      <c r="AA145" s="348" t="n">
        <f aca="false">IF($X145="",AA144^2/AA143,INDEX(D$5:D$10,$X145)^((INDEX($A$5:$A$10,$X145+1)-($I145-DateToday+1))/(INDEX($A$5:$A$10,$X145+1)-INDEX($A$5:$A$10,$X145)))/INDEX(D$5:D$10,$X145+1)^((INDEX($A$5:$A$10,$X145)-($I145-DateToday+1))/(INDEX($A$5:$A$10,$X145+1)-INDEX($A$5:$A$10,$X145))))</f>
        <v>7.25016091853679E-005</v>
      </c>
      <c r="AB145" s="348" t="n">
        <f aca="false">IF($X145="",AB144^2/AB143,INDEX(E$5:E$10,$X145)^((INDEX($A$5:$A$10,$X145+1)-($I145-DateToday+1))/(INDEX($A$5:$A$10,$X145+1)-INDEX($A$5:$A$10,$X145)))/INDEX(E$5:E$10,$X145+1)^((INDEX($A$5:$A$10,$X145)-($I145-DateToday+1))/(INDEX($A$5:$A$10,$X145+1)-INDEX($A$5:$A$10,$X145))))</f>
        <v>0.000163331625172807</v>
      </c>
      <c r="AC145" s="348" t="n">
        <f aca="false">IF($X145="",AC144^2/AC143,INDEX(F$5:F$10,$X145)^((INDEX($A$5:$A$10,$X145+1)-($I145-DateToday+1))/(INDEX($A$5:$A$10,$X145+1)-INDEX($A$5:$A$10,$X145)))/INDEX(F$5:F$10,$X145+1)^((INDEX($A$5:$A$10,$X145)-($I145-DateToday+1))/(INDEX($A$5:$A$10,$X145+1)-INDEX($A$5:$A$10,$X145))))</f>
        <v>0.000497913112007332</v>
      </c>
      <c r="AD145" s="348" t="n">
        <f aca="false">IF($X145="",AD144^2/AD143,INDEX(G$5:G$10,$X145)^((INDEX($A$5:$A$10,$X145+1)-($I145-DateToday+1))/(INDEX($A$5:$A$10,$X145+1)-INDEX($A$5:$A$10,$X145)))/INDEX(G$5:G$10,$X145+1)^((INDEX($A$5:$A$10,$X145)-($I145-DateToday+1))/(INDEX($A$5:$A$10,$X145+1)-INDEX($A$5:$A$10,$X145))))</f>
        <v>0.00170556006467155</v>
      </c>
      <c r="AE145" s="321" t="n">
        <v>0.07370222917504</v>
      </c>
      <c r="AF145" s="316" t="n">
        <f aca="false">(1+AE145/2)^(-2*(I146-DateToday)/365.25)</f>
        <v>0.429413060802453</v>
      </c>
      <c r="AG145" s="316" t="n">
        <f aca="false">AG144*(1+IF(AND(M145=1,L145&gt;YearStart),Escalation,0))</f>
        <v>1</v>
      </c>
      <c r="AH145" s="322" t="n">
        <f aca="false">IF(OR(DateStart&gt;=I146,DateEnd&lt;I145),0,Volume*AG145)</f>
        <v>0</v>
      </c>
      <c r="AI145" s="322" t="n">
        <f aca="false">AH145*AF145</f>
        <v>0</v>
      </c>
      <c r="AJ145" s="322" t="n">
        <f aca="false">IF(OR(DateStart2&gt;=I146,DateEnd2&lt;I145),0,VolumeSwaption*AG145)</f>
        <v>0</v>
      </c>
      <c r="AK145" s="322" t="n">
        <f aca="false">AJ145*AF145</f>
        <v>0</v>
      </c>
      <c r="AL145" s="316" t="str">
        <f aca="true">IF(AH145,OFFSET(BY145,0,HorizontalPriceOffset)+PriceSpreadAsian,"")</f>
        <v/>
      </c>
      <c r="AM145" s="316" t="str">
        <f aca="false">IF(AH145,Strike1/AL145-1,"")</f>
        <v/>
      </c>
      <c r="AN145" s="316" t="str">
        <f aca="false">IF(AH145,Strike2/AL145-1,"")</f>
        <v/>
      </c>
      <c r="AO145" s="323" t="str">
        <f aca="false">IF(AH145,IF(VolOverrideAsian,VolOverrideAsian,IF(ProductGroup=1,IF(Product&lt;3,DA146,DE146),W146)+VolSpreadAsian),"")</f>
        <v/>
      </c>
      <c r="AP145" s="323" t="str">
        <f aca="false">IF($AH145,$AO145+IF(SkewFlag=1,IF(AM145&gt;0,$AA145*MIN(AM145/10%,1)+($Z145-$AA145)*MAX(0,MIN(AM145/10%-1,1))+($Y145-$Z145)*MAX(0,AM145/10%-2),$AB145*MIN(-AM145/10%,1)+($AC145-$AB145)*MAX(0,MIN(-AM145/10%-1,1))+($AD145-$AC145)*MAX(0,-AM145/10%-2)),0),"")</f>
        <v/>
      </c>
      <c r="AQ145" s="323" t="str">
        <f aca="false">IF($AH145,$AO145+IF(SkewFlag=1,IF(AN145&gt;0,$AA145*MIN(AN145/10%,1)+($Z145-$AA145)*MAX(0,MIN(AN145/10%-1,1))+($Y145-$Z145)*MAX(0,AN145/10%-2),$AB145*MIN(-AN145/10%,1)+($AC145-$AB145)*MAX(0,MIN(-AN145/10%-1,1))+($AD145-$AC145)*MAX(0,-AN145/10%-2)),0),"")</f>
        <v/>
      </c>
      <c r="AR145" s="324" t="n">
        <f aca="false">IF(AH145,xASN(AL145,Strike1,AE145,AP145,0,N145,0,P145,Q145,IF(OptControl=4,0,1),0),0)</f>
        <v>0</v>
      </c>
      <c r="AS145" s="324" t="n">
        <f aca="false">IF(AH145,xASN(AL145,Strike1,AE145,AP145,0,N145,0,P145,Q145,IF(OptControl=4,0,1),1),0)</f>
        <v>0</v>
      </c>
      <c r="AT145" s="324" t="n">
        <f aca="false">IF(AH145,xASN(AL145,Strike1,AE145,AP145,0,N145,0,P145,Q145,IF(OptControl=4,0,1),2),0)</f>
        <v>0</v>
      </c>
      <c r="AU145" s="324" t="n">
        <f aca="false">IF(AH145,xASN(AL145,Strike1,AE145,AP145,0,N145,0,P145,Q145,IF(OptControl=4,0,1),3)/100,0)</f>
        <v>0</v>
      </c>
      <c r="AV145" s="324" t="n">
        <f aca="false">IF(AH145,xASN(AL145,Strike1,AE145,AP145,0,N145,0,P145-DaysForThetaCalculation/365.25,Q145-DaysForThetaCalculation/365.25,IF(OptControl=4,0,1),0)-xASN(AL145,Strike1,AE145,AP145,0,N145,0,P145,Q145,IF(OptControl=4,0,1),0),0)</f>
        <v>0</v>
      </c>
      <c r="AW145" s="324" t="n">
        <f aca="false">IF(AH145,xASN(AL145,Strike2,AE145,AQ145,0,N145,0,P145,Q145,IF(OptControl=3,1,0),0),0)</f>
        <v>0</v>
      </c>
      <c r="AX145" s="324" t="n">
        <f aca="false">IF(AH145,xASN(AL145,Strike2,AE145,AQ145,0,N145,0,P145,Q145,IF(OptControl=3,1,0),1),0)</f>
        <v>0</v>
      </c>
      <c r="AY145" s="324" t="n">
        <f aca="false">IF(AH145,xASN(AL145,Strike2,AE145,AQ145,0,N145,0,P145,Q145,IF(OptControl=3,1,0),2),0)</f>
        <v>0</v>
      </c>
      <c r="AZ145" s="324" t="n">
        <f aca="false">IF(AH145,xASN(AL145,Strike2,AE145,AQ145,0,N145,0,P145,Q145,IF(OptControl=3,1,0),3)/100,0)</f>
        <v>0</v>
      </c>
      <c r="BA145" s="324" t="n">
        <f aca="false">IF(AH145,xASN(AL145,Strike2,AE145,AQ145,0,N145,0,P145-DaysForThetaCalculation/365.25,Q145-DaysForThetaCalculation/365.25,IF(OptControl=3,1,0),0)-xASN(AL145,Strike2,AE145,AQ145,0,N145,0,P145,Q145,IF(OptControl=3,1,0),0),0)</f>
        <v>0</v>
      </c>
      <c r="BB145" s="325" t="str">
        <f aca="false">IF(AH145,IF(ProductGroup=1,IF(Product=1,BX145+PriceSpreadEuro,IF(Product=3,CK145+PriceSpreadEuro,"N/A")),"N/A"),"")</f>
        <v/>
      </c>
      <c r="BC145" s="316" t="str">
        <f aca="false">IF(AH145,Strike1/BB145-1,"")</f>
        <v/>
      </c>
      <c r="BD145" s="316" t="str">
        <f aca="false">IF(AH145,Strike2/BB145-1,"")</f>
        <v/>
      </c>
      <c r="BE145" s="326" t="str">
        <f aca="false">IF(AH145,IF(VolOverrideEuro,VolOverrideEuro,IF(ProductGroup=1,IF(Product&lt;3,DA145,DE145)+VolSpreadEuro,"N/A")),"")</f>
        <v/>
      </c>
      <c r="BF145" s="323" t="str">
        <f aca="false">IF($AH145,$BE145+IF(SkewFlag=1,IF(BC145&gt;0,$AA145*MIN(BC145/10%,1)+($Z145-$AA145)*MAX(0,MIN(BC145/10%-1,1))+($Y145-$Z145)*MAX(0,BC145/10%-2),$AB145*MIN(-BC145/10%,1)+($AC145-$AB145)*MAX(0,MIN(-BC145/10%-1,1))+($AD145-$AC145)*MAX(0,-BC145/10%-2)),0),"")</f>
        <v/>
      </c>
      <c r="BG145" s="323" t="str">
        <f aca="false">IF($AH145,$BE145+IF(SkewFlag=1,IF(BD145&gt;0,$AA145*MIN(BD145/10%,1)+($Z145-$AA145)*MAX(0,MIN(BD145/10%-1,1))+($Y145-$Z145)*MAX(0,BD145/10%-2),$AB145*MIN(-BD145/10%,1)+($AC145-$AB145)*MAX(0,MIN(-BD145/10%-1,1))+($AD145-$AC145)*MAX(0,-BD145/10%-2)),0),"")</f>
        <v/>
      </c>
      <c r="BH145" s="324" t="n">
        <f aca="false">IF(AH145,xEURO(BB145,Strike1,AE145,AE145,BF145,O145,IF(OptControl=4,0,1),0),0)</f>
        <v>0</v>
      </c>
      <c r="BI145" s="324" t="n">
        <f aca="false">IF(AH145,xEURO(BB145,Strike1,AE145,AE145,BF145,O145,IF(OptControl=4,0,1),1),0)</f>
        <v>0</v>
      </c>
      <c r="BJ145" s="324" t="n">
        <f aca="false">IF(AH145,xEURO(BB145,Strike1,AE145,AE145,BF145,O145,IF(OptControl=4,0,1),2),0)</f>
        <v>0</v>
      </c>
      <c r="BK145" s="324" t="n">
        <f aca="false">IF(AH145,xEURO(BB145,Strike1,AE145,AE145,BF145,O145,IF(OptControl=4,0,1),3)/100,0)</f>
        <v>0</v>
      </c>
      <c r="BL145" s="324" t="n">
        <f aca="false">IF(AH145,xEURO(BB145,Strike1,AE145,AE145,BF145,O145-DaysForThetaCalculation,IF(OptControl=4,0,1),0)-xEURO(BB145,Strike1,AE145,AE145,BF145,O145,IF(OptControl=4,0,1),0),0)</f>
        <v>0</v>
      </c>
      <c r="BM145" s="324" t="n">
        <f aca="false">IF(AH145,xEURO(BB145,Strike2,AE145,AE145,BG145,O145,IF(OptControl=3,1,0),0),0)</f>
        <v>0</v>
      </c>
      <c r="BN145" s="324" t="n">
        <f aca="false">IF(AH145,xEURO(BB145,Strike2,AE145,AE145,BG145,O145,IF(OptControl=3,1,0),1),0)</f>
        <v>0</v>
      </c>
      <c r="BO145" s="324" t="n">
        <f aca="false">IF(AH145,xEURO(BB145,Strike2,AE145,AE145,BG145,O145,IF(OptControl=3,1,0),2),0)</f>
        <v>0</v>
      </c>
      <c r="BP145" s="324" t="n">
        <f aca="false">IF(AH145,xEURO(BB145,Strike2,AE145,AE145,BG145,O145,IF(OptControl=3,1,0),3)/100,0)</f>
        <v>0</v>
      </c>
      <c r="BQ145" s="327" t="n">
        <f aca="false">IF(AH145,xEURO(BB145,Strike2,AE145,AE145,BG145,O145-DaysForThetaCalculation,IF(OptControl=3,1,0),0)-xEURO(BB145,Strike2,AE145,AE145,BG145,O145,IF(OptControl=3,1,0),0),0)</f>
        <v>0</v>
      </c>
      <c r="BR145" s="343"/>
      <c r="BS145" s="314"/>
      <c r="BT145" s="329" t="n">
        <f aca="false">BS145*100/42</f>
        <v>0</v>
      </c>
      <c r="BU145" s="329" t="n">
        <f aca="false">BS146-$U145</f>
        <v>-29.6857142857143</v>
      </c>
      <c r="BV145" s="224"/>
      <c r="BW145" s="329" t="n">
        <f aca="false">BW133+VLOOKUP(1900+$L145,ProductSpreadTable,2)</f>
        <v>12.7470952380953</v>
      </c>
      <c r="BX145" s="329" t="n">
        <f aca="false">($V144+BW144)*100/42</f>
        <v>99.9409090909097</v>
      </c>
      <c r="BY145" s="332" t="n">
        <f aca="false">BX146</f>
        <v>101.030498866213</v>
      </c>
      <c r="BZ145" s="314"/>
      <c r="CA145" s="329" t="n">
        <f aca="false">BZ145*100/42</f>
        <v>0</v>
      </c>
      <c r="CB145" s="329" t="n">
        <f aca="false">BZ145-$U145</f>
        <v>-29.6857142857143</v>
      </c>
      <c r="CC145" s="329" t="n">
        <f aca="false">CC133+VLOOKUP(1900+$L145,ProductSpreadTable,3)</f>
        <v>10.4370952380953</v>
      </c>
      <c r="CD145" s="329" t="n">
        <f aca="false">($V145+CC145)*100/42</f>
        <v>95.5304988662134</v>
      </c>
      <c r="CE145" s="333" t="n">
        <f aca="false">CD145-BY145</f>
        <v>-5.5</v>
      </c>
      <c r="CF145" s="314"/>
      <c r="CG145" s="329" t="n">
        <f aca="false">CF145*100/42</f>
        <v>0</v>
      </c>
      <c r="CH145" s="329" t="n">
        <f aca="false">CF146-$U145</f>
        <v>-29.6857142857143</v>
      </c>
      <c r="CI145" s="224"/>
      <c r="CJ145" s="329" t="n">
        <f aca="false">CJ133+VLOOKUP(1900+$L145,ProductSpreadTable,4)</f>
        <v>12.3190952380953</v>
      </c>
      <c r="CK145" s="329" t="n">
        <f aca="false">($V144+CJ144)*100/42</f>
        <v>97.2218614718621</v>
      </c>
      <c r="CL145" s="329" t="n">
        <f aca="false">CK146</f>
        <v>100.011451247166</v>
      </c>
      <c r="CM145" s="314"/>
      <c r="CN145" s="329" t="n">
        <f aca="false">CM145*100/42</f>
        <v>0</v>
      </c>
      <c r="CO145" s="329" t="n">
        <f aca="false">CM145-$U145</f>
        <v>-29.6857142857143</v>
      </c>
      <c r="CP145" s="329" t="n">
        <f aca="false">CP133+VLOOKUP(1900+$L145,ProductSpreadTable,5)</f>
        <v>11.1220952380953</v>
      </c>
      <c r="CQ145" s="329" t="n">
        <f aca="false">($V145+CP145)*100/42</f>
        <v>97.1614512471658</v>
      </c>
      <c r="CR145" s="333" t="n">
        <f aca="false">CQ145-CL145</f>
        <v>-2.84999999999999</v>
      </c>
      <c r="CS145" s="314"/>
      <c r="CT145" s="329" t="n">
        <f aca="false">CS145*100/42</f>
        <v>0</v>
      </c>
      <c r="CU145" s="329" t="n">
        <f aca="false">CT145-CG146</f>
        <v>0</v>
      </c>
      <c r="CV145" s="329" t="n">
        <f aca="false">CV133+VLOOKUP(1900+$L145,ProductSpreadTable,6)</f>
        <v>2.25000000000001</v>
      </c>
      <c r="CW145" s="333" t="n">
        <f aca="false">CL145+CV145</f>
        <v>102.261451247166</v>
      </c>
      <c r="CX145" s="318"/>
      <c r="CY145" s="326" t="n">
        <f aca="false">CX145-$W145</f>
        <v>-0.161699999999999</v>
      </c>
      <c r="CZ145" s="326" t="n">
        <f aca="false">VLOOKUP(1900+$L145,ProductSpreadTable,7)</f>
        <v>-0.03</v>
      </c>
      <c r="DA145" s="365" t="n">
        <f aca="false">$W145+CZ145</f>
        <v>0.131699999999999</v>
      </c>
      <c r="DB145" s="318"/>
      <c r="DC145" s="326" t="n">
        <f aca="false">DB145-$W145</f>
        <v>-0.161699999999999</v>
      </c>
      <c r="DD145" s="326" t="n">
        <f aca="false">VLOOKUP(1900+$L145,ProductSpreadTable,8)</f>
        <v>0.03</v>
      </c>
      <c r="DE145" s="365" t="n">
        <f aca="false">$W145+DD145</f>
        <v>0.191699999999999</v>
      </c>
      <c r="DG145" s="336"/>
      <c r="DH145" s="314"/>
      <c r="DI145" s="325" t="n">
        <f aca="false">DH145-$U145</f>
        <v>-29.6857142857143</v>
      </c>
      <c r="DJ145" s="325" t="n">
        <f aca="false">VLOOKUP(1900+$L145,ResidSpreadTable,2)</f>
        <v>-2</v>
      </c>
      <c r="DK145" s="337" t="n">
        <f aca="false">$V145+DJ145</f>
        <v>27.6857142857143</v>
      </c>
      <c r="DL145" s="314"/>
      <c r="DM145" s="325" t="n">
        <f aca="false">DL145-$U145</f>
        <v>-29.6857142857143</v>
      </c>
      <c r="DN145" s="325" t="n">
        <f aca="false">VLOOKUP(1900+$L145,ResidSpreadTable,3)</f>
        <v>-3</v>
      </c>
      <c r="DO145" s="337" t="n">
        <f aca="false">$V145+DN145</f>
        <v>26.6857142857143</v>
      </c>
      <c r="DP145" s="314"/>
      <c r="DQ145" s="325" t="n">
        <f aca="false">DP145-$U145</f>
        <v>-29.6857142857143</v>
      </c>
      <c r="DR145" s="325" t="n">
        <f aca="false">VLOOKUP(1900+$L145,ResidSpreadTable,4)</f>
        <v>-6</v>
      </c>
      <c r="DS145" s="337" t="n">
        <f aca="false">$V145+DR145</f>
        <v>23.6857142857143</v>
      </c>
      <c r="DT145" s="314"/>
      <c r="DU145" s="325" t="n">
        <f aca="false">DT145-$U145</f>
        <v>-29.6857142857143</v>
      </c>
      <c r="DV145" s="325" t="n">
        <f aca="false">VLOOKUP(1900+$L145,ResidSpreadTable,5)</f>
        <v>-5</v>
      </c>
      <c r="DW145" s="337" t="n">
        <f aca="false">$V145+DV145</f>
        <v>24.6857142857143</v>
      </c>
    </row>
    <row r="146" customFormat="false" ht="12.75" hidden="false" customHeight="false" outlineLevel="0" collapsed="false">
      <c r="B146" s="371" t="n">
        <v>39995</v>
      </c>
      <c r="C146" s="391" t="n">
        <v>39984</v>
      </c>
      <c r="I146" s="338" t="n">
        <f aca="false">EOMONTH(I145,0)+1</f>
        <v>50192</v>
      </c>
      <c r="J146" s="389" t="n">
        <f aca="false">VLOOKUP(I146,$B$12:$C$332,2)</f>
        <v>45644</v>
      </c>
      <c r="K146" s="339" t="n">
        <f aca="false">NETWORKDAYS(I146,J147)/N146</f>
        <v>-147.681818181818</v>
      </c>
      <c r="L146" s="309" t="n">
        <f aca="false">YEAR(I146)-1900</f>
        <v>137</v>
      </c>
      <c r="M146" s="310" t="n">
        <f aca="false">MONTH(I146)</f>
        <v>6</v>
      </c>
      <c r="N146" s="340" t="n">
        <f aca="false">NETWORKDAYS(I146,I147-1)</f>
        <v>22</v>
      </c>
      <c r="O146" s="341" t="n">
        <f aca="false">I146-DateToday-IF(EuroExpDateToggle=1,3+IF(WEEKDAY(I146-1)=7,1,IF(WEEKDAY(I146-1)&lt;5,2,0)),1+IF(WEEKDAY(I146-1)=7,1,IF(WEEKDAY(I146-1)&lt;3,2,0)))</f>
        <v>4261</v>
      </c>
      <c r="P146" s="342" t="n">
        <f aca="false">(I146-DateToday+1)/365.25</f>
        <v>11.6824093086927</v>
      </c>
      <c r="Q146" s="342" t="n">
        <f aca="false">(I147-DateToday)/365.25</f>
        <v>11.7618069815195</v>
      </c>
      <c r="R146" s="314" t="n">
        <v>21.95</v>
      </c>
      <c r="S146" s="347" t="n">
        <v>0</v>
      </c>
      <c r="T146" s="316" t="n">
        <f aca="false">R146+S146/100</f>
        <v>21.95</v>
      </c>
      <c r="U146" s="325" t="n">
        <f aca="false">R147*K146+R148*(1-K146)</f>
        <v>29.4340909090911</v>
      </c>
      <c r="V146" s="337" t="n">
        <f aca="false">T147*K146+T148*(1-K146)</f>
        <v>29.4340909090911</v>
      </c>
      <c r="W146" s="318" t="n">
        <v>0.161299999999999</v>
      </c>
      <c r="X146" s="319" t="str">
        <f aca="false">IF($I146-DateToday+1&gt;=$A$10,"",IF($I146-DateToday+1&lt;$A$5,1,MATCH($I146-DateToday+1,$A$5:$A$10)))</f>
        <v/>
      </c>
      <c r="Y146" s="348" t="n">
        <f aca="false">IF($X146="",Y145^2/Y144,INDEX(B$5:B$10,$X146)^((INDEX($A$5:$A$10,$X146+1)-($I146-DateToday+1))/(INDEX($A$5:$A$10,$X146+1)-INDEX($A$5:$A$10,$X146)))/INDEX(B$5:B$10,$X146+1)^((INDEX($A$5:$A$10,$X146)-($I146-DateToday+1))/(INDEX($A$5:$A$10,$X146+1)-INDEX($A$5:$A$10,$X146))))</f>
        <v>0.00074087651709868</v>
      </c>
      <c r="Z146" s="348" t="n">
        <f aca="false">IF($X146="",Z145^2/Z144,INDEX(C$5:C$10,$X146)^((INDEX($A$5:$A$10,$X146+1)-($I146-DateToday+1))/(INDEX($A$5:$A$10,$X146+1)-INDEX($A$5:$A$10,$X146)))/INDEX(C$5:C$10,$X146+1)^((INDEX($A$5:$A$10,$X146)-($I146-DateToday+1))/(INDEX($A$5:$A$10,$X146+1)-INDEX($A$5:$A$10,$X146))))</f>
        <v>0.00021512995772177</v>
      </c>
      <c r="AA146" s="348" t="n">
        <f aca="false">IF($X146="",AA145^2/AA144,INDEX(D$5:D$10,$X146)^((INDEX($A$5:$A$10,$X146+1)-($I146-DateToday+1))/(INDEX($A$5:$A$10,$X146+1)-INDEX($A$5:$A$10,$X146)))/INDEX(D$5:D$10,$X146+1)^((INDEX($A$5:$A$10,$X146)-($I146-DateToday+1))/(INDEX($A$5:$A$10,$X146+1)-INDEX($A$5:$A$10,$X146))))</f>
        <v>7.03803538680415E-005</v>
      </c>
      <c r="AB146" s="348" t="n">
        <f aca="false">IF($X146="",AB145^2/AB144,INDEX(E$5:E$10,$X146)^((INDEX($A$5:$A$10,$X146+1)-($I146-DateToday+1))/(INDEX($A$5:$A$10,$X146+1)-INDEX($A$5:$A$10,$X146)))/INDEX(E$5:E$10,$X146+1)^((INDEX($A$5:$A$10,$X146)-($I146-DateToday+1))/(INDEX($A$5:$A$10,$X146+1)-INDEX($A$5:$A$10,$X146))))</f>
        <v>0.000158552861193934</v>
      </c>
      <c r="AC146" s="348" t="n">
        <f aca="false">IF($X146="",AC145^2/AC144,INDEX(F$5:F$10,$X146)^((INDEX($A$5:$A$10,$X146+1)-($I146-DateToday+1))/(INDEX($A$5:$A$10,$X146+1)-INDEX($A$5:$A$10,$X146)))/INDEX(F$5:F$10,$X146+1)^((INDEX($A$5:$A$10,$X146)-($I146-DateToday+1))/(INDEX($A$5:$A$10,$X146+1)-INDEX($A$5:$A$10,$X146))))</f>
        <v>0.0004846447687556</v>
      </c>
      <c r="AD146" s="348" t="n">
        <f aca="false">IF($X146="",AD145^2/AD144,INDEX(G$5:G$10,$X146)^((INDEX($A$5:$A$10,$X146+1)-($I146-DateToday+1))/(INDEX($A$5:$A$10,$X146+1)-INDEX($A$5:$A$10,$X146)))/INDEX(G$5:G$10,$X146+1)^((INDEX($A$5:$A$10,$X146)-($I146-DateToday+1))/(INDEX($A$5:$A$10,$X146+1)-INDEX($A$5:$A$10,$X146))))</f>
        <v>0.00166904661771976</v>
      </c>
      <c r="AE146" s="321" t="n">
        <v>0.073698395408574</v>
      </c>
      <c r="AF146" s="316" t="n">
        <f aca="false">(1+AE146/2)^(-2*(I147-DateToday)/365.25)</f>
        <v>0.426886467312176</v>
      </c>
      <c r="AG146" s="316" t="n">
        <f aca="false">AG145*(1+IF(AND(M146=1,L146&gt;YearStart),Escalation,0))</f>
        <v>1</v>
      </c>
      <c r="AH146" s="322" t="n">
        <f aca="false">IF(OR(DateStart&gt;=I147,DateEnd&lt;I146),0,Volume*AG146)</f>
        <v>0</v>
      </c>
      <c r="AI146" s="322" t="n">
        <f aca="false">AH146*AF146</f>
        <v>0</v>
      </c>
      <c r="AJ146" s="322" t="n">
        <f aca="false">IF(OR(DateStart2&gt;=I147,DateEnd2&lt;I146),0,VolumeSwaption*AG146)</f>
        <v>0</v>
      </c>
      <c r="AK146" s="322" t="n">
        <f aca="false">AJ146*AF146</f>
        <v>0</v>
      </c>
      <c r="AL146" s="316" t="str">
        <f aca="true">IF(AH146,OFFSET(BY146,0,HorizontalPriceOffset)+PriceSpreadAsian,"")</f>
        <v/>
      </c>
      <c r="AM146" s="316" t="str">
        <f aca="false">IF(AH146,Strike1/AL146-1,"")</f>
        <v/>
      </c>
      <c r="AN146" s="316" t="str">
        <f aca="false">IF(AH146,Strike2/AL146-1,"")</f>
        <v/>
      </c>
      <c r="AO146" s="323" t="str">
        <f aca="false">IF(AH146,IF(VolOverrideAsian,VolOverrideAsian,IF(ProductGroup=1,IF(Product&lt;3,DA147,DE147),W147)+VolSpreadAsian),"")</f>
        <v/>
      </c>
      <c r="AP146" s="323" t="str">
        <f aca="false">IF($AH146,$AO146+IF(SkewFlag=1,IF(AM146&gt;0,$AA146*MIN(AM146/10%,1)+($Z146-$AA146)*MAX(0,MIN(AM146/10%-1,1))+($Y146-$Z146)*MAX(0,AM146/10%-2),$AB146*MIN(-AM146/10%,1)+($AC146-$AB146)*MAX(0,MIN(-AM146/10%-1,1))+($AD146-$AC146)*MAX(0,-AM146/10%-2)),0),"")</f>
        <v/>
      </c>
      <c r="AQ146" s="323" t="str">
        <f aca="false">IF($AH146,$AO146+IF(SkewFlag=1,IF(AN146&gt;0,$AA146*MIN(AN146/10%,1)+($Z146-$AA146)*MAX(0,MIN(AN146/10%-1,1))+($Y146-$Z146)*MAX(0,AN146/10%-2),$AB146*MIN(-AN146/10%,1)+($AC146-$AB146)*MAX(0,MIN(-AN146/10%-1,1))+($AD146-$AC146)*MAX(0,-AN146/10%-2)),0),"")</f>
        <v/>
      </c>
      <c r="AR146" s="324" t="n">
        <f aca="false">IF(AH146,xASN(AL146,Strike1,AE146,AP146,0,N146,0,P146,Q146,IF(OptControl=4,0,1),0),0)</f>
        <v>0</v>
      </c>
      <c r="AS146" s="324" t="n">
        <f aca="false">IF(AH146,xASN(AL146,Strike1,AE146,AP146,0,N146,0,P146,Q146,IF(OptControl=4,0,1),1),0)</f>
        <v>0</v>
      </c>
      <c r="AT146" s="324" t="n">
        <f aca="false">IF(AH146,xASN(AL146,Strike1,AE146,AP146,0,N146,0,P146,Q146,IF(OptControl=4,0,1),2),0)</f>
        <v>0</v>
      </c>
      <c r="AU146" s="324" t="n">
        <f aca="false">IF(AH146,xASN(AL146,Strike1,AE146,AP146,0,N146,0,P146,Q146,IF(OptControl=4,0,1),3)/100,0)</f>
        <v>0</v>
      </c>
      <c r="AV146" s="324" t="n">
        <f aca="false">IF(AH146,xASN(AL146,Strike1,AE146,AP146,0,N146,0,P146-DaysForThetaCalculation/365.25,Q146-DaysForThetaCalculation/365.25,IF(OptControl=4,0,1),0)-xASN(AL146,Strike1,AE146,AP146,0,N146,0,P146,Q146,IF(OptControl=4,0,1),0),0)</f>
        <v>0</v>
      </c>
      <c r="AW146" s="324" t="n">
        <f aca="false">IF(AH146,xASN(AL146,Strike2,AE146,AQ146,0,N146,0,P146,Q146,IF(OptControl=3,1,0),0),0)</f>
        <v>0</v>
      </c>
      <c r="AX146" s="324" t="n">
        <f aca="false">IF(AH146,xASN(AL146,Strike2,AE146,AQ146,0,N146,0,P146,Q146,IF(OptControl=3,1,0),1),0)</f>
        <v>0</v>
      </c>
      <c r="AY146" s="324" t="n">
        <f aca="false">IF(AH146,xASN(AL146,Strike2,AE146,AQ146,0,N146,0,P146,Q146,IF(OptControl=3,1,0),2),0)</f>
        <v>0</v>
      </c>
      <c r="AZ146" s="324" t="n">
        <f aca="false">IF(AH146,xASN(AL146,Strike2,AE146,AQ146,0,N146,0,P146,Q146,IF(OptControl=3,1,0),3)/100,0)</f>
        <v>0</v>
      </c>
      <c r="BA146" s="324" t="n">
        <f aca="false">IF(AH146,xASN(AL146,Strike2,AE146,AQ146,0,N146,0,P146-DaysForThetaCalculation/365.25,Q146-DaysForThetaCalculation/365.25,IF(OptControl=3,1,0),0)-xASN(AL146,Strike2,AE146,AQ146,0,N146,0,P146,Q146,IF(OptControl=3,1,0),0),0)</f>
        <v>0</v>
      </c>
      <c r="BB146" s="325" t="str">
        <f aca="false">IF(AH146,IF(ProductGroup=1,IF(Product=1,BX146+PriceSpreadEuro,IF(Product=3,CK146+PriceSpreadEuro,"N/A")),"N/A"),"")</f>
        <v/>
      </c>
      <c r="BC146" s="316" t="str">
        <f aca="false">IF(AH146,Strike1/BB146-1,"")</f>
        <v/>
      </c>
      <c r="BD146" s="316" t="str">
        <f aca="false">IF(AH146,Strike2/BB146-1,"")</f>
        <v/>
      </c>
      <c r="BE146" s="326" t="str">
        <f aca="false">IF(AH146,IF(VolOverrideEuro,VolOverrideEuro,IF(ProductGroup=1,IF(Product&lt;3,DA146,DE146)+VolSpreadEuro,"N/A")),"")</f>
        <v/>
      </c>
      <c r="BF146" s="323" t="str">
        <f aca="false">IF($AH146,$BE146+IF(SkewFlag=1,IF(BC146&gt;0,$AA146*MIN(BC146/10%,1)+($Z146-$AA146)*MAX(0,MIN(BC146/10%-1,1))+($Y146-$Z146)*MAX(0,BC146/10%-2),$AB146*MIN(-BC146/10%,1)+($AC146-$AB146)*MAX(0,MIN(-BC146/10%-1,1))+($AD146-$AC146)*MAX(0,-BC146/10%-2)),0),"")</f>
        <v/>
      </c>
      <c r="BG146" s="323" t="str">
        <f aca="false">IF($AH146,$BE146+IF(SkewFlag=1,IF(BD146&gt;0,$AA146*MIN(BD146/10%,1)+($Z146-$AA146)*MAX(0,MIN(BD146/10%-1,1))+($Y146-$Z146)*MAX(0,BD146/10%-2),$AB146*MIN(-BD146/10%,1)+($AC146-$AB146)*MAX(0,MIN(-BD146/10%-1,1))+($AD146-$AC146)*MAX(0,-BD146/10%-2)),0),"")</f>
        <v/>
      </c>
      <c r="BH146" s="324" t="n">
        <f aca="false">IF(AH146,xEURO(BB146,Strike1,AE146,AE146,BF146,O146,IF(OptControl=4,0,1),0),0)</f>
        <v>0</v>
      </c>
      <c r="BI146" s="324" t="n">
        <f aca="false">IF(AH146,xEURO(BB146,Strike1,AE146,AE146,BF146,O146,IF(OptControl=4,0,1),1),0)</f>
        <v>0</v>
      </c>
      <c r="BJ146" s="324" t="n">
        <f aca="false">IF(AH146,xEURO(BB146,Strike1,AE146,AE146,BF146,O146,IF(OptControl=4,0,1),2),0)</f>
        <v>0</v>
      </c>
      <c r="BK146" s="324" t="n">
        <f aca="false">IF(AH146,xEURO(BB146,Strike1,AE146,AE146,BF146,O146,IF(OptControl=4,0,1),3)/100,0)</f>
        <v>0</v>
      </c>
      <c r="BL146" s="324" t="n">
        <f aca="false">IF(AH146,xEURO(BB146,Strike1,AE146,AE146,BF146,O146-DaysForThetaCalculation,IF(OptControl=4,0,1),0)-xEURO(BB146,Strike1,AE146,AE146,BF146,O146,IF(OptControl=4,0,1),0),0)</f>
        <v>0</v>
      </c>
      <c r="BM146" s="324" t="n">
        <f aca="false">IF(AH146,xEURO(BB146,Strike2,AE146,AE146,BG146,O146,IF(OptControl=3,1,0),0),0)</f>
        <v>0</v>
      </c>
      <c r="BN146" s="324" t="n">
        <f aca="false">IF(AH146,xEURO(BB146,Strike2,AE146,AE146,BG146,O146,IF(OptControl=3,1,0),1),0)</f>
        <v>0</v>
      </c>
      <c r="BO146" s="324" t="n">
        <f aca="false">IF(AH146,xEURO(BB146,Strike2,AE146,AE146,BG146,O146,IF(OptControl=3,1,0),2),0)</f>
        <v>0</v>
      </c>
      <c r="BP146" s="324" t="n">
        <f aca="false">IF(AH146,xEURO(BB146,Strike2,AE146,AE146,BG146,O146,IF(OptControl=3,1,0),3)/100,0)</f>
        <v>0</v>
      </c>
      <c r="BQ146" s="327" t="n">
        <f aca="false">IF(AH146,xEURO(BB146,Strike2,AE146,AE146,BG146,O146-DaysForThetaCalculation,IF(OptControl=3,1,0),0)-xEURO(BB146,Strike2,AE146,AE146,BG146,O146,IF(OptControl=3,1,0),0),0)</f>
        <v>0</v>
      </c>
      <c r="BR146" s="343"/>
      <c r="BS146" s="314"/>
      <c r="BT146" s="329" t="n">
        <f aca="false">BS146*100/42</f>
        <v>0</v>
      </c>
      <c r="BU146" s="329" t="n">
        <f aca="false">BS147-$U146</f>
        <v>-29.4340909090911</v>
      </c>
      <c r="BV146" s="224"/>
      <c r="BW146" s="329" t="n">
        <f aca="false">BW134+VLOOKUP(1900+$L146,ProductSpreadTable,2)</f>
        <v>12.6418181818182</v>
      </c>
      <c r="BX146" s="329" t="n">
        <f aca="false">($V145+BW145)*100/42</f>
        <v>101.030498866213</v>
      </c>
      <c r="BY146" s="332" t="n">
        <f aca="false">BX147</f>
        <v>100.180735930736</v>
      </c>
      <c r="BZ146" s="314"/>
      <c r="CA146" s="329" t="n">
        <f aca="false">BZ146*100/42</f>
        <v>0</v>
      </c>
      <c r="CB146" s="329" t="n">
        <f aca="false">BZ146-$U146</f>
        <v>-29.4340909090911</v>
      </c>
      <c r="CC146" s="329" t="n">
        <f aca="false">CC134+VLOOKUP(1900+$L146,ProductSpreadTable,3)</f>
        <v>10.3318181818182</v>
      </c>
      <c r="CD146" s="329" t="n">
        <f aca="false">($V146+CC146)*100/42</f>
        <v>94.6807359307364</v>
      </c>
      <c r="CE146" s="333" t="n">
        <f aca="false">CD146-BY146</f>
        <v>-5.49999999999999</v>
      </c>
      <c r="CF146" s="314"/>
      <c r="CG146" s="329" t="n">
        <f aca="false">CF146*100/42</f>
        <v>0</v>
      </c>
      <c r="CH146" s="329" t="n">
        <f aca="false">CF147-$U146</f>
        <v>-29.4340909090911</v>
      </c>
      <c r="CI146" s="224"/>
      <c r="CJ146" s="329" t="n">
        <f aca="false">CJ134+VLOOKUP(1900+$L146,ProductSpreadTable,4)</f>
        <v>12.4028181818182</v>
      </c>
      <c r="CK146" s="329" t="n">
        <f aca="false">($V145+CJ145)*100/42</f>
        <v>100.011451247166</v>
      </c>
      <c r="CL146" s="329" t="n">
        <f aca="false">CK147</f>
        <v>99.6116883116888</v>
      </c>
      <c r="CM146" s="314"/>
      <c r="CN146" s="329" t="n">
        <f aca="false">CM146*100/42</f>
        <v>0</v>
      </c>
      <c r="CO146" s="329" t="n">
        <f aca="false">CM146-$U146</f>
        <v>-29.4340909090911</v>
      </c>
      <c r="CP146" s="329" t="n">
        <f aca="false">CP134+VLOOKUP(1900+$L146,ProductSpreadTable,5)</f>
        <v>11.2058181818182</v>
      </c>
      <c r="CQ146" s="329" t="n">
        <f aca="false">($V146+CP146)*100/42</f>
        <v>96.7616883116888</v>
      </c>
      <c r="CR146" s="333" t="n">
        <f aca="false">CQ146-CL146</f>
        <v>-2.84999999999999</v>
      </c>
      <c r="CS146" s="314"/>
      <c r="CT146" s="329" t="n">
        <f aca="false">CS146*100/42</f>
        <v>0</v>
      </c>
      <c r="CU146" s="329" t="n">
        <f aca="false">CT146-CG147</f>
        <v>0</v>
      </c>
      <c r="CV146" s="329" t="n">
        <f aca="false">CV134+VLOOKUP(1900+$L146,ProductSpreadTable,6)</f>
        <v>2.25000000000001</v>
      </c>
      <c r="CW146" s="333" t="n">
        <f aca="false">CL146+CV146</f>
        <v>101.861688311689</v>
      </c>
      <c r="CX146" s="318"/>
      <c r="CY146" s="326" t="n">
        <f aca="false">CX146-$W146</f>
        <v>-0.161299999999999</v>
      </c>
      <c r="CZ146" s="326" t="n">
        <f aca="false">VLOOKUP(1900+$L146,ProductSpreadTable,7)</f>
        <v>-0.03</v>
      </c>
      <c r="DA146" s="365" t="n">
        <f aca="false">$W146+CZ146</f>
        <v>0.131299999999999</v>
      </c>
      <c r="DB146" s="318"/>
      <c r="DC146" s="326" t="n">
        <f aca="false">DB146-$W146</f>
        <v>-0.161299999999999</v>
      </c>
      <c r="DD146" s="326" t="n">
        <f aca="false">VLOOKUP(1900+$L146,ProductSpreadTable,8)</f>
        <v>0.03</v>
      </c>
      <c r="DE146" s="365" t="n">
        <f aca="false">$W146+DD146</f>
        <v>0.191299999999999</v>
      </c>
      <c r="DG146" s="336"/>
      <c r="DH146" s="314"/>
      <c r="DI146" s="325" t="n">
        <f aca="false">DH146-$U146</f>
        <v>-29.4340909090911</v>
      </c>
      <c r="DJ146" s="325" t="n">
        <f aca="false">VLOOKUP(1900+$L146,ResidSpreadTable,2)</f>
        <v>-2</v>
      </c>
      <c r="DK146" s="337" t="n">
        <f aca="false">$V146+DJ146</f>
        <v>27.4340909090911</v>
      </c>
      <c r="DL146" s="314"/>
      <c r="DM146" s="325" t="n">
        <f aca="false">DL146-$U146</f>
        <v>-29.4340909090911</v>
      </c>
      <c r="DN146" s="325" t="n">
        <f aca="false">VLOOKUP(1900+$L146,ResidSpreadTable,3)</f>
        <v>-3</v>
      </c>
      <c r="DO146" s="337" t="n">
        <f aca="false">$V146+DN146</f>
        <v>26.4340909090911</v>
      </c>
      <c r="DP146" s="314"/>
      <c r="DQ146" s="325" t="n">
        <f aca="false">DP146-$U146</f>
        <v>-29.4340909090911</v>
      </c>
      <c r="DR146" s="325" t="n">
        <f aca="false">VLOOKUP(1900+$L146,ResidSpreadTable,4)</f>
        <v>-6</v>
      </c>
      <c r="DS146" s="337" t="n">
        <f aca="false">$V146+DR146</f>
        <v>23.4340909090911</v>
      </c>
      <c r="DT146" s="314"/>
      <c r="DU146" s="325" t="n">
        <f aca="false">DT146-$U146</f>
        <v>-29.4340909090911</v>
      </c>
      <c r="DV146" s="325" t="n">
        <f aca="false">VLOOKUP(1900+$L146,ResidSpreadTable,5)</f>
        <v>-5</v>
      </c>
      <c r="DW146" s="337" t="n">
        <f aca="false">$V146+DV146</f>
        <v>24.4340909090911</v>
      </c>
    </row>
    <row r="147" customFormat="false" ht="12.75" hidden="false" customHeight="false" outlineLevel="0" collapsed="false">
      <c r="B147" s="371" t="n">
        <v>40026</v>
      </c>
      <c r="C147" s="391" t="n">
        <v>40014</v>
      </c>
      <c r="I147" s="338" t="n">
        <f aca="false">EOMONTH(I146,0)+1</f>
        <v>50222</v>
      </c>
      <c r="J147" s="389" t="n">
        <f aca="false">VLOOKUP(I147,$B$12:$C$332,2)</f>
        <v>45644</v>
      </c>
      <c r="K147" s="339" t="n">
        <f aca="false">NETWORKDAYS(I147,J148)/N147</f>
        <v>-142.217391304348</v>
      </c>
      <c r="L147" s="309" t="n">
        <f aca="false">YEAR(I147)-1900</f>
        <v>137</v>
      </c>
      <c r="M147" s="310" t="n">
        <f aca="false">MONTH(I147)</f>
        <v>7</v>
      </c>
      <c r="N147" s="340" t="n">
        <f aca="false">NETWORKDAYS(I147,I148-1)</f>
        <v>23</v>
      </c>
      <c r="O147" s="341" t="n">
        <f aca="false">I147-DateToday-IF(EuroExpDateToggle=1,3+IF(WEEKDAY(I147-1)=7,1,IF(WEEKDAY(I147-1)&lt;5,2,0)),1+IF(WEEKDAY(I147-1)=7,1,IF(WEEKDAY(I147-1)&lt;3,2,0)))</f>
        <v>4291</v>
      </c>
      <c r="P147" s="342" t="n">
        <f aca="false">(I147-DateToday+1)/365.25</f>
        <v>11.7645448323066</v>
      </c>
      <c r="Q147" s="342" t="n">
        <f aca="false">(I148-DateToday)/365.25</f>
        <v>11.8466803559206</v>
      </c>
      <c r="R147" s="314" t="n">
        <v>22</v>
      </c>
      <c r="S147" s="347" t="n">
        <v>0</v>
      </c>
      <c r="T147" s="316" t="n">
        <f aca="false">R147+S147/100</f>
        <v>22</v>
      </c>
      <c r="U147" s="325" t="n">
        <f aca="false">R148*K147+R149*(1-K147)</f>
        <v>29.2108695652173</v>
      </c>
      <c r="V147" s="337" t="n">
        <f aca="false">T148*K147+T149*(1-K147)</f>
        <v>29.2108695652173</v>
      </c>
      <c r="W147" s="318" t="n">
        <v>0.160899999999999</v>
      </c>
      <c r="X147" s="319" t="str">
        <f aca="false">IF($I147-DateToday+1&gt;=$A$10,"",IF($I147-DateToday+1&lt;$A$5,1,MATCH($I147-DateToday+1,$A$5:$A$10)))</f>
        <v/>
      </c>
      <c r="Y147" s="348" t="n">
        <f aca="false">IF($X147="",Y146^2/Y145,INDEX(B$5:B$10,$X147)^((INDEX($A$5:$A$10,$X147+1)-($I147-DateToday+1))/(INDEX($A$5:$A$10,$X147+1)-INDEX($A$5:$A$10,$X147)))/INDEX(B$5:B$10,$X147+1)^((INDEX($A$5:$A$10,$X147)-($I147-DateToday+1))/(INDEX($A$5:$A$10,$X147+1)-INDEX($A$5:$A$10,$X147))))</f>
        <v>0.0007250154776869</v>
      </c>
      <c r="Z147" s="348" t="n">
        <f aca="false">IF($X147="",Z146^2/Z145,INDEX(C$5:C$10,$X147)^((INDEX($A$5:$A$10,$X147+1)-($I147-DateToday+1))/(INDEX($A$5:$A$10,$X147+1)-INDEX($A$5:$A$10,$X147)))/INDEX(C$5:C$10,$X147+1)^((INDEX($A$5:$A$10,$X147)-($I147-DateToday+1))/(INDEX($A$5:$A$10,$X147+1)-INDEX($A$5:$A$10,$X147))))</f>
        <v>0.00020939719420551</v>
      </c>
      <c r="AA147" s="348" t="n">
        <f aca="false">IF($X147="",AA146^2/AA145,INDEX(D$5:D$10,$X147)^((INDEX($A$5:$A$10,$X147+1)-($I147-DateToday+1))/(INDEX($A$5:$A$10,$X147+1)-INDEX($A$5:$A$10,$X147)))/INDEX(D$5:D$10,$X147+1)^((INDEX($A$5:$A$10,$X147)-($I147-DateToday+1))/(INDEX($A$5:$A$10,$X147+1)-INDEX($A$5:$A$10,$X147))))</f>
        <v>6.83211623334621E-005</v>
      </c>
      <c r="AB147" s="348" t="n">
        <f aca="false">IF($X147="",AB146^2/AB145,INDEX(E$5:E$10,$X147)^((INDEX($A$5:$A$10,$X147+1)-($I147-DateToday+1))/(INDEX($A$5:$A$10,$X147+1)-INDEX($A$5:$A$10,$X147)))/INDEX(E$5:E$10,$X147+1)^((INDEX($A$5:$A$10,$X147)-($I147-DateToday+1))/(INDEX($A$5:$A$10,$X147+1)-INDEX($A$5:$A$10,$X147))))</f>
        <v>0.000153913914504833</v>
      </c>
      <c r="AC147" s="348" t="n">
        <f aca="false">IF($X147="",AC146^2/AC145,INDEX(F$5:F$10,$X147)^((INDEX($A$5:$A$10,$X147+1)-($I147-DateToday+1))/(INDEX($A$5:$A$10,$X147+1)-INDEX($A$5:$A$10,$X147)))/INDEX(F$5:F$10,$X147+1)^((INDEX($A$5:$A$10,$X147)-($I147-DateToday+1))/(INDEX($A$5:$A$10,$X147+1)-INDEX($A$5:$A$10,$X147))))</f>
        <v>0.000471729999106169</v>
      </c>
      <c r="AD147" s="348" t="n">
        <f aca="false">IF($X147="",AD146^2/AD145,INDEX(G$5:G$10,$X147)^((INDEX($A$5:$A$10,$X147+1)-($I147-DateToday+1))/(INDEX($A$5:$A$10,$X147+1)-INDEX($A$5:$A$10,$X147)))/INDEX(G$5:G$10,$X147+1)^((INDEX($A$5:$A$10,$X147)-($I147-DateToday+1))/(INDEX($A$5:$A$10,$X147+1)-INDEX($A$5:$A$10,$X147))))</f>
        <v>0.0016333148681329</v>
      </c>
      <c r="AE147" s="321" t="n">
        <v>0.073694433849898</v>
      </c>
      <c r="AF147" s="316" t="n">
        <f aca="false">(1+AE147/2)^(-2*(I148-DateToday)/365.25)</f>
        <v>0.424291541401508</v>
      </c>
      <c r="AG147" s="316" t="n">
        <f aca="false">AG146*(1+IF(AND(M147=1,L147&gt;YearStart),Escalation,0))</f>
        <v>1</v>
      </c>
      <c r="AH147" s="322" t="n">
        <f aca="false">IF(OR(DateStart&gt;=I148,DateEnd&lt;I147),0,Volume*AG147)</f>
        <v>0</v>
      </c>
      <c r="AI147" s="322" t="n">
        <f aca="false">AH147*AF147</f>
        <v>0</v>
      </c>
      <c r="AJ147" s="322" t="n">
        <f aca="false">IF(OR(DateStart2&gt;=I148,DateEnd2&lt;I147),0,VolumeSwaption*AG147)</f>
        <v>0</v>
      </c>
      <c r="AK147" s="322" t="n">
        <f aca="false">AJ147*AF147</f>
        <v>0</v>
      </c>
      <c r="AL147" s="316" t="str">
        <f aca="true">IF(AH147,OFFSET(BY147,0,HorizontalPriceOffset)+PriceSpreadAsian,"")</f>
        <v/>
      </c>
      <c r="AM147" s="316" t="str">
        <f aca="false">IF(AH147,Strike1/AL147-1,"")</f>
        <v/>
      </c>
      <c r="AN147" s="316" t="str">
        <f aca="false">IF(AH147,Strike2/AL147-1,"")</f>
        <v/>
      </c>
      <c r="AO147" s="323" t="str">
        <f aca="false">IF(AH147,IF(VolOverrideAsian,VolOverrideAsian,IF(ProductGroup=1,IF(Product&lt;3,DA148,DE148),W148)+VolSpreadAsian),"")</f>
        <v/>
      </c>
      <c r="AP147" s="323" t="str">
        <f aca="false">IF($AH147,$AO147+IF(SkewFlag=1,IF(AM147&gt;0,$AA147*MIN(AM147/10%,1)+($Z147-$AA147)*MAX(0,MIN(AM147/10%-1,1))+($Y147-$Z147)*MAX(0,AM147/10%-2),$AB147*MIN(-AM147/10%,1)+($AC147-$AB147)*MAX(0,MIN(-AM147/10%-1,1))+($AD147-$AC147)*MAX(0,-AM147/10%-2)),0),"")</f>
        <v/>
      </c>
      <c r="AQ147" s="323" t="str">
        <f aca="false">IF($AH147,$AO147+IF(SkewFlag=1,IF(AN147&gt;0,$AA147*MIN(AN147/10%,1)+($Z147-$AA147)*MAX(0,MIN(AN147/10%-1,1))+($Y147-$Z147)*MAX(0,AN147/10%-2),$AB147*MIN(-AN147/10%,1)+($AC147-$AB147)*MAX(0,MIN(-AN147/10%-1,1))+($AD147-$AC147)*MAX(0,-AN147/10%-2)),0),"")</f>
        <v/>
      </c>
      <c r="AR147" s="324" t="n">
        <f aca="false">IF(AH147,xASN(AL147,Strike1,AE147,AP147,0,N147,0,P147,Q147,IF(OptControl=4,0,1),0),0)</f>
        <v>0</v>
      </c>
      <c r="AS147" s="324" t="n">
        <f aca="false">IF(AH147,xASN(AL147,Strike1,AE147,AP147,0,N147,0,P147,Q147,IF(OptControl=4,0,1),1),0)</f>
        <v>0</v>
      </c>
      <c r="AT147" s="324" t="n">
        <f aca="false">IF(AH147,xASN(AL147,Strike1,AE147,AP147,0,N147,0,P147,Q147,IF(OptControl=4,0,1),2),0)</f>
        <v>0</v>
      </c>
      <c r="AU147" s="324" t="n">
        <f aca="false">IF(AH147,xASN(AL147,Strike1,AE147,AP147,0,N147,0,P147,Q147,IF(OptControl=4,0,1),3)/100,0)</f>
        <v>0</v>
      </c>
      <c r="AV147" s="324" t="n">
        <f aca="false">IF(AH147,xASN(AL147,Strike1,AE147,AP147,0,N147,0,P147-DaysForThetaCalculation/365.25,Q147-DaysForThetaCalculation/365.25,IF(OptControl=4,0,1),0)-xASN(AL147,Strike1,AE147,AP147,0,N147,0,P147,Q147,IF(OptControl=4,0,1),0),0)</f>
        <v>0</v>
      </c>
      <c r="AW147" s="324" t="n">
        <f aca="false">IF(AH147,xASN(AL147,Strike2,AE147,AQ147,0,N147,0,P147,Q147,IF(OptControl=3,1,0),0),0)</f>
        <v>0</v>
      </c>
      <c r="AX147" s="324" t="n">
        <f aca="false">IF(AH147,xASN(AL147,Strike2,AE147,AQ147,0,N147,0,P147,Q147,IF(OptControl=3,1,0),1),0)</f>
        <v>0</v>
      </c>
      <c r="AY147" s="324" t="n">
        <f aca="false">IF(AH147,xASN(AL147,Strike2,AE147,AQ147,0,N147,0,P147,Q147,IF(OptControl=3,1,0),2),0)</f>
        <v>0</v>
      </c>
      <c r="AZ147" s="324" t="n">
        <f aca="false">IF(AH147,xASN(AL147,Strike2,AE147,AQ147,0,N147,0,P147,Q147,IF(OptControl=3,1,0),3)/100,0)</f>
        <v>0</v>
      </c>
      <c r="BA147" s="324" t="n">
        <f aca="false">IF(AH147,xASN(AL147,Strike2,AE147,AQ147,0,N147,0,P147-DaysForThetaCalculation/365.25,Q147-DaysForThetaCalculation/365.25,IF(OptControl=3,1,0),0)-xASN(AL147,Strike2,AE147,AQ147,0,N147,0,P147,Q147,IF(OptControl=3,1,0),0),0)</f>
        <v>0</v>
      </c>
      <c r="BB147" s="325" t="str">
        <f aca="false">IF(AH147,IF(ProductGroup=1,IF(Product=1,BX147+PriceSpreadEuro,IF(Product=3,CK147+PriceSpreadEuro,"N/A")),"N/A"),"")</f>
        <v/>
      </c>
      <c r="BC147" s="316" t="str">
        <f aca="false">IF(AH147,Strike1/BB147-1,"")</f>
        <v/>
      </c>
      <c r="BD147" s="316" t="str">
        <f aca="false">IF(AH147,Strike2/BB147-1,"")</f>
        <v/>
      </c>
      <c r="BE147" s="326" t="str">
        <f aca="false">IF(AH147,IF(VolOverrideEuro,VolOverrideEuro,IF(ProductGroup=1,IF(Product&lt;3,DA147,DE147)+VolSpreadEuro,"N/A")),"")</f>
        <v/>
      </c>
      <c r="BF147" s="323" t="str">
        <f aca="false">IF($AH147,$BE147+IF(SkewFlag=1,IF(BC147&gt;0,$AA147*MIN(BC147/10%,1)+($Z147-$AA147)*MAX(0,MIN(BC147/10%-1,1))+($Y147-$Z147)*MAX(0,BC147/10%-2),$AB147*MIN(-BC147/10%,1)+($AC147-$AB147)*MAX(0,MIN(-BC147/10%-1,1))+($AD147-$AC147)*MAX(0,-BC147/10%-2)),0),"")</f>
        <v/>
      </c>
      <c r="BG147" s="323" t="str">
        <f aca="false">IF($AH147,$BE147+IF(SkewFlag=1,IF(BD147&gt;0,$AA147*MIN(BD147/10%,1)+($Z147-$AA147)*MAX(0,MIN(BD147/10%-1,1))+($Y147-$Z147)*MAX(0,BD147/10%-2),$AB147*MIN(-BD147/10%,1)+($AC147-$AB147)*MAX(0,MIN(-BD147/10%-1,1))+($AD147-$AC147)*MAX(0,-BD147/10%-2)),0),"")</f>
        <v/>
      </c>
      <c r="BH147" s="324" t="n">
        <f aca="false">IF(AH147,xEURO(BB147,Strike1,AE147,AE147,BF147,O147,IF(OptControl=4,0,1),0),0)</f>
        <v>0</v>
      </c>
      <c r="BI147" s="324" t="n">
        <f aca="false">IF(AH147,xEURO(BB147,Strike1,AE147,AE147,BF147,O147,IF(OptControl=4,0,1),1),0)</f>
        <v>0</v>
      </c>
      <c r="BJ147" s="324" t="n">
        <f aca="false">IF(AH147,xEURO(BB147,Strike1,AE147,AE147,BF147,O147,IF(OptControl=4,0,1),2),0)</f>
        <v>0</v>
      </c>
      <c r="BK147" s="324" t="n">
        <f aca="false">IF(AH147,xEURO(BB147,Strike1,AE147,AE147,BF147,O147,IF(OptControl=4,0,1),3)/100,0)</f>
        <v>0</v>
      </c>
      <c r="BL147" s="324" t="n">
        <f aca="false">IF(AH147,xEURO(BB147,Strike1,AE147,AE147,BF147,O147-DaysForThetaCalculation,IF(OptControl=4,0,1),0)-xEURO(BB147,Strike1,AE147,AE147,BF147,O147,IF(OptControl=4,0,1),0),0)</f>
        <v>0</v>
      </c>
      <c r="BM147" s="324" t="n">
        <f aca="false">IF(AH147,xEURO(BB147,Strike2,AE147,AE147,BG147,O147,IF(OptControl=3,1,0),0),0)</f>
        <v>0</v>
      </c>
      <c r="BN147" s="324" t="n">
        <f aca="false">IF(AH147,xEURO(BB147,Strike2,AE147,AE147,BG147,O147,IF(OptControl=3,1,0),1),0)</f>
        <v>0</v>
      </c>
      <c r="BO147" s="324" t="n">
        <f aca="false">IF(AH147,xEURO(BB147,Strike2,AE147,AE147,BG147,O147,IF(OptControl=3,1,0),2),0)</f>
        <v>0</v>
      </c>
      <c r="BP147" s="324" t="n">
        <f aca="false">IF(AH147,xEURO(BB147,Strike2,AE147,AE147,BG147,O147,IF(OptControl=3,1,0),3)/100,0)</f>
        <v>0</v>
      </c>
      <c r="BQ147" s="327" t="n">
        <f aca="false">IF(AH147,xEURO(BB147,Strike2,AE147,AE147,BG147,O147-DaysForThetaCalculation,IF(OptControl=3,1,0),0)-xEURO(BB147,Strike2,AE147,AE147,BG147,O147,IF(OptControl=3,1,0),0),0)</f>
        <v>0</v>
      </c>
      <c r="BR147" s="343"/>
      <c r="BS147" s="314"/>
      <c r="BT147" s="329" t="n">
        <f aca="false">BS147*100/42</f>
        <v>0</v>
      </c>
      <c r="BU147" s="329" t="n">
        <f aca="false">BS148-$U147</f>
        <v>-29.2108695652173</v>
      </c>
      <c r="BV147" s="224"/>
      <c r="BW147" s="329" t="n">
        <f aca="false">BW135+VLOOKUP(1900+$L147,ProductSpreadTable,2)</f>
        <v>12.6238260869565</v>
      </c>
      <c r="BX147" s="329" t="n">
        <f aca="false">($V146+BW146)*100/42</f>
        <v>100.180735930736</v>
      </c>
      <c r="BY147" s="332" t="n">
        <f aca="false">BX148</f>
        <v>99.6064182194616</v>
      </c>
      <c r="BZ147" s="314"/>
      <c r="CA147" s="329" t="n">
        <f aca="false">BZ147*100/42</f>
        <v>0</v>
      </c>
      <c r="CB147" s="329" t="n">
        <f aca="false">BZ147-$U147</f>
        <v>-29.2108695652173</v>
      </c>
      <c r="CC147" s="329" t="n">
        <f aca="false">CC135+VLOOKUP(1900+$L147,ProductSpreadTable,3)</f>
        <v>11.1118260869565</v>
      </c>
      <c r="CD147" s="329" t="n">
        <f aca="false">($V147+CC147)*100/42</f>
        <v>96.0064182194615</v>
      </c>
      <c r="CE147" s="333" t="n">
        <f aca="false">CD147-BY147</f>
        <v>-3.60000000000001</v>
      </c>
      <c r="CF147" s="314"/>
      <c r="CG147" s="329" t="n">
        <f aca="false">CF147*100/42</f>
        <v>0</v>
      </c>
      <c r="CH147" s="329" t="n">
        <f aca="false">CF148-$U147</f>
        <v>-29.2108695652173</v>
      </c>
      <c r="CI147" s="224"/>
      <c r="CJ147" s="329" t="n">
        <f aca="false">CJ135+VLOOKUP(1900+$L147,ProductSpreadTable,4)</f>
        <v>11.9438260869565</v>
      </c>
      <c r="CK147" s="329" t="n">
        <f aca="false">($V146+CJ146)*100/42</f>
        <v>99.6116883116888</v>
      </c>
      <c r="CL147" s="329" t="n">
        <f aca="false">CK148</f>
        <v>97.9873706004139</v>
      </c>
      <c r="CM147" s="314"/>
      <c r="CN147" s="329" t="n">
        <f aca="false">CM147*100/42</f>
        <v>0</v>
      </c>
      <c r="CO147" s="329" t="n">
        <f aca="false">CM147-$U147</f>
        <v>-29.2108695652173</v>
      </c>
      <c r="CP147" s="329" t="n">
        <f aca="false">CP135+VLOOKUP(1900+$L147,ProductSpreadTable,5)</f>
        <v>10.8308260869565</v>
      </c>
      <c r="CQ147" s="329" t="n">
        <f aca="false">($V147+CP147)*100/42</f>
        <v>95.3373706004139</v>
      </c>
      <c r="CR147" s="333" t="n">
        <f aca="false">CQ147-CL147</f>
        <v>-2.65000000000001</v>
      </c>
      <c r="CS147" s="314"/>
      <c r="CT147" s="329" t="n">
        <f aca="false">CS147*100/42</f>
        <v>0</v>
      </c>
      <c r="CU147" s="329" t="n">
        <f aca="false">CT147-CG148</f>
        <v>0</v>
      </c>
      <c r="CV147" s="329" t="n">
        <f aca="false">CV135+VLOOKUP(1900+$L147,ProductSpreadTable,6)</f>
        <v>2.25000000000001</v>
      </c>
      <c r="CW147" s="333" t="n">
        <f aca="false">CL147+CV147</f>
        <v>100.237370600414</v>
      </c>
      <c r="CX147" s="318"/>
      <c r="CY147" s="326" t="n">
        <f aca="false">CX147-$W147</f>
        <v>-0.160899999999999</v>
      </c>
      <c r="CZ147" s="326" t="n">
        <f aca="false">VLOOKUP(1900+$L147,ProductSpreadTable,7)</f>
        <v>-0.03</v>
      </c>
      <c r="DA147" s="365" t="n">
        <f aca="false">$W147+CZ147</f>
        <v>0.130899999999999</v>
      </c>
      <c r="DB147" s="318"/>
      <c r="DC147" s="326" t="n">
        <f aca="false">DB147-$W147</f>
        <v>-0.160899999999999</v>
      </c>
      <c r="DD147" s="326" t="n">
        <f aca="false">VLOOKUP(1900+$L147,ProductSpreadTable,8)</f>
        <v>0.03</v>
      </c>
      <c r="DE147" s="365" t="n">
        <f aca="false">$W147+DD147</f>
        <v>0.190899999999999</v>
      </c>
      <c r="DG147" s="336"/>
      <c r="DH147" s="314"/>
      <c r="DI147" s="325" t="n">
        <f aca="false">DH147-$U147</f>
        <v>-29.2108695652173</v>
      </c>
      <c r="DJ147" s="325" t="n">
        <f aca="false">VLOOKUP(1900+$L147,ResidSpreadTable,2)</f>
        <v>-2</v>
      </c>
      <c r="DK147" s="337" t="n">
        <f aca="false">$V147+DJ147</f>
        <v>27.2108695652173</v>
      </c>
      <c r="DL147" s="314"/>
      <c r="DM147" s="325" t="n">
        <f aca="false">DL147-$U147</f>
        <v>-29.2108695652173</v>
      </c>
      <c r="DN147" s="325" t="n">
        <f aca="false">VLOOKUP(1900+$L147,ResidSpreadTable,3)</f>
        <v>-3</v>
      </c>
      <c r="DO147" s="337" t="n">
        <f aca="false">$V147+DN147</f>
        <v>26.2108695652173</v>
      </c>
      <c r="DP147" s="314"/>
      <c r="DQ147" s="325" t="n">
        <f aca="false">DP147-$U147</f>
        <v>-29.2108695652173</v>
      </c>
      <c r="DR147" s="325" t="n">
        <f aca="false">VLOOKUP(1900+$L147,ResidSpreadTable,4)</f>
        <v>-6</v>
      </c>
      <c r="DS147" s="337" t="n">
        <f aca="false">$V147+DR147</f>
        <v>23.2108695652173</v>
      </c>
      <c r="DT147" s="314"/>
      <c r="DU147" s="325" t="n">
        <f aca="false">DT147-$U147</f>
        <v>-29.2108695652173</v>
      </c>
      <c r="DV147" s="325" t="n">
        <f aca="false">VLOOKUP(1900+$L147,ResidSpreadTable,5)</f>
        <v>-5</v>
      </c>
      <c r="DW147" s="337" t="n">
        <f aca="false">$V147+DV147</f>
        <v>24.2108695652173</v>
      </c>
    </row>
    <row r="148" customFormat="false" ht="12.75" hidden="false" customHeight="false" outlineLevel="0" collapsed="false">
      <c r="B148" s="371" t="n">
        <v>40057</v>
      </c>
      <c r="C148" s="391" t="n">
        <v>40046</v>
      </c>
      <c r="I148" s="338" t="n">
        <f aca="false">EOMONTH(I147,0)+1</f>
        <v>50253</v>
      </c>
      <c r="J148" s="389" t="n">
        <f aca="false">VLOOKUP(I148,$B$12:$C$332,2)</f>
        <v>45644</v>
      </c>
      <c r="K148" s="339" t="n">
        <f aca="false">NETWORKDAYS(I148,J149)/N148</f>
        <v>-156.809523809524</v>
      </c>
      <c r="L148" s="309" t="n">
        <f aca="false">YEAR(I148)-1900</f>
        <v>137</v>
      </c>
      <c r="M148" s="310" t="n">
        <f aca="false">MONTH(I148)</f>
        <v>8</v>
      </c>
      <c r="N148" s="340" t="n">
        <f aca="false">NETWORKDAYS(I148,I149-1)</f>
        <v>21</v>
      </c>
      <c r="O148" s="341" t="n">
        <f aca="false">I148-DateToday-IF(EuroExpDateToggle=1,3+IF(WEEKDAY(I148-1)=7,1,IF(WEEKDAY(I148-1)&lt;5,2,0)),1+IF(WEEKDAY(I148-1)=7,1,IF(WEEKDAY(I148-1)&lt;3,2,0)))</f>
        <v>4324</v>
      </c>
      <c r="P148" s="342" t="n">
        <f aca="false">(I148-DateToday+1)/365.25</f>
        <v>11.8494182067077</v>
      </c>
      <c r="Q148" s="342" t="n">
        <f aca="false">(I149-DateToday)/365.25</f>
        <v>11.9315537303217</v>
      </c>
      <c r="R148" s="314" t="n">
        <v>22.05</v>
      </c>
      <c r="S148" s="347" t="n">
        <v>0</v>
      </c>
      <c r="T148" s="316" t="n">
        <f aca="false">R148+S148/100</f>
        <v>22.05</v>
      </c>
      <c r="U148" s="325" t="n">
        <f aca="false">R149*K148+R150*(1-K148)</f>
        <v>29.9904761904754</v>
      </c>
      <c r="V148" s="337" t="n">
        <f aca="false">T149*K148+T150*(1-K148)</f>
        <v>29.9904761904754</v>
      </c>
      <c r="W148" s="318" t="n">
        <v>0.160499999999999</v>
      </c>
      <c r="X148" s="319" t="str">
        <f aca="false">IF($I148-DateToday+1&gt;=$A$10,"",IF($I148-DateToday+1&lt;$A$5,1,MATCH($I148-DateToday+1,$A$5:$A$10)))</f>
        <v/>
      </c>
      <c r="Y148" s="348" t="n">
        <f aca="false">IF($X148="",Y147^2/Y146,INDEX(B$5:B$10,$X148)^((INDEX($A$5:$A$10,$X148+1)-($I148-DateToday+1))/(INDEX($A$5:$A$10,$X148+1)-INDEX($A$5:$A$10,$X148)))/INDEX(B$5:B$10,$X148+1)^((INDEX($A$5:$A$10,$X148)-($I148-DateToday+1))/(INDEX($A$5:$A$10,$X148+1)-INDEX($A$5:$A$10,$X148))))</f>
        <v>0.000709493999005439</v>
      </c>
      <c r="Z148" s="348" t="n">
        <f aca="false">IF($X148="",Z147^2/Z146,INDEX(C$5:C$10,$X148)^((INDEX($A$5:$A$10,$X148+1)-($I148-DateToday+1))/(INDEX($A$5:$A$10,$X148+1)-INDEX($A$5:$A$10,$X148)))/INDEX(C$5:C$10,$X148+1)^((INDEX($A$5:$A$10,$X148)-($I148-DateToday+1))/(INDEX($A$5:$A$10,$X148+1)-INDEX($A$5:$A$10,$X148))))</f>
        <v>0.000203817196849209</v>
      </c>
      <c r="AA148" s="348" t="n">
        <f aca="false">IF($X148="",AA147^2/AA146,INDEX(D$5:D$10,$X148)^((INDEX($A$5:$A$10,$X148+1)-($I148-DateToday+1))/(INDEX($A$5:$A$10,$X148+1)-INDEX($A$5:$A$10,$X148)))/INDEX(D$5:D$10,$X148+1)^((INDEX($A$5:$A$10,$X148)-($I148-DateToday+1))/(INDEX($A$5:$A$10,$X148+1)-INDEX($A$5:$A$10,$X148))))</f>
        <v>6.63222187167041E-005</v>
      </c>
      <c r="AB148" s="348" t="n">
        <f aca="false">IF($X148="",AB147^2/AB146,INDEX(E$5:E$10,$X148)^((INDEX($A$5:$A$10,$X148+1)-($I148-DateToday+1))/(INDEX($A$5:$A$10,$X148+1)-INDEX($A$5:$A$10,$X148)))/INDEX(E$5:E$10,$X148+1)^((INDEX($A$5:$A$10,$X148)-($I148-DateToday+1))/(INDEX($A$5:$A$10,$X148+1)-INDEX($A$5:$A$10,$X148))))</f>
        <v>0.000149410694325001</v>
      </c>
      <c r="AC148" s="348" t="n">
        <f aca="false">IF($X148="",AC147^2/AC146,INDEX(F$5:F$10,$X148)^((INDEX($A$5:$A$10,$X148+1)-($I148-DateToday+1))/(INDEX($A$5:$A$10,$X148+1)-INDEX($A$5:$A$10,$X148)))/INDEX(F$5:F$10,$X148+1)^((INDEX($A$5:$A$10,$X148)-($I148-DateToday+1))/(INDEX($A$5:$A$10,$X148+1)-INDEX($A$5:$A$10,$X148))))</f>
        <v>0.000459159381061894</v>
      </c>
      <c r="AD148" s="348" t="n">
        <f aca="false">IF($X148="",AD147^2/AD146,INDEX(G$5:G$10,$X148)^((INDEX($A$5:$A$10,$X148+1)-($I148-DateToday+1))/(INDEX($A$5:$A$10,$X148+1)-INDEX($A$5:$A$10,$X148)))/INDEX(G$5:G$10,$X148+1)^((INDEX($A$5:$A$10,$X148)-($I148-DateToday+1))/(INDEX($A$5:$A$10,$X148+1)-INDEX($A$5:$A$10,$X148))))</f>
        <v>0.00159834808095931</v>
      </c>
      <c r="AE148" s="321" t="n">
        <v>0.073690472291227</v>
      </c>
      <c r="AF148" s="316" t="n">
        <f aca="false">(1+AE148/2)^(-2*(I149-DateToday)/365.25)</f>
        <v>0.421712662878674</v>
      </c>
      <c r="AG148" s="316" t="n">
        <f aca="false">AG147*(1+IF(AND(M148=1,L148&gt;YearStart),Escalation,0))</f>
        <v>1</v>
      </c>
      <c r="AH148" s="322" t="n">
        <f aca="false">IF(OR(DateStart&gt;=I149,DateEnd&lt;I148),0,Volume*AG148)</f>
        <v>0</v>
      </c>
      <c r="AI148" s="322" t="n">
        <f aca="false">AH148*AF148</f>
        <v>0</v>
      </c>
      <c r="AJ148" s="322" t="n">
        <f aca="false">IF(OR(DateStart2&gt;=I149,DateEnd2&lt;I148),0,VolumeSwaption*AG148)</f>
        <v>0</v>
      </c>
      <c r="AK148" s="322" t="n">
        <f aca="false">AJ148*AF148</f>
        <v>0</v>
      </c>
      <c r="AL148" s="316" t="str">
        <f aca="true">IF(AH148,OFFSET(BY148,0,HorizontalPriceOffset)+PriceSpreadAsian,"")</f>
        <v/>
      </c>
      <c r="AM148" s="316" t="str">
        <f aca="false">IF(AH148,Strike1/AL148-1,"")</f>
        <v/>
      </c>
      <c r="AN148" s="316" t="str">
        <f aca="false">IF(AH148,Strike2/AL148-1,"")</f>
        <v/>
      </c>
      <c r="AO148" s="323" t="str">
        <f aca="false">IF(AH148,IF(VolOverrideAsian,VolOverrideAsian,IF(ProductGroup=1,IF(Product&lt;3,DA149,DE149),W149)+VolSpreadAsian),"")</f>
        <v/>
      </c>
      <c r="AP148" s="323" t="str">
        <f aca="false">IF($AH148,$AO148+IF(SkewFlag=1,IF(AM148&gt;0,$AA148*MIN(AM148/10%,1)+($Z148-$AA148)*MAX(0,MIN(AM148/10%-1,1))+($Y148-$Z148)*MAX(0,AM148/10%-2),$AB148*MIN(-AM148/10%,1)+($AC148-$AB148)*MAX(0,MIN(-AM148/10%-1,1))+($AD148-$AC148)*MAX(0,-AM148/10%-2)),0),"")</f>
        <v/>
      </c>
      <c r="AQ148" s="323" t="str">
        <f aca="false">IF($AH148,$AO148+IF(SkewFlag=1,IF(AN148&gt;0,$AA148*MIN(AN148/10%,1)+($Z148-$AA148)*MAX(0,MIN(AN148/10%-1,1))+($Y148-$Z148)*MAX(0,AN148/10%-2),$AB148*MIN(-AN148/10%,1)+($AC148-$AB148)*MAX(0,MIN(-AN148/10%-1,1))+($AD148-$AC148)*MAX(0,-AN148/10%-2)),0),"")</f>
        <v/>
      </c>
      <c r="AR148" s="324" t="n">
        <f aca="false">IF(AH148,xASN(AL148,Strike1,AE148,AP148,0,N148,0,P148,Q148,IF(OptControl=4,0,1),0),0)</f>
        <v>0</v>
      </c>
      <c r="AS148" s="324" t="n">
        <f aca="false">IF(AH148,xASN(AL148,Strike1,AE148,AP148,0,N148,0,P148,Q148,IF(OptControl=4,0,1),1),0)</f>
        <v>0</v>
      </c>
      <c r="AT148" s="324" t="n">
        <f aca="false">IF(AH148,xASN(AL148,Strike1,AE148,AP148,0,N148,0,P148,Q148,IF(OptControl=4,0,1),2),0)</f>
        <v>0</v>
      </c>
      <c r="AU148" s="324" t="n">
        <f aca="false">IF(AH148,xASN(AL148,Strike1,AE148,AP148,0,N148,0,P148,Q148,IF(OptControl=4,0,1),3)/100,0)</f>
        <v>0</v>
      </c>
      <c r="AV148" s="324" t="n">
        <f aca="false">IF(AH148,xASN(AL148,Strike1,AE148,AP148,0,N148,0,P148-DaysForThetaCalculation/365.25,Q148-DaysForThetaCalculation/365.25,IF(OptControl=4,0,1),0)-xASN(AL148,Strike1,AE148,AP148,0,N148,0,P148,Q148,IF(OptControl=4,0,1),0),0)</f>
        <v>0</v>
      </c>
      <c r="AW148" s="324" t="n">
        <f aca="false">IF(AH148,xASN(AL148,Strike2,AE148,AQ148,0,N148,0,P148,Q148,IF(OptControl=3,1,0),0),0)</f>
        <v>0</v>
      </c>
      <c r="AX148" s="324" t="n">
        <f aca="false">IF(AH148,xASN(AL148,Strike2,AE148,AQ148,0,N148,0,P148,Q148,IF(OptControl=3,1,0),1),0)</f>
        <v>0</v>
      </c>
      <c r="AY148" s="324" t="n">
        <f aca="false">IF(AH148,xASN(AL148,Strike2,AE148,AQ148,0,N148,0,P148,Q148,IF(OptControl=3,1,0),2),0)</f>
        <v>0</v>
      </c>
      <c r="AZ148" s="324" t="n">
        <f aca="false">IF(AH148,xASN(AL148,Strike2,AE148,AQ148,0,N148,0,P148,Q148,IF(OptControl=3,1,0),3)/100,0)</f>
        <v>0</v>
      </c>
      <c r="BA148" s="324" t="n">
        <f aca="false">IF(AH148,xASN(AL148,Strike2,AE148,AQ148,0,N148,0,P148-DaysForThetaCalculation/365.25,Q148-DaysForThetaCalculation/365.25,IF(OptControl=3,1,0),0)-xASN(AL148,Strike2,AE148,AQ148,0,N148,0,P148,Q148,IF(OptControl=3,1,0),0),0)</f>
        <v>0</v>
      </c>
      <c r="BB148" s="325" t="str">
        <f aca="false">IF(AH148,IF(ProductGroup=1,IF(Product=1,BX148+PriceSpreadEuro,IF(Product=3,CK148+PriceSpreadEuro,"N/A")),"N/A"),"")</f>
        <v/>
      </c>
      <c r="BC148" s="316" t="str">
        <f aca="false">IF(AH148,Strike1/BB148-1,"")</f>
        <v/>
      </c>
      <c r="BD148" s="316" t="str">
        <f aca="false">IF(AH148,Strike2/BB148-1,"")</f>
        <v/>
      </c>
      <c r="BE148" s="326" t="str">
        <f aca="false">IF(AH148,IF(VolOverrideEuro,VolOverrideEuro,IF(ProductGroup=1,IF(Product&lt;3,DA148,DE148)+VolSpreadEuro,"N/A")),"")</f>
        <v/>
      </c>
      <c r="BF148" s="323" t="str">
        <f aca="false">IF($AH148,$BE148+IF(SkewFlag=1,IF(BC148&gt;0,$AA148*MIN(BC148/10%,1)+($Z148-$AA148)*MAX(0,MIN(BC148/10%-1,1))+($Y148-$Z148)*MAX(0,BC148/10%-2),$AB148*MIN(-BC148/10%,1)+($AC148-$AB148)*MAX(0,MIN(-BC148/10%-1,1))+($AD148-$AC148)*MAX(0,-BC148/10%-2)),0),"")</f>
        <v/>
      </c>
      <c r="BG148" s="323" t="str">
        <f aca="false">IF($AH148,$BE148+IF(SkewFlag=1,IF(BD148&gt;0,$AA148*MIN(BD148/10%,1)+($Z148-$AA148)*MAX(0,MIN(BD148/10%-1,1))+($Y148-$Z148)*MAX(0,BD148/10%-2),$AB148*MIN(-BD148/10%,1)+($AC148-$AB148)*MAX(0,MIN(-BD148/10%-1,1))+($AD148-$AC148)*MAX(0,-BD148/10%-2)),0),"")</f>
        <v/>
      </c>
      <c r="BH148" s="324" t="n">
        <f aca="false">IF(AH148,xEURO(BB148,Strike1,AE148,AE148,BF148,O148,IF(OptControl=4,0,1),0),0)</f>
        <v>0</v>
      </c>
      <c r="BI148" s="324" t="n">
        <f aca="false">IF(AH148,xEURO(BB148,Strike1,AE148,AE148,BF148,O148,IF(OptControl=4,0,1),1),0)</f>
        <v>0</v>
      </c>
      <c r="BJ148" s="324" t="n">
        <f aca="false">IF(AH148,xEURO(BB148,Strike1,AE148,AE148,BF148,O148,IF(OptControl=4,0,1),2),0)</f>
        <v>0</v>
      </c>
      <c r="BK148" s="324" t="n">
        <f aca="false">IF(AH148,xEURO(BB148,Strike1,AE148,AE148,BF148,O148,IF(OptControl=4,0,1),3)/100,0)</f>
        <v>0</v>
      </c>
      <c r="BL148" s="324" t="n">
        <f aca="false">IF(AH148,xEURO(BB148,Strike1,AE148,AE148,BF148,O148-DaysForThetaCalculation,IF(OptControl=4,0,1),0)-xEURO(BB148,Strike1,AE148,AE148,BF148,O148,IF(OptControl=4,0,1),0),0)</f>
        <v>0</v>
      </c>
      <c r="BM148" s="324" t="n">
        <f aca="false">IF(AH148,xEURO(BB148,Strike2,AE148,AE148,BG148,O148,IF(OptControl=3,1,0),0),0)</f>
        <v>0</v>
      </c>
      <c r="BN148" s="324" t="n">
        <f aca="false">IF(AH148,xEURO(BB148,Strike2,AE148,AE148,BG148,O148,IF(OptControl=3,1,0),1),0)</f>
        <v>0</v>
      </c>
      <c r="BO148" s="324" t="n">
        <f aca="false">IF(AH148,xEURO(BB148,Strike2,AE148,AE148,BG148,O148,IF(OptControl=3,1,0),2),0)</f>
        <v>0</v>
      </c>
      <c r="BP148" s="324" t="n">
        <f aca="false">IF(AH148,xEURO(BB148,Strike2,AE148,AE148,BG148,O148,IF(OptControl=3,1,0),3)/100,0)</f>
        <v>0</v>
      </c>
      <c r="BQ148" s="327" t="n">
        <f aca="false">IF(AH148,xEURO(BB148,Strike2,AE148,AE148,BG148,O148-DaysForThetaCalculation,IF(OptControl=3,1,0),0)-xEURO(BB148,Strike2,AE148,AE148,BG148,O148,IF(OptControl=3,1,0),0),0)</f>
        <v>0</v>
      </c>
      <c r="BR148" s="343"/>
      <c r="BS148" s="314"/>
      <c r="BT148" s="329" t="n">
        <f aca="false">BS148*100/42</f>
        <v>0</v>
      </c>
      <c r="BU148" s="329" t="n">
        <f aca="false">BS149-$U148</f>
        <v>-29.9904761904754</v>
      </c>
      <c r="BV148" s="224"/>
      <c r="BW148" s="329" t="n">
        <f aca="false">BW136+VLOOKUP(1900+$L148,ProductSpreadTable,2)</f>
        <v>13.9265714285714</v>
      </c>
      <c r="BX148" s="329" t="n">
        <f aca="false">($V147+BW147)*100/42</f>
        <v>99.6064182194616</v>
      </c>
      <c r="BY148" s="332" t="n">
        <f aca="false">BX149</f>
        <v>104.564399092969</v>
      </c>
      <c r="BZ148" s="314"/>
      <c r="CA148" s="329" t="n">
        <f aca="false">BZ148*100/42</f>
        <v>0</v>
      </c>
      <c r="CB148" s="329" t="n">
        <f aca="false">BZ148-$U148</f>
        <v>-29.9904761904754</v>
      </c>
      <c r="CC148" s="329" t="n">
        <f aca="false">CC136+VLOOKUP(1900+$L148,ProductSpreadTable,3)</f>
        <v>12.3685714285714</v>
      </c>
      <c r="CD148" s="329" t="n">
        <f aca="false">($V148+CC148)*100/42</f>
        <v>100.854875283445</v>
      </c>
      <c r="CE148" s="333" t="n">
        <f aca="false">CD148-BY148</f>
        <v>-3.70952380952382</v>
      </c>
      <c r="CF148" s="314"/>
      <c r="CG148" s="329" t="n">
        <f aca="false">CF148*100/42</f>
        <v>0</v>
      </c>
      <c r="CH148" s="329" t="n">
        <f aca="false">CF149-$U148</f>
        <v>-29.9904761904754</v>
      </c>
      <c r="CI148" s="224"/>
      <c r="CJ148" s="329" t="n">
        <f aca="false">CJ136+VLOOKUP(1900+$L148,ProductSpreadTable,4)</f>
        <v>12.1545714285714</v>
      </c>
      <c r="CK148" s="329" t="n">
        <f aca="false">($V147+CJ147)*100/42</f>
        <v>97.9873706004139</v>
      </c>
      <c r="CL148" s="329" t="n">
        <f aca="false">CK149</f>
        <v>100.345351473921</v>
      </c>
      <c r="CM148" s="314"/>
      <c r="CN148" s="329" t="n">
        <f aca="false">CM148*100/42</f>
        <v>0</v>
      </c>
      <c r="CO148" s="329" t="n">
        <f aca="false">CM148-$U148</f>
        <v>-29.9904761904754</v>
      </c>
      <c r="CP148" s="329" t="n">
        <f aca="false">CP136+VLOOKUP(1900+$L148,ProductSpreadTable,5)</f>
        <v>11.0415714285714</v>
      </c>
      <c r="CQ148" s="329" t="n">
        <f aca="false">($V148+CP148)*100/42</f>
        <v>97.6953514739211</v>
      </c>
      <c r="CR148" s="333" t="n">
        <f aca="false">CQ148-CL148</f>
        <v>-2.64999999999998</v>
      </c>
      <c r="CS148" s="314"/>
      <c r="CT148" s="329" t="n">
        <f aca="false">CS148*100/42</f>
        <v>0</v>
      </c>
      <c r="CU148" s="329" t="n">
        <f aca="false">CT148-CG149</f>
        <v>0</v>
      </c>
      <c r="CV148" s="329" t="n">
        <f aca="false">CV136+VLOOKUP(1900+$L148,ProductSpreadTable,6)</f>
        <v>2.25000000000001</v>
      </c>
      <c r="CW148" s="333" t="n">
        <f aca="false">CL148+CV148</f>
        <v>102.595351473921</v>
      </c>
      <c r="CX148" s="318"/>
      <c r="CY148" s="326" t="n">
        <f aca="false">CX148-$W148</f>
        <v>-0.160499999999999</v>
      </c>
      <c r="CZ148" s="326" t="n">
        <f aca="false">VLOOKUP(1900+$L148,ProductSpreadTable,7)</f>
        <v>-0.03</v>
      </c>
      <c r="DA148" s="365" t="n">
        <f aca="false">$W148+CZ148</f>
        <v>0.130499999999999</v>
      </c>
      <c r="DB148" s="318"/>
      <c r="DC148" s="326" t="n">
        <f aca="false">DB148-$W148</f>
        <v>-0.160499999999999</v>
      </c>
      <c r="DD148" s="326" t="n">
        <f aca="false">VLOOKUP(1900+$L148,ProductSpreadTable,8)</f>
        <v>0.03</v>
      </c>
      <c r="DE148" s="365" t="n">
        <f aca="false">$W148+DD148</f>
        <v>0.190499999999999</v>
      </c>
      <c r="DG148" s="336"/>
      <c r="DH148" s="314"/>
      <c r="DI148" s="325" t="n">
        <f aca="false">DH148-$U148</f>
        <v>-29.9904761904754</v>
      </c>
      <c r="DJ148" s="325" t="n">
        <f aca="false">VLOOKUP(1900+$L148,ResidSpreadTable,2)</f>
        <v>-2</v>
      </c>
      <c r="DK148" s="337" t="n">
        <f aca="false">$V148+DJ148</f>
        <v>27.9904761904754</v>
      </c>
      <c r="DL148" s="314"/>
      <c r="DM148" s="325" t="n">
        <f aca="false">DL148-$U148</f>
        <v>-29.9904761904754</v>
      </c>
      <c r="DN148" s="325" t="n">
        <f aca="false">VLOOKUP(1900+$L148,ResidSpreadTable,3)</f>
        <v>-3</v>
      </c>
      <c r="DO148" s="337" t="n">
        <f aca="false">$V148+DN148</f>
        <v>26.9904761904754</v>
      </c>
      <c r="DP148" s="314"/>
      <c r="DQ148" s="325" t="n">
        <f aca="false">DP148-$U148</f>
        <v>-29.9904761904754</v>
      </c>
      <c r="DR148" s="325" t="n">
        <f aca="false">VLOOKUP(1900+$L148,ResidSpreadTable,4)</f>
        <v>-6</v>
      </c>
      <c r="DS148" s="337" t="n">
        <f aca="false">$V148+DR148</f>
        <v>23.9904761904754</v>
      </c>
      <c r="DT148" s="314"/>
      <c r="DU148" s="325" t="n">
        <f aca="false">DT148-$U148</f>
        <v>-29.9904761904754</v>
      </c>
      <c r="DV148" s="325" t="n">
        <f aca="false">VLOOKUP(1900+$L148,ResidSpreadTable,5)</f>
        <v>-5</v>
      </c>
      <c r="DW148" s="337" t="n">
        <f aca="false">$V148+DV148</f>
        <v>24.9904761904754</v>
      </c>
    </row>
    <row r="149" customFormat="false" ht="12.75" hidden="false" customHeight="false" outlineLevel="0" collapsed="false">
      <c r="B149" s="371" t="n">
        <v>40087</v>
      </c>
      <c r="C149" s="391" t="n">
        <v>40076</v>
      </c>
      <c r="I149" s="338" t="n">
        <f aca="false">EOMONTH(I148,0)+1</f>
        <v>50284</v>
      </c>
      <c r="J149" s="389" t="n">
        <f aca="false">VLOOKUP(I149,$B$12:$C$332,2)</f>
        <v>45644</v>
      </c>
      <c r="K149" s="339" t="n">
        <f aca="false">NETWORKDAYS(I149,J150)/N149</f>
        <v>-150.681818181818</v>
      </c>
      <c r="L149" s="309" t="n">
        <f aca="false">YEAR(I149)-1900</f>
        <v>137</v>
      </c>
      <c r="M149" s="310" t="n">
        <f aca="false">MONTH(I149)</f>
        <v>9</v>
      </c>
      <c r="N149" s="340" t="n">
        <f aca="false">NETWORKDAYS(I149,I150-1)</f>
        <v>22</v>
      </c>
      <c r="O149" s="341" t="n">
        <f aca="false">I149-DateToday-IF(EuroExpDateToggle=1,3+IF(WEEKDAY(I149-1)=7,1,IF(WEEKDAY(I149-1)&lt;5,2,0)),1+IF(WEEKDAY(I149-1)=7,1,IF(WEEKDAY(I149-1)&lt;3,2,0)))</f>
        <v>4353</v>
      </c>
      <c r="P149" s="342" t="n">
        <f aca="false">(I149-DateToday+1)/365.25</f>
        <v>11.9342915811088</v>
      </c>
      <c r="Q149" s="342" t="n">
        <f aca="false">(I150-DateToday)/365.25</f>
        <v>12.0136892539357</v>
      </c>
      <c r="R149" s="314" t="n">
        <v>22.1</v>
      </c>
      <c r="S149" s="347" t="n">
        <v>0</v>
      </c>
      <c r="T149" s="316" t="n">
        <f aca="false">R149+S149/100</f>
        <v>22.1</v>
      </c>
      <c r="U149" s="325" t="n">
        <f aca="false">R150*K149+R151*(1-K149)</f>
        <v>29.7340909090913</v>
      </c>
      <c r="V149" s="337" t="n">
        <f aca="false">T150*K149+T151*(1-K149)</f>
        <v>29.7340909090913</v>
      </c>
      <c r="W149" s="318" t="n">
        <v>0.160099999999999</v>
      </c>
      <c r="X149" s="319" t="str">
        <f aca="false">IF($I149-DateToday+1&gt;=$A$10,"",IF($I149-DateToday+1&lt;$A$5,1,MATCH($I149-DateToday+1,$A$5:$A$10)))</f>
        <v/>
      </c>
      <c r="Y149" s="348" t="n">
        <f aca="false">IF($X149="",Y148^2/Y147,INDEX(B$5:B$10,$X149)^((INDEX($A$5:$A$10,$X149+1)-($I149-DateToday+1))/(INDEX($A$5:$A$10,$X149+1)-INDEX($A$5:$A$10,$X149)))/INDEX(B$5:B$10,$X149+1)^((INDEX($A$5:$A$10,$X149)-($I149-DateToday+1))/(INDEX($A$5:$A$10,$X149+1)-INDEX($A$5:$A$10,$X149))))</f>
        <v>0.000694304811575508</v>
      </c>
      <c r="Z149" s="348" t="n">
        <f aca="false">IF($X149="",Z148^2/Z147,INDEX(C$5:C$10,$X149)^((INDEX($A$5:$A$10,$X149+1)-($I149-DateToday+1))/(INDEX($A$5:$A$10,$X149+1)-INDEX($A$5:$A$10,$X149)))/INDEX(C$5:C$10,$X149+1)^((INDEX($A$5:$A$10,$X149)-($I149-DateToday+1))/(INDEX($A$5:$A$10,$X149+1)-INDEX($A$5:$A$10,$X149))))</f>
        <v>0.000198385894754153</v>
      </c>
      <c r="AA149" s="348" t="n">
        <f aca="false">IF($X149="",AA148^2/AA147,INDEX(D$5:D$10,$X149)^((INDEX($A$5:$A$10,$X149+1)-($I149-DateToday+1))/(INDEX($A$5:$A$10,$X149+1)-INDEX($A$5:$A$10,$X149)))/INDEX(D$5:D$10,$X149+1)^((INDEX($A$5:$A$10,$X149)-($I149-DateToday+1))/(INDEX($A$5:$A$10,$X149+1)-INDEX($A$5:$A$10,$X149))))</f>
        <v>6.4381760281499E-005</v>
      </c>
      <c r="AB149" s="348" t="n">
        <f aca="false">IF($X149="",AB148^2/AB147,INDEX(E$5:E$10,$X149)^((INDEX($A$5:$A$10,$X149+1)-($I149-DateToday+1))/(INDEX($A$5:$A$10,$X149+1)-INDEX($A$5:$A$10,$X149)))/INDEX(E$5:E$10,$X149+1)^((INDEX($A$5:$A$10,$X149)-($I149-DateToday+1))/(INDEX($A$5:$A$10,$X149+1)-INDEX($A$5:$A$10,$X149))))</f>
        <v>0.000145039229562171</v>
      </c>
      <c r="AC149" s="348" t="n">
        <f aca="false">IF($X149="",AC148^2/AC147,INDEX(F$5:F$10,$X149)^((INDEX($A$5:$A$10,$X149+1)-($I149-DateToday+1))/(INDEX($A$5:$A$10,$X149+1)-INDEX($A$5:$A$10,$X149)))/INDEX(F$5:F$10,$X149+1)^((INDEX($A$5:$A$10,$X149)-($I149-DateToday+1))/(INDEX($A$5:$A$10,$X149+1)-INDEX($A$5:$A$10,$X149))))</f>
        <v>0.000446923743702152</v>
      </c>
      <c r="AD149" s="348" t="n">
        <f aca="false">IF($X149="",AD148^2/AD147,INDEX(G$5:G$10,$X149)^((INDEX($A$5:$A$10,$X149+1)-($I149-DateToday+1))/(INDEX($A$5:$A$10,$X149+1)-INDEX($A$5:$A$10,$X149)))/INDEX(G$5:G$10,$X149+1)^((INDEX($A$5:$A$10,$X149)-($I149-DateToday+1))/(INDEX($A$5:$A$10,$X149+1)-INDEX($A$5:$A$10,$X149))))</f>
        <v>0.00156412987951716</v>
      </c>
      <c r="AE149" s="321" t="n">
        <v>0.073686766317</v>
      </c>
      <c r="AF149" s="316" t="n">
        <f aca="false">(1+AE149/2)^(-2*(I150-DateToday)/365.25)</f>
        <v>0.419231537463082</v>
      </c>
      <c r="AG149" s="316" t="n">
        <f aca="false">AG148*(1+IF(AND(M149=1,L149&gt;YearStart),Escalation,0))</f>
        <v>1</v>
      </c>
      <c r="AH149" s="322" t="n">
        <f aca="false">IF(OR(DateStart&gt;=I150,DateEnd&lt;I149),0,Volume*AG149)</f>
        <v>0</v>
      </c>
      <c r="AI149" s="322" t="n">
        <f aca="false">AH149*AF149</f>
        <v>0</v>
      </c>
      <c r="AJ149" s="322" t="n">
        <f aca="false">IF(OR(DateStart2&gt;=I150,DateEnd2&lt;I149),0,VolumeSwaption*AG149)</f>
        <v>0</v>
      </c>
      <c r="AK149" s="322" t="n">
        <f aca="false">AJ149*AF149</f>
        <v>0</v>
      </c>
      <c r="AL149" s="316" t="str">
        <f aca="true">IF(AH149,OFFSET(BY149,0,HorizontalPriceOffset)+PriceSpreadAsian,"")</f>
        <v/>
      </c>
      <c r="AM149" s="316" t="str">
        <f aca="false">IF(AH149,Strike1/AL149-1,"")</f>
        <v/>
      </c>
      <c r="AN149" s="316" t="str">
        <f aca="false">IF(AH149,Strike2/AL149-1,"")</f>
        <v/>
      </c>
      <c r="AO149" s="323" t="str">
        <f aca="false">IF(AH149,IF(VolOverrideAsian,VolOverrideAsian,IF(ProductGroup=1,IF(Product&lt;3,DA150,DE150),W150)+VolSpreadAsian),"")</f>
        <v/>
      </c>
      <c r="AP149" s="323" t="str">
        <f aca="false">IF($AH149,$AO149+IF(SkewFlag=1,IF(AM149&gt;0,$AA149*MIN(AM149/10%,1)+($Z149-$AA149)*MAX(0,MIN(AM149/10%-1,1))+($Y149-$Z149)*MAX(0,AM149/10%-2),$AB149*MIN(-AM149/10%,1)+($AC149-$AB149)*MAX(0,MIN(-AM149/10%-1,1))+($AD149-$AC149)*MAX(0,-AM149/10%-2)),0),"")</f>
        <v/>
      </c>
      <c r="AQ149" s="323" t="str">
        <f aca="false">IF($AH149,$AO149+IF(SkewFlag=1,IF(AN149&gt;0,$AA149*MIN(AN149/10%,1)+($Z149-$AA149)*MAX(0,MIN(AN149/10%-1,1))+($Y149-$Z149)*MAX(0,AN149/10%-2),$AB149*MIN(-AN149/10%,1)+($AC149-$AB149)*MAX(0,MIN(-AN149/10%-1,1))+($AD149-$AC149)*MAX(0,-AN149/10%-2)),0),"")</f>
        <v/>
      </c>
      <c r="AR149" s="324" t="n">
        <f aca="false">IF(AH149,xASN(AL149,Strike1,AE149,AP149,0,N149,0,P149,Q149,IF(OptControl=4,0,1),0),0)</f>
        <v>0</v>
      </c>
      <c r="AS149" s="324" t="n">
        <f aca="false">IF(AH149,xASN(AL149,Strike1,AE149,AP149,0,N149,0,P149,Q149,IF(OptControl=4,0,1),1),0)</f>
        <v>0</v>
      </c>
      <c r="AT149" s="324" t="n">
        <f aca="false">IF(AH149,xASN(AL149,Strike1,AE149,AP149,0,N149,0,P149,Q149,IF(OptControl=4,0,1),2),0)</f>
        <v>0</v>
      </c>
      <c r="AU149" s="324" t="n">
        <f aca="false">IF(AH149,xASN(AL149,Strike1,AE149,AP149,0,N149,0,P149,Q149,IF(OptControl=4,0,1),3)/100,0)</f>
        <v>0</v>
      </c>
      <c r="AV149" s="324" t="n">
        <f aca="false">IF(AH149,xASN(AL149,Strike1,AE149,AP149,0,N149,0,P149-DaysForThetaCalculation/365.25,Q149-DaysForThetaCalculation/365.25,IF(OptControl=4,0,1),0)-xASN(AL149,Strike1,AE149,AP149,0,N149,0,P149,Q149,IF(OptControl=4,0,1),0),0)</f>
        <v>0</v>
      </c>
      <c r="AW149" s="324" t="n">
        <f aca="false">IF(AH149,xASN(AL149,Strike2,AE149,AQ149,0,N149,0,P149,Q149,IF(OptControl=3,1,0),0),0)</f>
        <v>0</v>
      </c>
      <c r="AX149" s="324" t="n">
        <f aca="false">IF(AH149,xASN(AL149,Strike2,AE149,AQ149,0,N149,0,P149,Q149,IF(OptControl=3,1,0),1),0)</f>
        <v>0</v>
      </c>
      <c r="AY149" s="324" t="n">
        <f aca="false">IF(AH149,xASN(AL149,Strike2,AE149,AQ149,0,N149,0,P149,Q149,IF(OptControl=3,1,0),2),0)</f>
        <v>0</v>
      </c>
      <c r="AZ149" s="324" t="n">
        <f aca="false">IF(AH149,xASN(AL149,Strike2,AE149,AQ149,0,N149,0,P149,Q149,IF(OptControl=3,1,0),3)/100,0)</f>
        <v>0</v>
      </c>
      <c r="BA149" s="324" t="n">
        <f aca="false">IF(AH149,xASN(AL149,Strike2,AE149,AQ149,0,N149,0,P149-DaysForThetaCalculation/365.25,Q149-DaysForThetaCalculation/365.25,IF(OptControl=3,1,0),0)-xASN(AL149,Strike2,AE149,AQ149,0,N149,0,P149,Q149,IF(OptControl=3,1,0),0),0)</f>
        <v>0</v>
      </c>
      <c r="BB149" s="325" t="str">
        <f aca="false">IF(AH149,IF(ProductGroup=1,IF(Product=1,BX149+PriceSpreadEuro,IF(Product=3,CK149+PriceSpreadEuro,"N/A")),"N/A"),"")</f>
        <v/>
      </c>
      <c r="BC149" s="316" t="str">
        <f aca="false">IF(AH149,Strike1/BB149-1,"")</f>
        <v/>
      </c>
      <c r="BD149" s="316" t="str">
        <f aca="false">IF(AH149,Strike2/BB149-1,"")</f>
        <v/>
      </c>
      <c r="BE149" s="326" t="str">
        <f aca="false">IF(AH149,IF(VolOverrideEuro,VolOverrideEuro,IF(ProductGroup=1,IF(Product&lt;3,DA149,DE149)+VolSpreadEuro,"N/A")),"")</f>
        <v/>
      </c>
      <c r="BF149" s="323" t="str">
        <f aca="false">IF($AH149,$BE149+IF(SkewFlag=1,IF(BC149&gt;0,$AA149*MIN(BC149/10%,1)+($Z149-$AA149)*MAX(0,MIN(BC149/10%-1,1))+($Y149-$Z149)*MAX(0,BC149/10%-2),$AB149*MIN(-BC149/10%,1)+($AC149-$AB149)*MAX(0,MIN(-BC149/10%-1,1))+($AD149-$AC149)*MAX(0,-BC149/10%-2)),0),"")</f>
        <v/>
      </c>
      <c r="BG149" s="323" t="str">
        <f aca="false">IF($AH149,$BE149+IF(SkewFlag=1,IF(BD149&gt;0,$AA149*MIN(BD149/10%,1)+($Z149-$AA149)*MAX(0,MIN(BD149/10%-1,1))+($Y149-$Z149)*MAX(0,BD149/10%-2),$AB149*MIN(-BD149/10%,1)+($AC149-$AB149)*MAX(0,MIN(-BD149/10%-1,1))+($AD149-$AC149)*MAX(0,-BD149/10%-2)),0),"")</f>
        <v/>
      </c>
      <c r="BH149" s="324" t="n">
        <f aca="false">IF(AH149,xEURO(BB149,Strike1,AE149,AE149,BF149,O149,IF(OptControl=4,0,1),0),0)</f>
        <v>0</v>
      </c>
      <c r="BI149" s="324" t="n">
        <f aca="false">IF(AH149,xEURO(BB149,Strike1,AE149,AE149,BF149,O149,IF(OptControl=4,0,1),1),0)</f>
        <v>0</v>
      </c>
      <c r="BJ149" s="324" t="n">
        <f aca="false">IF(AH149,xEURO(BB149,Strike1,AE149,AE149,BF149,O149,IF(OptControl=4,0,1),2),0)</f>
        <v>0</v>
      </c>
      <c r="BK149" s="324" t="n">
        <f aca="false">IF(AH149,xEURO(BB149,Strike1,AE149,AE149,BF149,O149,IF(OptControl=4,0,1),3)/100,0)</f>
        <v>0</v>
      </c>
      <c r="BL149" s="324" t="n">
        <f aca="false">IF(AH149,xEURO(BB149,Strike1,AE149,AE149,BF149,O149-DaysForThetaCalculation,IF(OptControl=4,0,1),0)-xEURO(BB149,Strike1,AE149,AE149,BF149,O149,IF(OptControl=4,0,1),0),0)</f>
        <v>0</v>
      </c>
      <c r="BM149" s="324" t="n">
        <f aca="false">IF(AH149,xEURO(BB149,Strike2,AE149,AE149,BG149,O149,IF(OptControl=3,1,0),0),0)</f>
        <v>0</v>
      </c>
      <c r="BN149" s="324" t="n">
        <f aca="false">IF(AH149,xEURO(BB149,Strike2,AE149,AE149,BG149,O149,IF(OptControl=3,1,0),1),0)</f>
        <v>0</v>
      </c>
      <c r="BO149" s="324" t="n">
        <f aca="false">IF(AH149,xEURO(BB149,Strike2,AE149,AE149,BG149,O149,IF(OptControl=3,1,0),2),0)</f>
        <v>0</v>
      </c>
      <c r="BP149" s="324" t="n">
        <f aca="false">IF(AH149,xEURO(BB149,Strike2,AE149,AE149,BG149,O149,IF(OptControl=3,1,0),3)/100,0)</f>
        <v>0</v>
      </c>
      <c r="BQ149" s="327" t="n">
        <f aca="false">IF(AH149,xEURO(BB149,Strike2,AE149,AE149,BG149,O149-DaysForThetaCalculation,IF(OptControl=3,1,0),0)-xEURO(BB149,Strike2,AE149,AE149,BG149,O149,IF(OptControl=3,1,0),0),0)</f>
        <v>0</v>
      </c>
      <c r="BR149" s="343"/>
      <c r="BS149" s="314"/>
      <c r="BT149" s="329" t="n">
        <f aca="false">BS149*100/42</f>
        <v>0</v>
      </c>
      <c r="BU149" s="329" t="n">
        <f aca="false">BS150-$U149</f>
        <v>-29.7340909090913</v>
      </c>
      <c r="BV149" s="224"/>
      <c r="BW149" s="329" t="n">
        <f aca="false">BW137+VLOOKUP(1900+$L149,ProductSpreadTable,2)</f>
        <v>11.992</v>
      </c>
      <c r="BX149" s="329" t="n">
        <f aca="false">($V148+BW148)*100/42</f>
        <v>104.564399092969</v>
      </c>
      <c r="BY149" s="332" t="n">
        <f aca="false">BX150</f>
        <v>99.3478354978364</v>
      </c>
      <c r="BZ149" s="314"/>
      <c r="CA149" s="329" t="n">
        <f aca="false">BZ149*100/42</f>
        <v>0</v>
      </c>
      <c r="CB149" s="329" t="n">
        <f aca="false">BZ149-$U149</f>
        <v>-29.7340909090913</v>
      </c>
      <c r="CC149" s="329" t="n">
        <f aca="false">CC137+VLOOKUP(1900+$L149,ProductSpreadTable,3)</f>
        <v>14.343</v>
      </c>
      <c r="CD149" s="329" t="n">
        <f aca="false">($V149+CC149)*100/42</f>
        <v>104.945454545455</v>
      </c>
      <c r="CE149" s="333" t="n">
        <f aca="false">CD149-BY149</f>
        <v>5.59761904761895</v>
      </c>
      <c r="CF149" s="314"/>
      <c r="CG149" s="329" t="n">
        <f aca="false">CF149*100/42</f>
        <v>0</v>
      </c>
      <c r="CH149" s="329" t="n">
        <f aca="false">CF150-$U149</f>
        <v>-29.7340909090913</v>
      </c>
      <c r="CI149" s="224"/>
      <c r="CJ149" s="329" t="n">
        <f aca="false">CJ137+VLOOKUP(1900+$L149,ProductSpreadTable,4)</f>
        <v>11.324</v>
      </c>
      <c r="CK149" s="329" t="n">
        <f aca="false">($V148+CJ148)*100/42</f>
        <v>100.345351473921</v>
      </c>
      <c r="CL149" s="329" t="n">
        <f aca="false">CK150</f>
        <v>97.7573593073601</v>
      </c>
      <c r="CM149" s="314"/>
      <c r="CN149" s="329" t="n">
        <f aca="false">CM149*100/42</f>
        <v>0</v>
      </c>
      <c r="CO149" s="329" t="n">
        <f aca="false">CM149-$U149</f>
        <v>-29.7340909090913</v>
      </c>
      <c r="CP149" s="329" t="n">
        <f aca="false">CP137+VLOOKUP(1900+$L149,ProductSpreadTable,5)</f>
        <v>10.211</v>
      </c>
      <c r="CQ149" s="329" t="n">
        <f aca="false">($V149+CP149)*100/42</f>
        <v>95.1073593073601</v>
      </c>
      <c r="CR149" s="333" t="n">
        <f aca="false">CQ149-CL149</f>
        <v>-2.64999999999999</v>
      </c>
      <c r="CS149" s="314"/>
      <c r="CT149" s="329" t="n">
        <f aca="false">CS149*100/42</f>
        <v>0</v>
      </c>
      <c r="CU149" s="329" t="n">
        <f aca="false">CT149-CG150</f>
        <v>0</v>
      </c>
      <c r="CV149" s="329" t="n">
        <f aca="false">CV137+VLOOKUP(1900+$L149,ProductSpreadTable,6)</f>
        <v>2.24999999999999</v>
      </c>
      <c r="CW149" s="333" t="n">
        <f aca="false">CL149+CV149</f>
        <v>100.00735930736</v>
      </c>
      <c r="CX149" s="318"/>
      <c r="CY149" s="326" t="n">
        <f aca="false">CX149-$W149</f>
        <v>-0.160099999999999</v>
      </c>
      <c r="CZ149" s="326" t="n">
        <f aca="false">VLOOKUP(1900+$L149,ProductSpreadTable,7)</f>
        <v>-0.03</v>
      </c>
      <c r="DA149" s="365" t="n">
        <f aca="false">$W149+CZ149</f>
        <v>0.130099999999999</v>
      </c>
      <c r="DB149" s="318"/>
      <c r="DC149" s="326" t="n">
        <f aca="false">DB149-$W149</f>
        <v>-0.160099999999999</v>
      </c>
      <c r="DD149" s="326" t="n">
        <f aca="false">VLOOKUP(1900+$L149,ProductSpreadTable,8)</f>
        <v>0.03</v>
      </c>
      <c r="DE149" s="365" t="n">
        <f aca="false">$W149+DD149</f>
        <v>0.190099999999999</v>
      </c>
      <c r="DG149" s="336"/>
      <c r="DH149" s="314"/>
      <c r="DI149" s="325" t="n">
        <f aca="false">DH149-$U149</f>
        <v>-29.7340909090913</v>
      </c>
      <c r="DJ149" s="325" t="n">
        <f aca="false">VLOOKUP(1900+$L149,ResidSpreadTable,2)</f>
        <v>-2</v>
      </c>
      <c r="DK149" s="337" t="n">
        <f aca="false">$V149+DJ149</f>
        <v>27.7340909090913</v>
      </c>
      <c r="DL149" s="314"/>
      <c r="DM149" s="325" t="n">
        <f aca="false">DL149-$U149</f>
        <v>-29.7340909090913</v>
      </c>
      <c r="DN149" s="325" t="n">
        <f aca="false">VLOOKUP(1900+$L149,ResidSpreadTable,3)</f>
        <v>-3</v>
      </c>
      <c r="DO149" s="337" t="n">
        <f aca="false">$V149+DN149</f>
        <v>26.7340909090913</v>
      </c>
      <c r="DP149" s="314"/>
      <c r="DQ149" s="325" t="n">
        <f aca="false">DP149-$U149</f>
        <v>-29.7340909090913</v>
      </c>
      <c r="DR149" s="325" t="n">
        <f aca="false">VLOOKUP(1900+$L149,ResidSpreadTable,4)</f>
        <v>-6</v>
      </c>
      <c r="DS149" s="337" t="n">
        <f aca="false">$V149+DR149</f>
        <v>23.7340909090913</v>
      </c>
      <c r="DT149" s="314"/>
      <c r="DU149" s="325" t="n">
        <f aca="false">DT149-$U149</f>
        <v>-29.7340909090913</v>
      </c>
      <c r="DV149" s="325" t="n">
        <f aca="false">VLOOKUP(1900+$L149,ResidSpreadTable,5)</f>
        <v>-5</v>
      </c>
      <c r="DW149" s="337" t="n">
        <f aca="false">$V149+DV149</f>
        <v>24.7340909090913</v>
      </c>
    </row>
    <row r="150" customFormat="false" ht="12.75" hidden="false" customHeight="false" outlineLevel="0" collapsed="false">
      <c r="B150" s="371" t="n">
        <v>40118</v>
      </c>
      <c r="C150" s="391" t="n">
        <v>40108</v>
      </c>
      <c r="I150" s="338" t="n">
        <f aca="false">EOMONTH(I149,0)+1</f>
        <v>50314</v>
      </c>
      <c r="J150" s="389" t="n">
        <f aca="false">VLOOKUP(I150,$B$12:$C$332,2)</f>
        <v>45644</v>
      </c>
      <c r="K150" s="339" t="n">
        <f aca="false">NETWORKDAYS(I150,J151)/N150</f>
        <v>-151.681818181818</v>
      </c>
      <c r="L150" s="309" t="n">
        <f aca="false">YEAR(I150)-1900</f>
        <v>137</v>
      </c>
      <c r="M150" s="310" t="n">
        <f aca="false">MONTH(I150)</f>
        <v>10</v>
      </c>
      <c r="N150" s="340" t="n">
        <f aca="false">NETWORKDAYS(I150,I151-1)</f>
        <v>22</v>
      </c>
      <c r="O150" s="341" t="n">
        <f aca="false">I150-DateToday-IF(EuroExpDateToggle=1,3+IF(WEEKDAY(I150-1)=7,1,IF(WEEKDAY(I150-1)&lt;5,2,0)),1+IF(WEEKDAY(I150-1)=7,1,IF(WEEKDAY(I150-1)&lt;3,2,0)))</f>
        <v>4383</v>
      </c>
      <c r="P150" s="342" t="n">
        <f aca="false">(I150-DateToday+1)/365.25</f>
        <v>12.0164271047228</v>
      </c>
      <c r="Q150" s="342" t="n">
        <f aca="false">(I151-DateToday)/365.25</f>
        <v>12.0985626283368</v>
      </c>
      <c r="R150" s="314" t="n">
        <v>22.15</v>
      </c>
      <c r="S150" s="347" t="n">
        <v>0</v>
      </c>
      <c r="T150" s="316" t="n">
        <f aca="false">R150+S150/100</f>
        <v>22.15</v>
      </c>
      <c r="U150" s="325" t="n">
        <f aca="false">R151*K150+R152*(1-K150)</f>
        <v>29.8340909090907</v>
      </c>
      <c r="V150" s="337" t="n">
        <f aca="false">T151*K150+T152*(1-K150)</f>
        <v>29.8340909090907</v>
      </c>
      <c r="W150" s="318" t="n">
        <v>0.159699999999999</v>
      </c>
      <c r="X150" s="319" t="str">
        <f aca="false">IF($I150-DateToday+1&gt;=$A$10,"",IF($I150-DateToday+1&lt;$A$5,1,MATCH($I150-DateToday+1,$A$5:$A$10)))</f>
        <v/>
      </c>
      <c r="Y150" s="348" t="n">
        <f aca="false">IF($X150="",Y149^2/Y148,INDEX(B$5:B$10,$X150)^((INDEX($A$5:$A$10,$X150+1)-($I150-DateToday+1))/(INDEX($A$5:$A$10,$X150+1)-INDEX($A$5:$A$10,$X150)))/INDEX(B$5:B$10,$X150+1)^((INDEX($A$5:$A$10,$X150)-($I150-DateToday+1))/(INDEX($A$5:$A$10,$X150+1)-INDEX($A$5:$A$10,$X150))))</f>
        <v>0.000679440801546802</v>
      </c>
      <c r="Z150" s="348" t="n">
        <f aca="false">IF($X150="",Z149^2/Z148,INDEX(C$5:C$10,$X150)^((INDEX($A$5:$A$10,$X150+1)-($I150-DateToday+1))/(INDEX($A$5:$A$10,$X150+1)-INDEX($A$5:$A$10,$X150)))/INDEX(C$5:C$10,$X150+1)^((INDEX($A$5:$A$10,$X150)-($I150-DateToday+1))/(INDEX($A$5:$A$10,$X150+1)-INDEX($A$5:$A$10,$X150))))</f>
        <v>0.000193099325502566</v>
      </c>
      <c r="AA150" s="348" t="n">
        <f aca="false">IF($X150="",AA149^2/AA148,INDEX(D$5:D$10,$X150)^((INDEX($A$5:$A$10,$X150+1)-($I150-DateToday+1))/(INDEX($A$5:$A$10,$X150+1)-INDEX($A$5:$A$10,$X150)))/INDEX(D$5:D$10,$X150+1)^((INDEX($A$5:$A$10,$X150)-($I150-DateToday+1))/(INDEX($A$5:$A$10,$X150+1)-INDEX($A$5:$A$10,$X150))))</f>
        <v>6.24980758657947E-005</v>
      </c>
      <c r="AB150" s="348" t="n">
        <f aca="false">IF($X150="",AB149^2/AB148,INDEX(E$5:E$10,$X150)^((INDEX($A$5:$A$10,$X150+1)-($I150-DateToday+1))/(INDEX($A$5:$A$10,$X150+1)-INDEX($A$5:$A$10,$X150)))/INDEX(E$5:E$10,$X150+1)^((INDEX($A$5:$A$10,$X150)-($I150-DateToday+1))/(INDEX($A$5:$A$10,$X150+1)-INDEX($A$5:$A$10,$X150))))</f>
        <v>0.000140795665310472</v>
      </c>
      <c r="AC150" s="348" t="n">
        <f aca="false">IF($X150="",AC149^2/AC148,INDEX(F$5:F$10,$X150)^((INDEX($A$5:$A$10,$X150+1)-($I150-DateToday+1))/(INDEX($A$5:$A$10,$X150+1)-INDEX($A$5:$A$10,$X150)))/INDEX(F$5:F$10,$X150+1)^((INDEX($A$5:$A$10,$X150)-($I150-DateToday+1))/(INDEX($A$5:$A$10,$X150+1)-INDEX($A$5:$A$10,$X150))))</f>
        <v>0.000435014160492176</v>
      </c>
      <c r="AD150" s="348" t="n">
        <f aca="false">IF($X150="",AD149^2/AD148,INDEX(G$5:G$10,$X150)^((INDEX($A$5:$A$10,$X150+1)-($I150-DateToday+1))/(INDEX($A$5:$A$10,$X150+1)-INDEX($A$5:$A$10,$X150)))/INDEX(G$5:G$10,$X150+1)^((INDEX($A$5:$A$10,$X150)-($I150-DateToday+1))/(INDEX($A$5:$A$10,$X150+1)-INDEX($A$5:$A$10,$X150))))</f>
        <v>0.0015306442377245</v>
      </c>
      <c r="AE150" s="321" t="n">
        <v>0.07368280475833</v>
      </c>
      <c r="AF150" s="316" t="n">
        <f aca="false">(1+AE150/2)^(-2*(I151-DateToday)/365.25)</f>
        <v>0.416683941543572</v>
      </c>
      <c r="AG150" s="316" t="n">
        <f aca="false">AG149*(1+IF(AND(M150=1,L150&gt;YearStart),Escalation,0))</f>
        <v>1</v>
      </c>
      <c r="AH150" s="322" t="n">
        <f aca="false">IF(OR(DateStart&gt;=I151,DateEnd&lt;I150),0,Volume*AG150)</f>
        <v>0</v>
      </c>
      <c r="AI150" s="322" t="n">
        <f aca="false">AH150*AF150</f>
        <v>0</v>
      </c>
      <c r="AJ150" s="322" t="n">
        <f aca="false">IF(OR(DateStart2&gt;=I151,DateEnd2&lt;I150),0,VolumeSwaption*AG150)</f>
        <v>0</v>
      </c>
      <c r="AK150" s="322" t="n">
        <f aca="false">AJ150*AF150</f>
        <v>0</v>
      </c>
      <c r="AL150" s="316" t="str">
        <f aca="true">IF(AH150,OFFSET(BY150,0,HorizontalPriceOffset)+PriceSpreadAsian,"")</f>
        <v/>
      </c>
      <c r="AM150" s="316" t="str">
        <f aca="false">IF(AH150,Strike1/AL150-1,"")</f>
        <v/>
      </c>
      <c r="AN150" s="316" t="str">
        <f aca="false">IF(AH150,Strike2/AL150-1,"")</f>
        <v/>
      </c>
      <c r="AO150" s="323" t="str">
        <f aca="false">IF(AH150,IF(VolOverrideAsian,VolOverrideAsian,IF(ProductGroup=1,IF(Product&lt;3,DA151,DE151),W151)+VolSpreadAsian),"")</f>
        <v/>
      </c>
      <c r="AP150" s="323" t="str">
        <f aca="false">IF($AH150,$AO150+IF(SkewFlag=1,IF(AM150&gt;0,$AA150*MIN(AM150/10%,1)+($Z150-$AA150)*MAX(0,MIN(AM150/10%-1,1))+($Y150-$Z150)*MAX(0,AM150/10%-2),$AB150*MIN(-AM150/10%,1)+($AC150-$AB150)*MAX(0,MIN(-AM150/10%-1,1))+($AD150-$AC150)*MAX(0,-AM150/10%-2)),0),"")</f>
        <v/>
      </c>
      <c r="AQ150" s="323" t="str">
        <f aca="false">IF($AH150,$AO150+IF(SkewFlag=1,IF(AN150&gt;0,$AA150*MIN(AN150/10%,1)+($Z150-$AA150)*MAX(0,MIN(AN150/10%-1,1))+($Y150-$Z150)*MAX(0,AN150/10%-2),$AB150*MIN(-AN150/10%,1)+($AC150-$AB150)*MAX(0,MIN(-AN150/10%-1,1))+($AD150-$AC150)*MAX(0,-AN150/10%-2)),0),"")</f>
        <v/>
      </c>
      <c r="AR150" s="324" t="n">
        <f aca="false">IF(AH150,xASN(AL150,Strike1,AE150,AP150,0,N150,0,P150,Q150,IF(OptControl=4,0,1),0),0)</f>
        <v>0</v>
      </c>
      <c r="AS150" s="324" t="n">
        <f aca="false">IF(AH150,xASN(AL150,Strike1,AE150,AP150,0,N150,0,P150,Q150,IF(OptControl=4,0,1),1),0)</f>
        <v>0</v>
      </c>
      <c r="AT150" s="324" t="n">
        <f aca="false">IF(AH150,xASN(AL150,Strike1,AE150,AP150,0,N150,0,P150,Q150,IF(OptControl=4,0,1),2),0)</f>
        <v>0</v>
      </c>
      <c r="AU150" s="324" t="n">
        <f aca="false">IF(AH150,xASN(AL150,Strike1,AE150,AP150,0,N150,0,P150,Q150,IF(OptControl=4,0,1),3)/100,0)</f>
        <v>0</v>
      </c>
      <c r="AV150" s="324" t="n">
        <f aca="false">IF(AH150,xASN(AL150,Strike1,AE150,AP150,0,N150,0,P150-DaysForThetaCalculation/365.25,Q150-DaysForThetaCalculation/365.25,IF(OptControl=4,0,1),0)-xASN(AL150,Strike1,AE150,AP150,0,N150,0,P150,Q150,IF(OptControl=4,0,1),0),0)</f>
        <v>0</v>
      </c>
      <c r="AW150" s="324" t="n">
        <f aca="false">IF(AH150,xASN(AL150,Strike2,AE150,AQ150,0,N150,0,P150,Q150,IF(OptControl=3,1,0),0),0)</f>
        <v>0</v>
      </c>
      <c r="AX150" s="324" t="n">
        <f aca="false">IF(AH150,xASN(AL150,Strike2,AE150,AQ150,0,N150,0,P150,Q150,IF(OptControl=3,1,0),1),0)</f>
        <v>0</v>
      </c>
      <c r="AY150" s="324" t="n">
        <f aca="false">IF(AH150,xASN(AL150,Strike2,AE150,AQ150,0,N150,0,P150,Q150,IF(OptControl=3,1,0),2),0)</f>
        <v>0</v>
      </c>
      <c r="AZ150" s="324" t="n">
        <f aca="false">IF(AH150,xASN(AL150,Strike2,AE150,AQ150,0,N150,0,P150,Q150,IF(OptControl=3,1,0),3)/100,0)</f>
        <v>0</v>
      </c>
      <c r="BA150" s="324" t="n">
        <f aca="false">IF(AH150,xASN(AL150,Strike2,AE150,AQ150,0,N150,0,P150-DaysForThetaCalculation/365.25,Q150-DaysForThetaCalculation/365.25,IF(OptControl=3,1,0),0)-xASN(AL150,Strike2,AE150,AQ150,0,N150,0,P150,Q150,IF(OptControl=3,1,0),0),0)</f>
        <v>0</v>
      </c>
      <c r="BB150" s="325" t="str">
        <f aca="false">IF(AH150,IF(ProductGroup=1,IF(Product=1,BX150+PriceSpreadEuro,IF(Product=3,CK150+PriceSpreadEuro,"N/A")),"N/A"),"")</f>
        <v/>
      </c>
      <c r="BC150" s="316" t="str">
        <f aca="false">IF(AH150,Strike1/BB150-1,"")</f>
        <v/>
      </c>
      <c r="BD150" s="316" t="str">
        <f aca="false">IF(AH150,Strike2/BB150-1,"")</f>
        <v/>
      </c>
      <c r="BE150" s="326" t="str">
        <f aca="false">IF(AH150,IF(VolOverrideEuro,VolOverrideEuro,IF(ProductGroup=1,IF(Product&lt;3,DA150,DE150)+VolSpreadEuro,"N/A")),"")</f>
        <v/>
      </c>
      <c r="BF150" s="323" t="str">
        <f aca="false">IF($AH150,$BE150+IF(SkewFlag=1,IF(BC150&gt;0,$AA150*MIN(BC150/10%,1)+($Z150-$AA150)*MAX(0,MIN(BC150/10%-1,1))+($Y150-$Z150)*MAX(0,BC150/10%-2),$AB150*MIN(-BC150/10%,1)+($AC150-$AB150)*MAX(0,MIN(-BC150/10%-1,1))+($AD150-$AC150)*MAX(0,-BC150/10%-2)),0),"")</f>
        <v/>
      </c>
      <c r="BG150" s="323" t="str">
        <f aca="false">IF($AH150,$BE150+IF(SkewFlag=1,IF(BD150&gt;0,$AA150*MIN(BD150/10%,1)+($Z150-$AA150)*MAX(0,MIN(BD150/10%-1,1))+($Y150-$Z150)*MAX(0,BD150/10%-2),$AB150*MIN(-BD150/10%,1)+($AC150-$AB150)*MAX(0,MIN(-BD150/10%-1,1))+($AD150-$AC150)*MAX(0,-BD150/10%-2)),0),"")</f>
        <v/>
      </c>
      <c r="BH150" s="324" t="n">
        <f aca="false">IF(AH150,xEURO(BB150,Strike1,AE150,AE150,BF150,O150,IF(OptControl=4,0,1),0),0)</f>
        <v>0</v>
      </c>
      <c r="BI150" s="324" t="n">
        <f aca="false">IF(AH150,xEURO(BB150,Strike1,AE150,AE150,BF150,O150,IF(OptControl=4,0,1),1),0)</f>
        <v>0</v>
      </c>
      <c r="BJ150" s="324" t="n">
        <f aca="false">IF(AH150,xEURO(BB150,Strike1,AE150,AE150,BF150,O150,IF(OptControl=4,0,1),2),0)</f>
        <v>0</v>
      </c>
      <c r="BK150" s="324" t="n">
        <f aca="false">IF(AH150,xEURO(BB150,Strike1,AE150,AE150,BF150,O150,IF(OptControl=4,0,1),3)/100,0)</f>
        <v>0</v>
      </c>
      <c r="BL150" s="324" t="n">
        <f aca="false">IF(AH150,xEURO(BB150,Strike1,AE150,AE150,BF150,O150-DaysForThetaCalculation,IF(OptControl=4,0,1),0)-xEURO(BB150,Strike1,AE150,AE150,BF150,O150,IF(OptControl=4,0,1),0),0)</f>
        <v>0</v>
      </c>
      <c r="BM150" s="324" t="n">
        <f aca="false">IF(AH150,xEURO(BB150,Strike2,AE150,AE150,BG150,O150,IF(OptControl=3,1,0),0),0)</f>
        <v>0</v>
      </c>
      <c r="BN150" s="324" t="n">
        <f aca="false">IF(AH150,xEURO(BB150,Strike2,AE150,AE150,BG150,O150,IF(OptControl=3,1,0),1),0)</f>
        <v>0</v>
      </c>
      <c r="BO150" s="324" t="n">
        <f aca="false">IF(AH150,xEURO(BB150,Strike2,AE150,AE150,BG150,O150,IF(OptControl=3,1,0),2),0)</f>
        <v>0</v>
      </c>
      <c r="BP150" s="324" t="n">
        <f aca="false">IF(AH150,xEURO(BB150,Strike2,AE150,AE150,BG150,O150,IF(OptControl=3,1,0),3)/100,0)</f>
        <v>0</v>
      </c>
      <c r="BQ150" s="327" t="n">
        <f aca="false">IF(AH150,xEURO(BB150,Strike2,AE150,AE150,BG150,O150-DaysForThetaCalculation,IF(OptControl=3,1,0),0)-xEURO(BB150,Strike2,AE150,AE150,BG150,O150,IF(OptControl=3,1,0),0),0)</f>
        <v>0</v>
      </c>
      <c r="BR150" s="343"/>
      <c r="BS150" s="314"/>
      <c r="BT150" s="329" t="n">
        <f aca="false">BS150*100/42</f>
        <v>0</v>
      </c>
      <c r="BU150" s="329" t="n">
        <f aca="false">BS151-$U150</f>
        <v>-29.8340909090907</v>
      </c>
      <c r="BV150" s="224"/>
      <c r="BW150" s="329" t="n">
        <f aca="false">BW138+VLOOKUP(1900+$L150,ProductSpreadTable,2)</f>
        <v>22.2243478260869</v>
      </c>
      <c r="BX150" s="329" t="n">
        <f aca="false">($V149+BW149)*100/42</f>
        <v>99.3478354978364</v>
      </c>
      <c r="BY150" s="332" t="n">
        <f aca="false">BX151</f>
        <v>123.948663655185</v>
      </c>
      <c r="BZ150" s="314"/>
      <c r="CA150" s="329" t="n">
        <f aca="false">BZ150*100/42</f>
        <v>0</v>
      </c>
      <c r="CB150" s="329" t="n">
        <f aca="false">BZ150-$U150</f>
        <v>-29.8340909090907</v>
      </c>
      <c r="CC150" s="329" t="n">
        <f aca="false">CC138+VLOOKUP(1900+$L150,ProductSpreadTable,3)</f>
        <v>19.5993478260869</v>
      </c>
      <c r="CD150" s="329" t="n">
        <f aca="false">($V150+CC150)*100/42</f>
        <v>117.698663655185</v>
      </c>
      <c r="CE150" s="333" t="n">
        <f aca="false">CD150-BY150</f>
        <v>-6.25</v>
      </c>
      <c r="CF150" s="314"/>
      <c r="CG150" s="329" t="n">
        <f aca="false">CF150*100/42</f>
        <v>0</v>
      </c>
      <c r="CH150" s="329" t="n">
        <f aca="false">CF151-$U150</f>
        <v>-29.8340909090907</v>
      </c>
      <c r="CI150" s="224"/>
      <c r="CJ150" s="329" t="n">
        <f aca="false">CJ138+VLOOKUP(1900+$L150,ProductSpreadTable,4)</f>
        <v>10.0116363636363</v>
      </c>
      <c r="CK150" s="329" t="n">
        <f aca="false">($V149+CJ149)*100/42</f>
        <v>97.7573593073601</v>
      </c>
      <c r="CL150" s="329" t="n">
        <f aca="false">CK151</f>
        <v>94.8707792207787</v>
      </c>
      <c r="CM150" s="314"/>
      <c r="CN150" s="329" t="n">
        <f aca="false">CM150*100/42</f>
        <v>0</v>
      </c>
      <c r="CO150" s="329" t="n">
        <f aca="false">CM150-$U150</f>
        <v>-29.8340909090907</v>
      </c>
      <c r="CP150" s="329" t="n">
        <f aca="false">CP138+VLOOKUP(1900+$L150,ProductSpreadTable,5)</f>
        <v>9.08763636363634</v>
      </c>
      <c r="CQ150" s="329" t="n">
        <f aca="false">($V150+CP150)*100/42</f>
        <v>92.6707792207787</v>
      </c>
      <c r="CR150" s="333" t="n">
        <f aca="false">CQ150-CL150</f>
        <v>-2.20000000000002</v>
      </c>
      <c r="CS150" s="314"/>
      <c r="CT150" s="329" t="n">
        <f aca="false">CS150*100/42</f>
        <v>0</v>
      </c>
      <c r="CU150" s="329" t="n">
        <f aca="false">CT150-CG151</f>
        <v>0</v>
      </c>
      <c r="CV150" s="329" t="n">
        <f aca="false">CV138+VLOOKUP(1900+$L150,ProductSpreadTable,6)</f>
        <v>2.24999999999999</v>
      </c>
      <c r="CW150" s="333" t="n">
        <f aca="false">CL150+CV150</f>
        <v>97.1207792207787</v>
      </c>
      <c r="CX150" s="318"/>
      <c r="CY150" s="326" t="n">
        <f aca="false">CX150-$W150</f>
        <v>-0.159699999999999</v>
      </c>
      <c r="CZ150" s="326" t="n">
        <f aca="false">VLOOKUP(1900+$L150,ProductSpreadTable,7)</f>
        <v>-0.03</v>
      </c>
      <c r="DA150" s="365" t="n">
        <f aca="false">$W150+CZ150</f>
        <v>0.129699999999999</v>
      </c>
      <c r="DB150" s="318"/>
      <c r="DC150" s="326" t="n">
        <f aca="false">DB150-$W150</f>
        <v>-0.159699999999999</v>
      </c>
      <c r="DD150" s="326" t="n">
        <f aca="false">VLOOKUP(1900+$L150,ProductSpreadTable,8)</f>
        <v>0.03</v>
      </c>
      <c r="DE150" s="365" t="n">
        <f aca="false">$W150+DD150</f>
        <v>0.189699999999999</v>
      </c>
      <c r="DG150" s="336"/>
      <c r="DH150" s="314"/>
      <c r="DI150" s="325" t="n">
        <f aca="false">DH150-$U150</f>
        <v>-29.8340909090907</v>
      </c>
      <c r="DJ150" s="325" t="n">
        <f aca="false">VLOOKUP(1900+$L150,ResidSpreadTable,2)</f>
        <v>-2</v>
      </c>
      <c r="DK150" s="337" t="n">
        <f aca="false">$V150+DJ150</f>
        <v>27.8340909090907</v>
      </c>
      <c r="DL150" s="314"/>
      <c r="DM150" s="325" t="n">
        <f aca="false">DL150-$U150</f>
        <v>-29.8340909090907</v>
      </c>
      <c r="DN150" s="325" t="n">
        <f aca="false">VLOOKUP(1900+$L150,ResidSpreadTable,3)</f>
        <v>-3</v>
      </c>
      <c r="DO150" s="337" t="n">
        <f aca="false">$V150+DN150</f>
        <v>26.8340909090907</v>
      </c>
      <c r="DP150" s="314"/>
      <c r="DQ150" s="325" t="n">
        <f aca="false">DP150-$U150</f>
        <v>-29.8340909090907</v>
      </c>
      <c r="DR150" s="325" t="n">
        <f aca="false">VLOOKUP(1900+$L150,ResidSpreadTable,4)</f>
        <v>-6</v>
      </c>
      <c r="DS150" s="337" t="n">
        <f aca="false">$V150+DR150</f>
        <v>23.8340909090907</v>
      </c>
      <c r="DT150" s="314"/>
      <c r="DU150" s="325" t="n">
        <f aca="false">DT150-$U150</f>
        <v>-29.8340909090907</v>
      </c>
      <c r="DV150" s="325" t="n">
        <f aca="false">VLOOKUP(1900+$L150,ResidSpreadTable,5)</f>
        <v>-5</v>
      </c>
      <c r="DW150" s="337" t="n">
        <f aca="false">$V150+DV150</f>
        <v>24.8340909090907</v>
      </c>
    </row>
    <row r="151" customFormat="false" ht="12.75" hidden="false" customHeight="false" outlineLevel="0" collapsed="false">
      <c r="B151" s="371" t="n">
        <v>40148</v>
      </c>
      <c r="C151" s="391" t="n">
        <v>40136</v>
      </c>
      <c r="I151" s="338" t="n">
        <f aca="false">EOMONTH(I150,0)+1</f>
        <v>50345</v>
      </c>
      <c r="J151" s="389" t="n">
        <f aca="false">VLOOKUP(I151,$B$12:$C$332,2)</f>
        <v>45644</v>
      </c>
      <c r="K151" s="339" t="n">
        <f aca="false">NETWORKDAYS(I151,J152)/N151</f>
        <v>-159.904761904762</v>
      </c>
      <c r="L151" s="309" t="n">
        <f aca="false">YEAR(I151)-1900</f>
        <v>137</v>
      </c>
      <c r="M151" s="310" t="n">
        <f aca="false">MONTH(I151)</f>
        <v>11</v>
      </c>
      <c r="N151" s="340" t="n">
        <f aca="false">NETWORKDAYS(I151,I152-1)</f>
        <v>21</v>
      </c>
      <c r="O151" s="341" t="n">
        <f aca="false">I151-DateToday-IF(EuroExpDateToggle=1,3+IF(WEEKDAY(I151-1)=7,1,IF(WEEKDAY(I151-1)&lt;5,2,0)),1+IF(WEEKDAY(I151-1)=7,1,IF(WEEKDAY(I151-1)&lt;3,2,0)))</f>
        <v>4415</v>
      </c>
      <c r="P151" s="342" t="n">
        <f aca="false">(I151-DateToday+1)/365.25</f>
        <v>12.1013004791239</v>
      </c>
      <c r="Q151" s="342" t="n">
        <f aca="false">(I152-DateToday)/365.25</f>
        <v>12.1806981519507</v>
      </c>
      <c r="R151" s="314" t="n">
        <v>22.2</v>
      </c>
      <c r="S151" s="347" t="n">
        <v>0</v>
      </c>
      <c r="T151" s="316" t="n">
        <f aca="false">R151+S151/100</f>
        <v>22.2</v>
      </c>
      <c r="U151" s="325" t="n">
        <f aca="false">R152*K151+R153*(1-K151)</f>
        <v>30.2952380952383</v>
      </c>
      <c r="V151" s="337" t="n">
        <f aca="false">T152*K151+T153*(1-K151)</f>
        <v>30.2952380952383</v>
      </c>
      <c r="W151" s="318" t="n">
        <v>0.159299999999999</v>
      </c>
      <c r="X151" s="319" t="str">
        <f aca="false">IF($I151-DateToday+1&gt;=$A$10,"",IF($I151-DateToday+1&lt;$A$5,1,MATCH($I151-DateToday+1,$A$5:$A$10)))</f>
        <v/>
      </c>
      <c r="Y151" s="348" t="n">
        <f aca="false">IF($X151="",Y150^2/Y149,INDEX(B$5:B$10,$X151)^((INDEX($A$5:$A$10,$X151+1)-($I151-DateToday+1))/(INDEX($A$5:$A$10,$X151+1)-INDEX($A$5:$A$10,$X151)))/INDEX(B$5:B$10,$X151+1)^((INDEX($A$5:$A$10,$X151)-($I151-DateToday+1))/(INDEX($A$5:$A$10,$X151+1)-INDEX($A$5:$A$10,$X151))))</f>
        <v>0.000664895007365733</v>
      </c>
      <c r="Z151" s="348" t="n">
        <f aca="false">IF($X151="",Z150^2/Z149,INDEX(C$5:C$10,$X151)^((INDEX($A$5:$A$10,$X151+1)-($I151-DateToday+1))/(INDEX($A$5:$A$10,$X151+1)-INDEX($A$5:$A$10,$X151)))/INDEX(C$5:C$10,$X151+1)^((INDEX($A$5:$A$10,$X151)-($I151-DateToday+1))/(INDEX($A$5:$A$10,$X151+1)-INDEX($A$5:$A$10,$X151))))</f>
        <v>0.000187953632266818</v>
      </c>
      <c r="AA151" s="348" t="n">
        <f aca="false">IF($X151="",AA150^2/AA149,INDEX(D$5:D$10,$X151)^((INDEX($A$5:$A$10,$X151+1)-($I151-DateToday+1))/(INDEX($A$5:$A$10,$X151+1)-INDEX($A$5:$A$10,$X151)))/INDEX(D$5:D$10,$X151+1)^((INDEX($A$5:$A$10,$X151)-($I151-DateToday+1))/(INDEX($A$5:$A$10,$X151+1)-INDEX($A$5:$A$10,$X151))))</f>
        <v>6.06695043727948E-005</v>
      </c>
      <c r="AB151" s="348" t="n">
        <f aca="false">IF($X151="",AB150^2/AB149,INDEX(E$5:E$10,$X151)^((INDEX($A$5:$A$10,$X151+1)-($I151-DateToday+1))/(INDEX($A$5:$A$10,$X151+1)-INDEX($A$5:$A$10,$X151)))/INDEX(E$5:E$10,$X151+1)^((INDEX($A$5:$A$10,$X151)-($I151-DateToday+1))/(INDEX($A$5:$A$10,$X151+1)-INDEX($A$5:$A$10,$X151))))</f>
        <v>0.000136676259451042</v>
      </c>
      <c r="AC151" s="348" t="n">
        <f aca="false">IF($X151="",AC150^2/AC149,INDEX(F$5:F$10,$X151)^((INDEX($A$5:$A$10,$X151+1)-($I151-DateToday+1))/(INDEX($A$5:$A$10,$X151+1)-INDEX($A$5:$A$10,$X151)))/INDEX(F$5:F$10,$X151+1)^((INDEX($A$5:$A$10,$X151)-($I151-DateToday+1))/(INDEX($A$5:$A$10,$X151+1)-INDEX($A$5:$A$10,$X151))))</f>
        <v>0.000423421942770684</v>
      </c>
      <c r="AD151" s="348" t="n">
        <f aca="false">IF($X151="",AD150^2/AD149,INDEX(G$5:G$10,$X151)^((INDEX($A$5:$A$10,$X151+1)-($I151-DateToday+1))/(INDEX($A$5:$A$10,$X151+1)-INDEX($A$5:$A$10,$X151)))/INDEX(G$5:G$10,$X151+1)^((INDEX($A$5:$A$10,$X151)-($I151-DateToday+1))/(INDEX($A$5:$A$10,$X151+1)-INDEX($A$5:$A$10,$X151))))</f>
        <v>0.00149787547259338</v>
      </c>
      <c r="AE151" s="321" t="n">
        <v>0.073678970991889</v>
      </c>
      <c r="AF151" s="316" t="n">
        <f aca="false">(1+AE151/2)^(-2*(I152-DateToday)/365.25)</f>
        <v>0.414233523185568</v>
      </c>
      <c r="AG151" s="316" t="n">
        <f aca="false">AG150*(1+IF(AND(M151=1,L151&gt;YearStart),Escalation,0))</f>
        <v>1</v>
      </c>
      <c r="AH151" s="322" t="n">
        <f aca="false">IF(OR(DateStart&gt;=I152,DateEnd&lt;I151),0,Volume*AG151)</f>
        <v>0</v>
      </c>
      <c r="AI151" s="322" t="n">
        <f aca="false">AH151*AF151</f>
        <v>0</v>
      </c>
      <c r="AJ151" s="322" t="n">
        <f aca="false">IF(OR(DateStart2&gt;=I152,DateEnd2&lt;I151),0,VolumeSwaption*AG151)</f>
        <v>0</v>
      </c>
      <c r="AK151" s="322" t="n">
        <f aca="false">AJ151*AF151</f>
        <v>0</v>
      </c>
      <c r="AL151" s="316" t="str">
        <f aca="true">IF(AH151,OFFSET(BY151,0,HorizontalPriceOffset)+PriceSpreadAsian,"")</f>
        <v/>
      </c>
      <c r="AM151" s="316" t="str">
        <f aca="false">IF(AH151,Strike1/AL151-1,"")</f>
        <v/>
      </c>
      <c r="AN151" s="316" t="str">
        <f aca="false">IF(AH151,Strike2/AL151-1,"")</f>
        <v/>
      </c>
      <c r="AO151" s="323" t="str">
        <f aca="false">IF(AH151,IF(VolOverrideAsian,VolOverrideAsian,IF(ProductGroup=1,IF(Product&lt;3,DA152,DE152),W152)+VolSpreadAsian),"")</f>
        <v/>
      </c>
      <c r="AP151" s="323" t="str">
        <f aca="false">IF($AH151,$AO151+IF(SkewFlag=1,IF(AM151&gt;0,$AA151*MIN(AM151/10%,1)+($Z151-$AA151)*MAX(0,MIN(AM151/10%-1,1))+($Y151-$Z151)*MAX(0,AM151/10%-2),$AB151*MIN(-AM151/10%,1)+($AC151-$AB151)*MAX(0,MIN(-AM151/10%-1,1))+($AD151-$AC151)*MAX(0,-AM151/10%-2)),0),"")</f>
        <v/>
      </c>
      <c r="AQ151" s="323" t="str">
        <f aca="false">IF($AH151,$AO151+IF(SkewFlag=1,IF(AN151&gt;0,$AA151*MIN(AN151/10%,1)+($Z151-$AA151)*MAX(0,MIN(AN151/10%-1,1))+($Y151-$Z151)*MAX(0,AN151/10%-2),$AB151*MIN(-AN151/10%,1)+($AC151-$AB151)*MAX(0,MIN(-AN151/10%-1,1))+($AD151-$AC151)*MAX(0,-AN151/10%-2)),0),"")</f>
        <v/>
      </c>
      <c r="AR151" s="324" t="n">
        <f aca="false">IF(AH151,xASN(AL151,Strike1,AE151,AP151,0,N151,0,P151,Q151,IF(OptControl=4,0,1),0),0)</f>
        <v>0</v>
      </c>
      <c r="AS151" s="324" t="n">
        <f aca="false">IF(AH151,xASN(AL151,Strike1,AE151,AP151,0,N151,0,P151,Q151,IF(OptControl=4,0,1),1),0)</f>
        <v>0</v>
      </c>
      <c r="AT151" s="324" t="n">
        <f aca="false">IF(AH151,xASN(AL151,Strike1,AE151,AP151,0,N151,0,P151,Q151,IF(OptControl=4,0,1),2),0)</f>
        <v>0</v>
      </c>
      <c r="AU151" s="324" t="n">
        <f aca="false">IF(AH151,xASN(AL151,Strike1,AE151,AP151,0,N151,0,P151,Q151,IF(OptControl=4,0,1),3)/100,0)</f>
        <v>0</v>
      </c>
      <c r="AV151" s="324" t="n">
        <f aca="false">IF(AH151,xASN(AL151,Strike1,AE151,AP151,0,N151,0,P151-DaysForThetaCalculation/365.25,Q151-DaysForThetaCalculation/365.25,IF(OptControl=4,0,1),0)-xASN(AL151,Strike1,AE151,AP151,0,N151,0,P151,Q151,IF(OptControl=4,0,1),0),0)</f>
        <v>0</v>
      </c>
      <c r="AW151" s="324" t="n">
        <f aca="false">IF(AH151,xASN(AL151,Strike2,AE151,AQ151,0,N151,0,P151,Q151,IF(OptControl=3,1,0),0),0)</f>
        <v>0</v>
      </c>
      <c r="AX151" s="324" t="n">
        <f aca="false">IF(AH151,xASN(AL151,Strike2,AE151,AQ151,0,N151,0,P151,Q151,IF(OptControl=3,1,0),1),0)</f>
        <v>0</v>
      </c>
      <c r="AY151" s="324" t="n">
        <f aca="false">IF(AH151,xASN(AL151,Strike2,AE151,AQ151,0,N151,0,P151,Q151,IF(OptControl=3,1,0),2),0)</f>
        <v>0</v>
      </c>
      <c r="AZ151" s="324" t="n">
        <f aca="false">IF(AH151,xASN(AL151,Strike2,AE151,AQ151,0,N151,0,P151,Q151,IF(OptControl=3,1,0),3)/100,0)</f>
        <v>0</v>
      </c>
      <c r="BA151" s="324" t="n">
        <f aca="false">IF(AH151,xASN(AL151,Strike2,AE151,AQ151,0,N151,0,P151-DaysForThetaCalculation/365.25,Q151-DaysForThetaCalculation/365.25,IF(OptControl=3,1,0),0)-xASN(AL151,Strike2,AE151,AQ151,0,N151,0,P151,Q151,IF(OptControl=3,1,0),0),0)</f>
        <v>0</v>
      </c>
      <c r="BB151" s="325" t="str">
        <f aca="false">IF(AH151,IF(ProductGroup=1,IF(Product=1,BX151+PriceSpreadEuro,IF(Product=3,CK151+PriceSpreadEuro,"N/A")),"N/A"),"")</f>
        <v/>
      </c>
      <c r="BC151" s="316" t="str">
        <f aca="false">IF(AH151,Strike1/BB151-1,"")</f>
        <v/>
      </c>
      <c r="BD151" s="316" t="str">
        <f aca="false">IF(AH151,Strike2/BB151-1,"")</f>
        <v/>
      </c>
      <c r="BE151" s="326" t="str">
        <f aca="false">IF(AH151,IF(VolOverrideEuro,VolOverrideEuro,IF(ProductGroup=1,IF(Product&lt;3,DA151,DE151)+VolSpreadEuro,"N/A")),"")</f>
        <v/>
      </c>
      <c r="BF151" s="323" t="str">
        <f aca="false">IF($AH151,$BE151+IF(SkewFlag=1,IF(BC151&gt;0,$AA151*MIN(BC151/10%,1)+($Z151-$AA151)*MAX(0,MIN(BC151/10%-1,1))+($Y151-$Z151)*MAX(0,BC151/10%-2),$AB151*MIN(-BC151/10%,1)+($AC151-$AB151)*MAX(0,MIN(-BC151/10%-1,1))+($AD151-$AC151)*MAX(0,-BC151/10%-2)),0),"")</f>
        <v/>
      </c>
      <c r="BG151" s="323" t="str">
        <f aca="false">IF($AH151,$BE151+IF(SkewFlag=1,IF(BD151&gt;0,$AA151*MIN(BD151/10%,1)+($Z151-$AA151)*MAX(0,MIN(BD151/10%-1,1))+($Y151-$Z151)*MAX(0,BD151/10%-2),$AB151*MIN(-BD151/10%,1)+($AC151-$AB151)*MAX(0,MIN(-BD151/10%-1,1))+($AD151-$AC151)*MAX(0,-BD151/10%-2)),0),"")</f>
        <v/>
      </c>
      <c r="BH151" s="324" t="n">
        <f aca="false">IF(AH151,xEURO(BB151,Strike1,AE151,AE151,BF151,O151,IF(OptControl=4,0,1),0),0)</f>
        <v>0</v>
      </c>
      <c r="BI151" s="324" t="n">
        <f aca="false">IF(AH151,xEURO(BB151,Strike1,AE151,AE151,BF151,O151,IF(OptControl=4,0,1),1),0)</f>
        <v>0</v>
      </c>
      <c r="BJ151" s="324" t="n">
        <f aca="false">IF(AH151,xEURO(BB151,Strike1,AE151,AE151,BF151,O151,IF(OptControl=4,0,1),2),0)</f>
        <v>0</v>
      </c>
      <c r="BK151" s="324" t="n">
        <f aca="false">IF(AH151,xEURO(BB151,Strike1,AE151,AE151,BF151,O151,IF(OptControl=4,0,1),3)/100,0)</f>
        <v>0</v>
      </c>
      <c r="BL151" s="324" t="n">
        <f aca="false">IF(AH151,xEURO(BB151,Strike1,AE151,AE151,BF151,O151-DaysForThetaCalculation,IF(OptControl=4,0,1),0)-xEURO(BB151,Strike1,AE151,AE151,BF151,O151,IF(OptControl=4,0,1),0),0)</f>
        <v>0</v>
      </c>
      <c r="BM151" s="324" t="n">
        <f aca="false">IF(AH151,xEURO(BB151,Strike2,AE151,AE151,BG151,O151,IF(OptControl=3,1,0),0),0)</f>
        <v>0</v>
      </c>
      <c r="BN151" s="324" t="n">
        <f aca="false">IF(AH151,xEURO(BB151,Strike2,AE151,AE151,BG151,O151,IF(OptControl=3,1,0),1),0)</f>
        <v>0</v>
      </c>
      <c r="BO151" s="324" t="n">
        <f aca="false">IF(AH151,xEURO(BB151,Strike2,AE151,AE151,BG151,O151,IF(OptControl=3,1,0),2),0)</f>
        <v>0</v>
      </c>
      <c r="BP151" s="324" t="n">
        <f aca="false">IF(AH151,xEURO(BB151,Strike2,AE151,AE151,BG151,O151,IF(OptControl=3,1,0),3)/100,0)</f>
        <v>0</v>
      </c>
      <c r="BQ151" s="327" t="n">
        <f aca="false">IF(AH151,xEURO(BB151,Strike2,AE151,AE151,BG151,O151-DaysForThetaCalculation,IF(OptControl=3,1,0),0)-xEURO(BB151,Strike2,AE151,AE151,BG151,O151,IF(OptControl=3,1,0),0),0)</f>
        <v>0</v>
      </c>
      <c r="BR151" s="343"/>
      <c r="BS151" s="314"/>
      <c r="BT151" s="329" t="n">
        <f aca="false">BS151*100/42</f>
        <v>0</v>
      </c>
      <c r="BU151" s="329" t="n">
        <f aca="false">BS152-$U151</f>
        <v>-30.2952380952383</v>
      </c>
      <c r="BV151" s="224"/>
      <c r="BW151" s="329" t="n">
        <f aca="false">BW139+VLOOKUP(1900+$L151,ProductSpreadTable,2)</f>
        <v>20.24</v>
      </c>
      <c r="BX151" s="329" t="n">
        <f aca="false">($V150+BW150)*100/42</f>
        <v>123.948663655185</v>
      </c>
      <c r="BY151" s="332" t="n">
        <f aca="false">BX152</f>
        <v>120.321995464853</v>
      </c>
      <c r="BZ151" s="314"/>
      <c r="CA151" s="329" t="n">
        <f aca="false">BZ151*100/42</f>
        <v>0</v>
      </c>
      <c r="CB151" s="329" t="n">
        <f aca="false">BZ151-$U151</f>
        <v>-30.2952380952383</v>
      </c>
      <c r="CC151" s="329" t="n">
        <f aca="false">CC139+VLOOKUP(1900+$L151,ProductSpreadTable,3)</f>
        <v>17.615</v>
      </c>
      <c r="CD151" s="329" t="n">
        <f aca="false">($V151+CC151)*100/42</f>
        <v>114.071995464853</v>
      </c>
      <c r="CE151" s="333" t="n">
        <f aca="false">CD151-BY151</f>
        <v>-6.25</v>
      </c>
      <c r="CF151" s="314"/>
      <c r="CG151" s="329" t="n">
        <f aca="false">CF151*100/42</f>
        <v>0</v>
      </c>
      <c r="CH151" s="329" t="n">
        <f aca="false">CF152-$U151</f>
        <v>-30.2952380952383</v>
      </c>
      <c r="CI151" s="224"/>
      <c r="CJ151" s="329" t="n">
        <f aca="false">CJ139+VLOOKUP(1900+$L151,ProductSpreadTable,4)</f>
        <v>9.45552380952372</v>
      </c>
      <c r="CK151" s="329" t="n">
        <f aca="false">($V150+CJ150)*100/42</f>
        <v>94.8707792207787</v>
      </c>
      <c r="CL151" s="329" t="n">
        <f aca="false">CK152</f>
        <v>94.6446712018145</v>
      </c>
      <c r="CM151" s="314"/>
      <c r="CN151" s="329" t="n">
        <f aca="false">CM151*100/42</f>
        <v>0</v>
      </c>
      <c r="CO151" s="329" t="n">
        <f aca="false">CM151-$U151</f>
        <v>-30.2952380952383</v>
      </c>
      <c r="CP151" s="329" t="n">
        <f aca="false">CP139+VLOOKUP(1900+$L151,ProductSpreadTable,5)</f>
        <v>8.53152380952373</v>
      </c>
      <c r="CQ151" s="329" t="n">
        <f aca="false">($V151+CP151)*100/42</f>
        <v>92.4446712018145</v>
      </c>
      <c r="CR151" s="333" t="n">
        <f aca="false">CQ151-CL151</f>
        <v>-2.2</v>
      </c>
      <c r="CS151" s="314"/>
      <c r="CT151" s="329" t="n">
        <f aca="false">CS151*100/42</f>
        <v>0</v>
      </c>
      <c r="CU151" s="329" t="n">
        <f aca="false">CT151-CG152</f>
        <v>0</v>
      </c>
      <c r="CV151" s="329" t="n">
        <f aca="false">CV139+VLOOKUP(1900+$L151,ProductSpreadTable,6)</f>
        <v>2.25000000000001</v>
      </c>
      <c r="CW151" s="333" t="n">
        <f aca="false">CL151+CV151</f>
        <v>96.8946712018145</v>
      </c>
      <c r="CX151" s="318"/>
      <c r="CY151" s="326" t="n">
        <f aca="false">CX151-$W151</f>
        <v>-0.159299999999999</v>
      </c>
      <c r="CZ151" s="326" t="n">
        <f aca="false">VLOOKUP(1900+$L151,ProductSpreadTable,7)</f>
        <v>-0.03</v>
      </c>
      <c r="DA151" s="365" t="n">
        <f aca="false">$W151+CZ151</f>
        <v>0.129299999999999</v>
      </c>
      <c r="DB151" s="318"/>
      <c r="DC151" s="326" t="n">
        <f aca="false">DB151-$W151</f>
        <v>-0.159299999999999</v>
      </c>
      <c r="DD151" s="326" t="n">
        <f aca="false">VLOOKUP(1900+$L151,ProductSpreadTable,8)</f>
        <v>0.03</v>
      </c>
      <c r="DE151" s="365" t="n">
        <f aca="false">$W151+DD151</f>
        <v>0.189299999999999</v>
      </c>
      <c r="DG151" s="336"/>
      <c r="DH151" s="314"/>
      <c r="DI151" s="325" t="n">
        <f aca="false">DH151-$U151</f>
        <v>-30.2952380952383</v>
      </c>
      <c r="DJ151" s="325" t="n">
        <f aca="false">VLOOKUP(1900+$L151,ResidSpreadTable,2)</f>
        <v>-2</v>
      </c>
      <c r="DK151" s="337" t="n">
        <f aca="false">$V151+DJ151</f>
        <v>28.2952380952383</v>
      </c>
      <c r="DL151" s="314"/>
      <c r="DM151" s="325" t="n">
        <f aca="false">DL151-$U151</f>
        <v>-30.2952380952383</v>
      </c>
      <c r="DN151" s="325" t="n">
        <f aca="false">VLOOKUP(1900+$L151,ResidSpreadTable,3)</f>
        <v>-3</v>
      </c>
      <c r="DO151" s="337" t="n">
        <f aca="false">$V151+DN151</f>
        <v>27.2952380952383</v>
      </c>
      <c r="DP151" s="314"/>
      <c r="DQ151" s="325" t="n">
        <f aca="false">DP151-$U151</f>
        <v>-30.2952380952383</v>
      </c>
      <c r="DR151" s="325" t="n">
        <f aca="false">VLOOKUP(1900+$L151,ResidSpreadTable,4)</f>
        <v>-6</v>
      </c>
      <c r="DS151" s="337" t="n">
        <f aca="false">$V151+DR151</f>
        <v>24.2952380952383</v>
      </c>
      <c r="DT151" s="314"/>
      <c r="DU151" s="325" t="n">
        <f aca="false">DT151-$U151</f>
        <v>-30.2952380952383</v>
      </c>
      <c r="DV151" s="325" t="n">
        <f aca="false">VLOOKUP(1900+$L151,ResidSpreadTable,5)</f>
        <v>-5</v>
      </c>
      <c r="DW151" s="337" t="n">
        <f aca="false">$V151+DV151</f>
        <v>25.2952380952383</v>
      </c>
    </row>
    <row r="152" customFormat="false" ht="12.75" hidden="false" customHeight="false" outlineLevel="0" collapsed="false">
      <c r="B152" s="371" t="n">
        <v>40179</v>
      </c>
      <c r="C152" s="391" t="n">
        <v>40166</v>
      </c>
      <c r="I152" s="338" t="n">
        <f aca="false">EOMONTH(I151,0)+1</f>
        <v>50375</v>
      </c>
      <c r="J152" s="389" t="n">
        <f aca="false">VLOOKUP(I152,$B$12:$C$332,2)</f>
        <v>45644</v>
      </c>
      <c r="K152" s="339" t="n">
        <f aca="false">NETWORKDAYS(I152,J153)/N152</f>
        <v>-146.95652173913</v>
      </c>
      <c r="L152" s="309" t="n">
        <f aca="false">YEAR(I152)-1900</f>
        <v>137</v>
      </c>
      <c r="M152" s="310" t="n">
        <f aca="false">MONTH(I152)</f>
        <v>12</v>
      </c>
      <c r="N152" s="340" t="n">
        <f aca="false">NETWORKDAYS(I152,I153-1)</f>
        <v>23</v>
      </c>
      <c r="O152" s="341" t="n">
        <f aca="false">I152-DateToday-IF(EuroExpDateToggle=1,3+IF(WEEKDAY(I152-1)=7,1,IF(WEEKDAY(I152-1)&lt;5,2,0)),1+IF(WEEKDAY(I152-1)=7,1,IF(WEEKDAY(I152-1)&lt;3,2,0)))</f>
        <v>4444</v>
      </c>
      <c r="P152" s="342" t="n">
        <f aca="false">(I152-DateToday+1)/365.25</f>
        <v>12.1834360027379</v>
      </c>
      <c r="Q152" s="342" t="n">
        <f aca="false">(I153-DateToday)/365.25</f>
        <v>12.2655715263518</v>
      </c>
      <c r="R152" s="314" t="n">
        <v>22.25</v>
      </c>
      <c r="S152" s="347" t="n">
        <v>0</v>
      </c>
      <c r="T152" s="316" t="n">
        <f aca="false">R152+S152/100</f>
        <v>22.25</v>
      </c>
      <c r="U152" s="325" t="n">
        <f aca="false">R153*K152+R154*(1-K152)</f>
        <v>29.6978260869564</v>
      </c>
      <c r="V152" s="337" t="n">
        <f aca="false">T153*K152+T154*(1-K152)</f>
        <v>29.6978260869564</v>
      </c>
      <c r="W152" s="318" t="n">
        <v>0.158899999999999</v>
      </c>
      <c r="X152" s="319" t="str">
        <f aca="false">IF($I152-DateToday+1&gt;=$A$10,"",IF($I152-DateToday+1&lt;$A$5,1,MATCH($I152-DateToday+1,$A$5:$A$10)))</f>
        <v/>
      </c>
      <c r="Y152" s="348" t="n">
        <f aca="false">IF($X152="",Y151^2/Y150,INDEX(B$5:B$10,$X152)^((INDEX($A$5:$A$10,$X152+1)-($I152-DateToday+1))/(INDEX($A$5:$A$10,$X152+1)-INDEX($A$5:$A$10,$X152)))/INDEX(B$5:B$10,$X152+1)^((INDEX($A$5:$A$10,$X152)-($I152-DateToday+1))/(INDEX($A$5:$A$10,$X152+1)-INDEX($A$5:$A$10,$X152))))</f>
        <v>0.000650660616514985</v>
      </c>
      <c r="Z152" s="348" t="n">
        <f aca="false">IF($X152="",Z151^2/Z150,INDEX(C$5:C$10,$X152)^((INDEX($A$5:$A$10,$X152+1)-($I152-DateToday+1))/(INDEX($A$5:$A$10,$X152+1)-INDEX($A$5:$A$10,$X152)))/INDEX(C$5:C$10,$X152+1)^((INDEX($A$5:$A$10,$X152)-($I152-DateToday+1))/(INDEX($A$5:$A$10,$X152+1)-INDEX($A$5:$A$10,$X152))))</f>
        <v>0.000182945060995674</v>
      </c>
      <c r="AA152" s="348" t="n">
        <f aca="false">IF($X152="",AA151^2/AA150,INDEX(D$5:D$10,$X152)^((INDEX($A$5:$A$10,$X152+1)-($I152-DateToday+1))/(INDEX($A$5:$A$10,$X152+1)-INDEX($A$5:$A$10,$X152)))/INDEX(D$5:D$10,$X152+1)^((INDEX($A$5:$A$10,$X152)-($I152-DateToday+1))/(INDEX($A$5:$A$10,$X152+1)-INDEX($A$5:$A$10,$X152))))</f>
        <v>5.88944333061471E-005</v>
      </c>
      <c r="AB152" s="348" t="n">
        <f aca="false">IF($X152="",AB151^2/AB150,INDEX(E$5:E$10,$X152)^((INDEX($A$5:$A$10,$X152+1)-($I152-DateToday+1))/(INDEX($A$5:$A$10,$X152+1)-INDEX($A$5:$A$10,$X152)))/INDEX(E$5:E$10,$X152+1)^((INDEX($A$5:$A$10,$X152)-($I152-DateToday+1))/(INDEX($A$5:$A$10,$X152+1)-INDEX($A$5:$A$10,$X152))))</f>
        <v>0.000132677379352098</v>
      </c>
      <c r="AC152" s="348" t="n">
        <f aca="false">IF($X152="",AC151^2/AC150,INDEX(F$5:F$10,$X152)^((INDEX($A$5:$A$10,$X152+1)-($I152-DateToday+1))/(INDEX($A$5:$A$10,$X152+1)-INDEX($A$5:$A$10,$X152)))/INDEX(F$5:F$10,$X152+1)^((INDEX($A$5:$A$10,$X152)-($I152-DateToday+1))/(INDEX($A$5:$A$10,$X152+1)-INDEX($A$5:$A$10,$X152))))</f>
        <v>0.00041213863341105</v>
      </c>
      <c r="AD152" s="348" t="n">
        <f aca="false">IF($X152="",AD151^2/AD150,INDEX(G$5:G$10,$X152)^((INDEX($A$5:$A$10,$X152+1)-($I152-DateToday+1))/(INDEX($A$5:$A$10,$X152+1)-INDEX($A$5:$A$10,$X152)))/INDEX(G$5:G$10,$X152+1)^((INDEX($A$5:$A$10,$X152)-($I152-DateToday+1))/(INDEX($A$5:$A$10,$X152+1)-INDEX($A$5:$A$10,$X152))))</f>
        <v>0.00146580823688482</v>
      </c>
      <c r="AE152" s="321" t="n">
        <v>0.073675009433237</v>
      </c>
      <c r="AF152" s="316" t="n">
        <f aca="false">(1+AE152/2)^(-2*(I153-DateToday)/365.25)</f>
        <v>0.411716824825472</v>
      </c>
      <c r="AG152" s="316" t="n">
        <f aca="false">AG151*(1+IF(AND(M152=1,L152&gt;YearStart),Escalation,0))</f>
        <v>1</v>
      </c>
      <c r="AH152" s="322" t="n">
        <f aca="false">IF(OR(DateStart&gt;=I153,DateEnd&lt;I152),0,Volume*AG152)</f>
        <v>0</v>
      </c>
      <c r="AI152" s="322" t="n">
        <f aca="false">AH152*AF152</f>
        <v>0</v>
      </c>
      <c r="AJ152" s="322" t="n">
        <f aca="false">IF(OR(DateStart2&gt;=I153,DateEnd2&lt;I152),0,VolumeSwaption*AG152)</f>
        <v>0</v>
      </c>
      <c r="AK152" s="322" t="n">
        <f aca="false">AJ152*AF152</f>
        <v>0</v>
      </c>
      <c r="AL152" s="316" t="str">
        <f aca="true">IF(AH152,OFFSET(BY152,0,HorizontalPriceOffset)+PriceSpreadAsian,"")</f>
        <v/>
      </c>
      <c r="AM152" s="316" t="str">
        <f aca="false">IF(AH152,Strike1/AL152-1,"")</f>
        <v/>
      </c>
      <c r="AN152" s="316" t="str">
        <f aca="false">IF(AH152,Strike2/AL152-1,"")</f>
        <v/>
      </c>
      <c r="AO152" s="323" t="str">
        <f aca="false">IF(AH152,IF(VolOverrideAsian,VolOverrideAsian,IF(ProductGroup=1,IF(Product&lt;3,DA153,DE153),W153)+VolSpreadAsian),"")</f>
        <v/>
      </c>
      <c r="AP152" s="323" t="str">
        <f aca="false">IF($AH152,$AO152+IF(SkewFlag=1,IF(AM152&gt;0,$AA152*MIN(AM152/10%,1)+($Z152-$AA152)*MAX(0,MIN(AM152/10%-1,1))+($Y152-$Z152)*MAX(0,AM152/10%-2),$AB152*MIN(-AM152/10%,1)+($AC152-$AB152)*MAX(0,MIN(-AM152/10%-1,1))+($AD152-$AC152)*MAX(0,-AM152/10%-2)),0),"")</f>
        <v/>
      </c>
      <c r="AQ152" s="323" t="str">
        <f aca="false">IF($AH152,$AO152+IF(SkewFlag=1,IF(AN152&gt;0,$AA152*MIN(AN152/10%,1)+($Z152-$AA152)*MAX(0,MIN(AN152/10%-1,1))+($Y152-$Z152)*MAX(0,AN152/10%-2),$AB152*MIN(-AN152/10%,1)+($AC152-$AB152)*MAX(0,MIN(-AN152/10%-1,1))+($AD152-$AC152)*MAX(0,-AN152/10%-2)),0),"")</f>
        <v/>
      </c>
      <c r="AR152" s="324" t="n">
        <f aca="false">IF(AH152,xASN(AL152,Strike1,AE152,AP152,0,N152,0,P152,Q152,IF(OptControl=4,0,1),0),0)</f>
        <v>0</v>
      </c>
      <c r="AS152" s="324" t="n">
        <f aca="false">IF(AH152,xASN(AL152,Strike1,AE152,AP152,0,N152,0,P152,Q152,IF(OptControl=4,0,1),1),0)</f>
        <v>0</v>
      </c>
      <c r="AT152" s="324" t="n">
        <f aca="false">IF(AH152,xASN(AL152,Strike1,AE152,AP152,0,N152,0,P152,Q152,IF(OptControl=4,0,1),2),0)</f>
        <v>0</v>
      </c>
      <c r="AU152" s="324" t="n">
        <f aca="false">IF(AH152,xASN(AL152,Strike1,AE152,AP152,0,N152,0,P152,Q152,IF(OptControl=4,0,1),3)/100,0)</f>
        <v>0</v>
      </c>
      <c r="AV152" s="324" t="n">
        <f aca="false">IF(AH152,xASN(AL152,Strike1,AE152,AP152,0,N152,0,P152-DaysForThetaCalculation/365.25,Q152-DaysForThetaCalculation/365.25,IF(OptControl=4,0,1),0)-xASN(AL152,Strike1,AE152,AP152,0,N152,0,P152,Q152,IF(OptControl=4,0,1),0),0)</f>
        <v>0</v>
      </c>
      <c r="AW152" s="324" t="n">
        <f aca="false">IF(AH152,xASN(AL152,Strike2,AE152,AQ152,0,N152,0,P152,Q152,IF(OptControl=3,1,0),0),0)</f>
        <v>0</v>
      </c>
      <c r="AX152" s="324" t="n">
        <f aca="false">IF(AH152,xASN(AL152,Strike2,AE152,AQ152,0,N152,0,P152,Q152,IF(OptControl=3,1,0),1),0)</f>
        <v>0</v>
      </c>
      <c r="AY152" s="324" t="n">
        <f aca="false">IF(AH152,xASN(AL152,Strike2,AE152,AQ152,0,N152,0,P152,Q152,IF(OptControl=3,1,0),2),0)</f>
        <v>0</v>
      </c>
      <c r="AZ152" s="324" t="n">
        <f aca="false">IF(AH152,xASN(AL152,Strike2,AE152,AQ152,0,N152,0,P152,Q152,IF(OptControl=3,1,0),3)/100,0)</f>
        <v>0</v>
      </c>
      <c r="BA152" s="324" t="n">
        <f aca="false">IF(AH152,xASN(AL152,Strike2,AE152,AQ152,0,N152,0,P152-DaysForThetaCalculation/365.25,Q152-DaysForThetaCalculation/365.25,IF(OptControl=3,1,0),0)-xASN(AL152,Strike2,AE152,AQ152,0,N152,0,P152,Q152,IF(OptControl=3,1,0),0),0)</f>
        <v>0</v>
      </c>
      <c r="BB152" s="325" t="str">
        <f aca="false">IF(AH152,IF(ProductGroup=1,IF(Product=1,BX152+PriceSpreadEuro,IF(Product=3,CK152+PriceSpreadEuro,"N/A")),"N/A"),"")</f>
        <v/>
      </c>
      <c r="BC152" s="316" t="str">
        <f aca="false">IF(AH152,Strike1/BB152-1,"")</f>
        <v/>
      </c>
      <c r="BD152" s="316" t="str">
        <f aca="false">IF(AH152,Strike2/BB152-1,"")</f>
        <v/>
      </c>
      <c r="BE152" s="326" t="str">
        <f aca="false">IF(AH152,IF(VolOverrideEuro,VolOverrideEuro,IF(ProductGroup=1,IF(Product&lt;3,DA152,DE152)+VolSpreadEuro,"N/A")),"")</f>
        <v/>
      </c>
      <c r="BF152" s="323" t="str">
        <f aca="false">IF($AH152,$BE152+IF(SkewFlag=1,IF(BC152&gt;0,$AA152*MIN(BC152/10%,1)+($Z152-$AA152)*MAX(0,MIN(BC152/10%-1,1))+($Y152-$Z152)*MAX(0,BC152/10%-2),$AB152*MIN(-BC152/10%,1)+($AC152-$AB152)*MAX(0,MIN(-BC152/10%-1,1))+($AD152-$AC152)*MAX(0,-BC152/10%-2)),0),"")</f>
        <v/>
      </c>
      <c r="BG152" s="323" t="str">
        <f aca="false">IF($AH152,$BE152+IF(SkewFlag=1,IF(BD152&gt;0,$AA152*MIN(BD152/10%,1)+($Z152-$AA152)*MAX(0,MIN(BD152/10%-1,1))+($Y152-$Z152)*MAX(0,BD152/10%-2),$AB152*MIN(-BD152/10%,1)+($AC152-$AB152)*MAX(0,MIN(-BD152/10%-1,1))+($AD152-$AC152)*MAX(0,-BD152/10%-2)),0),"")</f>
        <v/>
      </c>
      <c r="BH152" s="324" t="n">
        <f aca="false">IF(AH152,xEURO(BB152,Strike1,AE152,AE152,BF152,O152,IF(OptControl=4,0,1),0),0)</f>
        <v>0</v>
      </c>
      <c r="BI152" s="324" t="n">
        <f aca="false">IF(AH152,xEURO(BB152,Strike1,AE152,AE152,BF152,O152,IF(OptControl=4,0,1),1),0)</f>
        <v>0</v>
      </c>
      <c r="BJ152" s="324" t="n">
        <f aca="false">IF(AH152,xEURO(BB152,Strike1,AE152,AE152,BF152,O152,IF(OptControl=4,0,1),2),0)</f>
        <v>0</v>
      </c>
      <c r="BK152" s="324" t="n">
        <f aca="false">IF(AH152,xEURO(BB152,Strike1,AE152,AE152,BF152,O152,IF(OptControl=4,0,1),3)/100,0)</f>
        <v>0</v>
      </c>
      <c r="BL152" s="324" t="n">
        <f aca="false">IF(AH152,xEURO(BB152,Strike1,AE152,AE152,BF152,O152-DaysForThetaCalculation,IF(OptControl=4,0,1),0)-xEURO(BB152,Strike1,AE152,AE152,BF152,O152,IF(OptControl=4,0,1),0),0)</f>
        <v>0</v>
      </c>
      <c r="BM152" s="324" t="n">
        <f aca="false">IF(AH152,xEURO(BB152,Strike2,AE152,AE152,BG152,O152,IF(OptControl=3,1,0),0),0)</f>
        <v>0</v>
      </c>
      <c r="BN152" s="324" t="n">
        <f aca="false">IF(AH152,xEURO(BB152,Strike2,AE152,AE152,BG152,O152,IF(OptControl=3,1,0),1),0)</f>
        <v>0</v>
      </c>
      <c r="BO152" s="324" t="n">
        <f aca="false">IF(AH152,xEURO(BB152,Strike2,AE152,AE152,BG152,O152,IF(OptControl=3,1,0),2),0)</f>
        <v>0</v>
      </c>
      <c r="BP152" s="324" t="n">
        <f aca="false">IF(AH152,xEURO(BB152,Strike2,AE152,AE152,BG152,O152,IF(OptControl=3,1,0),3)/100,0)</f>
        <v>0</v>
      </c>
      <c r="BQ152" s="327" t="n">
        <f aca="false">IF(AH152,xEURO(BB152,Strike2,AE152,AE152,BG152,O152-DaysForThetaCalculation,IF(OptControl=3,1,0),0)-xEURO(BB152,Strike2,AE152,AE152,BG152,O152,IF(OptControl=3,1,0),0),0)</f>
        <v>0</v>
      </c>
      <c r="BR152" s="343"/>
      <c r="BS152" s="314"/>
      <c r="BT152" s="329" t="n">
        <f aca="false">BS152*100/42</f>
        <v>0</v>
      </c>
      <c r="BU152" s="329" t="n">
        <f aca="false">BS153-$U152</f>
        <v>-29.6978260869564</v>
      </c>
      <c r="BV152" s="224"/>
      <c r="BW152" s="329" t="n">
        <f aca="false">BW140+VLOOKUP(1900+$L152,ProductSpreadTable,2)</f>
        <v>16.3439565217392</v>
      </c>
      <c r="BX152" s="329" t="n">
        <f aca="false">($V151+BW151)*100/42</f>
        <v>120.321995464853</v>
      </c>
      <c r="BY152" s="332" t="n">
        <f aca="false">BX153</f>
        <v>109.623291925466</v>
      </c>
      <c r="BZ152" s="314"/>
      <c r="CA152" s="329" t="n">
        <f aca="false">BZ152*100/42</f>
        <v>0</v>
      </c>
      <c r="CB152" s="329" t="n">
        <f aca="false">BZ152-$U152</f>
        <v>-29.6978260869564</v>
      </c>
      <c r="CC152" s="329" t="n">
        <f aca="false">CC140+VLOOKUP(1900+$L152,ProductSpreadTable,3)</f>
        <v>13.7189565217392</v>
      </c>
      <c r="CD152" s="329" t="n">
        <f aca="false">($V152+CC152)*100/42</f>
        <v>103.373291925466</v>
      </c>
      <c r="CE152" s="333" t="n">
        <f aca="false">CD152-BY152</f>
        <v>-6.25</v>
      </c>
      <c r="CF152" s="314"/>
      <c r="CG152" s="329" t="n">
        <f aca="false">CF152*100/42</f>
        <v>0</v>
      </c>
      <c r="CH152" s="329" t="n">
        <f aca="false">CF153-$U152</f>
        <v>-29.6978260869564</v>
      </c>
      <c r="CI152" s="224"/>
      <c r="CJ152" s="329" t="n">
        <f aca="false">CJ140+VLOOKUP(1900+$L152,ProductSpreadTable,4)</f>
        <v>8.80800000000003</v>
      </c>
      <c r="CK152" s="329" t="n">
        <f aca="false">($V151+CJ151)*100/42</f>
        <v>94.6446712018145</v>
      </c>
      <c r="CL152" s="329" t="n">
        <f aca="false">CK153</f>
        <v>91.6805383022772</v>
      </c>
      <c r="CM152" s="314"/>
      <c r="CN152" s="329" t="n">
        <f aca="false">CM152*100/42</f>
        <v>0</v>
      </c>
      <c r="CO152" s="329" t="n">
        <f aca="false">CM152-$U152</f>
        <v>-29.6978260869564</v>
      </c>
      <c r="CP152" s="329" t="n">
        <f aca="false">CP140+VLOOKUP(1900+$L152,ProductSpreadTable,5)</f>
        <v>7.88400000000003</v>
      </c>
      <c r="CQ152" s="329" t="n">
        <f aca="false">($V152+CP152)*100/42</f>
        <v>89.4805383022772</v>
      </c>
      <c r="CR152" s="333" t="n">
        <f aca="false">CQ152-CL152</f>
        <v>-2.2</v>
      </c>
      <c r="CS152" s="314"/>
      <c r="CT152" s="329" t="n">
        <f aca="false">CS152*100/42</f>
        <v>0</v>
      </c>
      <c r="CU152" s="329" t="n">
        <f aca="false">CT152-CG153</f>
        <v>0</v>
      </c>
      <c r="CV152" s="329" t="n">
        <f aca="false">CV140+VLOOKUP(1900+$L152,ProductSpreadTable,6)</f>
        <v>2.24999999999999</v>
      </c>
      <c r="CW152" s="333" t="n">
        <f aca="false">CL152+CV152</f>
        <v>93.9305383022772</v>
      </c>
      <c r="CX152" s="318"/>
      <c r="CY152" s="326" t="n">
        <f aca="false">CX152-$W152</f>
        <v>-0.158899999999999</v>
      </c>
      <c r="CZ152" s="326" t="n">
        <f aca="false">VLOOKUP(1900+$L152,ProductSpreadTable,7)</f>
        <v>-0.03</v>
      </c>
      <c r="DA152" s="365" t="n">
        <f aca="false">$W152+CZ152</f>
        <v>0.128899999999999</v>
      </c>
      <c r="DB152" s="318"/>
      <c r="DC152" s="326" t="n">
        <f aca="false">DB152-$W152</f>
        <v>-0.158899999999999</v>
      </c>
      <c r="DD152" s="326" t="n">
        <f aca="false">VLOOKUP(1900+$L152,ProductSpreadTable,8)</f>
        <v>0.03</v>
      </c>
      <c r="DE152" s="365" t="n">
        <f aca="false">$W152+DD152</f>
        <v>0.188899999999999</v>
      </c>
      <c r="DG152" s="336"/>
      <c r="DH152" s="314"/>
      <c r="DI152" s="325" t="n">
        <f aca="false">DH152-$U152</f>
        <v>-29.6978260869564</v>
      </c>
      <c r="DJ152" s="325" t="n">
        <f aca="false">VLOOKUP(1900+$L152,ResidSpreadTable,2)</f>
        <v>-2</v>
      </c>
      <c r="DK152" s="337" t="n">
        <f aca="false">$V152+DJ152</f>
        <v>27.6978260869564</v>
      </c>
      <c r="DL152" s="314"/>
      <c r="DM152" s="325" t="n">
        <f aca="false">DL152-$U152</f>
        <v>-29.6978260869564</v>
      </c>
      <c r="DN152" s="325" t="n">
        <f aca="false">VLOOKUP(1900+$L152,ResidSpreadTable,3)</f>
        <v>-3</v>
      </c>
      <c r="DO152" s="337" t="n">
        <f aca="false">$V152+DN152</f>
        <v>26.6978260869564</v>
      </c>
      <c r="DP152" s="314"/>
      <c r="DQ152" s="325" t="n">
        <f aca="false">DP152-$U152</f>
        <v>-29.6978260869564</v>
      </c>
      <c r="DR152" s="325" t="n">
        <f aca="false">VLOOKUP(1900+$L152,ResidSpreadTable,4)</f>
        <v>-6</v>
      </c>
      <c r="DS152" s="337" t="n">
        <f aca="false">$V152+DR152</f>
        <v>23.6978260869564</v>
      </c>
      <c r="DT152" s="314"/>
      <c r="DU152" s="325" t="n">
        <f aca="false">DT152-$U152</f>
        <v>-29.6978260869564</v>
      </c>
      <c r="DV152" s="325" t="n">
        <f aca="false">VLOOKUP(1900+$L152,ResidSpreadTable,5)</f>
        <v>-5</v>
      </c>
      <c r="DW152" s="337" t="n">
        <f aca="false">$V152+DV152</f>
        <v>24.6978260869564</v>
      </c>
    </row>
    <row r="153" customFormat="false" ht="12.75" hidden="false" customHeight="false" outlineLevel="0" collapsed="false">
      <c r="B153" s="371" t="n">
        <v>40210</v>
      </c>
      <c r="C153" s="391" t="n">
        <v>40200</v>
      </c>
      <c r="I153" s="338" t="n">
        <f aca="false">EOMONTH(I152,0)+1</f>
        <v>50406</v>
      </c>
      <c r="J153" s="389" t="n">
        <f aca="false">VLOOKUP(I153,$B$12:$C$332,2)</f>
        <v>45644</v>
      </c>
      <c r="K153" s="339" t="n">
        <f aca="false">NETWORKDAYS(I153,J154)/N153</f>
        <v>-162.047619047619</v>
      </c>
      <c r="L153" s="309" t="n">
        <f aca="false">YEAR(I153)-1900</f>
        <v>138</v>
      </c>
      <c r="M153" s="310" t="n">
        <f aca="false">MONTH(I153)</f>
        <v>1</v>
      </c>
      <c r="N153" s="340" t="n">
        <f aca="false">NETWORKDAYS(I153,I154-1)</f>
        <v>21</v>
      </c>
      <c r="O153" s="341" t="n">
        <f aca="false">I153-DateToday-IF(EuroExpDateToggle=1,3+IF(WEEKDAY(I153-1)=7,1,IF(WEEKDAY(I153-1)&lt;5,2,0)),1+IF(WEEKDAY(I153-1)=7,1,IF(WEEKDAY(I153-1)&lt;3,2,0)))</f>
        <v>4477</v>
      </c>
      <c r="P153" s="342" t="n">
        <f aca="false">(I153-DateToday+1)/365.25</f>
        <v>12.2683093771389</v>
      </c>
      <c r="Q153" s="342" t="n">
        <f aca="false">(I154-DateToday)/365.25</f>
        <v>12.3504449007529</v>
      </c>
      <c r="R153" s="314" t="n">
        <v>22.3</v>
      </c>
      <c r="S153" s="347" t="n">
        <v>0</v>
      </c>
      <c r="T153" s="316" t="n">
        <f aca="false">R153+S153/100</f>
        <v>22.3</v>
      </c>
      <c r="U153" s="325" t="n">
        <f aca="false">R154*K153+R155*(1-K153)</f>
        <v>30.5023809523805</v>
      </c>
      <c r="V153" s="337" t="n">
        <f aca="false">T154*K153+T155*(1-K153)</f>
        <v>30.5023809523805</v>
      </c>
      <c r="W153" s="318" t="n">
        <v>0.158499999999999</v>
      </c>
      <c r="X153" s="319" t="str">
        <f aca="false">IF($I153-DateToday+1&gt;=$A$10,"",IF($I153-DateToday+1&lt;$A$5,1,MATCH($I153-DateToday+1,$A$5:$A$10)))</f>
        <v/>
      </c>
      <c r="Y153" s="348" t="n">
        <f aca="false">IF($X153="",Y152^2/Y151,INDEX(B$5:B$10,$X153)^((INDEX($A$5:$A$10,$X153+1)-($I153-DateToday+1))/(INDEX($A$5:$A$10,$X153+1)-INDEX($A$5:$A$10,$X153)))/INDEX(B$5:B$10,$X153+1)^((INDEX($A$5:$A$10,$X153)-($I153-DateToday+1))/(INDEX($A$5:$A$10,$X153+1)-INDEX($A$5:$A$10,$X153))))</f>
        <v>0.000636730962322878</v>
      </c>
      <c r="Z153" s="348" t="n">
        <f aca="false">IF($X153="",Z152^2/Z151,INDEX(C$5:C$10,$X153)^((INDEX($A$5:$A$10,$X153+1)-($I153-DateToday+1))/(INDEX($A$5:$A$10,$X153+1)-INDEX($A$5:$A$10,$X153)))/INDEX(C$5:C$10,$X153+1)^((INDEX($A$5:$A$10,$X153)-($I153-DateToday+1))/(INDEX($A$5:$A$10,$X153+1)-INDEX($A$5:$A$10,$X153))))</f>
        <v>0.00017806995767551</v>
      </c>
      <c r="AA153" s="348" t="n">
        <f aca="false">IF($X153="",AA152^2/AA151,INDEX(D$5:D$10,$X153)^((INDEX($A$5:$A$10,$X153+1)-($I153-DateToday+1))/(INDEX($A$5:$A$10,$X153+1)-INDEX($A$5:$A$10,$X153)))/INDEX(D$5:D$10,$X153+1)^((INDEX($A$5:$A$10,$X153)-($I153-DateToday+1))/(INDEX($A$5:$A$10,$X153+1)-INDEX($A$5:$A$10,$X153))))</f>
        <v>5.71712973479896E-005</v>
      </c>
      <c r="AB153" s="348" t="n">
        <f aca="false">IF($X153="",AB152^2/AB151,INDEX(E$5:E$10,$X153)^((INDEX($A$5:$A$10,$X153+1)-($I153-DateToday+1))/(INDEX($A$5:$A$10,$X153+1)-INDEX($A$5:$A$10,$X153)))/INDEX(E$5:E$10,$X153+1)^((INDEX($A$5:$A$10,$X153)-($I153-DateToday+1))/(INDEX($A$5:$A$10,$X153+1)-INDEX($A$5:$A$10,$X153))))</f>
        <v>0.00012879549866556</v>
      </c>
      <c r="AC153" s="348" t="n">
        <f aca="false">IF($X153="",AC152^2/AC151,INDEX(F$5:F$10,$X153)^((INDEX($A$5:$A$10,$X153+1)-($I153-DateToday+1))/(INDEX($A$5:$A$10,$X153+1)-INDEX($A$5:$A$10,$X153)))/INDEX(F$5:F$10,$X153+1)^((INDEX($A$5:$A$10,$X153)-($I153-DateToday+1))/(INDEX($A$5:$A$10,$X153+1)-INDEX($A$5:$A$10,$X153))))</f>
        <v>0.000401156000651386</v>
      </c>
      <c r="AD153" s="348" t="n">
        <f aca="false">IF($X153="",AD152^2/AD151,INDEX(G$5:G$10,$X153)^((INDEX($A$5:$A$10,$X153+1)-($I153-DateToday+1))/(INDEX($A$5:$A$10,$X153+1)-INDEX($A$5:$A$10,$X153)))/INDEX(G$5:G$10,$X153+1)^((INDEX($A$5:$A$10,$X153)-($I153-DateToday+1))/(INDEX($A$5:$A$10,$X153+1)-INDEX($A$5:$A$10,$X153))))</f>
        <v>0.00143442751192084</v>
      </c>
      <c r="AE153" s="321" t="n">
        <v>0.073671175666806</v>
      </c>
      <c r="AF153" s="316" t="n">
        <f aca="false">(1+AE153/2)^(-2*(I154-DateToday)/365.25)</f>
        <v>0.409215059329664</v>
      </c>
      <c r="AG153" s="316" t="n">
        <f aca="false">AG152*(1+IF(AND(M153=1,L153&gt;YearStart),Escalation,0))</f>
        <v>1</v>
      </c>
      <c r="AH153" s="322" t="n">
        <f aca="false">IF(OR(DateStart&gt;=I154,DateEnd&lt;I153),0,Volume*AG153)</f>
        <v>0</v>
      </c>
      <c r="AI153" s="322" t="n">
        <f aca="false">AH153*AF153</f>
        <v>0</v>
      </c>
      <c r="AJ153" s="322" t="n">
        <f aca="false">IF(OR(DateStart2&gt;=I154,DateEnd2&lt;I153),0,VolumeSwaption*AG153)</f>
        <v>0</v>
      </c>
      <c r="AK153" s="322" t="n">
        <f aca="false">AJ153*AF153</f>
        <v>0</v>
      </c>
      <c r="AL153" s="316" t="str">
        <f aca="true">IF(AH153,OFFSET(BY153,0,HorizontalPriceOffset)+PriceSpreadAsian,"")</f>
        <v/>
      </c>
      <c r="AM153" s="316" t="str">
        <f aca="false">IF(AH153,Strike1/AL153-1,"")</f>
        <v/>
      </c>
      <c r="AN153" s="316" t="str">
        <f aca="false">IF(AH153,Strike2/AL153-1,"")</f>
        <v/>
      </c>
      <c r="AO153" s="323" t="str">
        <f aca="false">IF(AH153,IF(VolOverrideAsian,VolOverrideAsian,IF(ProductGroup=1,IF(Product&lt;3,DA154,DE154),W154)+VolSpreadAsian),"")</f>
        <v/>
      </c>
      <c r="AP153" s="323" t="str">
        <f aca="false">IF($AH153,$AO153+IF(SkewFlag=1,IF(AM153&gt;0,$AA153*MIN(AM153/10%,1)+($Z153-$AA153)*MAX(0,MIN(AM153/10%-1,1))+($Y153-$Z153)*MAX(0,AM153/10%-2),$AB153*MIN(-AM153/10%,1)+($AC153-$AB153)*MAX(0,MIN(-AM153/10%-1,1))+($AD153-$AC153)*MAX(0,-AM153/10%-2)),0),"")</f>
        <v/>
      </c>
      <c r="AQ153" s="323" t="str">
        <f aca="false">IF($AH153,$AO153+IF(SkewFlag=1,IF(AN153&gt;0,$AA153*MIN(AN153/10%,1)+($Z153-$AA153)*MAX(0,MIN(AN153/10%-1,1))+($Y153-$Z153)*MAX(0,AN153/10%-2),$AB153*MIN(-AN153/10%,1)+($AC153-$AB153)*MAX(0,MIN(-AN153/10%-1,1))+($AD153-$AC153)*MAX(0,-AN153/10%-2)),0),"")</f>
        <v/>
      </c>
      <c r="AR153" s="324" t="n">
        <f aca="false">IF(AH153,xASN(AL153,Strike1,AE153,AP153,0,N153,0,P153,Q153,IF(OptControl=4,0,1),0),0)</f>
        <v>0</v>
      </c>
      <c r="AS153" s="324" t="n">
        <f aca="false">IF(AH153,xASN(AL153,Strike1,AE153,AP153,0,N153,0,P153,Q153,IF(OptControl=4,0,1),1),0)</f>
        <v>0</v>
      </c>
      <c r="AT153" s="324" t="n">
        <f aca="false">IF(AH153,xASN(AL153,Strike1,AE153,AP153,0,N153,0,P153,Q153,IF(OptControl=4,0,1),2),0)</f>
        <v>0</v>
      </c>
      <c r="AU153" s="324" t="n">
        <f aca="false">IF(AH153,xASN(AL153,Strike1,AE153,AP153,0,N153,0,P153,Q153,IF(OptControl=4,0,1),3)/100,0)</f>
        <v>0</v>
      </c>
      <c r="AV153" s="324" t="n">
        <f aca="false">IF(AH153,xASN(AL153,Strike1,AE153,AP153,0,N153,0,P153-DaysForThetaCalculation/365.25,Q153-DaysForThetaCalculation/365.25,IF(OptControl=4,0,1),0)-xASN(AL153,Strike1,AE153,AP153,0,N153,0,P153,Q153,IF(OptControl=4,0,1),0),0)</f>
        <v>0</v>
      </c>
      <c r="AW153" s="324" t="n">
        <f aca="false">IF(AH153,xASN(AL153,Strike2,AE153,AQ153,0,N153,0,P153,Q153,IF(OptControl=3,1,0),0),0)</f>
        <v>0</v>
      </c>
      <c r="AX153" s="324" t="n">
        <f aca="false">IF(AH153,xASN(AL153,Strike2,AE153,AQ153,0,N153,0,P153,Q153,IF(OptControl=3,1,0),1),0)</f>
        <v>0</v>
      </c>
      <c r="AY153" s="324" t="n">
        <f aca="false">IF(AH153,xASN(AL153,Strike2,AE153,AQ153,0,N153,0,P153,Q153,IF(OptControl=3,1,0),2),0)</f>
        <v>0</v>
      </c>
      <c r="AZ153" s="324" t="n">
        <f aca="false">IF(AH153,xASN(AL153,Strike2,AE153,AQ153,0,N153,0,P153,Q153,IF(OptControl=3,1,0),3)/100,0)</f>
        <v>0</v>
      </c>
      <c r="BA153" s="324" t="n">
        <f aca="false">IF(AH153,xASN(AL153,Strike2,AE153,AQ153,0,N153,0,P153-DaysForThetaCalculation/365.25,Q153-DaysForThetaCalculation/365.25,IF(OptControl=3,1,0),0)-xASN(AL153,Strike2,AE153,AQ153,0,N153,0,P153,Q153,IF(OptControl=3,1,0),0),0)</f>
        <v>0</v>
      </c>
      <c r="BB153" s="325" t="str">
        <f aca="false">IF(AH153,IF(ProductGroup=1,IF(Product=1,BX153+PriceSpreadEuro,IF(Product=3,CK153+PriceSpreadEuro,"N/A")),"N/A"),"")</f>
        <v/>
      </c>
      <c r="BC153" s="316" t="str">
        <f aca="false">IF(AH153,Strike1/BB153-1,"")</f>
        <v/>
      </c>
      <c r="BD153" s="316" t="str">
        <f aca="false">IF(AH153,Strike2/BB153-1,"")</f>
        <v/>
      </c>
      <c r="BE153" s="326" t="str">
        <f aca="false">IF(AH153,IF(VolOverrideEuro,VolOverrideEuro,IF(ProductGroup=1,IF(Product&lt;3,DA153,DE153)+VolSpreadEuro,"N/A")),"")</f>
        <v/>
      </c>
      <c r="BF153" s="323" t="str">
        <f aca="false">IF($AH153,$BE153+IF(SkewFlag=1,IF(BC153&gt;0,$AA153*MIN(BC153/10%,1)+($Z153-$AA153)*MAX(0,MIN(BC153/10%-1,1))+($Y153-$Z153)*MAX(0,BC153/10%-2),$AB153*MIN(-BC153/10%,1)+($AC153-$AB153)*MAX(0,MIN(-BC153/10%-1,1))+($AD153-$AC153)*MAX(0,-BC153/10%-2)),0),"")</f>
        <v/>
      </c>
      <c r="BG153" s="323" t="str">
        <f aca="false">IF($AH153,$BE153+IF(SkewFlag=1,IF(BD153&gt;0,$AA153*MIN(BD153/10%,1)+($Z153-$AA153)*MAX(0,MIN(BD153/10%-1,1))+($Y153-$Z153)*MAX(0,BD153/10%-2),$AB153*MIN(-BD153/10%,1)+($AC153-$AB153)*MAX(0,MIN(-BD153/10%-1,1))+($AD153-$AC153)*MAX(0,-BD153/10%-2)),0),"")</f>
        <v/>
      </c>
      <c r="BH153" s="324" t="n">
        <f aca="false">IF(AH153,xEURO(BB153,Strike1,AE153,AE153,BF153,O153,IF(OptControl=4,0,1),0),0)</f>
        <v>0</v>
      </c>
      <c r="BI153" s="324" t="n">
        <f aca="false">IF(AH153,xEURO(BB153,Strike1,AE153,AE153,BF153,O153,IF(OptControl=4,0,1),1),0)</f>
        <v>0</v>
      </c>
      <c r="BJ153" s="324" t="n">
        <f aca="false">IF(AH153,xEURO(BB153,Strike1,AE153,AE153,BF153,O153,IF(OptControl=4,0,1),2),0)</f>
        <v>0</v>
      </c>
      <c r="BK153" s="324" t="n">
        <f aca="false">IF(AH153,xEURO(BB153,Strike1,AE153,AE153,BF153,O153,IF(OptControl=4,0,1),3)/100,0)</f>
        <v>0</v>
      </c>
      <c r="BL153" s="324" t="n">
        <f aca="false">IF(AH153,xEURO(BB153,Strike1,AE153,AE153,BF153,O153-DaysForThetaCalculation,IF(OptControl=4,0,1),0)-xEURO(BB153,Strike1,AE153,AE153,BF153,O153,IF(OptControl=4,0,1),0),0)</f>
        <v>0</v>
      </c>
      <c r="BM153" s="324" t="n">
        <f aca="false">IF(AH153,xEURO(BB153,Strike2,AE153,AE153,BG153,O153,IF(OptControl=3,1,0),0),0)</f>
        <v>0</v>
      </c>
      <c r="BN153" s="324" t="n">
        <f aca="false">IF(AH153,xEURO(BB153,Strike2,AE153,AE153,BG153,O153,IF(OptControl=3,1,0),1),0)</f>
        <v>0</v>
      </c>
      <c r="BO153" s="324" t="n">
        <f aca="false">IF(AH153,xEURO(BB153,Strike2,AE153,AE153,BG153,O153,IF(OptControl=3,1,0),2),0)</f>
        <v>0</v>
      </c>
      <c r="BP153" s="324" t="n">
        <f aca="false">IF(AH153,xEURO(BB153,Strike2,AE153,AE153,BG153,O153,IF(OptControl=3,1,0),3)/100,0)</f>
        <v>0</v>
      </c>
      <c r="BQ153" s="327" t="n">
        <f aca="false">IF(AH153,xEURO(BB153,Strike2,AE153,AE153,BG153,O153-DaysForThetaCalculation,IF(OptControl=3,1,0),0)-xEURO(BB153,Strike2,AE153,AE153,BG153,O153,IF(OptControl=3,1,0),0),0)</f>
        <v>0</v>
      </c>
      <c r="BR153" s="343"/>
      <c r="BS153" s="314"/>
      <c r="BT153" s="329" t="n">
        <f aca="false">BS153*100/42</f>
        <v>0</v>
      </c>
      <c r="BU153" s="329" t="n">
        <f aca="false">BS154-$U153</f>
        <v>-30.5023809523805</v>
      </c>
      <c r="BV153" s="224"/>
      <c r="BW153" s="329" t="n">
        <f aca="false">BW141+VLOOKUP(1900+$L153,ProductSpreadTable,2)</f>
        <v>15.7692727272728</v>
      </c>
      <c r="BX153" s="329" t="n">
        <f aca="false">($V152+BW152)*100/42</f>
        <v>109.623291925466</v>
      </c>
      <c r="BY153" s="332" t="n">
        <f aca="false">BX154</f>
        <v>110.170603999174</v>
      </c>
      <c r="BZ153" s="314"/>
      <c r="CA153" s="329" t="n">
        <f aca="false">BZ153*100/42</f>
        <v>0</v>
      </c>
      <c r="CB153" s="329" t="n">
        <f aca="false">BZ153-$U153</f>
        <v>-30.5023809523805</v>
      </c>
      <c r="CC153" s="329" t="n">
        <f aca="false">CC141+VLOOKUP(1900+$L153,ProductSpreadTable,3)</f>
        <v>13.3542727272728</v>
      </c>
      <c r="CD153" s="329" t="n">
        <f aca="false">($V153+CC153)*100/42</f>
        <v>104.420603999174</v>
      </c>
      <c r="CE153" s="333" t="n">
        <f aca="false">CD153-BY153</f>
        <v>-5.75</v>
      </c>
      <c r="CF153" s="314"/>
      <c r="CG153" s="329" t="n">
        <f aca="false">CF153*100/42</f>
        <v>0</v>
      </c>
      <c r="CH153" s="329" t="n">
        <f aca="false">CF154-$U153</f>
        <v>-30.5023809523805</v>
      </c>
      <c r="CI153" s="224"/>
      <c r="CJ153" s="329" t="n">
        <f aca="false">CJ141+VLOOKUP(1900+$L153,ProductSpreadTable,4)</f>
        <v>9.35299999999997</v>
      </c>
      <c r="CK153" s="329" t="n">
        <f aca="false">($V152+CJ152)*100/42</f>
        <v>91.6805383022772</v>
      </c>
      <c r="CL153" s="329" t="n">
        <f aca="false">CK154</f>
        <v>94.8937641723344</v>
      </c>
      <c r="CM153" s="314"/>
      <c r="CN153" s="329" t="n">
        <f aca="false">CM153*100/42</f>
        <v>0</v>
      </c>
      <c r="CO153" s="329" t="n">
        <f aca="false">CM153-$U153</f>
        <v>-30.5023809523805</v>
      </c>
      <c r="CP153" s="329" t="n">
        <f aca="false">CP141+VLOOKUP(1900+$L153,ProductSpreadTable,5)</f>
        <v>8.42899999999997</v>
      </c>
      <c r="CQ153" s="329" t="n">
        <f aca="false">($V153+CP153)*100/42</f>
        <v>92.6937641723344</v>
      </c>
      <c r="CR153" s="333" t="n">
        <f aca="false">CQ153-CL153</f>
        <v>-2.20000000000002</v>
      </c>
      <c r="CS153" s="314"/>
      <c r="CT153" s="329" t="n">
        <f aca="false">CS153*100/42</f>
        <v>0</v>
      </c>
      <c r="CU153" s="329" t="n">
        <f aca="false">CT153-CG154</f>
        <v>0</v>
      </c>
      <c r="CV153" s="329" t="n">
        <f aca="false">CV141+VLOOKUP(1900+$L153,ProductSpreadTable,6)</f>
        <v>2.24999999999999</v>
      </c>
      <c r="CW153" s="333" t="n">
        <f aca="false">CL153+CV153</f>
        <v>97.1437641723344</v>
      </c>
      <c r="CX153" s="318"/>
      <c r="CY153" s="326" t="n">
        <f aca="false">CX153-$W153</f>
        <v>-0.158499999999999</v>
      </c>
      <c r="CZ153" s="326" t="n">
        <f aca="false">VLOOKUP(1900+$L153,ProductSpreadTable,7)</f>
        <v>-0.03</v>
      </c>
      <c r="DA153" s="365" t="n">
        <f aca="false">$W153+CZ153</f>
        <v>0.128499999999999</v>
      </c>
      <c r="DB153" s="318"/>
      <c r="DC153" s="326" t="n">
        <f aca="false">DB153-$W153</f>
        <v>-0.158499999999999</v>
      </c>
      <c r="DD153" s="326" t="n">
        <f aca="false">VLOOKUP(1900+$L153,ProductSpreadTable,8)</f>
        <v>0.03</v>
      </c>
      <c r="DE153" s="365" t="n">
        <f aca="false">$W153+DD153</f>
        <v>0.188499999999999</v>
      </c>
      <c r="DG153" s="336"/>
      <c r="DH153" s="314"/>
      <c r="DI153" s="325" t="n">
        <f aca="false">DH153-$U153</f>
        <v>-30.5023809523805</v>
      </c>
      <c r="DJ153" s="325" t="n">
        <f aca="false">VLOOKUP(1900+$L153,ResidSpreadTable,2)</f>
        <v>-2</v>
      </c>
      <c r="DK153" s="337" t="n">
        <f aca="false">$V153+DJ153</f>
        <v>28.5023809523805</v>
      </c>
      <c r="DL153" s="314"/>
      <c r="DM153" s="325" t="n">
        <f aca="false">DL153-$U153</f>
        <v>-30.5023809523805</v>
      </c>
      <c r="DN153" s="325" t="n">
        <f aca="false">VLOOKUP(1900+$L153,ResidSpreadTable,3)</f>
        <v>-3</v>
      </c>
      <c r="DO153" s="337" t="n">
        <f aca="false">$V153+DN153</f>
        <v>27.5023809523805</v>
      </c>
      <c r="DP153" s="314"/>
      <c r="DQ153" s="325" t="n">
        <f aca="false">DP153-$U153</f>
        <v>-30.5023809523805</v>
      </c>
      <c r="DR153" s="325" t="n">
        <f aca="false">VLOOKUP(1900+$L153,ResidSpreadTable,4)</f>
        <v>-6</v>
      </c>
      <c r="DS153" s="337" t="n">
        <f aca="false">$V153+DR153</f>
        <v>24.5023809523805</v>
      </c>
      <c r="DT153" s="314"/>
      <c r="DU153" s="325" t="n">
        <f aca="false">DT153-$U153</f>
        <v>-30.5023809523805</v>
      </c>
      <c r="DV153" s="325" t="n">
        <f aca="false">VLOOKUP(1900+$L153,ResidSpreadTable,5)</f>
        <v>-5</v>
      </c>
      <c r="DW153" s="337" t="n">
        <f aca="false">$V153+DV153</f>
        <v>25.5023809523805</v>
      </c>
    </row>
    <row r="154" customFormat="false" ht="12.75" hidden="false" customHeight="false" outlineLevel="0" collapsed="false">
      <c r="B154" s="371" t="n">
        <v>40238</v>
      </c>
      <c r="C154" s="391" t="n">
        <v>40229</v>
      </c>
      <c r="I154" s="338" t="n">
        <f aca="false">EOMONTH(I153,0)+1</f>
        <v>50437</v>
      </c>
      <c r="J154" s="389" t="n">
        <f aca="false">VLOOKUP(I154,$B$12:$C$332,2)</f>
        <v>45644</v>
      </c>
      <c r="K154" s="339" t="n">
        <f aca="false">NETWORKDAYS(I154,J155)/N154</f>
        <v>-171.2</v>
      </c>
      <c r="L154" s="309" t="n">
        <f aca="false">YEAR(I154)-1900</f>
        <v>138</v>
      </c>
      <c r="M154" s="310" t="n">
        <f aca="false">MONTH(I154)</f>
        <v>2</v>
      </c>
      <c r="N154" s="340" t="n">
        <f aca="false">NETWORKDAYS(I154,I155-1)</f>
        <v>20</v>
      </c>
      <c r="O154" s="341" t="n">
        <f aca="false">I154-DateToday-IF(EuroExpDateToggle=1,3+IF(WEEKDAY(I154-1)=7,1,IF(WEEKDAY(I154-1)&lt;5,2,0)),1+IF(WEEKDAY(I154-1)=7,1,IF(WEEKDAY(I154-1)&lt;3,2,0)))</f>
        <v>4506</v>
      </c>
      <c r="P154" s="342" t="n">
        <f aca="false">(I154-DateToday+1)/365.25</f>
        <v>12.35318275154</v>
      </c>
      <c r="Q154" s="342" t="n">
        <f aca="false">(I155-DateToday)/365.25</f>
        <v>12.4271047227926</v>
      </c>
      <c r="R154" s="314" t="n">
        <v>22.35</v>
      </c>
      <c r="S154" s="347" t="n">
        <v>0</v>
      </c>
      <c r="T154" s="316" t="n">
        <f aca="false">R154+S154/100</f>
        <v>22.35</v>
      </c>
      <c r="U154" s="325" t="n">
        <f aca="false">R155*K154+R156*(1-K154)</f>
        <v>31.0099999999998</v>
      </c>
      <c r="V154" s="337" t="n">
        <f aca="false">T155*K154+T156*(1-K154)</f>
        <v>31.0099999999998</v>
      </c>
      <c r="W154" s="318" t="n">
        <v>0.158099999999999</v>
      </c>
      <c r="X154" s="319" t="str">
        <f aca="false">IF($I154-DateToday+1&gt;=$A$10,"",IF($I154-DateToday+1&lt;$A$5,1,MATCH($I154-DateToday+1,$A$5:$A$10)))</f>
        <v/>
      </c>
      <c r="Y154" s="348" t="n">
        <f aca="false">IF($X154="",Y153^2/Y152,INDEX(B$5:B$10,$X154)^((INDEX($A$5:$A$10,$X154+1)-($I154-DateToday+1))/(INDEX($A$5:$A$10,$X154+1)-INDEX($A$5:$A$10,$X154)))/INDEX(B$5:B$10,$X154+1)^((INDEX($A$5:$A$10,$X154)-($I154-DateToday+1))/(INDEX($A$5:$A$10,$X154+1)-INDEX($A$5:$A$10,$X154))))</f>
        <v>0.000623099520841033</v>
      </c>
      <c r="Z154" s="348" t="n">
        <f aca="false">IF($X154="",Z153^2/Z152,INDEX(C$5:C$10,$X154)^((INDEX($A$5:$A$10,$X154+1)-($I154-DateToday+1))/(INDEX($A$5:$A$10,$X154+1)-INDEX($A$5:$A$10,$X154)))/INDEX(C$5:C$10,$X154+1)^((INDEX($A$5:$A$10,$X154)-($I154-DateToday+1))/(INDEX($A$5:$A$10,$X154+1)-INDEX($A$5:$A$10,$X154))))</f>
        <v>0.000173324765664529</v>
      </c>
      <c r="AA154" s="348" t="n">
        <f aca="false">IF($X154="",AA153^2/AA152,INDEX(D$5:D$10,$X154)^((INDEX($A$5:$A$10,$X154+1)-($I154-DateToday+1))/(INDEX($A$5:$A$10,$X154+1)-INDEX($A$5:$A$10,$X154)))/INDEX(D$5:D$10,$X154+1)^((INDEX($A$5:$A$10,$X154)-($I154-DateToday+1))/(INDEX($A$5:$A$10,$X154+1)-INDEX($A$5:$A$10,$X154))))</f>
        <v>5.54985769786003E-005</v>
      </c>
      <c r="AB154" s="348" t="n">
        <f aca="false">IF($X154="",AB153^2/AB152,INDEX(E$5:E$10,$X154)^((INDEX($A$5:$A$10,$X154+1)-($I154-DateToday+1))/(INDEX($A$5:$A$10,$X154+1)-INDEX($A$5:$A$10,$X154)))/INDEX(E$5:E$10,$X154+1)^((INDEX($A$5:$A$10,$X154)-($I154-DateToday+1))/(INDEX($A$5:$A$10,$X154+1)-INDEX($A$5:$A$10,$X154))))</f>
        <v>0.0001250271942174</v>
      </c>
      <c r="AC154" s="348" t="n">
        <f aca="false">IF($X154="",AC153^2/AC152,INDEX(F$5:F$10,$X154)^((INDEX($A$5:$A$10,$X154+1)-($I154-DateToday+1))/(INDEX($A$5:$A$10,$X154+1)-INDEX($A$5:$A$10,$X154)))/INDEX(F$5:F$10,$X154+1)^((INDEX($A$5:$A$10,$X154)-($I154-DateToday+1))/(INDEX($A$5:$A$10,$X154+1)-INDEX($A$5:$A$10,$X154))))</f>
        <v>0.000390466032089047</v>
      </c>
      <c r="AD154" s="348" t="n">
        <f aca="false">IF($X154="",AD153^2/AD152,INDEX(G$5:G$10,$X154)^((INDEX($A$5:$A$10,$X154+1)-($I154-DateToday+1))/(INDEX($A$5:$A$10,$X154+1)-INDEX($A$5:$A$10,$X154)))/INDEX(G$5:G$10,$X154+1)^((INDEX($A$5:$A$10,$X154)-($I154-DateToday+1))/(INDEX($A$5:$A$10,$X154+1)-INDEX($A$5:$A$10,$X154))))</f>
        <v>0.00140371860055055</v>
      </c>
      <c r="AE154" s="321" t="n">
        <v>0.073667214108165</v>
      </c>
      <c r="AF154" s="316" t="n">
        <f aca="false">(1+AE154/2)^(-2*(I155-DateToday)/365.25)</f>
        <v>0.406971121627107</v>
      </c>
      <c r="AG154" s="316" t="n">
        <f aca="false">AG153*(1+IF(AND(M154=1,L154&gt;YearStart),Escalation,0))</f>
        <v>1</v>
      </c>
      <c r="AH154" s="322" t="n">
        <f aca="false">IF(OR(DateStart&gt;=I155,DateEnd&lt;I154),0,Volume*AG154)</f>
        <v>0</v>
      </c>
      <c r="AI154" s="322" t="n">
        <f aca="false">AH154*AF154</f>
        <v>0</v>
      </c>
      <c r="AJ154" s="322" t="n">
        <f aca="false">IF(OR(DateStart2&gt;=I155,DateEnd2&lt;I154),0,VolumeSwaption*AG154)</f>
        <v>0</v>
      </c>
      <c r="AK154" s="322" t="n">
        <f aca="false">AJ154*AF154</f>
        <v>0</v>
      </c>
      <c r="AL154" s="316" t="str">
        <f aca="true">IF(AH154,OFFSET(BY154,0,HorizontalPriceOffset)+PriceSpreadAsian,"")</f>
        <v/>
      </c>
      <c r="AM154" s="316" t="str">
        <f aca="false">IF(AH154,Strike1/AL154-1,"")</f>
        <v/>
      </c>
      <c r="AN154" s="316" t="str">
        <f aca="false">IF(AH154,Strike2/AL154-1,"")</f>
        <v/>
      </c>
      <c r="AO154" s="323" t="str">
        <f aca="false">IF(AH154,IF(VolOverrideAsian,VolOverrideAsian,IF(ProductGroup=1,IF(Product&lt;3,DA155,DE155),W155)+VolSpreadAsian),"")</f>
        <v/>
      </c>
      <c r="AP154" s="323" t="str">
        <f aca="false">IF($AH154,$AO154+IF(SkewFlag=1,IF(AM154&gt;0,$AA154*MIN(AM154/10%,1)+($Z154-$AA154)*MAX(0,MIN(AM154/10%-1,1))+($Y154-$Z154)*MAX(0,AM154/10%-2),$AB154*MIN(-AM154/10%,1)+($AC154-$AB154)*MAX(0,MIN(-AM154/10%-1,1))+($AD154-$AC154)*MAX(0,-AM154/10%-2)),0),"")</f>
        <v/>
      </c>
      <c r="AQ154" s="323" t="str">
        <f aca="false">IF($AH154,$AO154+IF(SkewFlag=1,IF(AN154&gt;0,$AA154*MIN(AN154/10%,1)+($Z154-$AA154)*MAX(0,MIN(AN154/10%-1,1))+($Y154-$Z154)*MAX(0,AN154/10%-2),$AB154*MIN(-AN154/10%,1)+($AC154-$AB154)*MAX(0,MIN(-AN154/10%-1,1))+($AD154-$AC154)*MAX(0,-AN154/10%-2)),0),"")</f>
        <v/>
      </c>
      <c r="AR154" s="324" t="n">
        <f aca="false">IF(AH154,xASN(AL154,Strike1,AE154,AP154,0,N154,0,P154,Q154,IF(OptControl=4,0,1),0),0)</f>
        <v>0</v>
      </c>
      <c r="AS154" s="324" t="n">
        <f aca="false">IF(AH154,xASN(AL154,Strike1,AE154,AP154,0,N154,0,P154,Q154,IF(OptControl=4,0,1),1),0)</f>
        <v>0</v>
      </c>
      <c r="AT154" s="324" t="n">
        <f aca="false">IF(AH154,xASN(AL154,Strike1,AE154,AP154,0,N154,0,P154,Q154,IF(OptControl=4,0,1),2),0)</f>
        <v>0</v>
      </c>
      <c r="AU154" s="324" t="n">
        <f aca="false">IF(AH154,xASN(AL154,Strike1,AE154,AP154,0,N154,0,P154,Q154,IF(OptControl=4,0,1),3)/100,0)</f>
        <v>0</v>
      </c>
      <c r="AV154" s="324" t="n">
        <f aca="false">IF(AH154,xASN(AL154,Strike1,AE154,AP154,0,N154,0,P154-DaysForThetaCalculation/365.25,Q154-DaysForThetaCalculation/365.25,IF(OptControl=4,0,1),0)-xASN(AL154,Strike1,AE154,AP154,0,N154,0,P154,Q154,IF(OptControl=4,0,1),0),0)</f>
        <v>0</v>
      </c>
      <c r="AW154" s="324" t="n">
        <f aca="false">IF(AH154,xASN(AL154,Strike2,AE154,AQ154,0,N154,0,P154,Q154,IF(OptControl=3,1,0),0),0)</f>
        <v>0</v>
      </c>
      <c r="AX154" s="324" t="n">
        <f aca="false">IF(AH154,xASN(AL154,Strike2,AE154,AQ154,0,N154,0,P154,Q154,IF(OptControl=3,1,0),1),0)</f>
        <v>0</v>
      </c>
      <c r="AY154" s="324" t="n">
        <f aca="false">IF(AH154,xASN(AL154,Strike2,AE154,AQ154,0,N154,0,P154,Q154,IF(OptControl=3,1,0),2),0)</f>
        <v>0</v>
      </c>
      <c r="AZ154" s="324" t="n">
        <f aca="false">IF(AH154,xASN(AL154,Strike2,AE154,AQ154,0,N154,0,P154,Q154,IF(OptControl=3,1,0),3)/100,0)</f>
        <v>0</v>
      </c>
      <c r="BA154" s="324" t="n">
        <f aca="false">IF(AH154,xASN(AL154,Strike2,AE154,AQ154,0,N154,0,P154-DaysForThetaCalculation/365.25,Q154-DaysForThetaCalculation/365.25,IF(OptControl=3,1,0),0)-xASN(AL154,Strike2,AE154,AQ154,0,N154,0,P154,Q154,IF(OptControl=3,1,0),0),0)</f>
        <v>0</v>
      </c>
      <c r="BB154" s="325" t="str">
        <f aca="false">IF(AH154,IF(ProductGroup=1,IF(Product=1,BX154+PriceSpreadEuro,IF(Product=3,CK154+PriceSpreadEuro,"N/A")),"N/A"),"")</f>
        <v/>
      </c>
      <c r="BC154" s="316" t="str">
        <f aca="false">IF(AH154,Strike1/BB154-1,"")</f>
        <v/>
      </c>
      <c r="BD154" s="316" t="str">
        <f aca="false">IF(AH154,Strike2/BB154-1,"")</f>
        <v/>
      </c>
      <c r="BE154" s="326" t="str">
        <f aca="false">IF(AH154,IF(VolOverrideEuro,VolOverrideEuro,IF(ProductGroup=1,IF(Product&lt;3,DA154,DE154)+VolSpreadEuro,"N/A")),"")</f>
        <v/>
      </c>
      <c r="BF154" s="323" t="str">
        <f aca="false">IF($AH154,$BE154+IF(SkewFlag=1,IF(BC154&gt;0,$AA154*MIN(BC154/10%,1)+($Z154-$AA154)*MAX(0,MIN(BC154/10%-1,1))+($Y154-$Z154)*MAX(0,BC154/10%-2),$AB154*MIN(-BC154/10%,1)+($AC154-$AB154)*MAX(0,MIN(-BC154/10%-1,1))+($AD154-$AC154)*MAX(0,-BC154/10%-2)),0),"")</f>
        <v/>
      </c>
      <c r="BG154" s="323" t="str">
        <f aca="false">IF($AH154,$BE154+IF(SkewFlag=1,IF(BD154&gt;0,$AA154*MIN(BD154/10%,1)+($Z154-$AA154)*MAX(0,MIN(BD154/10%-1,1))+($Y154-$Z154)*MAX(0,BD154/10%-2),$AB154*MIN(-BD154/10%,1)+($AC154-$AB154)*MAX(0,MIN(-BD154/10%-1,1))+($AD154-$AC154)*MAX(0,-BD154/10%-2)),0),"")</f>
        <v/>
      </c>
      <c r="BH154" s="324" t="n">
        <f aca="false">IF(AH154,xEURO(BB154,Strike1,AE154,AE154,BF154,O154,IF(OptControl=4,0,1),0),0)</f>
        <v>0</v>
      </c>
      <c r="BI154" s="324" t="n">
        <f aca="false">IF(AH154,xEURO(BB154,Strike1,AE154,AE154,BF154,O154,IF(OptControl=4,0,1),1),0)</f>
        <v>0</v>
      </c>
      <c r="BJ154" s="324" t="n">
        <f aca="false">IF(AH154,xEURO(BB154,Strike1,AE154,AE154,BF154,O154,IF(OptControl=4,0,1),2),0)</f>
        <v>0</v>
      </c>
      <c r="BK154" s="324" t="n">
        <f aca="false">IF(AH154,xEURO(BB154,Strike1,AE154,AE154,BF154,O154,IF(OptControl=4,0,1),3)/100,0)</f>
        <v>0</v>
      </c>
      <c r="BL154" s="324" t="n">
        <f aca="false">IF(AH154,xEURO(BB154,Strike1,AE154,AE154,BF154,O154-DaysForThetaCalculation,IF(OptControl=4,0,1),0)-xEURO(BB154,Strike1,AE154,AE154,BF154,O154,IF(OptControl=4,0,1),0),0)</f>
        <v>0</v>
      </c>
      <c r="BM154" s="324" t="n">
        <f aca="false">IF(AH154,xEURO(BB154,Strike2,AE154,AE154,BG154,O154,IF(OptControl=3,1,0),0),0)</f>
        <v>0</v>
      </c>
      <c r="BN154" s="324" t="n">
        <f aca="false">IF(AH154,xEURO(BB154,Strike2,AE154,AE154,BG154,O154,IF(OptControl=3,1,0),1),0)</f>
        <v>0</v>
      </c>
      <c r="BO154" s="324" t="n">
        <f aca="false">IF(AH154,xEURO(BB154,Strike2,AE154,AE154,BG154,O154,IF(OptControl=3,1,0),2),0)</f>
        <v>0</v>
      </c>
      <c r="BP154" s="324" t="n">
        <f aca="false">IF(AH154,xEURO(BB154,Strike2,AE154,AE154,BG154,O154,IF(OptControl=3,1,0),3)/100,0)</f>
        <v>0</v>
      </c>
      <c r="BQ154" s="327" t="n">
        <f aca="false">IF(AH154,xEURO(BB154,Strike2,AE154,AE154,BG154,O154-DaysForThetaCalculation,IF(OptControl=3,1,0),0)-xEURO(BB154,Strike2,AE154,AE154,BG154,O154,IF(OptControl=3,1,0),0),0)</f>
        <v>0</v>
      </c>
      <c r="BR154" s="343"/>
      <c r="BS154" s="314"/>
      <c r="BT154" s="329" t="n">
        <f aca="false">BS154*100/42</f>
        <v>0</v>
      </c>
      <c r="BU154" s="329" t="n">
        <f aca="false">BS155-$U154</f>
        <v>-31.0099999999998</v>
      </c>
      <c r="BV154" s="224"/>
      <c r="BW154" s="329" t="n">
        <f aca="false">BW142+VLOOKUP(1900+$L154,ProductSpreadTable,2)</f>
        <v>15.789</v>
      </c>
      <c r="BX154" s="329" t="n">
        <f aca="false">($V153+BW153)*100/42</f>
        <v>110.170603999174</v>
      </c>
      <c r="BY154" s="332" t="n">
        <f aca="false">BX155</f>
        <v>111.42619047619</v>
      </c>
      <c r="BZ154" s="314"/>
      <c r="CA154" s="329" t="n">
        <f aca="false">BZ154*100/42</f>
        <v>0</v>
      </c>
      <c r="CB154" s="329" t="n">
        <f aca="false">BZ154-$U154</f>
        <v>-31.0099999999998</v>
      </c>
      <c r="CC154" s="329" t="n">
        <f aca="false">CC142+VLOOKUP(1900+$L154,ProductSpreadTable,3)</f>
        <v>13.374</v>
      </c>
      <c r="CD154" s="329" t="n">
        <f aca="false">($V154+CC154)*100/42</f>
        <v>105.67619047619</v>
      </c>
      <c r="CE154" s="333" t="n">
        <f aca="false">CD154-BY154</f>
        <v>-5.75000000000003</v>
      </c>
      <c r="CF154" s="314"/>
      <c r="CG154" s="329" t="n">
        <f aca="false">CF154*100/42</f>
        <v>0</v>
      </c>
      <c r="CH154" s="329" t="n">
        <f aca="false">CF155-$U154</f>
        <v>-31.0099999999998</v>
      </c>
      <c r="CI154" s="224"/>
      <c r="CJ154" s="329" t="n">
        <f aca="false">CJ142+VLOOKUP(1900+$L154,ProductSpreadTable,4)</f>
        <v>9.6859999999999</v>
      </c>
      <c r="CK154" s="329" t="n">
        <f aca="false">($V153+CJ153)*100/42</f>
        <v>94.8937641723344</v>
      </c>
      <c r="CL154" s="329" t="n">
        <f aca="false">CK155</f>
        <v>96.8952380952373</v>
      </c>
      <c r="CM154" s="314"/>
      <c r="CN154" s="329" t="n">
        <f aca="false">CM154*100/42</f>
        <v>0</v>
      </c>
      <c r="CO154" s="329" t="n">
        <f aca="false">CM154-$U154</f>
        <v>-31.0099999999998</v>
      </c>
      <c r="CP154" s="329" t="n">
        <f aca="false">CP142+VLOOKUP(1900+$L154,ProductSpreadTable,5)</f>
        <v>8.7619999999999</v>
      </c>
      <c r="CQ154" s="329" t="n">
        <f aca="false">($V154+CP154)*100/42</f>
        <v>94.6952380952373</v>
      </c>
      <c r="CR154" s="333" t="n">
        <f aca="false">CQ154-CL154</f>
        <v>-2.19999999999999</v>
      </c>
      <c r="CS154" s="314"/>
      <c r="CT154" s="329" t="n">
        <f aca="false">CS154*100/42</f>
        <v>0</v>
      </c>
      <c r="CU154" s="329" t="n">
        <f aca="false">CT154-CG155</f>
        <v>0</v>
      </c>
      <c r="CV154" s="329" t="n">
        <f aca="false">CV142+VLOOKUP(1900+$L154,ProductSpreadTable,6)</f>
        <v>2.24999999999999</v>
      </c>
      <c r="CW154" s="333" t="n">
        <f aca="false">CL154+CV154</f>
        <v>99.1452380952373</v>
      </c>
      <c r="CX154" s="318"/>
      <c r="CY154" s="326" t="n">
        <f aca="false">CX154-$W154</f>
        <v>-0.158099999999999</v>
      </c>
      <c r="CZ154" s="326" t="n">
        <f aca="false">VLOOKUP(1900+$L154,ProductSpreadTable,7)</f>
        <v>-0.03</v>
      </c>
      <c r="DA154" s="365" t="n">
        <f aca="false">$W154+CZ154</f>
        <v>0.128099999999999</v>
      </c>
      <c r="DB154" s="318"/>
      <c r="DC154" s="326" t="n">
        <f aca="false">DB154-$W154</f>
        <v>-0.158099999999999</v>
      </c>
      <c r="DD154" s="326" t="n">
        <f aca="false">VLOOKUP(1900+$L154,ProductSpreadTable,8)</f>
        <v>0.03</v>
      </c>
      <c r="DE154" s="365" t="n">
        <f aca="false">$W154+DD154</f>
        <v>0.188099999999999</v>
      </c>
      <c r="DG154" s="336"/>
      <c r="DH154" s="314"/>
      <c r="DI154" s="325" t="n">
        <f aca="false">DH154-$U154</f>
        <v>-31.0099999999998</v>
      </c>
      <c r="DJ154" s="325" t="n">
        <f aca="false">VLOOKUP(1900+$L154,ResidSpreadTable,2)</f>
        <v>-2</v>
      </c>
      <c r="DK154" s="337" t="n">
        <f aca="false">$V154+DJ154</f>
        <v>29.0099999999998</v>
      </c>
      <c r="DL154" s="314"/>
      <c r="DM154" s="325" t="n">
        <f aca="false">DL154-$U154</f>
        <v>-31.0099999999998</v>
      </c>
      <c r="DN154" s="325" t="n">
        <f aca="false">VLOOKUP(1900+$L154,ResidSpreadTable,3)</f>
        <v>-3</v>
      </c>
      <c r="DO154" s="337" t="n">
        <f aca="false">$V154+DN154</f>
        <v>28.0099999999998</v>
      </c>
      <c r="DP154" s="314"/>
      <c r="DQ154" s="325" t="n">
        <f aca="false">DP154-$U154</f>
        <v>-31.0099999999998</v>
      </c>
      <c r="DR154" s="325" t="n">
        <f aca="false">VLOOKUP(1900+$L154,ResidSpreadTable,4)</f>
        <v>-6</v>
      </c>
      <c r="DS154" s="337" t="n">
        <f aca="false">$V154+DR154</f>
        <v>25.0099999999998</v>
      </c>
      <c r="DT154" s="314"/>
      <c r="DU154" s="325" t="n">
        <f aca="false">DT154-$U154</f>
        <v>-31.0099999999998</v>
      </c>
      <c r="DV154" s="325" t="n">
        <f aca="false">VLOOKUP(1900+$L154,ResidSpreadTable,5)</f>
        <v>-5</v>
      </c>
      <c r="DW154" s="337" t="n">
        <f aca="false">$V154+DV154</f>
        <v>26.0099999999998</v>
      </c>
    </row>
    <row r="155" customFormat="false" ht="12.75" hidden="false" customHeight="false" outlineLevel="0" collapsed="false">
      <c r="B155" s="371" t="n">
        <v>40269</v>
      </c>
      <c r="C155" s="391" t="n">
        <v>40257</v>
      </c>
      <c r="I155" s="338" t="n">
        <f aca="false">EOMONTH(I154,0)+1</f>
        <v>50465</v>
      </c>
      <c r="J155" s="389" t="n">
        <f aca="false">VLOOKUP(I155,$B$12:$C$332,2)</f>
        <v>45644</v>
      </c>
      <c r="K155" s="339" t="n">
        <f aca="false">NETWORKDAYS(I155,J156)/N155</f>
        <v>-149.739130434783</v>
      </c>
      <c r="L155" s="309" t="n">
        <f aca="false">YEAR(I155)-1900</f>
        <v>138</v>
      </c>
      <c r="M155" s="310" t="n">
        <f aca="false">MONTH(I155)</f>
        <v>3</v>
      </c>
      <c r="N155" s="340" t="n">
        <f aca="false">NETWORKDAYS(I155,I156-1)</f>
        <v>23</v>
      </c>
      <c r="O155" s="341" t="n">
        <f aca="false">I155-DateToday-IF(EuroExpDateToggle=1,3+IF(WEEKDAY(I155-1)=7,1,IF(WEEKDAY(I155-1)&lt;5,2,0)),1+IF(WEEKDAY(I155-1)=7,1,IF(WEEKDAY(I155-1)&lt;3,2,0)))</f>
        <v>4534</v>
      </c>
      <c r="P155" s="342" t="n">
        <f aca="false">(I155-DateToday+1)/365.25</f>
        <v>12.4298425735797</v>
      </c>
      <c r="Q155" s="342" t="n">
        <f aca="false">(I156-DateToday)/365.25</f>
        <v>12.5119780971937</v>
      </c>
      <c r="R155" s="314" t="n">
        <v>22.4</v>
      </c>
      <c r="S155" s="347" t="n">
        <v>0</v>
      </c>
      <c r="T155" s="316" t="n">
        <f aca="false">R155+S155/100</f>
        <v>22.4</v>
      </c>
      <c r="U155" s="325" t="n">
        <f aca="false">R156*K155+R157*(1-K155)</f>
        <v>29.9869565217555</v>
      </c>
      <c r="V155" s="337" t="n">
        <f aca="false">T156*K155+T157*(1-K155)</f>
        <v>29.9869565217555</v>
      </c>
      <c r="W155" s="318" t="n">
        <v>0.157699999999999</v>
      </c>
      <c r="X155" s="319" t="str">
        <f aca="false">IF($I155-DateToday+1&gt;=$A$10,"",IF($I155-DateToday+1&lt;$A$5,1,MATCH($I155-DateToday+1,$A$5:$A$10)))</f>
        <v/>
      </c>
      <c r="Y155" s="348" t="n">
        <f aca="false">IF($X155="",Y154^2/Y153,INDEX(B$5:B$10,$X155)^((INDEX($A$5:$A$10,$X155+1)-($I155-DateToday+1))/(INDEX($A$5:$A$10,$X155+1)-INDEX($A$5:$A$10,$X155)))/INDEX(B$5:B$10,$X155+1)^((INDEX($A$5:$A$10,$X155)-($I155-DateToday+1))/(INDEX($A$5:$A$10,$X155+1)-INDEX($A$5:$A$10,$X155))))</f>
        <v>0.000609759907788883</v>
      </c>
      <c r="Z155" s="348" t="n">
        <f aca="false">IF($X155="",Z154^2/Z153,INDEX(C$5:C$10,$X155)^((INDEX($A$5:$A$10,$X155+1)-($I155-DateToday+1))/(INDEX($A$5:$A$10,$X155+1)-INDEX($A$5:$A$10,$X155)))/INDEX(C$5:C$10,$X155+1)^((INDEX($A$5:$A$10,$X155)-($I155-DateToday+1))/(INDEX($A$5:$A$10,$X155+1)-INDEX($A$5:$A$10,$X155))))</f>
        <v>0.000168706023097996</v>
      </c>
      <c r="AA155" s="348" t="n">
        <f aca="false">IF($X155="",AA154^2/AA153,INDEX(D$5:D$10,$X155)^((INDEX($A$5:$A$10,$X155+1)-($I155-DateToday+1))/(INDEX($A$5:$A$10,$X155+1)-INDEX($A$5:$A$10,$X155)))/INDEX(D$5:D$10,$X155+1)^((INDEX($A$5:$A$10,$X155)-($I155-DateToday+1))/(INDEX($A$5:$A$10,$X155+1)-INDEX($A$5:$A$10,$X155))))</f>
        <v>5.38747971364328E-005</v>
      </c>
      <c r="AB155" s="348" t="n">
        <f aca="false">IF($X155="",AB154^2/AB153,INDEX(E$5:E$10,$X155)^((INDEX($A$5:$A$10,$X155+1)-($I155-DateToday+1))/(INDEX($A$5:$A$10,$X155+1)-INDEX($A$5:$A$10,$X155)))/INDEX(E$5:E$10,$X155+1)^((INDEX($A$5:$A$10,$X155)-($I155-DateToday+1))/(INDEX($A$5:$A$10,$X155+1)-INDEX($A$5:$A$10,$X155))))</f>
        <v>0.000121369142988965</v>
      </c>
      <c r="AC155" s="348" t="n">
        <f aca="false">IF($X155="",AC154^2/AC153,INDEX(F$5:F$10,$X155)^((INDEX($A$5:$A$10,$X155+1)-($I155-DateToday+1))/(INDEX($A$5:$A$10,$X155+1)-INDEX($A$5:$A$10,$X155)))/INDEX(F$5:F$10,$X155+1)^((INDEX($A$5:$A$10,$X155)-($I155-DateToday+1))/(INDEX($A$5:$A$10,$X155+1)-INDEX($A$5:$A$10,$X155))))</f>
        <v>0.000380060928835162</v>
      </c>
      <c r="AD155" s="348" t="n">
        <f aca="false">IF($X155="",AD154^2/AD153,INDEX(G$5:G$10,$X155)^((INDEX($A$5:$A$10,$X155+1)-($I155-DateToday+1))/(INDEX($A$5:$A$10,$X155+1)-INDEX($A$5:$A$10,$X155)))/INDEX(G$5:G$10,$X155+1)^((INDEX($A$5:$A$10,$X155)-($I155-DateToday+1))/(INDEX($A$5:$A$10,$X155+1)-INDEX($A$5:$A$10,$X155))))</f>
        <v>0.00137366712026667</v>
      </c>
      <c r="AE155" s="321" t="n">
        <v>0.07366325254953</v>
      </c>
      <c r="AF155" s="316" t="n">
        <f aca="false">(1+AE155/2)^(-2*(I156-DateToday)/365.25)</f>
        <v>0.404499316605356</v>
      </c>
      <c r="AG155" s="316" t="n">
        <f aca="false">AG154*(1+IF(AND(M155=1,L155&gt;YearStart),Escalation,0))</f>
        <v>1</v>
      </c>
      <c r="AH155" s="322" t="n">
        <f aca="false">IF(OR(DateStart&gt;=I156,DateEnd&lt;I155),0,Volume*AG155)</f>
        <v>0</v>
      </c>
      <c r="AI155" s="322" t="n">
        <f aca="false">AH155*AF155</f>
        <v>0</v>
      </c>
      <c r="AJ155" s="322" t="n">
        <f aca="false">IF(OR(DateStart2&gt;=I156,DateEnd2&lt;I155),0,VolumeSwaption*AG155)</f>
        <v>0</v>
      </c>
      <c r="AK155" s="322" t="n">
        <f aca="false">AJ155*AF155</f>
        <v>0</v>
      </c>
      <c r="AL155" s="316" t="str">
        <f aca="true">IF(AH155,OFFSET(BY155,0,HorizontalPriceOffset)+PriceSpreadAsian,"")</f>
        <v/>
      </c>
      <c r="AM155" s="316" t="str">
        <f aca="false">IF(AH155,Strike1/AL155-1,"")</f>
        <v/>
      </c>
      <c r="AN155" s="316" t="str">
        <f aca="false">IF(AH155,Strike2/AL155-1,"")</f>
        <v/>
      </c>
      <c r="AO155" s="323" t="str">
        <f aca="false">IF(AH155,IF(VolOverrideAsian,VolOverrideAsian,IF(ProductGroup=1,IF(Product&lt;3,DA156,DE156),W156)+VolSpreadAsian),"")</f>
        <v/>
      </c>
      <c r="AP155" s="323" t="str">
        <f aca="false">IF($AH155,$AO155+IF(SkewFlag=1,IF(AM155&gt;0,$AA155*MIN(AM155/10%,1)+($Z155-$AA155)*MAX(0,MIN(AM155/10%-1,1))+($Y155-$Z155)*MAX(0,AM155/10%-2),$AB155*MIN(-AM155/10%,1)+($AC155-$AB155)*MAX(0,MIN(-AM155/10%-1,1))+($AD155-$AC155)*MAX(0,-AM155/10%-2)),0),"")</f>
        <v/>
      </c>
      <c r="AQ155" s="323" t="str">
        <f aca="false">IF($AH155,$AO155+IF(SkewFlag=1,IF(AN155&gt;0,$AA155*MIN(AN155/10%,1)+($Z155-$AA155)*MAX(0,MIN(AN155/10%-1,1))+($Y155-$Z155)*MAX(0,AN155/10%-2),$AB155*MIN(-AN155/10%,1)+($AC155-$AB155)*MAX(0,MIN(-AN155/10%-1,1))+($AD155-$AC155)*MAX(0,-AN155/10%-2)),0),"")</f>
        <v/>
      </c>
      <c r="AR155" s="324" t="n">
        <f aca="false">IF(AH155,xASN(AL155,Strike1,AE155,AP155,0,N155,0,P155,Q155,IF(OptControl=4,0,1),0),0)</f>
        <v>0</v>
      </c>
      <c r="AS155" s="324" t="n">
        <f aca="false">IF(AH155,xASN(AL155,Strike1,AE155,AP155,0,N155,0,P155,Q155,IF(OptControl=4,0,1),1),0)</f>
        <v>0</v>
      </c>
      <c r="AT155" s="324" t="n">
        <f aca="false">IF(AH155,xASN(AL155,Strike1,AE155,AP155,0,N155,0,P155,Q155,IF(OptControl=4,0,1),2),0)</f>
        <v>0</v>
      </c>
      <c r="AU155" s="324" t="n">
        <f aca="false">IF(AH155,xASN(AL155,Strike1,AE155,AP155,0,N155,0,P155,Q155,IF(OptControl=4,0,1),3)/100,0)</f>
        <v>0</v>
      </c>
      <c r="AV155" s="324" t="n">
        <f aca="false">IF(AH155,xASN(AL155,Strike1,AE155,AP155,0,N155,0,P155-DaysForThetaCalculation/365.25,Q155-DaysForThetaCalculation/365.25,IF(OptControl=4,0,1),0)-xASN(AL155,Strike1,AE155,AP155,0,N155,0,P155,Q155,IF(OptControl=4,0,1),0),0)</f>
        <v>0</v>
      </c>
      <c r="AW155" s="324" t="n">
        <f aca="false">IF(AH155,xASN(AL155,Strike2,AE155,AQ155,0,N155,0,P155,Q155,IF(OptControl=3,1,0),0),0)</f>
        <v>0</v>
      </c>
      <c r="AX155" s="324" t="n">
        <f aca="false">IF(AH155,xASN(AL155,Strike2,AE155,AQ155,0,N155,0,P155,Q155,IF(OptControl=3,1,0),1),0)</f>
        <v>0</v>
      </c>
      <c r="AY155" s="324" t="n">
        <f aca="false">IF(AH155,xASN(AL155,Strike2,AE155,AQ155,0,N155,0,P155,Q155,IF(OptControl=3,1,0),2),0)</f>
        <v>0</v>
      </c>
      <c r="AZ155" s="324" t="n">
        <f aca="false">IF(AH155,xASN(AL155,Strike2,AE155,AQ155,0,N155,0,P155,Q155,IF(OptControl=3,1,0),3)/100,0)</f>
        <v>0</v>
      </c>
      <c r="BA155" s="324" t="n">
        <f aca="false">IF(AH155,xASN(AL155,Strike2,AE155,AQ155,0,N155,0,P155-DaysForThetaCalculation/365.25,Q155-DaysForThetaCalculation/365.25,IF(OptControl=3,1,0),0)-xASN(AL155,Strike2,AE155,AQ155,0,N155,0,P155,Q155,IF(OptControl=3,1,0),0),0)</f>
        <v>0</v>
      </c>
      <c r="BB155" s="325" t="str">
        <f aca="false">IF(AH155,IF(ProductGroup=1,IF(Product=1,BX155+PriceSpreadEuro,IF(Product=3,CK155+PriceSpreadEuro,"N/A")),"N/A"),"")</f>
        <v/>
      </c>
      <c r="BC155" s="316" t="str">
        <f aca="false">IF(AH155,Strike1/BB155-1,"")</f>
        <v/>
      </c>
      <c r="BD155" s="316" t="str">
        <f aca="false">IF(AH155,Strike2/BB155-1,"")</f>
        <v/>
      </c>
      <c r="BE155" s="326" t="str">
        <f aca="false">IF(AH155,IF(VolOverrideEuro,VolOverrideEuro,IF(ProductGroup=1,IF(Product&lt;3,DA155,DE155)+VolSpreadEuro,"N/A")),"")</f>
        <v/>
      </c>
      <c r="BF155" s="323" t="str">
        <f aca="false">IF($AH155,$BE155+IF(SkewFlag=1,IF(BC155&gt;0,$AA155*MIN(BC155/10%,1)+($Z155-$AA155)*MAX(0,MIN(BC155/10%-1,1))+($Y155-$Z155)*MAX(0,BC155/10%-2),$AB155*MIN(-BC155/10%,1)+($AC155-$AB155)*MAX(0,MIN(-BC155/10%-1,1))+($AD155-$AC155)*MAX(0,-BC155/10%-2)),0),"")</f>
        <v/>
      </c>
      <c r="BG155" s="323" t="str">
        <f aca="false">IF($AH155,$BE155+IF(SkewFlag=1,IF(BD155&gt;0,$AA155*MIN(BD155/10%,1)+($Z155-$AA155)*MAX(0,MIN(BD155/10%-1,1))+($Y155-$Z155)*MAX(0,BD155/10%-2),$AB155*MIN(-BD155/10%,1)+($AC155-$AB155)*MAX(0,MIN(-BD155/10%-1,1))+($AD155-$AC155)*MAX(0,-BD155/10%-2)),0),"")</f>
        <v/>
      </c>
      <c r="BH155" s="324" t="n">
        <f aca="false">IF(AH155,xEURO(BB155,Strike1,AE155,AE155,BF155,O155,IF(OptControl=4,0,1),0),0)</f>
        <v>0</v>
      </c>
      <c r="BI155" s="324" t="n">
        <f aca="false">IF(AH155,xEURO(BB155,Strike1,AE155,AE155,BF155,O155,IF(OptControl=4,0,1),1),0)</f>
        <v>0</v>
      </c>
      <c r="BJ155" s="324" t="n">
        <f aca="false">IF(AH155,xEURO(BB155,Strike1,AE155,AE155,BF155,O155,IF(OptControl=4,0,1),2),0)</f>
        <v>0</v>
      </c>
      <c r="BK155" s="324" t="n">
        <f aca="false">IF(AH155,xEURO(BB155,Strike1,AE155,AE155,BF155,O155,IF(OptControl=4,0,1),3)/100,0)</f>
        <v>0</v>
      </c>
      <c r="BL155" s="324" t="n">
        <f aca="false">IF(AH155,xEURO(BB155,Strike1,AE155,AE155,BF155,O155-DaysForThetaCalculation,IF(OptControl=4,0,1),0)-xEURO(BB155,Strike1,AE155,AE155,BF155,O155,IF(OptControl=4,0,1),0),0)</f>
        <v>0</v>
      </c>
      <c r="BM155" s="324" t="n">
        <f aca="false">IF(AH155,xEURO(BB155,Strike2,AE155,AE155,BG155,O155,IF(OptControl=3,1,0),0),0)</f>
        <v>0</v>
      </c>
      <c r="BN155" s="324" t="n">
        <f aca="false">IF(AH155,xEURO(BB155,Strike2,AE155,AE155,BG155,O155,IF(OptControl=3,1,0),1),0)</f>
        <v>0</v>
      </c>
      <c r="BO155" s="324" t="n">
        <f aca="false">IF(AH155,xEURO(BB155,Strike2,AE155,AE155,BG155,O155,IF(OptControl=3,1,0),2),0)</f>
        <v>0</v>
      </c>
      <c r="BP155" s="324" t="n">
        <f aca="false">IF(AH155,xEURO(BB155,Strike2,AE155,AE155,BG155,O155,IF(OptControl=3,1,0),3)/100,0)</f>
        <v>0</v>
      </c>
      <c r="BQ155" s="327" t="n">
        <f aca="false">IF(AH155,xEURO(BB155,Strike2,AE155,AE155,BG155,O155-DaysForThetaCalculation,IF(OptControl=3,1,0),0)-xEURO(BB155,Strike2,AE155,AE155,BG155,O155,IF(OptControl=3,1,0),0),0)</f>
        <v>0</v>
      </c>
      <c r="BR155" s="343"/>
      <c r="BS155" s="314"/>
      <c r="BT155" s="329" t="n">
        <f aca="false">BS155*100/42</f>
        <v>0</v>
      </c>
      <c r="BU155" s="329" t="n">
        <f aca="false">BS156-$U155</f>
        <v>-29.9869565217555</v>
      </c>
      <c r="BV155" s="224"/>
      <c r="BW155" s="329" t="n">
        <f aca="false">BW143+VLOOKUP(1900+$L155,ProductSpreadTable,2)</f>
        <v>13.3169999999999</v>
      </c>
      <c r="BX155" s="329" t="n">
        <f aca="false">($V154+BW154)*100/42</f>
        <v>111.42619047619</v>
      </c>
      <c r="BY155" s="332" t="n">
        <f aca="false">BX156</f>
        <v>103.104658385132</v>
      </c>
      <c r="BZ155" s="314"/>
      <c r="CA155" s="329" t="n">
        <f aca="false">BZ155*100/42</f>
        <v>0</v>
      </c>
      <c r="CB155" s="329" t="n">
        <f aca="false">BZ155-$U155</f>
        <v>-29.9869565217555</v>
      </c>
      <c r="CC155" s="329" t="n">
        <f aca="false">CC143+VLOOKUP(1900+$L155,ProductSpreadTable,3)</f>
        <v>10.9019999999999</v>
      </c>
      <c r="CD155" s="329" t="n">
        <f aca="false">($V155+CC155)*100/42</f>
        <v>97.3546583851319</v>
      </c>
      <c r="CE155" s="333" t="n">
        <f aca="false">CD155-BY155</f>
        <v>-5.74999999999999</v>
      </c>
      <c r="CF155" s="314"/>
      <c r="CG155" s="329" t="n">
        <f aca="false">CF155*100/42</f>
        <v>0</v>
      </c>
      <c r="CH155" s="329" t="n">
        <f aca="false">CF156-$U155</f>
        <v>-29.9869565217555</v>
      </c>
      <c r="CI155" s="224"/>
      <c r="CJ155" s="329" t="n">
        <f aca="false">CJ143+VLOOKUP(1900+$L155,ProductSpreadTable,4)</f>
        <v>11.2089999999999</v>
      </c>
      <c r="CK155" s="329" t="n">
        <f aca="false">($V154+CJ154)*100/42</f>
        <v>96.8952380952373</v>
      </c>
      <c r="CL155" s="329" t="n">
        <f aca="false">CK156</f>
        <v>98.0856107660843</v>
      </c>
      <c r="CM155" s="314"/>
      <c r="CN155" s="329" t="n">
        <f aca="false">CM155*100/42</f>
        <v>0</v>
      </c>
      <c r="CO155" s="329" t="n">
        <f aca="false">CM155-$U155</f>
        <v>-29.9869565217555</v>
      </c>
      <c r="CP155" s="329" t="n">
        <f aca="false">CP143+VLOOKUP(1900+$L155,ProductSpreadTable,5)</f>
        <v>8.70773913043482</v>
      </c>
      <c r="CQ155" s="329" t="n">
        <f aca="false">($V155+CP155)*100/42</f>
        <v>92.1302277433102</v>
      </c>
      <c r="CR155" s="333" t="n">
        <f aca="false">CQ155-CL155</f>
        <v>-5.95538302277406</v>
      </c>
      <c r="CS155" s="314"/>
      <c r="CT155" s="329" t="n">
        <f aca="false">CS155*100/42</f>
        <v>0</v>
      </c>
      <c r="CU155" s="329" t="n">
        <f aca="false">CT155-CG156</f>
        <v>0</v>
      </c>
      <c r="CV155" s="329" t="n">
        <f aca="false">CV143+VLOOKUP(1900+$L155,ProductSpreadTable,6)</f>
        <v>2.25000000000001</v>
      </c>
      <c r="CW155" s="333" t="n">
        <f aca="false">CL155+CV155</f>
        <v>100.335610766084</v>
      </c>
      <c r="CX155" s="318"/>
      <c r="CY155" s="326" t="n">
        <f aca="false">CX155-$W155</f>
        <v>-0.157699999999999</v>
      </c>
      <c r="CZ155" s="326" t="n">
        <f aca="false">VLOOKUP(1900+$L155,ProductSpreadTable,7)</f>
        <v>-0.03</v>
      </c>
      <c r="DA155" s="365" t="n">
        <f aca="false">$W155+CZ155</f>
        <v>0.127699999999999</v>
      </c>
      <c r="DB155" s="318"/>
      <c r="DC155" s="326" t="n">
        <f aca="false">DB155-$W155</f>
        <v>-0.157699999999999</v>
      </c>
      <c r="DD155" s="326" t="n">
        <f aca="false">VLOOKUP(1900+$L155,ProductSpreadTable,8)</f>
        <v>0.03</v>
      </c>
      <c r="DE155" s="365" t="n">
        <f aca="false">$W155+DD155</f>
        <v>0.187699999999999</v>
      </c>
      <c r="DG155" s="336"/>
      <c r="DH155" s="314"/>
      <c r="DI155" s="325" t="n">
        <f aca="false">DH155-$U155</f>
        <v>-29.9869565217555</v>
      </c>
      <c r="DJ155" s="325" t="n">
        <f aca="false">VLOOKUP(1900+$L155,ResidSpreadTable,2)</f>
        <v>-2</v>
      </c>
      <c r="DK155" s="337" t="n">
        <f aca="false">$V155+DJ155</f>
        <v>27.9869565217555</v>
      </c>
      <c r="DL155" s="314"/>
      <c r="DM155" s="325" t="n">
        <f aca="false">DL155-$U155</f>
        <v>-29.9869565217555</v>
      </c>
      <c r="DN155" s="325" t="n">
        <f aca="false">VLOOKUP(1900+$L155,ResidSpreadTable,3)</f>
        <v>-3</v>
      </c>
      <c r="DO155" s="337" t="n">
        <f aca="false">$V155+DN155</f>
        <v>26.9869565217555</v>
      </c>
      <c r="DP155" s="314"/>
      <c r="DQ155" s="325" t="n">
        <f aca="false">DP155-$U155</f>
        <v>-29.9869565217555</v>
      </c>
      <c r="DR155" s="325" t="n">
        <f aca="false">VLOOKUP(1900+$L155,ResidSpreadTable,4)</f>
        <v>-6</v>
      </c>
      <c r="DS155" s="337" t="n">
        <f aca="false">$V155+DR155</f>
        <v>23.9869565217555</v>
      </c>
      <c r="DT155" s="314"/>
      <c r="DU155" s="325" t="n">
        <f aca="false">DT155-$U155</f>
        <v>-29.9869565217555</v>
      </c>
      <c r="DV155" s="325" t="n">
        <f aca="false">VLOOKUP(1900+$L155,ResidSpreadTable,5)</f>
        <v>-5</v>
      </c>
      <c r="DW155" s="337" t="n">
        <f aca="false">$V155+DV155</f>
        <v>24.9869565217555</v>
      </c>
    </row>
    <row r="156" customFormat="false" ht="12.75" hidden="false" customHeight="false" outlineLevel="0" collapsed="false">
      <c r="B156" s="371" t="n">
        <v>40299</v>
      </c>
      <c r="C156" s="391" t="n">
        <v>40288</v>
      </c>
      <c r="I156" s="338" t="n">
        <f aca="false">EOMONTH(I155,0)+1</f>
        <v>50496</v>
      </c>
      <c r="J156" s="389" t="n">
        <f aca="false">VLOOKUP(I156,$B$12:$C$332,2)</f>
        <v>45644</v>
      </c>
      <c r="K156" s="339" t="n">
        <f aca="false">NETWORKDAYS(I156,J157)/N156</f>
        <v>-157.590909090909</v>
      </c>
      <c r="L156" s="309" t="n">
        <f aca="false">YEAR(I156)-1900</f>
        <v>138</v>
      </c>
      <c r="M156" s="310" t="n">
        <f aca="false">MONTH(I156)</f>
        <v>4</v>
      </c>
      <c r="N156" s="340" t="n">
        <f aca="false">NETWORKDAYS(I156,I157-1)</f>
        <v>22</v>
      </c>
      <c r="O156" s="341" t="n">
        <f aca="false">I156-DateToday-IF(EuroExpDateToggle=1,3+IF(WEEKDAY(I156-1)=7,1,IF(WEEKDAY(I156-1)&lt;5,2,0)),1+IF(WEEKDAY(I156-1)=7,1,IF(WEEKDAY(I156-1)&lt;3,2,0)))</f>
        <v>4565</v>
      </c>
      <c r="P156" s="342" t="n">
        <f aca="false">(I156-DateToday+1)/365.25</f>
        <v>12.5147159479808</v>
      </c>
      <c r="Q156" s="342" t="n">
        <f aca="false">(I157-DateToday)/365.25</f>
        <v>12.5941136208077</v>
      </c>
      <c r="R156" s="314" t="n">
        <v>22.45</v>
      </c>
      <c r="S156" s="347" t="n">
        <v>0</v>
      </c>
      <c r="T156" s="316" t="n">
        <f aca="false">R156+S156/100</f>
        <v>22.45</v>
      </c>
      <c r="U156" s="325" t="n">
        <f aca="false">R157*K156+R158*(1-K156)</f>
        <v>30.4295454545454</v>
      </c>
      <c r="V156" s="337" t="n">
        <f aca="false">T157*K156+T158*(1-K156)</f>
        <v>30.4295454545454</v>
      </c>
      <c r="W156" s="318" t="n">
        <v>0.157299999999999</v>
      </c>
      <c r="X156" s="319" t="str">
        <f aca="false">IF($I156-DateToday+1&gt;=$A$10,"",IF($I156-DateToday+1&lt;$A$5,1,MATCH($I156-DateToday+1,$A$5:$A$10)))</f>
        <v/>
      </c>
      <c r="Y156" s="348" t="n">
        <f aca="false">IF($X156="",Y155^2/Y154,INDEX(B$5:B$10,$X156)^((INDEX($A$5:$A$10,$X156+1)-($I156-DateToday+1))/(INDEX($A$5:$A$10,$X156+1)-INDEX($A$5:$A$10,$X156)))/INDEX(B$5:B$10,$X156+1)^((INDEX($A$5:$A$10,$X156)-($I156-DateToday+1))/(INDEX($A$5:$A$10,$X156+1)-INDEX($A$5:$A$10,$X156))))</f>
        <v>0.000596705875563599</v>
      </c>
      <c r="Z156" s="348" t="n">
        <f aca="false">IF($X156="",Z155^2/Z154,INDEX(C$5:C$10,$X156)^((INDEX($A$5:$A$10,$X156+1)-($I156-DateToday+1))/(INDEX($A$5:$A$10,$X156+1)-INDEX($A$5:$A$10,$X156)))/INDEX(C$5:C$10,$X156+1)^((INDEX($A$5:$A$10,$X156)-($I156-DateToday+1))/(INDEX($A$5:$A$10,$X156+1)-INDEX($A$5:$A$10,$X156))))</f>
        <v>0.000164210360362635</v>
      </c>
      <c r="AA156" s="348" t="n">
        <f aca="false">IF($X156="",AA155^2/AA154,INDEX(D$5:D$10,$X156)^((INDEX($A$5:$A$10,$X156+1)-($I156-DateToday+1))/(INDEX($A$5:$A$10,$X156+1)-INDEX($A$5:$A$10,$X156)))/INDEX(D$5:D$10,$X156+1)^((INDEX($A$5:$A$10,$X156)-($I156-DateToday+1))/(INDEX($A$5:$A$10,$X156+1)-INDEX($A$5:$A$10,$X156))))</f>
        <v>5.22985259173576E-005</v>
      </c>
      <c r="AB156" s="348" t="n">
        <f aca="false">IF($X156="",AB155^2/AB154,INDEX(E$5:E$10,$X156)^((INDEX($A$5:$A$10,$X156+1)-($I156-DateToday+1))/(INDEX($A$5:$A$10,$X156+1)-INDEX($A$5:$A$10,$X156)))/INDEX(E$5:E$10,$X156+1)^((INDEX($A$5:$A$10,$X156)-($I156-DateToday+1))/(INDEX($A$5:$A$10,$X156+1)-INDEX($A$5:$A$10,$X156))))</f>
        <v>0.000117818119186632</v>
      </c>
      <c r="AC156" s="348" t="n">
        <f aca="false">IF($X156="",AC155^2/AC154,INDEX(F$5:F$10,$X156)^((INDEX($A$5:$A$10,$X156+1)-($I156-DateToday+1))/(INDEX($A$5:$A$10,$X156+1)-INDEX($A$5:$A$10,$X156)))/INDEX(F$5:F$10,$X156+1)^((INDEX($A$5:$A$10,$X156)-($I156-DateToday+1))/(INDEX($A$5:$A$10,$X156+1)-INDEX($A$5:$A$10,$X156))))</f>
        <v>0.000369933099824941</v>
      </c>
      <c r="AD156" s="348" t="n">
        <f aca="false">IF($X156="",AD155^2/AD154,INDEX(G$5:G$10,$X156)^((INDEX($A$5:$A$10,$X156+1)-($I156-DateToday+1))/(INDEX($A$5:$A$10,$X156+1)-INDEX($A$5:$A$10,$X156)))/INDEX(G$5:G$10,$X156+1)^((INDEX($A$5:$A$10,$X156)-($I156-DateToday+1))/(INDEX($A$5:$A$10,$X156+1)-INDEX($A$5:$A$10,$X156))))</f>
        <v>0.00134425899646955</v>
      </c>
      <c r="AE156" s="321" t="n">
        <v>0.073659418783113</v>
      </c>
      <c r="AF156" s="316" t="n">
        <f aca="false">(1+AE156/2)^(-2*(I157-DateToday)/365.25)</f>
        <v>0.402121790809198</v>
      </c>
      <c r="AG156" s="316" t="n">
        <f aca="false">AG155*(1+IF(AND(M156=1,L156&gt;YearStart),Escalation,0))</f>
        <v>1</v>
      </c>
      <c r="AH156" s="322" t="n">
        <f aca="false">IF(OR(DateStart&gt;=I157,DateEnd&lt;I156),0,Volume*AG156)</f>
        <v>0</v>
      </c>
      <c r="AI156" s="322" t="n">
        <f aca="false">AH156*AF156</f>
        <v>0</v>
      </c>
      <c r="AJ156" s="322" t="n">
        <f aca="false">IF(OR(DateStart2&gt;=I157,DateEnd2&lt;I156),0,VolumeSwaption*AG156)</f>
        <v>0</v>
      </c>
      <c r="AK156" s="322" t="n">
        <f aca="false">AJ156*AF156</f>
        <v>0</v>
      </c>
      <c r="AL156" s="316" t="str">
        <f aca="true">IF(AH156,OFFSET(BY156,0,HorizontalPriceOffset)+PriceSpreadAsian,"")</f>
        <v/>
      </c>
      <c r="AM156" s="316" t="str">
        <f aca="false">IF(AH156,Strike1/AL156-1,"")</f>
        <v/>
      </c>
      <c r="AN156" s="316" t="str">
        <f aca="false">IF(AH156,Strike2/AL156-1,"")</f>
        <v/>
      </c>
      <c r="AO156" s="323" t="str">
        <f aca="false">IF(AH156,IF(VolOverrideAsian,VolOverrideAsian,IF(ProductGroup=1,IF(Product&lt;3,DA157,DE157),W157)+VolSpreadAsian),"")</f>
        <v/>
      </c>
      <c r="AP156" s="323" t="str">
        <f aca="false">IF($AH156,$AO156+IF(SkewFlag=1,IF(AM156&gt;0,$AA156*MIN(AM156/10%,1)+($Z156-$AA156)*MAX(0,MIN(AM156/10%-1,1))+($Y156-$Z156)*MAX(0,AM156/10%-2),$AB156*MIN(-AM156/10%,1)+($AC156-$AB156)*MAX(0,MIN(-AM156/10%-1,1))+($AD156-$AC156)*MAX(0,-AM156/10%-2)),0),"")</f>
        <v/>
      </c>
      <c r="AQ156" s="323" t="str">
        <f aca="false">IF($AH156,$AO156+IF(SkewFlag=1,IF(AN156&gt;0,$AA156*MIN(AN156/10%,1)+($Z156-$AA156)*MAX(0,MIN(AN156/10%-1,1))+($Y156-$Z156)*MAX(0,AN156/10%-2),$AB156*MIN(-AN156/10%,1)+($AC156-$AB156)*MAX(0,MIN(-AN156/10%-1,1))+($AD156-$AC156)*MAX(0,-AN156/10%-2)),0),"")</f>
        <v/>
      </c>
      <c r="AR156" s="324" t="n">
        <f aca="false">IF(AH156,xASN(AL156,Strike1,AE156,AP156,0,N156,0,P156,Q156,IF(OptControl=4,0,1),0),0)</f>
        <v>0</v>
      </c>
      <c r="AS156" s="324" t="n">
        <f aca="false">IF(AH156,xASN(AL156,Strike1,AE156,AP156,0,N156,0,P156,Q156,IF(OptControl=4,0,1),1),0)</f>
        <v>0</v>
      </c>
      <c r="AT156" s="324" t="n">
        <f aca="false">IF(AH156,xASN(AL156,Strike1,AE156,AP156,0,N156,0,P156,Q156,IF(OptControl=4,0,1),2),0)</f>
        <v>0</v>
      </c>
      <c r="AU156" s="324" t="n">
        <f aca="false">IF(AH156,xASN(AL156,Strike1,AE156,AP156,0,N156,0,P156,Q156,IF(OptControl=4,0,1),3)/100,0)</f>
        <v>0</v>
      </c>
      <c r="AV156" s="324" t="n">
        <f aca="false">IF(AH156,xASN(AL156,Strike1,AE156,AP156,0,N156,0,P156-DaysForThetaCalculation/365.25,Q156-DaysForThetaCalculation/365.25,IF(OptControl=4,0,1),0)-xASN(AL156,Strike1,AE156,AP156,0,N156,0,P156,Q156,IF(OptControl=4,0,1),0),0)</f>
        <v>0</v>
      </c>
      <c r="AW156" s="324" t="n">
        <f aca="false">IF(AH156,xASN(AL156,Strike2,AE156,AQ156,0,N156,0,P156,Q156,IF(OptControl=3,1,0),0),0)</f>
        <v>0</v>
      </c>
      <c r="AX156" s="324" t="n">
        <f aca="false">IF(AH156,xASN(AL156,Strike2,AE156,AQ156,0,N156,0,P156,Q156,IF(OptControl=3,1,0),1),0)</f>
        <v>0</v>
      </c>
      <c r="AY156" s="324" t="n">
        <f aca="false">IF(AH156,xASN(AL156,Strike2,AE156,AQ156,0,N156,0,P156,Q156,IF(OptControl=3,1,0),2),0)</f>
        <v>0</v>
      </c>
      <c r="AZ156" s="324" t="n">
        <f aca="false">IF(AH156,xASN(AL156,Strike2,AE156,AQ156,0,N156,0,P156,Q156,IF(OptControl=3,1,0),3)/100,0)</f>
        <v>0</v>
      </c>
      <c r="BA156" s="324" t="n">
        <f aca="false">IF(AH156,xASN(AL156,Strike2,AE156,AQ156,0,N156,0,P156-DaysForThetaCalculation/365.25,Q156-DaysForThetaCalculation/365.25,IF(OptControl=3,1,0),0)-xASN(AL156,Strike2,AE156,AQ156,0,N156,0,P156,Q156,IF(OptControl=3,1,0),0),0)</f>
        <v>0</v>
      </c>
      <c r="BB156" s="325" t="str">
        <f aca="false">IF(AH156,IF(ProductGroup=1,IF(Product=1,BX156+PriceSpreadEuro,IF(Product=3,CK156+PriceSpreadEuro,"N/A")),"N/A"),"")</f>
        <v/>
      </c>
      <c r="BC156" s="316" t="str">
        <f aca="false">IF(AH156,Strike1/BB156-1,"")</f>
        <v/>
      </c>
      <c r="BD156" s="316" t="str">
        <f aca="false">IF(AH156,Strike2/BB156-1,"")</f>
        <v/>
      </c>
      <c r="BE156" s="326" t="str">
        <f aca="false">IF(AH156,IF(VolOverrideEuro,VolOverrideEuro,IF(ProductGroup=1,IF(Product&lt;3,DA156,DE156)+VolSpreadEuro,"N/A")),"")</f>
        <v/>
      </c>
      <c r="BF156" s="323" t="str">
        <f aca="false">IF($AH156,$BE156+IF(SkewFlag=1,IF(BC156&gt;0,$AA156*MIN(BC156/10%,1)+($Z156-$AA156)*MAX(0,MIN(BC156/10%-1,1))+($Y156-$Z156)*MAX(0,BC156/10%-2),$AB156*MIN(-BC156/10%,1)+($AC156-$AB156)*MAX(0,MIN(-BC156/10%-1,1))+($AD156-$AC156)*MAX(0,-BC156/10%-2)),0),"")</f>
        <v/>
      </c>
      <c r="BG156" s="323" t="str">
        <f aca="false">IF($AH156,$BE156+IF(SkewFlag=1,IF(BD156&gt;0,$AA156*MIN(BD156/10%,1)+($Z156-$AA156)*MAX(0,MIN(BD156/10%-1,1))+($Y156-$Z156)*MAX(0,BD156/10%-2),$AB156*MIN(-BD156/10%,1)+($AC156-$AB156)*MAX(0,MIN(-BD156/10%-1,1))+($AD156-$AC156)*MAX(0,-BD156/10%-2)),0),"")</f>
        <v/>
      </c>
      <c r="BH156" s="324" t="n">
        <f aca="false">IF(AH156,xEURO(BB156,Strike1,AE156,AE156,BF156,O156,IF(OptControl=4,0,1),0),0)</f>
        <v>0</v>
      </c>
      <c r="BI156" s="324" t="n">
        <f aca="false">IF(AH156,xEURO(BB156,Strike1,AE156,AE156,BF156,O156,IF(OptControl=4,0,1),1),0)</f>
        <v>0</v>
      </c>
      <c r="BJ156" s="324" t="n">
        <f aca="false">IF(AH156,xEURO(BB156,Strike1,AE156,AE156,BF156,O156,IF(OptControl=4,0,1),2),0)</f>
        <v>0</v>
      </c>
      <c r="BK156" s="324" t="n">
        <f aca="false">IF(AH156,xEURO(BB156,Strike1,AE156,AE156,BF156,O156,IF(OptControl=4,0,1),3)/100,0)</f>
        <v>0</v>
      </c>
      <c r="BL156" s="324" t="n">
        <f aca="false">IF(AH156,xEURO(BB156,Strike1,AE156,AE156,BF156,O156-DaysForThetaCalculation,IF(OptControl=4,0,1),0)-xEURO(BB156,Strike1,AE156,AE156,BF156,O156,IF(OptControl=4,0,1),0),0)</f>
        <v>0</v>
      </c>
      <c r="BM156" s="324" t="n">
        <f aca="false">IF(AH156,xEURO(BB156,Strike2,AE156,AE156,BG156,O156,IF(OptControl=3,1,0),0),0)</f>
        <v>0</v>
      </c>
      <c r="BN156" s="324" t="n">
        <f aca="false">IF(AH156,xEURO(BB156,Strike2,AE156,AE156,BG156,O156,IF(OptControl=3,1,0),1),0)</f>
        <v>0</v>
      </c>
      <c r="BO156" s="324" t="n">
        <f aca="false">IF(AH156,xEURO(BB156,Strike2,AE156,AE156,BG156,O156,IF(OptControl=3,1,0),2),0)</f>
        <v>0</v>
      </c>
      <c r="BP156" s="324" t="n">
        <f aca="false">IF(AH156,xEURO(BB156,Strike2,AE156,AE156,BG156,O156,IF(OptControl=3,1,0),3)/100,0)</f>
        <v>0</v>
      </c>
      <c r="BQ156" s="327" t="n">
        <f aca="false">IF(AH156,xEURO(BB156,Strike2,AE156,AE156,BG156,O156-DaysForThetaCalculation,IF(OptControl=3,1,0),0)-xEURO(BB156,Strike2,AE156,AE156,BG156,O156,IF(OptControl=3,1,0),0),0)</f>
        <v>0</v>
      </c>
      <c r="BR156" s="343"/>
      <c r="BS156" s="314"/>
      <c r="BT156" s="329" t="n">
        <f aca="false">BS156*100/42</f>
        <v>0</v>
      </c>
      <c r="BU156" s="329" t="n">
        <f aca="false">BS157-$U156</f>
        <v>-30.4295454545454</v>
      </c>
      <c r="BV156" s="224"/>
      <c r="BW156" s="329" t="n">
        <f aca="false">BW144+VLOOKUP(1900+$L156,ProductSpreadTable,2)</f>
        <v>12.8888181818182</v>
      </c>
      <c r="BX156" s="329" t="n">
        <f aca="false">($V155+BW155)*100/42</f>
        <v>103.104658385132</v>
      </c>
      <c r="BY156" s="332" t="n">
        <f aca="false">BX157</f>
        <v>103.138961038961</v>
      </c>
      <c r="BZ156" s="314"/>
      <c r="CA156" s="329" t="n">
        <f aca="false">BZ156*100/42</f>
        <v>0</v>
      </c>
      <c r="CB156" s="329" t="n">
        <f aca="false">BZ156-$U156</f>
        <v>-30.4295454545454</v>
      </c>
      <c r="CC156" s="329" t="n">
        <f aca="false">CC144+VLOOKUP(1900+$L156,ProductSpreadTable,3)</f>
        <v>10.5788181818182</v>
      </c>
      <c r="CD156" s="329" t="n">
        <f aca="false">($V156+CC156)*100/42</f>
        <v>97.638961038961</v>
      </c>
      <c r="CE156" s="333" t="n">
        <f aca="false">CD156-BY156</f>
        <v>-5.49999999999997</v>
      </c>
      <c r="CF156" s="314"/>
      <c r="CG156" s="329" t="n">
        <f aca="false">CF156*100/42</f>
        <v>0</v>
      </c>
      <c r="CH156" s="329" t="n">
        <f aca="false">CF157-$U156</f>
        <v>-30.4295454545454</v>
      </c>
      <c r="CI156" s="224"/>
      <c r="CJ156" s="329" t="n">
        <f aca="false">CJ144+VLOOKUP(1900+$L156,ProductSpreadTable,4)</f>
        <v>11.7468181818182</v>
      </c>
      <c r="CK156" s="329" t="n">
        <f aca="false">($V155+CJ155)*100/42</f>
        <v>98.0856107660843</v>
      </c>
      <c r="CL156" s="329" t="n">
        <f aca="false">CK157</f>
        <v>100.419913419913</v>
      </c>
      <c r="CM156" s="314"/>
      <c r="CN156" s="329" t="n">
        <f aca="false">CM156*100/42</f>
        <v>0</v>
      </c>
      <c r="CO156" s="329" t="n">
        <f aca="false">CM156-$U156</f>
        <v>-30.4295454545454</v>
      </c>
      <c r="CP156" s="329" t="n">
        <f aca="false">CP144+VLOOKUP(1900+$L156,ProductSpreadTable,5)</f>
        <v>10.5498181818182</v>
      </c>
      <c r="CQ156" s="329" t="n">
        <f aca="false">($V156+CP156)*100/42</f>
        <v>97.5699134199133</v>
      </c>
      <c r="CR156" s="333" t="n">
        <f aca="false">CQ156-CL156</f>
        <v>-2.84999999999999</v>
      </c>
      <c r="CS156" s="314"/>
      <c r="CT156" s="329" t="n">
        <f aca="false">CS156*100/42</f>
        <v>0</v>
      </c>
      <c r="CU156" s="329" t="n">
        <f aca="false">CT156-CG157</f>
        <v>0</v>
      </c>
      <c r="CV156" s="329" t="n">
        <f aca="false">CV144+VLOOKUP(1900+$L156,ProductSpreadTable,6)</f>
        <v>2.40000000000001</v>
      </c>
      <c r="CW156" s="333" t="n">
        <f aca="false">CL156+CV156</f>
        <v>102.819913419913</v>
      </c>
      <c r="CX156" s="318"/>
      <c r="CY156" s="326" t="n">
        <f aca="false">CX156-$W156</f>
        <v>-0.157299999999999</v>
      </c>
      <c r="CZ156" s="326" t="n">
        <f aca="false">VLOOKUP(1900+$L156,ProductSpreadTable,7)</f>
        <v>-0.03</v>
      </c>
      <c r="DA156" s="365" t="n">
        <f aca="false">$W156+CZ156</f>
        <v>0.127299999999999</v>
      </c>
      <c r="DB156" s="318"/>
      <c r="DC156" s="326" t="n">
        <f aca="false">DB156-$W156</f>
        <v>-0.157299999999999</v>
      </c>
      <c r="DD156" s="326" t="n">
        <f aca="false">VLOOKUP(1900+$L156,ProductSpreadTable,8)</f>
        <v>0.03</v>
      </c>
      <c r="DE156" s="365" t="n">
        <f aca="false">$W156+DD156</f>
        <v>0.187299999999999</v>
      </c>
      <c r="DG156" s="336"/>
      <c r="DH156" s="314"/>
      <c r="DI156" s="325" t="n">
        <f aca="false">DH156-$U156</f>
        <v>-30.4295454545454</v>
      </c>
      <c r="DJ156" s="325" t="n">
        <f aca="false">VLOOKUP(1900+$L156,ResidSpreadTable,2)</f>
        <v>-2</v>
      </c>
      <c r="DK156" s="337" t="n">
        <f aca="false">$V156+DJ156</f>
        <v>28.4295454545454</v>
      </c>
      <c r="DL156" s="314"/>
      <c r="DM156" s="325" t="n">
        <f aca="false">DL156-$U156</f>
        <v>-30.4295454545454</v>
      </c>
      <c r="DN156" s="325" t="n">
        <f aca="false">VLOOKUP(1900+$L156,ResidSpreadTable,3)</f>
        <v>-3</v>
      </c>
      <c r="DO156" s="337" t="n">
        <f aca="false">$V156+DN156</f>
        <v>27.4295454545454</v>
      </c>
      <c r="DP156" s="314"/>
      <c r="DQ156" s="325" t="n">
        <f aca="false">DP156-$U156</f>
        <v>-30.4295454545454</v>
      </c>
      <c r="DR156" s="325" t="n">
        <f aca="false">VLOOKUP(1900+$L156,ResidSpreadTable,4)</f>
        <v>-6</v>
      </c>
      <c r="DS156" s="337" t="n">
        <f aca="false">$V156+DR156</f>
        <v>24.4295454545454</v>
      </c>
      <c r="DT156" s="314"/>
      <c r="DU156" s="325" t="n">
        <f aca="false">DT156-$U156</f>
        <v>-30.4295454545454</v>
      </c>
      <c r="DV156" s="325" t="n">
        <f aca="false">VLOOKUP(1900+$L156,ResidSpreadTable,5)</f>
        <v>-5</v>
      </c>
      <c r="DW156" s="337" t="n">
        <f aca="false">$V156+DV156</f>
        <v>25.4295454545454</v>
      </c>
    </row>
    <row r="157" customFormat="false" ht="12.75" hidden="false" customHeight="false" outlineLevel="0" collapsed="false">
      <c r="B157" s="371" t="n">
        <v>40330</v>
      </c>
      <c r="C157" s="391" t="n">
        <v>40320</v>
      </c>
      <c r="I157" s="338" t="n">
        <f aca="false">EOMONTH(I156,0)+1</f>
        <v>50526</v>
      </c>
      <c r="J157" s="389" t="n">
        <f aca="false">VLOOKUP(I157,$B$12:$C$332,2)</f>
        <v>45644</v>
      </c>
      <c r="K157" s="339" t="n">
        <f aca="false">NETWORKDAYS(I157,J158)/N157</f>
        <v>-166.095238095238</v>
      </c>
      <c r="L157" s="309" t="n">
        <f aca="false">YEAR(I157)-1900</f>
        <v>138</v>
      </c>
      <c r="M157" s="310" t="n">
        <f aca="false">MONTH(I157)</f>
        <v>5</v>
      </c>
      <c r="N157" s="340" t="n">
        <f aca="false">NETWORKDAYS(I157,I158-1)</f>
        <v>21</v>
      </c>
      <c r="O157" s="341" t="n">
        <f aca="false">I157-DateToday-IF(EuroExpDateToggle=1,3+IF(WEEKDAY(I157-1)=7,1,IF(WEEKDAY(I157-1)&lt;5,2,0)),1+IF(WEEKDAY(I157-1)=7,1,IF(WEEKDAY(I157-1)&lt;3,2,0)))</f>
        <v>4597</v>
      </c>
      <c r="P157" s="342" t="n">
        <f aca="false">(I157-DateToday+1)/365.25</f>
        <v>12.5968514715948</v>
      </c>
      <c r="Q157" s="342" t="n">
        <f aca="false">(I158-DateToday)/365.25</f>
        <v>12.6789869952088</v>
      </c>
      <c r="R157" s="314" t="n">
        <v>22.5000000000001</v>
      </c>
      <c r="S157" s="347" t="n">
        <v>0</v>
      </c>
      <c r="T157" s="316" t="n">
        <f aca="false">R157+S157/100</f>
        <v>22.5000000000001</v>
      </c>
      <c r="U157" s="325" t="n">
        <f aca="false">R158*K157+R159*(1-K157)</f>
        <v>30.9047619047619</v>
      </c>
      <c r="V157" s="337" t="n">
        <f aca="false">T158*K157+T159*(1-K157)</f>
        <v>30.9047619047619</v>
      </c>
      <c r="W157" s="318" t="n">
        <v>0.156899999999999</v>
      </c>
      <c r="X157" s="319" t="str">
        <f aca="false">IF($I157-DateToday+1&gt;=$A$10,"",IF($I157-DateToday+1&lt;$A$5,1,MATCH($I157-DateToday+1,$A$5:$A$10)))</f>
        <v/>
      </c>
      <c r="Y157" s="348" t="n">
        <f aca="false">IF($X157="",Y156^2/Y155,INDEX(B$5:B$10,$X157)^((INDEX($A$5:$A$10,$X157+1)-($I157-DateToday+1))/(INDEX($A$5:$A$10,$X157+1)-INDEX($A$5:$A$10,$X157)))/INDEX(B$5:B$10,$X157+1)^((INDEX($A$5:$A$10,$X157)-($I157-DateToday+1))/(INDEX($A$5:$A$10,$X157+1)-INDEX($A$5:$A$10,$X157))))</f>
        <v>0.000583931310314024</v>
      </c>
      <c r="Z157" s="348" t="n">
        <f aca="false">IF($X157="",Z156^2/Z155,INDEX(C$5:C$10,$X157)^((INDEX($A$5:$A$10,$X157+1)-($I157-DateToday+1))/(INDEX($A$5:$A$10,$X157+1)-INDEX($A$5:$A$10,$X157)))/INDEX(C$5:C$10,$X157+1)^((INDEX($A$5:$A$10,$X157)-($I157-DateToday+1))/(INDEX($A$5:$A$10,$X157+1)-INDEX($A$5:$A$10,$X157))))</f>
        <v>0.000159834497638317</v>
      </c>
      <c r="AA157" s="348" t="n">
        <f aca="false">IF($X157="",AA156^2/AA155,INDEX(D$5:D$10,$X157)^((INDEX($A$5:$A$10,$X157+1)-($I157-DateToday+1))/(INDEX($A$5:$A$10,$X157+1)-INDEX($A$5:$A$10,$X157)))/INDEX(D$5:D$10,$X157+1)^((INDEX($A$5:$A$10,$X157)-($I157-DateToday+1))/(INDEX($A$5:$A$10,$X157+1)-INDEX($A$5:$A$10,$X157))))</f>
        <v>5.07683733119597E-005</v>
      </c>
      <c r="AB157" s="348" t="n">
        <f aca="false">IF($X157="",AB156^2/AB155,INDEX(E$5:E$10,$X157)^((INDEX($A$5:$A$10,$X157+1)-($I157-DateToday+1))/(INDEX($A$5:$A$10,$X157+1)-INDEX($A$5:$A$10,$X157)))/INDEX(E$5:E$10,$X157+1)^((INDEX($A$5:$A$10,$X157)-($I157-DateToday+1))/(INDEX($A$5:$A$10,$X157+1)-INDEX($A$5:$A$10,$X157))))</f>
        <v>0.000114370991397192</v>
      </c>
      <c r="AC157" s="348" t="n">
        <f aca="false">IF($X157="",AC156^2/AC155,INDEX(F$5:F$10,$X157)^((INDEX($A$5:$A$10,$X157+1)-($I157-DateToday+1))/(INDEX($A$5:$A$10,$X157+1)-INDEX($A$5:$A$10,$X157)))/INDEX(F$5:F$10,$X157+1)^((INDEX($A$5:$A$10,$X157)-($I157-DateToday+1))/(INDEX($A$5:$A$10,$X157+1)-INDEX($A$5:$A$10,$X157))))</f>
        <v>0.000360075156279596</v>
      </c>
      <c r="AD157" s="348" t="n">
        <f aca="false">IF($X157="",AD156^2/AD155,INDEX(G$5:G$10,$X157)^((INDEX($A$5:$A$10,$X157+1)-($I157-DateToday+1))/(INDEX($A$5:$A$10,$X157+1)-INDEX($A$5:$A$10,$X157)))/INDEX(G$5:G$10,$X157+1)^((INDEX($A$5:$A$10,$X157)-($I157-DateToday+1))/(INDEX($A$5:$A$10,$X157+1)-INDEX($A$5:$A$10,$X157))))</f>
        <v>0.00131548045587531</v>
      </c>
      <c r="AE157" s="321" t="n">
        <v>0.073655457224488</v>
      </c>
      <c r="AF157" s="316" t="n">
        <f aca="false">(1+AE157/2)^(-2*(I158-DateToday)/365.25)</f>
        <v>0.399679949137537</v>
      </c>
      <c r="AG157" s="316" t="n">
        <f aca="false">AG156*(1+IF(AND(M157=1,L157&gt;YearStart),Escalation,0))</f>
        <v>1</v>
      </c>
      <c r="AH157" s="322" t="n">
        <f aca="false">IF(OR(DateStart&gt;=I158,DateEnd&lt;I157),0,Volume*AG157)</f>
        <v>0</v>
      </c>
      <c r="AI157" s="322" t="n">
        <f aca="false">AH157*AF157</f>
        <v>0</v>
      </c>
      <c r="AJ157" s="322" t="n">
        <f aca="false">IF(OR(DateStart2&gt;=I158,DateEnd2&lt;I157),0,VolumeSwaption*AG157)</f>
        <v>0</v>
      </c>
      <c r="AK157" s="322" t="n">
        <f aca="false">AJ157*AF157</f>
        <v>0</v>
      </c>
      <c r="AL157" s="316" t="str">
        <f aca="true">IF(AH157,OFFSET(BY157,0,HorizontalPriceOffset)+PriceSpreadAsian,"")</f>
        <v/>
      </c>
      <c r="AM157" s="316" t="str">
        <f aca="false">IF(AH157,Strike1/AL157-1,"")</f>
        <v/>
      </c>
      <c r="AN157" s="316" t="str">
        <f aca="false">IF(AH157,Strike2/AL157-1,"")</f>
        <v/>
      </c>
      <c r="AO157" s="323" t="str">
        <f aca="false">IF(AH157,IF(VolOverrideAsian,VolOverrideAsian,IF(ProductGroup=1,IF(Product&lt;3,DA158,DE158),W158)+VolSpreadAsian),"")</f>
        <v/>
      </c>
      <c r="AP157" s="323" t="str">
        <f aca="false">IF($AH157,$AO157+IF(SkewFlag=1,IF(AM157&gt;0,$AA157*MIN(AM157/10%,1)+($Z157-$AA157)*MAX(0,MIN(AM157/10%-1,1))+($Y157-$Z157)*MAX(0,AM157/10%-2),$AB157*MIN(-AM157/10%,1)+($AC157-$AB157)*MAX(0,MIN(-AM157/10%-1,1))+($AD157-$AC157)*MAX(0,-AM157/10%-2)),0),"")</f>
        <v/>
      </c>
      <c r="AQ157" s="323" t="str">
        <f aca="false">IF($AH157,$AO157+IF(SkewFlag=1,IF(AN157&gt;0,$AA157*MIN(AN157/10%,1)+($Z157-$AA157)*MAX(0,MIN(AN157/10%-1,1))+($Y157-$Z157)*MAX(0,AN157/10%-2),$AB157*MIN(-AN157/10%,1)+($AC157-$AB157)*MAX(0,MIN(-AN157/10%-1,1))+($AD157-$AC157)*MAX(0,-AN157/10%-2)),0),"")</f>
        <v/>
      </c>
      <c r="AR157" s="324" t="n">
        <f aca="false">IF(AH157,xASN(AL157,Strike1,AE157,AP157,0,N157,0,P157,Q157,IF(OptControl=4,0,1),0),0)</f>
        <v>0</v>
      </c>
      <c r="AS157" s="324" t="n">
        <f aca="false">IF(AH157,xASN(AL157,Strike1,AE157,AP157,0,N157,0,P157,Q157,IF(OptControl=4,0,1),1),0)</f>
        <v>0</v>
      </c>
      <c r="AT157" s="324" t="n">
        <f aca="false">IF(AH157,xASN(AL157,Strike1,AE157,AP157,0,N157,0,P157,Q157,IF(OptControl=4,0,1),2),0)</f>
        <v>0</v>
      </c>
      <c r="AU157" s="324" t="n">
        <f aca="false">IF(AH157,xASN(AL157,Strike1,AE157,AP157,0,N157,0,P157,Q157,IF(OptControl=4,0,1),3)/100,0)</f>
        <v>0</v>
      </c>
      <c r="AV157" s="324" t="n">
        <f aca="false">IF(AH157,xASN(AL157,Strike1,AE157,AP157,0,N157,0,P157-DaysForThetaCalculation/365.25,Q157-DaysForThetaCalculation/365.25,IF(OptControl=4,0,1),0)-xASN(AL157,Strike1,AE157,AP157,0,N157,0,P157,Q157,IF(OptControl=4,0,1),0),0)</f>
        <v>0</v>
      </c>
      <c r="AW157" s="324" t="n">
        <f aca="false">IF(AH157,xASN(AL157,Strike2,AE157,AQ157,0,N157,0,P157,Q157,IF(OptControl=3,1,0),0),0)</f>
        <v>0</v>
      </c>
      <c r="AX157" s="324" t="n">
        <f aca="false">IF(AH157,xASN(AL157,Strike2,AE157,AQ157,0,N157,0,P157,Q157,IF(OptControl=3,1,0),1),0)</f>
        <v>0</v>
      </c>
      <c r="AY157" s="324" t="n">
        <f aca="false">IF(AH157,xASN(AL157,Strike2,AE157,AQ157,0,N157,0,P157,Q157,IF(OptControl=3,1,0),2),0)</f>
        <v>0</v>
      </c>
      <c r="AZ157" s="324" t="n">
        <f aca="false">IF(AH157,xASN(AL157,Strike2,AE157,AQ157,0,N157,0,P157,Q157,IF(OptControl=3,1,0),3)/100,0)</f>
        <v>0</v>
      </c>
      <c r="BA157" s="324" t="n">
        <f aca="false">IF(AH157,xASN(AL157,Strike2,AE157,AQ157,0,N157,0,P157-DaysForThetaCalculation/365.25,Q157-DaysForThetaCalculation/365.25,IF(OptControl=3,1,0),0)-xASN(AL157,Strike2,AE157,AQ157,0,N157,0,P157,Q157,IF(OptControl=3,1,0),0),0)</f>
        <v>0</v>
      </c>
      <c r="BB157" s="325" t="str">
        <f aca="false">IF(AH157,IF(ProductGroup=1,IF(Product=1,BX157+PriceSpreadEuro,IF(Product=3,CK157+PriceSpreadEuro,"N/A")),"N/A"),"")</f>
        <v/>
      </c>
      <c r="BC157" s="316" t="str">
        <f aca="false">IF(AH157,Strike1/BB157-1,"")</f>
        <v/>
      </c>
      <c r="BD157" s="316" t="str">
        <f aca="false">IF(AH157,Strike2/BB157-1,"")</f>
        <v/>
      </c>
      <c r="BE157" s="326" t="str">
        <f aca="false">IF(AH157,IF(VolOverrideEuro,VolOverrideEuro,IF(ProductGroup=1,IF(Product&lt;3,DA157,DE157)+VolSpreadEuro,"N/A")),"")</f>
        <v/>
      </c>
      <c r="BF157" s="323" t="str">
        <f aca="false">IF($AH157,$BE157+IF(SkewFlag=1,IF(BC157&gt;0,$AA157*MIN(BC157/10%,1)+($Z157-$AA157)*MAX(0,MIN(BC157/10%-1,1))+($Y157-$Z157)*MAX(0,BC157/10%-2),$AB157*MIN(-BC157/10%,1)+($AC157-$AB157)*MAX(0,MIN(-BC157/10%-1,1))+($AD157-$AC157)*MAX(0,-BC157/10%-2)),0),"")</f>
        <v/>
      </c>
      <c r="BG157" s="323" t="str">
        <f aca="false">IF($AH157,$BE157+IF(SkewFlag=1,IF(BD157&gt;0,$AA157*MIN(BD157/10%,1)+($Z157-$AA157)*MAX(0,MIN(BD157/10%-1,1))+($Y157-$Z157)*MAX(0,BD157/10%-2),$AB157*MIN(-BD157/10%,1)+($AC157-$AB157)*MAX(0,MIN(-BD157/10%-1,1))+($AD157-$AC157)*MAX(0,-BD157/10%-2)),0),"")</f>
        <v/>
      </c>
      <c r="BH157" s="324" t="n">
        <f aca="false">IF(AH157,xEURO(BB157,Strike1,AE157,AE157,BF157,O157,IF(OptControl=4,0,1),0),0)</f>
        <v>0</v>
      </c>
      <c r="BI157" s="324" t="n">
        <f aca="false">IF(AH157,xEURO(BB157,Strike1,AE157,AE157,BF157,O157,IF(OptControl=4,0,1),1),0)</f>
        <v>0</v>
      </c>
      <c r="BJ157" s="324" t="n">
        <f aca="false">IF(AH157,xEURO(BB157,Strike1,AE157,AE157,BF157,O157,IF(OptControl=4,0,1),2),0)</f>
        <v>0</v>
      </c>
      <c r="BK157" s="324" t="n">
        <f aca="false">IF(AH157,xEURO(BB157,Strike1,AE157,AE157,BF157,O157,IF(OptControl=4,0,1),3)/100,0)</f>
        <v>0</v>
      </c>
      <c r="BL157" s="324" t="n">
        <f aca="false">IF(AH157,xEURO(BB157,Strike1,AE157,AE157,BF157,O157-DaysForThetaCalculation,IF(OptControl=4,0,1),0)-xEURO(BB157,Strike1,AE157,AE157,BF157,O157,IF(OptControl=4,0,1),0),0)</f>
        <v>0</v>
      </c>
      <c r="BM157" s="324" t="n">
        <f aca="false">IF(AH157,xEURO(BB157,Strike2,AE157,AE157,BG157,O157,IF(OptControl=3,1,0),0),0)</f>
        <v>0</v>
      </c>
      <c r="BN157" s="324" t="n">
        <f aca="false">IF(AH157,xEURO(BB157,Strike2,AE157,AE157,BG157,O157,IF(OptControl=3,1,0),1),0)</f>
        <v>0</v>
      </c>
      <c r="BO157" s="324" t="n">
        <f aca="false">IF(AH157,xEURO(BB157,Strike2,AE157,AE157,BG157,O157,IF(OptControl=3,1,0),2),0)</f>
        <v>0</v>
      </c>
      <c r="BP157" s="324" t="n">
        <f aca="false">IF(AH157,xEURO(BB157,Strike2,AE157,AE157,BG157,O157,IF(OptControl=3,1,0),3)/100,0)</f>
        <v>0</v>
      </c>
      <c r="BQ157" s="327" t="n">
        <f aca="false">IF(AH157,xEURO(BB157,Strike2,AE157,AE157,BG157,O157-DaysForThetaCalculation,IF(OptControl=3,1,0),0)-xEURO(BB157,Strike2,AE157,AE157,BG157,O157,IF(OptControl=3,1,0),0),0)</f>
        <v>0</v>
      </c>
      <c r="BR157" s="343"/>
      <c r="BS157" s="314"/>
      <c r="BT157" s="329" t="n">
        <f aca="false">BS157*100/42</f>
        <v>0</v>
      </c>
      <c r="BU157" s="329" t="n">
        <f aca="false">BS158-$U157</f>
        <v>-30.9047619047619</v>
      </c>
      <c r="BV157" s="224"/>
      <c r="BW157" s="329" t="n">
        <f aca="false">BW145+VLOOKUP(1900+$L157,ProductSpreadTable,2)</f>
        <v>12.8970952380953</v>
      </c>
      <c r="BX157" s="329" t="n">
        <f aca="false">($V156+BW156)*100/42</f>
        <v>103.138961038961</v>
      </c>
      <c r="BY157" s="332" t="n">
        <f aca="false">BX158</f>
        <v>104.290136054422</v>
      </c>
      <c r="BZ157" s="314"/>
      <c r="CA157" s="329" t="n">
        <f aca="false">BZ157*100/42</f>
        <v>0</v>
      </c>
      <c r="CB157" s="329" t="n">
        <f aca="false">BZ157-$U157</f>
        <v>-30.9047619047619</v>
      </c>
      <c r="CC157" s="329" t="n">
        <f aca="false">CC145+VLOOKUP(1900+$L157,ProductSpreadTable,3)</f>
        <v>10.5870952380953</v>
      </c>
      <c r="CD157" s="329" t="n">
        <f aca="false">($V157+CC157)*100/42</f>
        <v>98.790136054422</v>
      </c>
      <c r="CE157" s="333" t="n">
        <f aca="false">CD157-BY157</f>
        <v>-5.5</v>
      </c>
      <c r="CF157" s="314"/>
      <c r="CG157" s="329" t="n">
        <f aca="false">CF157*100/42</f>
        <v>0</v>
      </c>
      <c r="CH157" s="329" t="n">
        <f aca="false">CF158-$U157</f>
        <v>-30.9047619047619</v>
      </c>
      <c r="CI157" s="224"/>
      <c r="CJ157" s="329" t="n">
        <f aca="false">CJ145+VLOOKUP(1900+$L157,ProductSpreadTable,4)</f>
        <v>12.4690952380953</v>
      </c>
      <c r="CK157" s="329" t="n">
        <f aca="false">($V156+CJ156)*100/42</f>
        <v>100.419913419913</v>
      </c>
      <c r="CL157" s="329" t="n">
        <f aca="false">CK158</f>
        <v>103.271088435374</v>
      </c>
      <c r="CM157" s="314"/>
      <c r="CN157" s="329" t="n">
        <f aca="false">CM157*100/42</f>
        <v>0</v>
      </c>
      <c r="CO157" s="329" t="n">
        <f aca="false">CM157-$U157</f>
        <v>-30.9047619047619</v>
      </c>
      <c r="CP157" s="329" t="n">
        <f aca="false">CP145+VLOOKUP(1900+$L157,ProductSpreadTable,5)</f>
        <v>11.2720952380953</v>
      </c>
      <c r="CQ157" s="329" t="n">
        <f aca="false">($V157+CP157)*100/42</f>
        <v>100.421088435374</v>
      </c>
      <c r="CR157" s="333" t="n">
        <f aca="false">CQ157-CL157</f>
        <v>-2.84999999999999</v>
      </c>
      <c r="CS157" s="314"/>
      <c r="CT157" s="329" t="n">
        <f aca="false">CS157*100/42</f>
        <v>0</v>
      </c>
      <c r="CU157" s="329" t="n">
        <f aca="false">CT157-CG158</f>
        <v>0</v>
      </c>
      <c r="CV157" s="329" t="n">
        <f aca="false">CV145+VLOOKUP(1900+$L157,ProductSpreadTable,6)</f>
        <v>2.40000000000001</v>
      </c>
      <c r="CW157" s="333" t="n">
        <f aca="false">CL157+CV157</f>
        <v>105.671088435374</v>
      </c>
      <c r="CX157" s="318"/>
      <c r="CY157" s="326" t="n">
        <f aca="false">CX157-$W157</f>
        <v>-0.156899999999999</v>
      </c>
      <c r="CZ157" s="326" t="n">
        <f aca="false">VLOOKUP(1900+$L157,ProductSpreadTable,7)</f>
        <v>-0.03</v>
      </c>
      <c r="DA157" s="365" t="n">
        <f aca="false">$W157+CZ157</f>
        <v>0.126899999999999</v>
      </c>
      <c r="DB157" s="318"/>
      <c r="DC157" s="326" t="n">
        <f aca="false">DB157-$W157</f>
        <v>-0.156899999999999</v>
      </c>
      <c r="DD157" s="326" t="n">
        <f aca="false">VLOOKUP(1900+$L157,ProductSpreadTable,8)</f>
        <v>0.03</v>
      </c>
      <c r="DE157" s="365" t="n">
        <f aca="false">$W157+DD157</f>
        <v>0.186899999999999</v>
      </c>
      <c r="DG157" s="336"/>
      <c r="DH157" s="314"/>
      <c r="DI157" s="325" t="n">
        <f aca="false">DH157-$U157</f>
        <v>-30.9047619047619</v>
      </c>
      <c r="DJ157" s="325" t="n">
        <f aca="false">VLOOKUP(1900+$L157,ResidSpreadTable,2)</f>
        <v>-2</v>
      </c>
      <c r="DK157" s="337" t="n">
        <f aca="false">$V157+DJ157</f>
        <v>28.9047619047619</v>
      </c>
      <c r="DL157" s="314"/>
      <c r="DM157" s="325" t="n">
        <f aca="false">DL157-$U157</f>
        <v>-30.9047619047619</v>
      </c>
      <c r="DN157" s="325" t="n">
        <f aca="false">VLOOKUP(1900+$L157,ResidSpreadTable,3)</f>
        <v>-3</v>
      </c>
      <c r="DO157" s="337" t="n">
        <f aca="false">$V157+DN157</f>
        <v>27.9047619047619</v>
      </c>
      <c r="DP157" s="314"/>
      <c r="DQ157" s="325" t="n">
        <f aca="false">DP157-$U157</f>
        <v>-30.9047619047619</v>
      </c>
      <c r="DR157" s="325" t="n">
        <f aca="false">VLOOKUP(1900+$L157,ResidSpreadTable,4)</f>
        <v>-6</v>
      </c>
      <c r="DS157" s="337" t="n">
        <f aca="false">$V157+DR157</f>
        <v>24.9047619047619</v>
      </c>
      <c r="DT157" s="314"/>
      <c r="DU157" s="325" t="n">
        <f aca="false">DT157-$U157</f>
        <v>-30.9047619047619</v>
      </c>
      <c r="DV157" s="325" t="n">
        <f aca="false">VLOOKUP(1900+$L157,ResidSpreadTable,5)</f>
        <v>-5</v>
      </c>
      <c r="DW157" s="337" t="n">
        <f aca="false">$V157+DV157</f>
        <v>25.9047619047619</v>
      </c>
    </row>
    <row r="158" customFormat="false" ht="12.75" hidden="false" customHeight="false" outlineLevel="0" collapsed="false">
      <c r="B158" s="371" t="n">
        <v>40360</v>
      </c>
      <c r="C158" s="391" t="n">
        <v>40349</v>
      </c>
      <c r="I158" s="338" t="n">
        <f aca="false">EOMONTH(I157,0)+1</f>
        <v>50557</v>
      </c>
      <c r="J158" s="389" t="n">
        <f aca="false">VLOOKUP(I158,$B$12:$C$332,2)</f>
        <v>45644</v>
      </c>
      <c r="K158" s="339" t="n">
        <f aca="false">NETWORKDAYS(I158,J159)/N158</f>
        <v>-159.545454545455</v>
      </c>
      <c r="L158" s="309" t="n">
        <f aca="false">YEAR(I158)-1900</f>
        <v>138</v>
      </c>
      <c r="M158" s="310" t="n">
        <f aca="false">MONTH(I158)</f>
        <v>6</v>
      </c>
      <c r="N158" s="340" t="n">
        <f aca="false">NETWORKDAYS(I158,I159-1)</f>
        <v>22</v>
      </c>
      <c r="O158" s="341" t="n">
        <f aca="false">I158-DateToday-IF(EuroExpDateToggle=1,3+IF(WEEKDAY(I158-1)=7,1,IF(WEEKDAY(I158-1)&lt;5,2,0)),1+IF(WEEKDAY(I158-1)=7,1,IF(WEEKDAY(I158-1)&lt;3,2,0)))</f>
        <v>4626</v>
      </c>
      <c r="P158" s="342" t="n">
        <f aca="false">(I158-DateToday+1)/365.25</f>
        <v>12.6817248459959</v>
      </c>
      <c r="Q158" s="342" t="n">
        <f aca="false">(I159-DateToday)/365.25</f>
        <v>12.7611225188227</v>
      </c>
      <c r="R158" s="314" t="n">
        <v>22.5500000000001</v>
      </c>
      <c r="S158" s="347" t="n">
        <v>0</v>
      </c>
      <c r="T158" s="316" t="n">
        <f aca="false">R158+S158/100</f>
        <v>22.5500000000001</v>
      </c>
      <c r="U158" s="325" t="n">
        <f aca="false">R159*K158+R160*(1-K158)</f>
        <v>30.6272727272731</v>
      </c>
      <c r="V158" s="337" t="n">
        <f aca="false">T159*K158+T160*(1-K158)</f>
        <v>30.6272727272731</v>
      </c>
      <c r="W158" s="318" t="n">
        <v>0.156499999999998</v>
      </c>
      <c r="X158" s="319" t="str">
        <f aca="false">IF($I158-DateToday+1&gt;=$A$10,"",IF($I158-DateToday+1&lt;$A$5,1,MATCH($I158-DateToday+1,$A$5:$A$10)))</f>
        <v/>
      </c>
      <c r="Y158" s="348" t="n">
        <f aca="false">IF($X158="",Y157^2/Y156,INDEX(B$5:B$10,$X158)^((INDEX($A$5:$A$10,$X158+1)-($I158-DateToday+1))/(INDEX($A$5:$A$10,$X158+1)-INDEX($A$5:$A$10,$X158)))/INDEX(B$5:B$10,$X158+1)^((INDEX($A$5:$A$10,$X158)-($I158-DateToday+1))/(INDEX($A$5:$A$10,$X158+1)-INDEX($A$5:$A$10,$X158))))</f>
        <v>0.000571430229077258</v>
      </c>
      <c r="Z158" s="348" t="n">
        <f aca="false">IF($X158="",Z157^2/Z156,INDEX(C$5:C$10,$X158)^((INDEX($A$5:$A$10,$X158+1)-($I158-DateToday+1))/(INDEX($A$5:$A$10,$X158+1)-INDEX($A$5:$A$10,$X158)))/INDEX(C$5:C$10,$X158+1)^((INDEX($A$5:$A$10,$X158)-($I158-DateToday+1))/(INDEX($A$5:$A$10,$X158+1)-INDEX($A$5:$A$10,$X158))))</f>
        <v>0.00015557524250526</v>
      </c>
      <c r="AA158" s="348" t="n">
        <f aca="false">IF($X158="",AA157^2/AA156,INDEX(D$5:D$10,$X158)^((INDEX($A$5:$A$10,$X158+1)-($I158-DateToday+1))/(INDEX($A$5:$A$10,$X158+1)-INDEX($A$5:$A$10,$X158)))/INDEX(D$5:D$10,$X158+1)^((INDEX($A$5:$A$10,$X158)-($I158-DateToday+1))/(INDEX($A$5:$A$10,$X158+1)-INDEX($A$5:$A$10,$X158))))</f>
        <v>4.92829899797821E-005</v>
      </c>
      <c r="AB158" s="348" t="n">
        <f aca="false">IF($X158="",AB157^2/AB156,INDEX(E$5:E$10,$X158)^((INDEX($A$5:$A$10,$X158+1)-($I158-DateToday+1))/(INDEX($A$5:$A$10,$X158+1)-INDEX($A$5:$A$10,$X158)))/INDEX(E$5:E$10,$X158+1)^((INDEX($A$5:$A$10,$X158)-($I158-DateToday+1))/(INDEX($A$5:$A$10,$X158+1)-INDEX($A$5:$A$10,$X158))))</f>
        <v>0.000111024719826462</v>
      </c>
      <c r="AC158" s="348" t="n">
        <f aca="false">IF($X158="",AC157^2/AC156,INDEX(F$5:F$10,$X158)^((INDEX($A$5:$A$10,$X158+1)-($I158-DateToday+1))/(INDEX($A$5:$A$10,$X158+1)-INDEX($A$5:$A$10,$X158)))/INDEX(F$5:F$10,$X158+1)^((INDEX($A$5:$A$10,$X158)-($I158-DateToday+1))/(INDEX($A$5:$A$10,$X158+1)-INDEX($A$5:$A$10,$X158))))</f>
        <v>0.000350479906315846</v>
      </c>
      <c r="AD158" s="348" t="n">
        <f aca="false">IF($X158="",AD157^2/AD156,INDEX(G$5:G$10,$X158)^((INDEX($A$5:$A$10,$X158+1)-($I158-DateToday+1))/(INDEX($A$5:$A$10,$X158+1)-INDEX($A$5:$A$10,$X158)))/INDEX(G$5:G$10,$X158+1)^((INDEX($A$5:$A$10,$X158)-($I158-DateToday+1))/(INDEX($A$5:$A$10,$X158+1)-INDEX($A$5:$A$10,$X158))))</f>
        <v>0.00128731802006512</v>
      </c>
      <c r="AE158" s="321" t="n">
        <v>0.073651623458082</v>
      </c>
      <c r="AF158" s="316" t="n">
        <f aca="false">(1+AE158/2)^(-2*(I159-DateToday)/365.25)</f>
        <v>0.397331240937047</v>
      </c>
      <c r="AG158" s="316" t="n">
        <f aca="false">AG157*(1+IF(AND(M158=1,L158&gt;YearStart),Escalation,0))</f>
        <v>1</v>
      </c>
      <c r="AH158" s="322" t="n">
        <f aca="false">IF(OR(DateStart&gt;=I159,DateEnd&lt;I158),0,Volume*AG158)</f>
        <v>0</v>
      </c>
      <c r="AI158" s="322" t="n">
        <f aca="false">AH158*AF158</f>
        <v>0</v>
      </c>
      <c r="AJ158" s="322" t="n">
        <f aca="false">IF(OR(DateStart2&gt;=I159,DateEnd2&lt;I158),0,VolumeSwaption*AG158)</f>
        <v>0</v>
      </c>
      <c r="AK158" s="322" t="n">
        <f aca="false">AJ158*AF158</f>
        <v>0</v>
      </c>
      <c r="AL158" s="316" t="str">
        <f aca="true">IF(AH158,OFFSET(BY158,0,HorizontalPriceOffset)+PriceSpreadAsian,"")</f>
        <v/>
      </c>
      <c r="AM158" s="316" t="str">
        <f aca="false">IF(AH158,Strike1/AL158-1,"")</f>
        <v/>
      </c>
      <c r="AN158" s="316" t="str">
        <f aca="false">IF(AH158,Strike2/AL158-1,"")</f>
        <v/>
      </c>
      <c r="AO158" s="323" t="str">
        <f aca="false">IF(AH158,IF(VolOverrideAsian,VolOverrideAsian,IF(ProductGroup=1,IF(Product&lt;3,DA159,DE159),W159)+VolSpreadAsian),"")</f>
        <v/>
      </c>
      <c r="AP158" s="323" t="str">
        <f aca="false">IF($AH158,$AO158+IF(SkewFlag=1,IF(AM158&gt;0,$AA158*MIN(AM158/10%,1)+($Z158-$AA158)*MAX(0,MIN(AM158/10%-1,1))+($Y158-$Z158)*MAX(0,AM158/10%-2),$AB158*MIN(-AM158/10%,1)+($AC158-$AB158)*MAX(0,MIN(-AM158/10%-1,1))+($AD158-$AC158)*MAX(0,-AM158/10%-2)),0),"")</f>
        <v/>
      </c>
      <c r="AQ158" s="323" t="str">
        <f aca="false">IF($AH158,$AO158+IF(SkewFlag=1,IF(AN158&gt;0,$AA158*MIN(AN158/10%,1)+($Z158-$AA158)*MAX(0,MIN(AN158/10%-1,1))+($Y158-$Z158)*MAX(0,AN158/10%-2),$AB158*MIN(-AN158/10%,1)+($AC158-$AB158)*MAX(0,MIN(-AN158/10%-1,1))+($AD158-$AC158)*MAX(0,-AN158/10%-2)),0),"")</f>
        <v/>
      </c>
      <c r="AR158" s="324" t="n">
        <f aca="false">IF(AH158,xASN(AL158,Strike1,AE158,AP158,0,N158,0,P158,Q158,IF(OptControl=4,0,1),0),0)</f>
        <v>0</v>
      </c>
      <c r="AS158" s="324" t="n">
        <f aca="false">IF(AH158,xASN(AL158,Strike1,AE158,AP158,0,N158,0,P158,Q158,IF(OptControl=4,0,1),1),0)</f>
        <v>0</v>
      </c>
      <c r="AT158" s="324" t="n">
        <f aca="false">IF(AH158,xASN(AL158,Strike1,AE158,AP158,0,N158,0,P158,Q158,IF(OptControl=4,0,1),2),0)</f>
        <v>0</v>
      </c>
      <c r="AU158" s="324" t="n">
        <f aca="false">IF(AH158,xASN(AL158,Strike1,AE158,AP158,0,N158,0,P158,Q158,IF(OptControl=4,0,1),3)/100,0)</f>
        <v>0</v>
      </c>
      <c r="AV158" s="324" t="n">
        <f aca="false">IF(AH158,xASN(AL158,Strike1,AE158,AP158,0,N158,0,P158-DaysForThetaCalculation/365.25,Q158-DaysForThetaCalculation/365.25,IF(OptControl=4,0,1),0)-xASN(AL158,Strike1,AE158,AP158,0,N158,0,P158,Q158,IF(OptControl=4,0,1),0),0)</f>
        <v>0</v>
      </c>
      <c r="AW158" s="324" t="n">
        <f aca="false">IF(AH158,xASN(AL158,Strike2,AE158,AQ158,0,N158,0,P158,Q158,IF(OptControl=3,1,0),0),0)</f>
        <v>0</v>
      </c>
      <c r="AX158" s="324" t="n">
        <f aca="false">IF(AH158,xASN(AL158,Strike2,AE158,AQ158,0,N158,0,P158,Q158,IF(OptControl=3,1,0),1),0)</f>
        <v>0</v>
      </c>
      <c r="AY158" s="324" t="n">
        <f aca="false">IF(AH158,xASN(AL158,Strike2,AE158,AQ158,0,N158,0,P158,Q158,IF(OptControl=3,1,0),2),0)</f>
        <v>0</v>
      </c>
      <c r="AZ158" s="324" t="n">
        <f aca="false">IF(AH158,xASN(AL158,Strike2,AE158,AQ158,0,N158,0,P158,Q158,IF(OptControl=3,1,0),3)/100,0)</f>
        <v>0</v>
      </c>
      <c r="BA158" s="324" t="n">
        <f aca="false">IF(AH158,xASN(AL158,Strike2,AE158,AQ158,0,N158,0,P158-DaysForThetaCalculation/365.25,Q158-DaysForThetaCalculation/365.25,IF(OptControl=3,1,0),0)-xASN(AL158,Strike2,AE158,AQ158,0,N158,0,P158,Q158,IF(OptControl=3,1,0),0),0)</f>
        <v>0</v>
      </c>
      <c r="BB158" s="325" t="str">
        <f aca="false">IF(AH158,IF(ProductGroup=1,IF(Product=1,BX158+PriceSpreadEuro,IF(Product=3,CK158+PriceSpreadEuro,"N/A")),"N/A"),"")</f>
        <v/>
      </c>
      <c r="BC158" s="316" t="str">
        <f aca="false">IF(AH158,Strike1/BB158-1,"")</f>
        <v/>
      </c>
      <c r="BD158" s="316" t="str">
        <f aca="false">IF(AH158,Strike2/BB158-1,"")</f>
        <v/>
      </c>
      <c r="BE158" s="326" t="str">
        <f aca="false">IF(AH158,IF(VolOverrideEuro,VolOverrideEuro,IF(ProductGroup=1,IF(Product&lt;3,DA158,DE158)+VolSpreadEuro,"N/A")),"")</f>
        <v/>
      </c>
      <c r="BF158" s="323" t="str">
        <f aca="false">IF($AH158,$BE158+IF(SkewFlag=1,IF(BC158&gt;0,$AA158*MIN(BC158/10%,1)+($Z158-$AA158)*MAX(0,MIN(BC158/10%-1,1))+($Y158-$Z158)*MAX(0,BC158/10%-2),$AB158*MIN(-BC158/10%,1)+($AC158-$AB158)*MAX(0,MIN(-BC158/10%-1,1))+($AD158-$AC158)*MAX(0,-BC158/10%-2)),0),"")</f>
        <v/>
      </c>
      <c r="BG158" s="323" t="str">
        <f aca="false">IF($AH158,$BE158+IF(SkewFlag=1,IF(BD158&gt;0,$AA158*MIN(BD158/10%,1)+($Z158-$AA158)*MAX(0,MIN(BD158/10%-1,1))+($Y158-$Z158)*MAX(0,BD158/10%-2),$AB158*MIN(-BD158/10%,1)+($AC158-$AB158)*MAX(0,MIN(-BD158/10%-1,1))+($AD158-$AC158)*MAX(0,-BD158/10%-2)),0),"")</f>
        <v/>
      </c>
      <c r="BH158" s="324" t="n">
        <f aca="false">IF(AH158,xEURO(BB158,Strike1,AE158,AE158,BF158,O158,IF(OptControl=4,0,1),0),0)</f>
        <v>0</v>
      </c>
      <c r="BI158" s="324" t="n">
        <f aca="false">IF(AH158,xEURO(BB158,Strike1,AE158,AE158,BF158,O158,IF(OptControl=4,0,1),1),0)</f>
        <v>0</v>
      </c>
      <c r="BJ158" s="324" t="n">
        <f aca="false">IF(AH158,xEURO(BB158,Strike1,AE158,AE158,BF158,O158,IF(OptControl=4,0,1),2),0)</f>
        <v>0</v>
      </c>
      <c r="BK158" s="324" t="n">
        <f aca="false">IF(AH158,xEURO(BB158,Strike1,AE158,AE158,BF158,O158,IF(OptControl=4,0,1),3)/100,0)</f>
        <v>0</v>
      </c>
      <c r="BL158" s="324" t="n">
        <f aca="false">IF(AH158,xEURO(BB158,Strike1,AE158,AE158,BF158,O158-DaysForThetaCalculation,IF(OptControl=4,0,1),0)-xEURO(BB158,Strike1,AE158,AE158,BF158,O158,IF(OptControl=4,0,1),0),0)</f>
        <v>0</v>
      </c>
      <c r="BM158" s="324" t="n">
        <f aca="false">IF(AH158,xEURO(BB158,Strike2,AE158,AE158,BG158,O158,IF(OptControl=3,1,0),0),0)</f>
        <v>0</v>
      </c>
      <c r="BN158" s="324" t="n">
        <f aca="false">IF(AH158,xEURO(BB158,Strike2,AE158,AE158,BG158,O158,IF(OptControl=3,1,0),1),0)</f>
        <v>0</v>
      </c>
      <c r="BO158" s="324" t="n">
        <f aca="false">IF(AH158,xEURO(BB158,Strike2,AE158,AE158,BG158,O158,IF(OptControl=3,1,0),2),0)</f>
        <v>0</v>
      </c>
      <c r="BP158" s="324" t="n">
        <f aca="false">IF(AH158,xEURO(BB158,Strike2,AE158,AE158,BG158,O158,IF(OptControl=3,1,0),3)/100,0)</f>
        <v>0</v>
      </c>
      <c r="BQ158" s="327" t="n">
        <f aca="false">IF(AH158,xEURO(BB158,Strike2,AE158,AE158,BG158,O158-DaysForThetaCalculation,IF(OptControl=3,1,0),0)-xEURO(BB158,Strike2,AE158,AE158,BG158,O158,IF(OptControl=3,1,0),0),0)</f>
        <v>0</v>
      </c>
      <c r="BR158" s="343"/>
      <c r="BS158" s="314"/>
      <c r="BT158" s="329" t="n">
        <f aca="false">BS158*100/42</f>
        <v>0</v>
      </c>
      <c r="BU158" s="329" t="n">
        <f aca="false">BS159-$U158</f>
        <v>-30.6272727272731</v>
      </c>
      <c r="BV158" s="224"/>
      <c r="BW158" s="329" t="n">
        <f aca="false">BW146+VLOOKUP(1900+$L158,ProductSpreadTable,2)</f>
        <v>12.7918181818182</v>
      </c>
      <c r="BX158" s="329" t="n">
        <f aca="false">($V157+BW157)*100/42</f>
        <v>104.290136054422</v>
      </c>
      <c r="BY158" s="332" t="n">
        <f aca="false">BX159</f>
        <v>103.378787878789</v>
      </c>
      <c r="BZ158" s="314"/>
      <c r="CA158" s="329" t="n">
        <f aca="false">BZ158*100/42</f>
        <v>0</v>
      </c>
      <c r="CB158" s="329" t="n">
        <f aca="false">BZ158-$U158</f>
        <v>-30.6272727272731</v>
      </c>
      <c r="CC158" s="329" t="n">
        <f aca="false">CC146+VLOOKUP(1900+$L158,ProductSpreadTable,3)</f>
        <v>10.4818181818182</v>
      </c>
      <c r="CD158" s="329" t="n">
        <f aca="false">($V158+CC158)*100/42</f>
        <v>97.8787878787887</v>
      </c>
      <c r="CE158" s="333" t="n">
        <f aca="false">CD158-BY158</f>
        <v>-5.5</v>
      </c>
      <c r="CF158" s="314"/>
      <c r="CG158" s="329" t="n">
        <f aca="false">CF158*100/42</f>
        <v>0</v>
      </c>
      <c r="CH158" s="329" t="n">
        <f aca="false">CF159-$U158</f>
        <v>-30.6272727272731</v>
      </c>
      <c r="CI158" s="224"/>
      <c r="CJ158" s="329" t="n">
        <f aca="false">CJ146+VLOOKUP(1900+$L158,ProductSpreadTable,4)</f>
        <v>12.5528181818182</v>
      </c>
      <c r="CK158" s="329" t="n">
        <f aca="false">($V157+CJ157)*100/42</f>
        <v>103.271088435374</v>
      </c>
      <c r="CL158" s="329" t="n">
        <f aca="false">CK159</f>
        <v>102.809740259741</v>
      </c>
      <c r="CM158" s="314"/>
      <c r="CN158" s="329" t="n">
        <f aca="false">CM158*100/42</f>
        <v>0</v>
      </c>
      <c r="CO158" s="329" t="n">
        <f aca="false">CM158-$U158</f>
        <v>-30.6272727272731</v>
      </c>
      <c r="CP158" s="329" t="n">
        <f aca="false">CP146+VLOOKUP(1900+$L158,ProductSpreadTable,5)</f>
        <v>11.3558181818182</v>
      </c>
      <c r="CQ158" s="329" t="n">
        <f aca="false">($V158+CP158)*100/42</f>
        <v>99.9597402597411</v>
      </c>
      <c r="CR158" s="333" t="n">
        <f aca="false">CQ158-CL158</f>
        <v>-2.84999999999999</v>
      </c>
      <c r="CS158" s="314"/>
      <c r="CT158" s="329" t="n">
        <f aca="false">CS158*100/42</f>
        <v>0</v>
      </c>
      <c r="CU158" s="329" t="n">
        <f aca="false">CT158-CG159</f>
        <v>0</v>
      </c>
      <c r="CV158" s="329" t="n">
        <f aca="false">CV146+VLOOKUP(1900+$L158,ProductSpreadTable,6)</f>
        <v>2.40000000000001</v>
      </c>
      <c r="CW158" s="333" t="n">
        <f aca="false">CL158+CV158</f>
        <v>105.209740259741</v>
      </c>
      <c r="CX158" s="318"/>
      <c r="CY158" s="326" t="n">
        <f aca="false">CX158-$W158</f>
        <v>-0.156499999999998</v>
      </c>
      <c r="CZ158" s="326" t="n">
        <f aca="false">VLOOKUP(1900+$L158,ProductSpreadTable,7)</f>
        <v>-0.03</v>
      </c>
      <c r="DA158" s="365" t="n">
        <f aca="false">$W158+CZ158</f>
        <v>0.126499999999998</v>
      </c>
      <c r="DB158" s="318"/>
      <c r="DC158" s="326" t="n">
        <f aca="false">DB158-$W158</f>
        <v>-0.156499999999998</v>
      </c>
      <c r="DD158" s="326" t="n">
        <f aca="false">VLOOKUP(1900+$L158,ProductSpreadTable,8)</f>
        <v>0.03</v>
      </c>
      <c r="DE158" s="365" t="n">
        <f aca="false">$W158+DD158</f>
        <v>0.186499999999998</v>
      </c>
      <c r="DG158" s="336"/>
      <c r="DH158" s="314"/>
      <c r="DI158" s="325" t="n">
        <f aca="false">DH158-$U158</f>
        <v>-30.6272727272731</v>
      </c>
      <c r="DJ158" s="325" t="n">
        <f aca="false">VLOOKUP(1900+$L158,ResidSpreadTable,2)</f>
        <v>-2</v>
      </c>
      <c r="DK158" s="337" t="n">
        <f aca="false">$V158+DJ158</f>
        <v>28.6272727272731</v>
      </c>
      <c r="DL158" s="314"/>
      <c r="DM158" s="325" t="n">
        <f aca="false">DL158-$U158</f>
        <v>-30.6272727272731</v>
      </c>
      <c r="DN158" s="325" t="n">
        <f aca="false">VLOOKUP(1900+$L158,ResidSpreadTable,3)</f>
        <v>-3</v>
      </c>
      <c r="DO158" s="337" t="n">
        <f aca="false">$V158+DN158</f>
        <v>27.6272727272731</v>
      </c>
      <c r="DP158" s="314"/>
      <c r="DQ158" s="325" t="n">
        <f aca="false">DP158-$U158</f>
        <v>-30.6272727272731</v>
      </c>
      <c r="DR158" s="325" t="n">
        <f aca="false">VLOOKUP(1900+$L158,ResidSpreadTable,4)</f>
        <v>-6</v>
      </c>
      <c r="DS158" s="337" t="n">
        <f aca="false">$V158+DR158</f>
        <v>24.6272727272731</v>
      </c>
      <c r="DT158" s="314"/>
      <c r="DU158" s="325" t="n">
        <f aca="false">DT158-$U158</f>
        <v>-30.6272727272731</v>
      </c>
      <c r="DV158" s="325" t="n">
        <f aca="false">VLOOKUP(1900+$L158,ResidSpreadTable,5)</f>
        <v>-5</v>
      </c>
      <c r="DW158" s="337" t="n">
        <f aca="false">$V158+DV158</f>
        <v>25.6272727272731</v>
      </c>
    </row>
    <row r="159" customFormat="false" ht="12.75" hidden="false" customHeight="false" outlineLevel="0" collapsed="false">
      <c r="B159" s="371" t="n">
        <v>40391</v>
      </c>
      <c r="C159" s="391" t="n">
        <v>40379</v>
      </c>
      <c r="I159" s="338" t="n">
        <f aca="false">EOMONTH(I158,0)+1</f>
        <v>50587</v>
      </c>
      <c r="J159" s="389" t="n">
        <f aca="false">VLOOKUP(I159,$B$12:$C$332,2)</f>
        <v>45644</v>
      </c>
      <c r="K159" s="339" t="n">
        <f aca="false">NETWORKDAYS(I159,J160)/N159</f>
        <v>-160.545454545455</v>
      </c>
      <c r="L159" s="309" t="n">
        <f aca="false">YEAR(I159)-1900</f>
        <v>138</v>
      </c>
      <c r="M159" s="310" t="n">
        <f aca="false">MONTH(I159)</f>
        <v>7</v>
      </c>
      <c r="N159" s="340" t="n">
        <f aca="false">NETWORKDAYS(I159,I160-1)</f>
        <v>22</v>
      </c>
      <c r="O159" s="341" t="n">
        <f aca="false">I159-DateToday-IF(EuroExpDateToggle=1,3+IF(WEEKDAY(I159-1)=7,1,IF(WEEKDAY(I159-1)&lt;5,2,0)),1+IF(WEEKDAY(I159-1)=7,1,IF(WEEKDAY(I159-1)&lt;3,2,0)))</f>
        <v>4656</v>
      </c>
      <c r="P159" s="342" t="n">
        <f aca="false">(I159-DateToday+1)/365.25</f>
        <v>12.7638603696099</v>
      </c>
      <c r="Q159" s="342" t="n">
        <f aca="false">(I160-DateToday)/365.25</f>
        <v>12.8459958932238</v>
      </c>
      <c r="R159" s="314" t="n">
        <v>22.6000000000001</v>
      </c>
      <c r="S159" s="347" t="n">
        <v>0</v>
      </c>
      <c r="T159" s="316" t="n">
        <f aca="false">R159+S159/100</f>
        <v>22.6000000000001</v>
      </c>
      <c r="U159" s="325" t="n">
        <f aca="false">R160*K159+R161*(1-K159)</f>
        <v>30.727272727273</v>
      </c>
      <c r="V159" s="337" t="n">
        <f aca="false">T160*K159+T161*(1-K159)</f>
        <v>30.727272727273</v>
      </c>
      <c r="W159" s="318" t="n">
        <v>0.156099999999999</v>
      </c>
      <c r="X159" s="319" t="str">
        <f aca="false">IF($I159-DateToday+1&gt;=$A$10,"",IF($I159-DateToday+1&lt;$A$5,1,MATCH($I159-DateToday+1,$A$5:$A$10)))</f>
        <v/>
      </c>
      <c r="Y159" s="348" t="n">
        <f aca="false">IF($X159="",Y158^2/Y157,INDEX(B$5:B$10,$X159)^((INDEX($A$5:$A$10,$X159+1)-($I159-DateToday+1))/(INDEX($A$5:$A$10,$X159+1)-INDEX($A$5:$A$10,$X159)))/INDEX(B$5:B$10,$X159+1)^((INDEX($A$5:$A$10,$X159)-($I159-DateToday+1))/(INDEX($A$5:$A$10,$X159+1)-INDEX($A$5:$A$10,$X159))))</f>
        <v>0.000559196776976536</v>
      </c>
      <c r="Z159" s="348" t="n">
        <f aca="false">IF($X159="",Z158^2/Z157,INDEX(C$5:C$10,$X159)^((INDEX($A$5:$A$10,$X159+1)-($I159-DateToday+1))/(INDEX($A$5:$A$10,$X159+1)-INDEX($A$5:$A$10,$X159)))/INDEX(C$5:C$10,$X159+1)^((INDEX($A$5:$A$10,$X159)-($I159-DateToday+1))/(INDEX($A$5:$A$10,$X159+1)-INDEX($A$5:$A$10,$X159))))</f>
        <v>0.000151429487614995</v>
      </c>
      <c r="AA159" s="348" t="n">
        <f aca="false">IF($X159="",AA158^2/AA157,INDEX(D$5:D$10,$X159)^((INDEX($A$5:$A$10,$X159+1)-($I159-DateToday+1))/(INDEX($A$5:$A$10,$X159+1)-INDEX($A$5:$A$10,$X159)))/INDEX(D$5:D$10,$X159+1)^((INDEX($A$5:$A$10,$X159)-($I159-DateToday+1))/(INDEX($A$5:$A$10,$X159+1)-INDEX($A$5:$A$10,$X159))))</f>
        <v>4.78410660594306E-005</v>
      </c>
      <c r="AB159" s="348" t="n">
        <f aca="false">IF($X159="",AB158^2/AB157,INDEX(E$5:E$10,$X159)^((INDEX($A$5:$A$10,$X159+1)-($I159-DateToday+1))/(INDEX($A$5:$A$10,$X159+1)-INDEX($A$5:$A$10,$X159)))/INDEX(E$5:E$10,$X159+1)^((INDEX($A$5:$A$10,$X159)-($I159-DateToday+1))/(INDEX($A$5:$A$10,$X159+1)-INDEX($A$5:$A$10,$X159))))</f>
        <v>0.000107776353618694</v>
      </c>
      <c r="AC159" s="348" t="n">
        <f aca="false">IF($X159="",AC158^2/AC157,INDEX(F$5:F$10,$X159)^((INDEX($A$5:$A$10,$X159+1)-($I159-DateToday+1))/(INDEX($A$5:$A$10,$X159+1)-INDEX($A$5:$A$10,$X159)))/INDEX(F$5:F$10,$X159+1)^((INDEX($A$5:$A$10,$X159)-($I159-DateToday+1))/(INDEX($A$5:$A$10,$X159+1)-INDEX($A$5:$A$10,$X159))))</f>
        <v>0.000341140349699058</v>
      </c>
      <c r="AD159" s="348" t="n">
        <f aca="false">IF($X159="",AD158^2/AD157,INDEX(G$5:G$10,$X159)^((INDEX($A$5:$A$10,$X159+1)-($I159-DateToday+1))/(INDEX($A$5:$A$10,$X159+1)-INDEX($A$5:$A$10,$X159)))/INDEX(G$5:G$10,$X159+1)^((INDEX($A$5:$A$10,$X159)-($I159-DateToday+1))/(INDEX($A$5:$A$10,$X159+1)-INDEX($A$5:$A$10,$X159))))</f>
        <v>0.00125975849917262</v>
      </c>
      <c r="AE159" s="321" t="n">
        <v>0.073647661899466</v>
      </c>
      <c r="AF159" s="316" t="n">
        <f aca="false">(1+AE159/2)^(-2*(I160-DateToday)/365.25)</f>
        <v>0.394918993448255</v>
      </c>
      <c r="AG159" s="316" t="n">
        <f aca="false">AG158*(1+IF(AND(M159=1,L159&gt;YearStart),Escalation,0))</f>
        <v>1</v>
      </c>
      <c r="AH159" s="322" t="n">
        <f aca="false">IF(OR(DateStart&gt;=I160,DateEnd&lt;I159),0,Volume*AG159)</f>
        <v>0</v>
      </c>
      <c r="AI159" s="322" t="n">
        <f aca="false">AH159*AF159</f>
        <v>0</v>
      </c>
      <c r="AJ159" s="322" t="n">
        <f aca="false">IF(OR(DateStart2&gt;=I160,DateEnd2&lt;I159),0,VolumeSwaption*AG159)</f>
        <v>0</v>
      </c>
      <c r="AK159" s="322" t="n">
        <f aca="false">AJ159*AF159</f>
        <v>0</v>
      </c>
      <c r="AL159" s="316" t="str">
        <f aca="true">IF(AH159,OFFSET(BY159,0,HorizontalPriceOffset)+PriceSpreadAsian,"")</f>
        <v/>
      </c>
      <c r="AM159" s="316" t="str">
        <f aca="false">IF(AH159,Strike1/AL159-1,"")</f>
        <v/>
      </c>
      <c r="AN159" s="316" t="str">
        <f aca="false">IF(AH159,Strike2/AL159-1,"")</f>
        <v/>
      </c>
      <c r="AO159" s="323" t="str">
        <f aca="false">IF(AH159,IF(VolOverrideAsian,VolOverrideAsian,IF(ProductGroup=1,IF(Product&lt;3,DA160,DE160),W160)+VolSpreadAsian),"")</f>
        <v/>
      </c>
      <c r="AP159" s="323" t="str">
        <f aca="false">IF($AH159,$AO159+IF(SkewFlag=1,IF(AM159&gt;0,$AA159*MIN(AM159/10%,1)+($Z159-$AA159)*MAX(0,MIN(AM159/10%-1,1))+($Y159-$Z159)*MAX(0,AM159/10%-2),$AB159*MIN(-AM159/10%,1)+($AC159-$AB159)*MAX(0,MIN(-AM159/10%-1,1))+($AD159-$AC159)*MAX(0,-AM159/10%-2)),0),"")</f>
        <v/>
      </c>
      <c r="AQ159" s="323" t="str">
        <f aca="false">IF($AH159,$AO159+IF(SkewFlag=1,IF(AN159&gt;0,$AA159*MIN(AN159/10%,1)+($Z159-$AA159)*MAX(0,MIN(AN159/10%-1,1))+($Y159-$Z159)*MAX(0,AN159/10%-2),$AB159*MIN(-AN159/10%,1)+($AC159-$AB159)*MAX(0,MIN(-AN159/10%-1,1))+($AD159-$AC159)*MAX(0,-AN159/10%-2)),0),"")</f>
        <v/>
      </c>
      <c r="AR159" s="324" t="n">
        <f aca="false">IF(AH159,xASN(AL159,Strike1,AE159,AP159,0,N159,0,P159,Q159,IF(OptControl=4,0,1),0),0)</f>
        <v>0</v>
      </c>
      <c r="AS159" s="324" t="n">
        <f aca="false">IF(AH159,xASN(AL159,Strike1,AE159,AP159,0,N159,0,P159,Q159,IF(OptControl=4,0,1),1),0)</f>
        <v>0</v>
      </c>
      <c r="AT159" s="324" t="n">
        <f aca="false">IF(AH159,xASN(AL159,Strike1,AE159,AP159,0,N159,0,P159,Q159,IF(OptControl=4,0,1),2),0)</f>
        <v>0</v>
      </c>
      <c r="AU159" s="324" t="n">
        <f aca="false">IF(AH159,xASN(AL159,Strike1,AE159,AP159,0,N159,0,P159,Q159,IF(OptControl=4,0,1),3)/100,0)</f>
        <v>0</v>
      </c>
      <c r="AV159" s="324" t="n">
        <f aca="false">IF(AH159,xASN(AL159,Strike1,AE159,AP159,0,N159,0,P159-DaysForThetaCalculation/365.25,Q159-DaysForThetaCalculation/365.25,IF(OptControl=4,0,1),0)-xASN(AL159,Strike1,AE159,AP159,0,N159,0,P159,Q159,IF(OptControl=4,0,1),0),0)</f>
        <v>0</v>
      </c>
      <c r="AW159" s="324" t="n">
        <f aca="false">IF(AH159,xASN(AL159,Strike2,AE159,AQ159,0,N159,0,P159,Q159,IF(OptControl=3,1,0),0),0)</f>
        <v>0</v>
      </c>
      <c r="AX159" s="324" t="n">
        <f aca="false">IF(AH159,xASN(AL159,Strike2,AE159,AQ159,0,N159,0,P159,Q159,IF(OptControl=3,1,0),1),0)</f>
        <v>0</v>
      </c>
      <c r="AY159" s="324" t="n">
        <f aca="false">IF(AH159,xASN(AL159,Strike2,AE159,AQ159,0,N159,0,P159,Q159,IF(OptControl=3,1,0),2),0)</f>
        <v>0</v>
      </c>
      <c r="AZ159" s="324" t="n">
        <f aca="false">IF(AH159,xASN(AL159,Strike2,AE159,AQ159,0,N159,0,P159,Q159,IF(OptControl=3,1,0),3)/100,0)</f>
        <v>0</v>
      </c>
      <c r="BA159" s="324" t="n">
        <f aca="false">IF(AH159,xASN(AL159,Strike2,AE159,AQ159,0,N159,0,P159-DaysForThetaCalculation/365.25,Q159-DaysForThetaCalculation/365.25,IF(OptControl=3,1,0),0)-xASN(AL159,Strike2,AE159,AQ159,0,N159,0,P159,Q159,IF(OptControl=3,1,0),0),0)</f>
        <v>0</v>
      </c>
      <c r="BB159" s="325" t="str">
        <f aca="false">IF(AH159,IF(ProductGroup=1,IF(Product=1,BX159+PriceSpreadEuro,IF(Product=3,CK159+PriceSpreadEuro,"N/A")),"N/A"),"")</f>
        <v/>
      </c>
      <c r="BC159" s="316" t="str">
        <f aca="false">IF(AH159,Strike1/BB159-1,"")</f>
        <v/>
      </c>
      <c r="BD159" s="316" t="str">
        <f aca="false">IF(AH159,Strike2/BB159-1,"")</f>
        <v/>
      </c>
      <c r="BE159" s="326" t="str">
        <f aca="false">IF(AH159,IF(VolOverrideEuro,VolOverrideEuro,IF(ProductGroup=1,IF(Product&lt;3,DA159,DE159)+VolSpreadEuro,"N/A")),"")</f>
        <v/>
      </c>
      <c r="BF159" s="323" t="str">
        <f aca="false">IF($AH159,$BE159+IF(SkewFlag=1,IF(BC159&gt;0,$AA159*MIN(BC159/10%,1)+($Z159-$AA159)*MAX(0,MIN(BC159/10%-1,1))+($Y159-$Z159)*MAX(0,BC159/10%-2),$AB159*MIN(-BC159/10%,1)+($AC159-$AB159)*MAX(0,MIN(-BC159/10%-1,1))+($AD159-$AC159)*MAX(0,-BC159/10%-2)),0),"")</f>
        <v/>
      </c>
      <c r="BG159" s="323" t="str">
        <f aca="false">IF($AH159,$BE159+IF(SkewFlag=1,IF(BD159&gt;0,$AA159*MIN(BD159/10%,1)+($Z159-$AA159)*MAX(0,MIN(BD159/10%-1,1))+($Y159-$Z159)*MAX(0,BD159/10%-2),$AB159*MIN(-BD159/10%,1)+($AC159-$AB159)*MAX(0,MIN(-BD159/10%-1,1))+($AD159-$AC159)*MAX(0,-BD159/10%-2)),0),"")</f>
        <v/>
      </c>
      <c r="BH159" s="324" t="n">
        <f aca="false">IF(AH159,xEURO(BB159,Strike1,AE159,AE159,BF159,O159,IF(OptControl=4,0,1),0),0)</f>
        <v>0</v>
      </c>
      <c r="BI159" s="324" t="n">
        <f aca="false">IF(AH159,xEURO(BB159,Strike1,AE159,AE159,BF159,O159,IF(OptControl=4,0,1),1),0)</f>
        <v>0</v>
      </c>
      <c r="BJ159" s="324" t="n">
        <f aca="false">IF(AH159,xEURO(BB159,Strike1,AE159,AE159,BF159,O159,IF(OptControl=4,0,1),2),0)</f>
        <v>0</v>
      </c>
      <c r="BK159" s="324" t="n">
        <f aca="false">IF(AH159,xEURO(BB159,Strike1,AE159,AE159,BF159,O159,IF(OptControl=4,0,1),3)/100,0)</f>
        <v>0</v>
      </c>
      <c r="BL159" s="324" t="n">
        <f aca="false">IF(AH159,xEURO(BB159,Strike1,AE159,AE159,BF159,O159-DaysForThetaCalculation,IF(OptControl=4,0,1),0)-xEURO(BB159,Strike1,AE159,AE159,BF159,O159,IF(OptControl=4,0,1),0),0)</f>
        <v>0</v>
      </c>
      <c r="BM159" s="324" t="n">
        <f aca="false">IF(AH159,xEURO(BB159,Strike2,AE159,AE159,BG159,O159,IF(OptControl=3,1,0),0),0)</f>
        <v>0</v>
      </c>
      <c r="BN159" s="324" t="n">
        <f aca="false">IF(AH159,xEURO(BB159,Strike2,AE159,AE159,BG159,O159,IF(OptControl=3,1,0),1),0)</f>
        <v>0</v>
      </c>
      <c r="BO159" s="324" t="n">
        <f aca="false">IF(AH159,xEURO(BB159,Strike2,AE159,AE159,BG159,O159,IF(OptControl=3,1,0),2),0)</f>
        <v>0</v>
      </c>
      <c r="BP159" s="324" t="n">
        <f aca="false">IF(AH159,xEURO(BB159,Strike2,AE159,AE159,BG159,O159,IF(OptControl=3,1,0),3)/100,0)</f>
        <v>0</v>
      </c>
      <c r="BQ159" s="327" t="n">
        <f aca="false">IF(AH159,xEURO(BB159,Strike2,AE159,AE159,BG159,O159-DaysForThetaCalculation,IF(OptControl=3,1,0),0)-xEURO(BB159,Strike2,AE159,AE159,BG159,O159,IF(OptControl=3,1,0),0),0)</f>
        <v>0</v>
      </c>
      <c r="BR159" s="343"/>
      <c r="BS159" s="314"/>
      <c r="BT159" s="329" t="n">
        <f aca="false">BS159*100/42</f>
        <v>0</v>
      </c>
      <c r="BU159" s="329" t="n">
        <f aca="false">BS160-$U159</f>
        <v>-30.727272727273</v>
      </c>
      <c r="BV159" s="224"/>
      <c r="BW159" s="329" t="n">
        <f aca="false">BW147+VLOOKUP(1900+$L159,ProductSpreadTable,2)</f>
        <v>12.7738260869565</v>
      </c>
      <c r="BX159" s="329" t="n">
        <f aca="false">($V158+BW158)*100/42</f>
        <v>103.378787878789</v>
      </c>
      <c r="BY159" s="332" t="n">
        <f aca="false">BX160</f>
        <v>103.574044795785</v>
      </c>
      <c r="BZ159" s="314"/>
      <c r="CA159" s="329" t="n">
        <f aca="false">BZ159*100/42</f>
        <v>0</v>
      </c>
      <c r="CB159" s="329" t="n">
        <f aca="false">BZ159-$U159</f>
        <v>-30.727272727273</v>
      </c>
      <c r="CC159" s="329" t="n">
        <f aca="false">CC147+VLOOKUP(1900+$L159,ProductSpreadTable,3)</f>
        <v>11.2618260869565</v>
      </c>
      <c r="CD159" s="329" t="n">
        <f aca="false">($V159+CC159)*100/42</f>
        <v>99.9740447957846</v>
      </c>
      <c r="CE159" s="333" t="n">
        <f aca="false">CD159-BY159</f>
        <v>-3.59999999999999</v>
      </c>
      <c r="CF159" s="314"/>
      <c r="CG159" s="329" t="n">
        <f aca="false">CF159*100/42</f>
        <v>0</v>
      </c>
      <c r="CH159" s="329" t="n">
        <f aca="false">CF160-$U159</f>
        <v>-30.727272727273</v>
      </c>
      <c r="CI159" s="224"/>
      <c r="CJ159" s="329" t="n">
        <f aca="false">CJ147+VLOOKUP(1900+$L159,ProductSpreadTable,4)</f>
        <v>12.0938260869565</v>
      </c>
      <c r="CK159" s="329" t="n">
        <f aca="false">($V158+CJ158)*100/42</f>
        <v>102.809740259741</v>
      </c>
      <c r="CL159" s="329" t="n">
        <f aca="false">CK160</f>
        <v>101.954997176737</v>
      </c>
      <c r="CM159" s="314"/>
      <c r="CN159" s="329" t="n">
        <f aca="false">CM159*100/42</f>
        <v>0</v>
      </c>
      <c r="CO159" s="329" t="n">
        <f aca="false">CM159-$U159</f>
        <v>-30.727272727273</v>
      </c>
      <c r="CP159" s="329" t="n">
        <f aca="false">CP147+VLOOKUP(1900+$L159,ProductSpreadTable,5)</f>
        <v>10.9808260869565</v>
      </c>
      <c r="CQ159" s="329" t="n">
        <f aca="false">($V159+CP159)*100/42</f>
        <v>99.304997176737</v>
      </c>
      <c r="CR159" s="333" t="n">
        <f aca="false">CQ159-CL159</f>
        <v>-2.65000000000001</v>
      </c>
      <c r="CS159" s="314"/>
      <c r="CT159" s="329" t="n">
        <f aca="false">CS159*100/42</f>
        <v>0</v>
      </c>
      <c r="CU159" s="329" t="n">
        <f aca="false">CT159-CG160</f>
        <v>0</v>
      </c>
      <c r="CV159" s="329" t="n">
        <f aca="false">CV147+VLOOKUP(1900+$L159,ProductSpreadTable,6)</f>
        <v>2.40000000000001</v>
      </c>
      <c r="CW159" s="333" t="n">
        <f aca="false">CL159+CV159</f>
        <v>104.354997176737</v>
      </c>
      <c r="CX159" s="318"/>
      <c r="CY159" s="326" t="n">
        <f aca="false">CX159-$W159</f>
        <v>-0.156099999999999</v>
      </c>
      <c r="CZ159" s="326" t="n">
        <f aca="false">VLOOKUP(1900+$L159,ProductSpreadTable,7)</f>
        <v>-0.03</v>
      </c>
      <c r="DA159" s="365" t="n">
        <f aca="false">$W159+CZ159</f>
        <v>0.126099999999999</v>
      </c>
      <c r="DB159" s="318"/>
      <c r="DC159" s="326" t="n">
        <f aca="false">DB159-$W159</f>
        <v>-0.156099999999999</v>
      </c>
      <c r="DD159" s="326" t="n">
        <f aca="false">VLOOKUP(1900+$L159,ProductSpreadTable,8)</f>
        <v>0.03</v>
      </c>
      <c r="DE159" s="365" t="n">
        <f aca="false">$W159+DD159</f>
        <v>0.186099999999999</v>
      </c>
      <c r="DG159" s="336"/>
      <c r="DH159" s="314"/>
      <c r="DI159" s="325" t="n">
        <f aca="false">DH159-$U159</f>
        <v>-30.727272727273</v>
      </c>
      <c r="DJ159" s="325" t="n">
        <f aca="false">VLOOKUP(1900+$L159,ResidSpreadTable,2)</f>
        <v>-2</v>
      </c>
      <c r="DK159" s="337" t="n">
        <f aca="false">$V159+DJ159</f>
        <v>28.727272727273</v>
      </c>
      <c r="DL159" s="314"/>
      <c r="DM159" s="325" t="n">
        <f aca="false">DL159-$U159</f>
        <v>-30.727272727273</v>
      </c>
      <c r="DN159" s="325" t="n">
        <f aca="false">VLOOKUP(1900+$L159,ResidSpreadTable,3)</f>
        <v>-3</v>
      </c>
      <c r="DO159" s="337" t="n">
        <f aca="false">$V159+DN159</f>
        <v>27.727272727273</v>
      </c>
      <c r="DP159" s="314"/>
      <c r="DQ159" s="325" t="n">
        <f aca="false">DP159-$U159</f>
        <v>-30.727272727273</v>
      </c>
      <c r="DR159" s="325" t="n">
        <f aca="false">VLOOKUP(1900+$L159,ResidSpreadTable,4)</f>
        <v>-6</v>
      </c>
      <c r="DS159" s="337" t="n">
        <f aca="false">$V159+DR159</f>
        <v>24.727272727273</v>
      </c>
      <c r="DT159" s="314"/>
      <c r="DU159" s="325" t="n">
        <f aca="false">DT159-$U159</f>
        <v>-30.727272727273</v>
      </c>
      <c r="DV159" s="325" t="n">
        <f aca="false">VLOOKUP(1900+$L159,ResidSpreadTable,5)</f>
        <v>-5</v>
      </c>
      <c r="DW159" s="337" t="n">
        <f aca="false">$V159+DV159</f>
        <v>25.727272727273</v>
      </c>
    </row>
    <row r="160" customFormat="false" ht="12.75" hidden="false" customHeight="false" outlineLevel="0" collapsed="false">
      <c r="B160" s="371" t="n">
        <v>40422</v>
      </c>
      <c r="C160" s="391" t="n">
        <v>40411</v>
      </c>
      <c r="I160" s="338" t="n">
        <f aca="false">EOMONTH(I159,0)+1</f>
        <v>50618</v>
      </c>
      <c r="J160" s="389" t="n">
        <f aca="false">VLOOKUP(I160,$B$12:$C$332,2)</f>
        <v>45644</v>
      </c>
      <c r="K160" s="339" t="n">
        <f aca="false">NETWORKDAYS(I160,J161)/N160</f>
        <v>-161.5</v>
      </c>
      <c r="L160" s="309" t="n">
        <f aca="false">YEAR(I160)-1900</f>
        <v>138</v>
      </c>
      <c r="M160" s="310" t="n">
        <f aca="false">MONTH(I160)</f>
        <v>8</v>
      </c>
      <c r="N160" s="340" t="n">
        <f aca="false">NETWORKDAYS(I160,I161-1)</f>
        <v>22</v>
      </c>
      <c r="O160" s="341" t="n">
        <f aca="false">I160-DateToday-IF(EuroExpDateToggle=1,3+IF(WEEKDAY(I160-1)=7,1,IF(WEEKDAY(I160-1)&lt;5,2,0)),1+IF(WEEKDAY(I160-1)=7,1,IF(WEEKDAY(I160-1)&lt;3,2,0)))</f>
        <v>4688</v>
      </c>
      <c r="P160" s="342" t="n">
        <f aca="false">(I160-DateToday+1)/365.25</f>
        <v>12.848733744011</v>
      </c>
      <c r="Q160" s="342" t="n">
        <f aca="false">(I161-DateToday)/365.25</f>
        <v>12.9308692676249</v>
      </c>
      <c r="R160" s="314" t="n">
        <v>22.6500000000001</v>
      </c>
      <c r="S160" s="347" t="n">
        <v>0</v>
      </c>
      <c r="T160" s="316" t="n">
        <f aca="false">R160+S160/100</f>
        <v>22.6500000000001</v>
      </c>
      <c r="U160" s="325" t="n">
        <f aca="false">R161*K160+R162*(1-K160)</f>
        <v>30.8250000000003</v>
      </c>
      <c r="V160" s="337" t="n">
        <f aca="false">T161*K160+T162*(1-K160)</f>
        <v>30.8250000000003</v>
      </c>
      <c r="W160" s="318" t="n">
        <v>0.155699999999999</v>
      </c>
      <c r="X160" s="319" t="str">
        <f aca="false">IF($I160-DateToday+1&gt;=$A$10,"",IF($I160-DateToday+1&lt;$A$5,1,MATCH($I160-DateToday+1,$A$5:$A$10)))</f>
        <v/>
      </c>
      <c r="Y160" s="348" t="n">
        <f aca="false">IF($X160="",Y159^2/Y158,INDEX(B$5:B$10,$X160)^((INDEX($A$5:$A$10,$X160+1)-($I160-DateToday+1))/(INDEX($A$5:$A$10,$X160+1)-INDEX($A$5:$A$10,$X160)))/INDEX(B$5:B$10,$X160+1)^((INDEX($A$5:$A$10,$X160)-($I160-DateToday+1))/(INDEX($A$5:$A$10,$X160+1)-INDEX($A$5:$A$10,$X160))))</f>
        <v>0.000547225224479099</v>
      </c>
      <c r="Z160" s="348" t="n">
        <f aca="false">IF($X160="",Z159^2/Z158,INDEX(C$5:C$10,$X160)^((INDEX($A$5:$A$10,$X160+1)-($I160-DateToday+1))/(INDEX($A$5:$A$10,$X160+1)-INDEX($A$5:$A$10,$X160)))/INDEX(C$5:C$10,$X160+1)^((INDEX($A$5:$A$10,$X160)-($I160-DateToday+1))/(INDEX($A$5:$A$10,$X160+1)-INDEX($A$5:$A$10,$X160))))</f>
        <v>0.000147394208423392</v>
      </c>
      <c r="AA160" s="348" t="n">
        <f aca="false">IF($X160="",AA159^2/AA158,INDEX(D$5:D$10,$X160)^((INDEX($A$5:$A$10,$X160+1)-($I160-DateToday+1))/(INDEX($A$5:$A$10,$X160+1)-INDEX($A$5:$A$10,$X160)))/INDEX(D$5:D$10,$X160+1)^((INDEX($A$5:$A$10,$X160)-($I160-DateToday+1))/(INDEX($A$5:$A$10,$X160+1)-INDEX($A$5:$A$10,$X160))))</f>
        <v>4.64413300134945E-005</v>
      </c>
      <c r="AB160" s="348" t="n">
        <f aca="false">IF($X160="",AB159^2/AB158,INDEX(E$5:E$10,$X160)^((INDEX($A$5:$A$10,$X160+1)-($I160-DateToday+1))/(INDEX($A$5:$A$10,$X160+1)-INDEX($A$5:$A$10,$X160)))/INDEX(E$5:E$10,$X160+1)^((INDEX($A$5:$A$10,$X160)-($I160-DateToday+1))/(INDEX($A$5:$A$10,$X160+1)-INDEX($A$5:$A$10,$X160))))</f>
        <v>0.000104623028254409</v>
      </c>
      <c r="AC160" s="348" t="n">
        <f aca="false">IF($X160="",AC159^2/AC158,INDEX(F$5:F$10,$X160)^((INDEX($A$5:$A$10,$X160+1)-($I160-DateToday+1))/(INDEX($A$5:$A$10,$X160+1)-INDEX($A$5:$A$10,$X160)))/INDEX(F$5:F$10,$X160+1)^((INDEX($A$5:$A$10,$X160)-($I160-DateToday+1))/(INDEX($A$5:$A$10,$X160+1)-INDEX($A$5:$A$10,$X160))))</f>
        <v>0.000332049672736213</v>
      </c>
      <c r="AD160" s="348" t="n">
        <f aca="false">IF($X160="",AD159^2/AD158,INDEX(G$5:G$10,$X160)^((INDEX($A$5:$A$10,$X160+1)-($I160-DateToday+1))/(INDEX($A$5:$A$10,$X160+1)-INDEX($A$5:$A$10,$X160)))/INDEX(G$5:G$10,$X160+1)^((INDEX($A$5:$A$10,$X160)-($I160-DateToday+1))/(INDEX($A$5:$A$10,$X160+1)-INDEX($A$5:$A$10,$X160))))</f>
        <v>0.00123278898570639</v>
      </c>
      <c r="AE160" s="321" t="n">
        <v>0.073643700340856</v>
      </c>
      <c r="AF160" s="316" t="n">
        <f aca="false">(1+AE160/2)^(-2*(I161-DateToday)/365.25)</f>
        <v>0.392521645632456</v>
      </c>
      <c r="AG160" s="316" t="n">
        <f aca="false">AG159*(1+IF(AND(M160=1,L160&gt;YearStart),Escalation,0))</f>
        <v>1</v>
      </c>
      <c r="AH160" s="322" t="n">
        <f aca="false">IF(OR(DateStart&gt;=I161,DateEnd&lt;I160),0,Volume*AG160)</f>
        <v>0</v>
      </c>
      <c r="AI160" s="322" t="n">
        <f aca="false">AH160*AF160</f>
        <v>0</v>
      </c>
      <c r="AJ160" s="322" t="n">
        <f aca="false">IF(OR(DateStart2&gt;=I161,DateEnd2&lt;I160),0,VolumeSwaption*AG160)</f>
        <v>0</v>
      </c>
      <c r="AK160" s="322" t="n">
        <f aca="false">AJ160*AF160</f>
        <v>0</v>
      </c>
      <c r="AL160" s="316" t="str">
        <f aca="true">IF(AH160,OFFSET(BY160,0,HorizontalPriceOffset)+PriceSpreadAsian,"")</f>
        <v/>
      </c>
      <c r="AM160" s="316" t="str">
        <f aca="false">IF(AH160,Strike1/AL160-1,"")</f>
        <v/>
      </c>
      <c r="AN160" s="316" t="str">
        <f aca="false">IF(AH160,Strike2/AL160-1,"")</f>
        <v/>
      </c>
      <c r="AO160" s="323" t="str">
        <f aca="false">IF(AH160,IF(VolOverrideAsian,VolOverrideAsian,IF(ProductGroup=1,IF(Product&lt;3,DA161,DE161),W161)+VolSpreadAsian),"")</f>
        <v/>
      </c>
      <c r="AP160" s="323" t="str">
        <f aca="false">IF($AH160,$AO160+IF(SkewFlag=1,IF(AM160&gt;0,$AA160*MIN(AM160/10%,1)+($Z160-$AA160)*MAX(0,MIN(AM160/10%-1,1))+($Y160-$Z160)*MAX(0,AM160/10%-2),$AB160*MIN(-AM160/10%,1)+($AC160-$AB160)*MAX(0,MIN(-AM160/10%-1,1))+($AD160-$AC160)*MAX(0,-AM160/10%-2)),0),"")</f>
        <v/>
      </c>
      <c r="AQ160" s="323" t="str">
        <f aca="false">IF($AH160,$AO160+IF(SkewFlag=1,IF(AN160&gt;0,$AA160*MIN(AN160/10%,1)+($Z160-$AA160)*MAX(0,MIN(AN160/10%-1,1))+($Y160-$Z160)*MAX(0,AN160/10%-2),$AB160*MIN(-AN160/10%,1)+($AC160-$AB160)*MAX(0,MIN(-AN160/10%-1,1))+($AD160-$AC160)*MAX(0,-AN160/10%-2)),0),"")</f>
        <v/>
      </c>
      <c r="AR160" s="324" t="n">
        <f aca="false">IF(AH160,xASN(AL160,Strike1,AE160,AP160,0,N160,0,P160,Q160,IF(OptControl=4,0,1),0),0)</f>
        <v>0</v>
      </c>
      <c r="AS160" s="324" t="n">
        <f aca="false">IF(AH160,xASN(AL160,Strike1,AE160,AP160,0,N160,0,P160,Q160,IF(OptControl=4,0,1),1),0)</f>
        <v>0</v>
      </c>
      <c r="AT160" s="324" t="n">
        <f aca="false">IF(AH160,xASN(AL160,Strike1,AE160,AP160,0,N160,0,P160,Q160,IF(OptControl=4,0,1),2),0)</f>
        <v>0</v>
      </c>
      <c r="AU160" s="324" t="n">
        <f aca="false">IF(AH160,xASN(AL160,Strike1,AE160,AP160,0,N160,0,P160,Q160,IF(OptControl=4,0,1),3)/100,0)</f>
        <v>0</v>
      </c>
      <c r="AV160" s="324" t="n">
        <f aca="false">IF(AH160,xASN(AL160,Strike1,AE160,AP160,0,N160,0,P160-DaysForThetaCalculation/365.25,Q160-DaysForThetaCalculation/365.25,IF(OptControl=4,0,1),0)-xASN(AL160,Strike1,AE160,AP160,0,N160,0,P160,Q160,IF(OptControl=4,0,1),0),0)</f>
        <v>0</v>
      </c>
      <c r="AW160" s="324" t="n">
        <f aca="false">IF(AH160,xASN(AL160,Strike2,AE160,AQ160,0,N160,0,P160,Q160,IF(OptControl=3,1,0),0),0)</f>
        <v>0</v>
      </c>
      <c r="AX160" s="324" t="n">
        <f aca="false">IF(AH160,xASN(AL160,Strike2,AE160,AQ160,0,N160,0,P160,Q160,IF(OptControl=3,1,0),1),0)</f>
        <v>0</v>
      </c>
      <c r="AY160" s="324" t="n">
        <f aca="false">IF(AH160,xASN(AL160,Strike2,AE160,AQ160,0,N160,0,P160,Q160,IF(OptControl=3,1,0),2),0)</f>
        <v>0</v>
      </c>
      <c r="AZ160" s="324" t="n">
        <f aca="false">IF(AH160,xASN(AL160,Strike2,AE160,AQ160,0,N160,0,P160,Q160,IF(OptControl=3,1,0),3)/100,0)</f>
        <v>0</v>
      </c>
      <c r="BA160" s="324" t="n">
        <f aca="false">IF(AH160,xASN(AL160,Strike2,AE160,AQ160,0,N160,0,P160-DaysForThetaCalculation/365.25,Q160-DaysForThetaCalculation/365.25,IF(OptControl=3,1,0),0)-xASN(AL160,Strike2,AE160,AQ160,0,N160,0,P160,Q160,IF(OptControl=3,1,0),0),0)</f>
        <v>0</v>
      </c>
      <c r="BB160" s="325" t="str">
        <f aca="false">IF(AH160,IF(ProductGroup=1,IF(Product=1,BX160+PriceSpreadEuro,IF(Product=3,CK160+PriceSpreadEuro,"N/A")),"N/A"),"")</f>
        <v/>
      </c>
      <c r="BC160" s="316" t="str">
        <f aca="false">IF(AH160,Strike1/BB160-1,"")</f>
        <v/>
      </c>
      <c r="BD160" s="316" t="str">
        <f aca="false">IF(AH160,Strike2/BB160-1,"")</f>
        <v/>
      </c>
      <c r="BE160" s="326" t="str">
        <f aca="false">IF(AH160,IF(VolOverrideEuro,VolOverrideEuro,IF(ProductGroup=1,IF(Product&lt;3,DA160,DE160)+VolSpreadEuro,"N/A")),"")</f>
        <v/>
      </c>
      <c r="BF160" s="323" t="str">
        <f aca="false">IF($AH160,$BE160+IF(SkewFlag=1,IF(BC160&gt;0,$AA160*MIN(BC160/10%,1)+($Z160-$AA160)*MAX(0,MIN(BC160/10%-1,1))+($Y160-$Z160)*MAX(0,BC160/10%-2),$AB160*MIN(-BC160/10%,1)+($AC160-$AB160)*MAX(0,MIN(-BC160/10%-1,1))+($AD160-$AC160)*MAX(0,-BC160/10%-2)),0),"")</f>
        <v/>
      </c>
      <c r="BG160" s="323" t="str">
        <f aca="false">IF($AH160,$BE160+IF(SkewFlag=1,IF(BD160&gt;0,$AA160*MIN(BD160/10%,1)+($Z160-$AA160)*MAX(0,MIN(BD160/10%-1,1))+($Y160-$Z160)*MAX(0,BD160/10%-2),$AB160*MIN(-BD160/10%,1)+($AC160-$AB160)*MAX(0,MIN(-BD160/10%-1,1))+($AD160-$AC160)*MAX(0,-BD160/10%-2)),0),"")</f>
        <v/>
      </c>
      <c r="BH160" s="324" t="n">
        <f aca="false">IF(AH160,xEURO(BB160,Strike1,AE160,AE160,BF160,O160,IF(OptControl=4,0,1),0),0)</f>
        <v>0</v>
      </c>
      <c r="BI160" s="324" t="n">
        <f aca="false">IF(AH160,xEURO(BB160,Strike1,AE160,AE160,BF160,O160,IF(OptControl=4,0,1),1),0)</f>
        <v>0</v>
      </c>
      <c r="BJ160" s="324" t="n">
        <f aca="false">IF(AH160,xEURO(BB160,Strike1,AE160,AE160,BF160,O160,IF(OptControl=4,0,1),2),0)</f>
        <v>0</v>
      </c>
      <c r="BK160" s="324" t="n">
        <f aca="false">IF(AH160,xEURO(BB160,Strike1,AE160,AE160,BF160,O160,IF(OptControl=4,0,1),3)/100,0)</f>
        <v>0</v>
      </c>
      <c r="BL160" s="324" t="n">
        <f aca="false">IF(AH160,xEURO(BB160,Strike1,AE160,AE160,BF160,O160-DaysForThetaCalculation,IF(OptControl=4,0,1),0)-xEURO(BB160,Strike1,AE160,AE160,BF160,O160,IF(OptControl=4,0,1),0),0)</f>
        <v>0</v>
      </c>
      <c r="BM160" s="324" t="n">
        <f aca="false">IF(AH160,xEURO(BB160,Strike2,AE160,AE160,BG160,O160,IF(OptControl=3,1,0),0),0)</f>
        <v>0</v>
      </c>
      <c r="BN160" s="324" t="n">
        <f aca="false">IF(AH160,xEURO(BB160,Strike2,AE160,AE160,BG160,O160,IF(OptControl=3,1,0),1),0)</f>
        <v>0</v>
      </c>
      <c r="BO160" s="324" t="n">
        <f aca="false">IF(AH160,xEURO(BB160,Strike2,AE160,AE160,BG160,O160,IF(OptControl=3,1,0),2),0)</f>
        <v>0</v>
      </c>
      <c r="BP160" s="324" t="n">
        <f aca="false">IF(AH160,xEURO(BB160,Strike2,AE160,AE160,BG160,O160,IF(OptControl=3,1,0),3)/100,0)</f>
        <v>0</v>
      </c>
      <c r="BQ160" s="327" t="n">
        <f aca="false">IF(AH160,xEURO(BB160,Strike2,AE160,AE160,BG160,O160-DaysForThetaCalculation,IF(OptControl=3,1,0),0)-xEURO(BB160,Strike2,AE160,AE160,BG160,O160,IF(OptControl=3,1,0),0),0)</f>
        <v>0</v>
      </c>
      <c r="BR160" s="343"/>
      <c r="BS160" s="314"/>
      <c r="BT160" s="329" t="n">
        <f aca="false">BS160*100/42</f>
        <v>0</v>
      </c>
      <c r="BU160" s="329" t="n">
        <f aca="false">BS161-$U160</f>
        <v>-30.8250000000003</v>
      </c>
      <c r="BV160" s="224"/>
      <c r="BW160" s="329" t="n">
        <f aca="false">BW148+VLOOKUP(1900+$L160,ProductSpreadTable,2)</f>
        <v>14.0765714285714</v>
      </c>
      <c r="BX160" s="329" t="n">
        <f aca="false">($V159+BW159)*100/42</f>
        <v>103.574044795785</v>
      </c>
      <c r="BY160" s="332" t="n">
        <f aca="false">BX161</f>
        <v>106.908503401361</v>
      </c>
      <c r="BZ160" s="314"/>
      <c r="CA160" s="329" t="n">
        <f aca="false">BZ160*100/42</f>
        <v>0</v>
      </c>
      <c r="CB160" s="329" t="n">
        <f aca="false">BZ160-$U160</f>
        <v>-30.8250000000003</v>
      </c>
      <c r="CC160" s="329" t="n">
        <f aca="false">CC148+VLOOKUP(1900+$L160,ProductSpreadTable,3)</f>
        <v>12.5185714285714</v>
      </c>
      <c r="CD160" s="329" t="n">
        <f aca="false">($V160+CC160)*100/42</f>
        <v>103.198979591837</v>
      </c>
      <c r="CE160" s="333" t="n">
        <f aca="false">CD160-BY160</f>
        <v>-3.70952380952382</v>
      </c>
      <c r="CF160" s="314"/>
      <c r="CG160" s="329" t="n">
        <f aca="false">CF160*100/42</f>
        <v>0</v>
      </c>
      <c r="CH160" s="329" t="n">
        <f aca="false">CF161-$U160</f>
        <v>-30.8250000000003</v>
      </c>
      <c r="CI160" s="224"/>
      <c r="CJ160" s="329" t="n">
        <f aca="false">CJ148+VLOOKUP(1900+$L160,ProductSpreadTable,4)</f>
        <v>12.3045714285714</v>
      </c>
      <c r="CK160" s="329" t="n">
        <f aca="false">($V159+CJ159)*100/42</f>
        <v>101.954997176737</v>
      </c>
      <c r="CL160" s="329" t="n">
        <f aca="false">CK161</f>
        <v>102.689455782314</v>
      </c>
      <c r="CM160" s="314"/>
      <c r="CN160" s="329" t="n">
        <f aca="false">CM160*100/42</f>
        <v>0</v>
      </c>
      <c r="CO160" s="329" t="n">
        <f aca="false">CM160-$U160</f>
        <v>-30.8250000000003</v>
      </c>
      <c r="CP160" s="329" t="n">
        <f aca="false">CP148+VLOOKUP(1900+$L160,ProductSpreadTable,5)</f>
        <v>11.1915714285714</v>
      </c>
      <c r="CQ160" s="329" t="n">
        <f aca="false">($V160+CP160)*100/42</f>
        <v>100.039455782314</v>
      </c>
      <c r="CR160" s="333" t="n">
        <f aca="false">CQ160-CL160</f>
        <v>-2.65000000000001</v>
      </c>
      <c r="CS160" s="314"/>
      <c r="CT160" s="329" t="n">
        <f aca="false">CS160*100/42</f>
        <v>0</v>
      </c>
      <c r="CU160" s="329" t="n">
        <f aca="false">CT160-CG161</f>
        <v>0</v>
      </c>
      <c r="CV160" s="329" t="n">
        <f aca="false">CV148+VLOOKUP(1900+$L160,ProductSpreadTable,6)</f>
        <v>2.40000000000001</v>
      </c>
      <c r="CW160" s="333" t="n">
        <f aca="false">CL160+CV160</f>
        <v>105.089455782314</v>
      </c>
      <c r="CX160" s="318"/>
      <c r="CY160" s="326" t="n">
        <f aca="false">CX160-$W160</f>
        <v>-0.155699999999999</v>
      </c>
      <c r="CZ160" s="326" t="n">
        <f aca="false">VLOOKUP(1900+$L160,ProductSpreadTable,7)</f>
        <v>-0.03</v>
      </c>
      <c r="DA160" s="365" t="n">
        <f aca="false">$W160+CZ160</f>
        <v>0.125699999999999</v>
      </c>
      <c r="DB160" s="318"/>
      <c r="DC160" s="326" t="n">
        <f aca="false">DB160-$W160</f>
        <v>-0.155699999999999</v>
      </c>
      <c r="DD160" s="326" t="n">
        <f aca="false">VLOOKUP(1900+$L160,ProductSpreadTable,8)</f>
        <v>0.03</v>
      </c>
      <c r="DE160" s="365" t="n">
        <f aca="false">$W160+DD160</f>
        <v>0.185699999999999</v>
      </c>
      <c r="DG160" s="336"/>
      <c r="DH160" s="314"/>
      <c r="DI160" s="325" t="n">
        <f aca="false">DH160-$U160</f>
        <v>-30.8250000000003</v>
      </c>
      <c r="DJ160" s="325" t="n">
        <f aca="false">VLOOKUP(1900+$L160,ResidSpreadTable,2)</f>
        <v>-2</v>
      </c>
      <c r="DK160" s="337" t="n">
        <f aca="false">$V160+DJ160</f>
        <v>28.8250000000003</v>
      </c>
      <c r="DL160" s="314"/>
      <c r="DM160" s="325" t="n">
        <f aca="false">DL160-$U160</f>
        <v>-30.8250000000003</v>
      </c>
      <c r="DN160" s="325" t="n">
        <f aca="false">VLOOKUP(1900+$L160,ResidSpreadTable,3)</f>
        <v>-3</v>
      </c>
      <c r="DO160" s="337" t="n">
        <f aca="false">$V160+DN160</f>
        <v>27.8250000000003</v>
      </c>
      <c r="DP160" s="314"/>
      <c r="DQ160" s="325" t="n">
        <f aca="false">DP160-$U160</f>
        <v>-30.8250000000003</v>
      </c>
      <c r="DR160" s="325" t="n">
        <f aca="false">VLOOKUP(1900+$L160,ResidSpreadTable,4)</f>
        <v>-6</v>
      </c>
      <c r="DS160" s="337" t="n">
        <f aca="false">$V160+DR160</f>
        <v>24.8250000000003</v>
      </c>
      <c r="DT160" s="314"/>
      <c r="DU160" s="325" t="n">
        <f aca="false">DT160-$U160</f>
        <v>-30.8250000000003</v>
      </c>
      <c r="DV160" s="325" t="n">
        <f aca="false">VLOOKUP(1900+$L160,ResidSpreadTable,5)</f>
        <v>-5</v>
      </c>
      <c r="DW160" s="337" t="n">
        <f aca="false">$V160+DV160</f>
        <v>25.8250000000003</v>
      </c>
    </row>
    <row r="161" customFormat="false" ht="12.75" hidden="false" customHeight="false" outlineLevel="0" collapsed="false">
      <c r="B161" s="371" t="n">
        <v>40452</v>
      </c>
      <c r="C161" s="391" t="n">
        <v>40441</v>
      </c>
      <c r="I161" s="338" t="n">
        <f aca="false">EOMONTH(I160,0)+1</f>
        <v>50649</v>
      </c>
      <c r="J161" s="389" t="n">
        <f aca="false">VLOOKUP(I161,$B$12:$C$332,2)</f>
        <v>45644</v>
      </c>
      <c r="K161" s="339" t="n">
        <f aca="false">NETWORKDAYS(I161,J162)/N161</f>
        <v>-162.545454545455</v>
      </c>
      <c r="L161" s="309" t="n">
        <f aca="false">YEAR(I161)-1900</f>
        <v>138</v>
      </c>
      <c r="M161" s="310" t="n">
        <f aca="false">MONTH(I161)</f>
        <v>9</v>
      </c>
      <c r="N161" s="340" t="n">
        <f aca="false">NETWORKDAYS(I161,I162-1)</f>
        <v>22</v>
      </c>
      <c r="O161" s="341" t="n">
        <f aca="false">I161-DateToday-IF(EuroExpDateToggle=1,3+IF(WEEKDAY(I161-1)=7,1,IF(WEEKDAY(I161-1)&lt;5,2,0)),1+IF(WEEKDAY(I161-1)=7,1,IF(WEEKDAY(I161-1)&lt;3,2,0)))</f>
        <v>4718</v>
      </c>
      <c r="P161" s="342" t="n">
        <f aca="false">(I161-DateToday+1)/365.25</f>
        <v>12.933607118412</v>
      </c>
      <c r="Q161" s="342" t="n">
        <f aca="false">(I162-DateToday)/365.25</f>
        <v>13.0130047912389</v>
      </c>
      <c r="R161" s="314" t="n">
        <v>22.7000000000001</v>
      </c>
      <c r="S161" s="347" t="n">
        <v>0</v>
      </c>
      <c r="T161" s="316" t="n">
        <f aca="false">R161+S161/100</f>
        <v>22.7000000000001</v>
      </c>
      <c r="U161" s="325" t="n">
        <f aca="false">R162*K161+R163*(1-K161)</f>
        <v>30.9272727272723</v>
      </c>
      <c r="V161" s="337" t="n">
        <f aca="false">T162*K161+T163*(1-K161)</f>
        <v>30.9272727272723</v>
      </c>
      <c r="W161" s="318" t="n">
        <v>0.155299999999999</v>
      </c>
      <c r="X161" s="319" t="str">
        <f aca="false">IF($I161-DateToday+1&gt;=$A$10,"",IF($I161-DateToday+1&lt;$A$5,1,MATCH($I161-DateToday+1,$A$5:$A$10)))</f>
        <v/>
      </c>
      <c r="Y161" s="348" t="n">
        <f aca="false">IF($X161="",Y160^2/Y159,INDEX(B$5:B$10,$X161)^((INDEX($A$5:$A$10,$X161+1)-($I161-DateToday+1))/(INDEX($A$5:$A$10,$X161+1)-INDEX($A$5:$A$10,$X161)))/INDEX(B$5:B$10,$X161+1)^((INDEX($A$5:$A$10,$X161)-($I161-DateToday+1))/(INDEX($A$5:$A$10,$X161+1)-INDEX($A$5:$A$10,$X161))))</f>
        <v>0.000535509964712771</v>
      </c>
      <c r="Z161" s="348" t="n">
        <f aca="false">IF($X161="",Z160^2/Z159,INDEX(C$5:C$10,$X161)^((INDEX($A$5:$A$10,$X161+1)-($I161-DateToday+1))/(INDEX($A$5:$A$10,$X161+1)-INDEX($A$5:$A$10,$X161)))/INDEX(C$5:C$10,$X161+1)^((INDEX($A$5:$A$10,$X161)-($I161-DateToday+1))/(INDEX($A$5:$A$10,$X161+1)-INDEX($A$5:$A$10,$X161))))</f>
        <v>0.000143466460984095</v>
      </c>
      <c r="AA161" s="348" t="n">
        <f aca="false">IF($X161="",AA160^2/AA159,INDEX(D$5:D$10,$X161)^((INDEX($A$5:$A$10,$X161+1)-($I161-DateToday+1))/(INDEX($A$5:$A$10,$X161+1)-INDEX($A$5:$A$10,$X161)))/INDEX(D$5:D$10,$X161+1)^((INDEX($A$5:$A$10,$X161)-($I161-DateToday+1))/(INDEX($A$5:$A$10,$X161+1)-INDEX($A$5:$A$10,$X161))))</f>
        <v>4.50825475072613E-005</v>
      </c>
      <c r="AB161" s="348" t="n">
        <f aca="false">IF($X161="",AB160^2/AB159,INDEX(E$5:E$10,$X161)^((INDEX($A$5:$A$10,$X161+1)-($I161-DateToday+1))/(INDEX($A$5:$A$10,$X161+1)-INDEX($A$5:$A$10,$X161)))/INDEX(E$5:E$10,$X161+1)^((INDEX($A$5:$A$10,$X161)-($I161-DateToday+1))/(INDEX($A$5:$A$10,$X161+1)-INDEX($A$5:$A$10,$X161))))</f>
        <v>0.000101561963024367</v>
      </c>
      <c r="AC161" s="348" t="n">
        <f aca="false">IF($X161="",AC160^2/AC159,INDEX(F$5:F$10,$X161)^((INDEX($A$5:$A$10,$X161+1)-($I161-DateToday+1))/(INDEX($A$5:$A$10,$X161+1)-INDEX($A$5:$A$10,$X161)))/INDEX(F$5:F$10,$X161+1)^((INDEX($A$5:$A$10,$X161)-($I161-DateToday+1))/(INDEX($A$5:$A$10,$X161+1)-INDEX($A$5:$A$10,$X161))))</f>
        <v>0.000323201243304966</v>
      </c>
      <c r="AD161" s="348" t="n">
        <f aca="false">IF($X161="",AD160^2/AD159,INDEX(G$5:G$10,$X161)^((INDEX($A$5:$A$10,$X161+1)-($I161-DateToday+1))/(INDEX($A$5:$A$10,$X161+1)-INDEX($A$5:$A$10,$X161)))/INDEX(G$5:G$10,$X161+1)^((INDEX($A$5:$A$10,$X161)-($I161-DateToday+1))/(INDEX($A$5:$A$10,$X161+1)-INDEX($A$5:$A$10,$X161))))</f>
        <v>0.00120639684850481</v>
      </c>
      <c r="AE161" s="321" t="n">
        <v>0.073640122158891</v>
      </c>
      <c r="AF161" s="316" t="n">
        <f aca="false">(1+AE161/2)^(-2*(I162-DateToday)/365.25)</f>
        <v>0.390214478237441</v>
      </c>
      <c r="AG161" s="316" t="n">
        <f aca="false">AG160*(1+IF(AND(M161=1,L161&gt;YearStart),Escalation,0))</f>
        <v>1</v>
      </c>
      <c r="AH161" s="322" t="n">
        <f aca="false">IF(OR(DateStart&gt;=I162,DateEnd&lt;I161),0,Volume*AG161)</f>
        <v>0</v>
      </c>
      <c r="AI161" s="322" t="n">
        <f aca="false">AH161*AF161</f>
        <v>0</v>
      </c>
      <c r="AJ161" s="322" t="n">
        <f aca="false">IF(OR(DateStart2&gt;=I162,DateEnd2&lt;I161),0,VolumeSwaption*AG161)</f>
        <v>0</v>
      </c>
      <c r="AK161" s="322" t="n">
        <f aca="false">AJ161*AF161</f>
        <v>0</v>
      </c>
      <c r="AL161" s="316" t="str">
        <f aca="true">IF(AH161,OFFSET(BY161,0,HorizontalPriceOffset)+PriceSpreadAsian,"")</f>
        <v/>
      </c>
      <c r="AM161" s="316" t="str">
        <f aca="false">IF(AH161,Strike1/AL161-1,"")</f>
        <v/>
      </c>
      <c r="AN161" s="316" t="str">
        <f aca="false">IF(AH161,Strike2/AL161-1,"")</f>
        <v/>
      </c>
      <c r="AO161" s="323" t="str">
        <f aca="false">IF(AH161,IF(VolOverrideAsian,VolOverrideAsian,IF(ProductGroup=1,IF(Product&lt;3,DA162,DE162),W162)+VolSpreadAsian),"")</f>
        <v/>
      </c>
      <c r="AP161" s="323" t="str">
        <f aca="false">IF($AH161,$AO161+IF(SkewFlag=1,IF(AM161&gt;0,$AA161*MIN(AM161/10%,1)+($Z161-$AA161)*MAX(0,MIN(AM161/10%-1,1))+($Y161-$Z161)*MAX(0,AM161/10%-2),$AB161*MIN(-AM161/10%,1)+($AC161-$AB161)*MAX(0,MIN(-AM161/10%-1,1))+($AD161-$AC161)*MAX(0,-AM161/10%-2)),0),"")</f>
        <v/>
      </c>
      <c r="AQ161" s="323" t="str">
        <f aca="false">IF($AH161,$AO161+IF(SkewFlag=1,IF(AN161&gt;0,$AA161*MIN(AN161/10%,1)+($Z161-$AA161)*MAX(0,MIN(AN161/10%-1,1))+($Y161-$Z161)*MAX(0,AN161/10%-2),$AB161*MIN(-AN161/10%,1)+($AC161-$AB161)*MAX(0,MIN(-AN161/10%-1,1))+($AD161-$AC161)*MAX(0,-AN161/10%-2)),0),"")</f>
        <v/>
      </c>
      <c r="AR161" s="324" t="n">
        <f aca="false">IF(AH161,xASN(AL161,Strike1,AE161,AP161,0,N161,0,P161,Q161,IF(OptControl=4,0,1),0),0)</f>
        <v>0</v>
      </c>
      <c r="AS161" s="324" t="n">
        <f aca="false">IF(AH161,xASN(AL161,Strike1,AE161,AP161,0,N161,0,P161,Q161,IF(OptControl=4,0,1),1),0)</f>
        <v>0</v>
      </c>
      <c r="AT161" s="324" t="n">
        <f aca="false">IF(AH161,xASN(AL161,Strike1,AE161,AP161,0,N161,0,P161,Q161,IF(OptControl=4,0,1),2),0)</f>
        <v>0</v>
      </c>
      <c r="AU161" s="324" t="n">
        <f aca="false">IF(AH161,xASN(AL161,Strike1,AE161,AP161,0,N161,0,P161,Q161,IF(OptControl=4,0,1),3)/100,0)</f>
        <v>0</v>
      </c>
      <c r="AV161" s="324" t="n">
        <f aca="false">IF(AH161,xASN(AL161,Strike1,AE161,AP161,0,N161,0,P161-DaysForThetaCalculation/365.25,Q161-DaysForThetaCalculation/365.25,IF(OptControl=4,0,1),0)-xASN(AL161,Strike1,AE161,AP161,0,N161,0,P161,Q161,IF(OptControl=4,0,1),0),0)</f>
        <v>0</v>
      </c>
      <c r="AW161" s="324" t="n">
        <f aca="false">IF(AH161,xASN(AL161,Strike2,AE161,AQ161,0,N161,0,P161,Q161,IF(OptControl=3,1,0),0),0)</f>
        <v>0</v>
      </c>
      <c r="AX161" s="324" t="n">
        <f aca="false">IF(AH161,xASN(AL161,Strike2,AE161,AQ161,0,N161,0,P161,Q161,IF(OptControl=3,1,0),1),0)</f>
        <v>0</v>
      </c>
      <c r="AY161" s="324" t="n">
        <f aca="false">IF(AH161,xASN(AL161,Strike2,AE161,AQ161,0,N161,0,P161,Q161,IF(OptControl=3,1,0),2),0)</f>
        <v>0</v>
      </c>
      <c r="AZ161" s="324" t="n">
        <f aca="false">IF(AH161,xASN(AL161,Strike2,AE161,AQ161,0,N161,0,P161,Q161,IF(OptControl=3,1,0),3)/100,0)</f>
        <v>0</v>
      </c>
      <c r="BA161" s="324" t="n">
        <f aca="false">IF(AH161,xASN(AL161,Strike2,AE161,AQ161,0,N161,0,P161-DaysForThetaCalculation/365.25,Q161-DaysForThetaCalculation/365.25,IF(OptControl=3,1,0),0)-xASN(AL161,Strike2,AE161,AQ161,0,N161,0,P161,Q161,IF(OptControl=3,1,0),0),0)</f>
        <v>0</v>
      </c>
      <c r="BB161" s="325" t="str">
        <f aca="false">IF(AH161,IF(ProductGroup=1,IF(Product=1,BX161+PriceSpreadEuro,IF(Product=3,CK161+PriceSpreadEuro,"N/A")),"N/A"),"")</f>
        <v/>
      </c>
      <c r="BC161" s="316" t="str">
        <f aca="false">IF(AH161,Strike1/BB161-1,"")</f>
        <v/>
      </c>
      <c r="BD161" s="316" t="str">
        <f aca="false">IF(AH161,Strike2/BB161-1,"")</f>
        <v/>
      </c>
      <c r="BE161" s="326" t="str">
        <f aca="false">IF(AH161,IF(VolOverrideEuro,VolOverrideEuro,IF(ProductGroup=1,IF(Product&lt;3,DA161,DE161)+VolSpreadEuro,"N/A")),"")</f>
        <v/>
      </c>
      <c r="BF161" s="323" t="str">
        <f aca="false">IF($AH161,$BE161+IF(SkewFlag=1,IF(BC161&gt;0,$AA161*MIN(BC161/10%,1)+($Z161-$AA161)*MAX(0,MIN(BC161/10%-1,1))+($Y161-$Z161)*MAX(0,BC161/10%-2),$AB161*MIN(-BC161/10%,1)+($AC161-$AB161)*MAX(0,MIN(-BC161/10%-1,1))+($AD161-$AC161)*MAX(0,-BC161/10%-2)),0),"")</f>
        <v/>
      </c>
      <c r="BG161" s="323" t="str">
        <f aca="false">IF($AH161,$BE161+IF(SkewFlag=1,IF(BD161&gt;0,$AA161*MIN(BD161/10%,1)+($Z161-$AA161)*MAX(0,MIN(BD161/10%-1,1))+($Y161-$Z161)*MAX(0,BD161/10%-2),$AB161*MIN(-BD161/10%,1)+($AC161-$AB161)*MAX(0,MIN(-BD161/10%-1,1))+($AD161-$AC161)*MAX(0,-BD161/10%-2)),0),"")</f>
        <v/>
      </c>
      <c r="BH161" s="324" t="n">
        <f aca="false">IF(AH161,xEURO(BB161,Strike1,AE161,AE161,BF161,O161,IF(OptControl=4,0,1),0),0)</f>
        <v>0</v>
      </c>
      <c r="BI161" s="324" t="n">
        <f aca="false">IF(AH161,xEURO(BB161,Strike1,AE161,AE161,BF161,O161,IF(OptControl=4,0,1),1),0)</f>
        <v>0</v>
      </c>
      <c r="BJ161" s="324" t="n">
        <f aca="false">IF(AH161,xEURO(BB161,Strike1,AE161,AE161,BF161,O161,IF(OptControl=4,0,1),2),0)</f>
        <v>0</v>
      </c>
      <c r="BK161" s="324" t="n">
        <f aca="false">IF(AH161,xEURO(BB161,Strike1,AE161,AE161,BF161,O161,IF(OptControl=4,0,1),3)/100,0)</f>
        <v>0</v>
      </c>
      <c r="BL161" s="324" t="n">
        <f aca="false">IF(AH161,xEURO(BB161,Strike1,AE161,AE161,BF161,O161-DaysForThetaCalculation,IF(OptControl=4,0,1),0)-xEURO(BB161,Strike1,AE161,AE161,BF161,O161,IF(OptControl=4,0,1),0),0)</f>
        <v>0</v>
      </c>
      <c r="BM161" s="324" t="n">
        <f aca="false">IF(AH161,xEURO(BB161,Strike2,AE161,AE161,BG161,O161,IF(OptControl=3,1,0),0),0)</f>
        <v>0</v>
      </c>
      <c r="BN161" s="324" t="n">
        <f aca="false">IF(AH161,xEURO(BB161,Strike2,AE161,AE161,BG161,O161,IF(OptControl=3,1,0),1),0)</f>
        <v>0</v>
      </c>
      <c r="BO161" s="324" t="n">
        <f aca="false">IF(AH161,xEURO(BB161,Strike2,AE161,AE161,BG161,O161,IF(OptControl=3,1,0),2),0)</f>
        <v>0</v>
      </c>
      <c r="BP161" s="324" t="n">
        <f aca="false">IF(AH161,xEURO(BB161,Strike2,AE161,AE161,BG161,O161,IF(OptControl=3,1,0),3)/100,0)</f>
        <v>0</v>
      </c>
      <c r="BQ161" s="327" t="n">
        <f aca="false">IF(AH161,xEURO(BB161,Strike2,AE161,AE161,BG161,O161-DaysForThetaCalculation,IF(OptControl=3,1,0),0)-xEURO(BB161,Strike2,AE161,AE161,BG161,O161,IF(OptControl=3,1,0),0),0)</f>
        <v>0</v>
      </c>
      <c r="BR161" s="343"/>
      <c r="BS161" s="314"/>
      <c r="BT161" s="329" t="n">
        <f aca="false">BS161*100/42</f>
        <v>0</v>
      </c>
      <c r="BU161" s="329" t="n">
        <f aca="false">BS162-$U161</f>
        <v>-30.9272727272723</v>
      </c>
      <c r="BV161" s="224"/>
      <c r="BW161" s="329" t="n">
        <f aca="false">BW149+VLOOKUP(1900+$L161,ProductSpreadTable,2)</f>
        <v>12.142</v>
      </c>
      <c r="BX161" s="329" t="n">
        <f aca="false">($V160+BW160)*100/42</f>
        <v>106.908503401361</v>
      </c>
      <c r="BY161" s="332" t="n">
        <f aca="false">BX162</f>
        <v>102.545887445887</v>
      </c>
      <c r="BZ161" s="314"/>
      <c r="CA161" s="329" t="n">
        <f aca="false">BZ161*100/42</f>
        <v>0</v>
      </c>
      <c r="CB161" s="329" t="n">
        <f aca="false">BZ161-$U161</f>
        <v>-30.9272727272723</v>
      </c>
      <c r="CC161" s="329" t="n">
        <f aca="false">CC149+VLOOKUP(1900+$L161,ProductSpreadTable,3)</f>
        <v>14.493</v>
      </c>
      <c r="CD161" s="329" t="n">
        <f aca="false">($V161+CC161)*100/42</f>
        <v>108.143506493505</v>
      </c>
      <c r="CE161" s="333" t="n">
        <f aca="false">CD161-BY161</f>
        <v>5.59761904761895</v>
      </c>
      <c r="CF161" s="314"/>
      <c r="CG161" s="329" t="n">
        <f aca="false">CF161*100/42</f>
        <v>0</v>
      </c>
      <c r="CH161" s="329" t="n">
        <f aca="false">CF162-$U161</f>
        <v>-30.9272727272723</v>
      </c>
      <c r="CI161" s="224"/>
      <c r="CJ161" s="329" t="n">
        <f aca="false">CJ149+VLOOKUP(1900+$L161,ProductSpreadTable,4)</f>
        <v>11.474</v>
      </c>
      <c r="CK161" s="329" t="n">
        <f aca="false">($V160+CJ160)*100/42</f>
        <v>102.689455782314</v>
      </c>
      <c r="CL161" s="329" t="n">
        <f aca="false">CK162</f>
        <v>100.95541125541</v>
      </c>
      <c r="CM161" s="314"/>
      <c r="CN161" s="329" t="n">
        <f aca="false">CM161*100/42</f>
        <v>0</v>
      </c>
      <c r="CO161" s="329" t="n">
        <f aca="false">CM161-$U161</f>
        <v>-30.9272727272723</v>
      </c>
      <c r="CP161" s="329" t="n">
        <f aca="false">CP149+VLOOKUP(1900+$L161,ProductSpreadTable,5)</f>
        <v>10.361</v>
      </c>
      <c r="CQ161" s="329" t="n">
        <f aca="false">($V161+CP161)*100/42</f>
        <v>98.3054112554103</v>
      </c>
      <c r="CR161" s="333" t="n">
        <f aca="false">CQ161-CL161</f>
        <v>-2.65000000000001</v>
      </c>
      <c r="CS161" s="314"/>
      <c r="CT161" s="329" t="n">
        <f aca="false">CS161*100/42</f>
        <v>0</v>
      </c>
      <c r="CU161" s="329" t="n">
        <f aca="false">CT161-CG162</f>
        <v>0</v>
      </c>
      <c r="CV161" s="329" t="n">
        <f aca="false">CV149+VLOOKUP(1900+$L161,ProductSpreadTable,6)</f>
        <v>2.39999999999999</v>
      </c>
      <c r="CW161" s="333" t="n">
        <f aca="false">CL161+CV161</f>
        <v>103.35541125541</v>
      </c>
      <c r="CX161" s="318"/>
      <c r="CY161" s="326" t="n">
        <f aca="false">CX161-$W161</f>
        <v>-0.155299999999999</v>
      </c>
      <c r="CZ161" s="326" t="n">
        <f aca="false">VLOOKUP(1900+$L161,ProductSpreadTable,7)</f>
        <v>-0.03</v>
      </c>
      <c r="DA161" s="365" t="n">
        <f aca="false">$W161+CZ161</f>
        <v>0.125299999999999</v>
      </c>
      <c r="DB161" s="318"/>
      <c r="DC161" s="326" t="n">
        <f aca="false">DB161-$W161</f>
        <v>-0.155299999999999</v>
      </c>
      <c r="DD161" s="326" t="n">
        <f aca="false">VLOOKUP(1900+$L161,ProductSpreadTable,8)</f>
        <v>0.03</v>
      </c>
      <c r="DE161" s="365" t="n">
        <f aca="false">$W161+DD161</f>
        <v>0.185299999999999</v>
      </c>
      <c r="DG161" s="336"/>
      <c r="DH161" s="314"/>
      <c r="DI161" s="325" t="n">
        <f aca="false">DH161-$U161</f>
        <v>-30.9272727272723</v>
      </c>
      <c r="DJ161" s="325" t="n">
        <f aca="false">VLOOKUP(1900+$L161,ResidSpreadTable,2)</f>
        <v>-2</v>
      </c>
      <c r="DK161" s="337" t="n">
        <f aca="false">$V161+DJ161</f>
        <v>28.9272727272723</v>
      </c>
      <c r="DL161" s="314"/>
      <c r="DM161" s="325" t="n">
        <f aca="false">DL161-$U161</f>
        <v>-30.9272727272723</v>
      </c>
      <c r="DN161" s="325" t="n">
        <f aca="false">VLOOKUP(1900+$L161,ResidSpreadTable,3)</f>
        <v>-3</v>
      </c>
      <c r="DO161" s="337" t="n">
        <f aca="false">$V161+DN161</f>
        <v>27.9272727272723</v>
      </c>
      <c r="DP161" s="314"/>
      <c r="DQ161" s="325" t="n">
        <f aca="false">DP161-$U161</f>
        <v>-30.9272727272723</v>
      </c>
      <c r="DR161" s="325" t="n">
        <f aca="false">VLOOKUP(1900+$L161,ResidSpreadTable,4)</f>
        <v>-6</v>
      </c>
      <c r="DS161" s="337" t="n">
        <f aca="false">$V161+DR161</f>
        <v>24.9272727272723</v>
      </c>
      <c r="DT161" s="314"/>
      <c r="DU161" s="325" t="n">
        <f aca="false">DT161-$U161</f>
        <v>-30.9272727272723</v>
      </c>
      <c r="DV161" s="325" t="n">
        <f aca="false">VLOOKUP(1900+$L161,ResidSpreadTable,5)</f>
        <v>-5</v>
      </c>
      <c r="DW161" s="337" t="n">
        <f aca="false">$V161+DV161</f>
        <v>25.9272727272723</v>
      </c>
    </row>
    <row r="162" customFormat="false" ht="12.75" hidden="false" customHeight="false" outlineLevel="0" collapsed="false">
      <c r="B162" s="371" t="n">
        <v>40483</v>
      </c>
      <c r="C162" s="391" t="n">
        <v>40473</v>
      </c>
      <c r="I162" s="338" t="n">
        <f aca="false">EOMONTH(I161,0)+1</f>
        <v>50679</v>
      </c>
      <c r="J162" s="389" t="n">
        <f aca="false">VLOOKUP(I162,$B$12:$C$332,2)</f>
        <v>45644</v>
      </c>
      <c r="K162" s="339" t="n">
        <f aca="false">NETWORKDAYS(I162,J163)/N162</f>
        <v>-171.333333333333</v>
      </c>
      <c r="L162" s="309" t="n">
        <f aca="false">YEAR(I162)-1900</f>
        <v>138</v>
      </c>
      <c r="M162" s="310" t="n">
        <f aca="false">MONTH(I162)</f>
        <v>10</v>
      </c>
      <c r="N162" s="340" t="n">
        <f aca="false">NETWORKDAYS(I162,I163-1)</f>
        <v>21</v>
      </c>
      <c r="O162" s="341" t="n">
        <f aca="false">I162-DateToday-IF(EuroExpDateToggle=1,3+IF(WEEKDAY(I162-1)=7,1,IF(WEEKDAY(I162-1)&lt;5,2,0)),1+IF(WEEKDAY(I162-1)=7,1,IF(WEEKDAY(I162-1)&lt;3,2,0)))</f>
        <v>4750</v>
      </c>
      <c r="P162" s="342" t="n">
        <f aca="false">(I162-DateToday+1)/365.25</f>
        <v>13.015742642026</v>
      </c>
      <c r="Q162" s="342" t="n">
        <f aca="false">(I163-DateToday)/365.25</f>
        <v>13.09787816564</v>
      </c>
      <c r="R162" s="314" t="n">
        <v>22.7500000000001</v>
      </c>
      <c r="S162" s="347" t="n">
        <v>0</v>
      </c>
      <c r="T162" s="316" t="n">
        <f aca="false">R162+S162/100</f>
        <v>22.7500000000001</v>
      </c>
      <c r="U162" s="325" t="n">
        <f aca="false">R163*K162+R164*(1-K162)</f>
        <v>31.416666666667</v>
      </c>
      <c r="V162" s="337" t="n">
        <f aca="false">T163*K162+T164*(1-K162)</f>
        <v>31.416666666667</v>
      </c>
      <c r="W162" s="318" t="n">
        <v>0.154899999999999</v>
      </c>
      <c r="X162" s="319" t="str">
        <f aca="false">IF($I162-DateToday+1&gt;=$A$10,"",IF($I162-DateToday+1&lt;$A$5,1,MATCH($I162-DateToday+1,$A$5:$A$10)))</f>
        <v/>
      </c>
      <c r="Y162" s="348" t="n">
        <f aca="false">IF($X162="",Y161^2/Y160,INDEX(B$5:B$10,$X162)^((INDEX($A$5:$A$10,$X162+1)-($I162-DateToday+1))/(INDEX($A$5:$A$10,$X162+1)-INDEX($A$5:$A$10,$X162)))/INDEX(B$5:B$10,$X162+1)^((INDEX($A$5:$A$10,$X162)-($I162-DateToday+1))/(INDEX($A$5:$A$10,$X162+1)-INDEX($A$5:$A$10,$X162))))</f>
        <v>0.000524045510839983</v>
      </c>
      <c r="Z162" s="348" t="n">
        <f aca="false">IF($X162="",Z161^2/Z160,INDEX(C$5:C$10,$X162)^((INDEX($A$5:$A$10,$X162+1)-($I162-DateToday+1))/(INDEX($A$5:$A$10,$X162+1)-INDEX($A$5:$A$10,$X162)))/INDEX(C$5:C$10,$X162+1)^((INDEX($A$5:$A$10,$X162)-($I162-DateToday+1))/(INDEX($A$5:$A$10,$X162+1)-INDEX($A$5:$A$10,$X162))))</f>
        <v>0.000139643379800766</v>
      </c>
      <c r="AA162" s="348" t="n">
        <f aca="false">IF($X162="",AA161^2/AA160,INDEX(D$5:D$10,$X162)^((INDEX($A$5:$A$10,$X162+1)-($I162-DateToday+1))/(INDEX($A$5:$A$10,$X162+1)-INDEX($A$5:$A$10,$X162)))/INDEX(D$5:D$10,$X162+1)^((INDEX($A$5:$A$10,$X162)-($I162-DateToday+1))/(INDEX($A$5:$A$10,$X162+1)-INDEX($A$5:$A$10,$X162))))</f>
        <v>4.37635203202386E-005</v>
      </c>
      <c r="AB162" s="348" t="n">
        <f aca="false">IF($X162="",AB161^2/AB160,INDEX(E$5:E$10,$X162)^((INDEX($A$5:$A$10,$X162+1)-($I162-DateToday+1))/(INDEX($A$5:$A$10,$X162+1)-INDEX($A$5:$A$10,$X162)))/INDEX(E$5:E$10,$X162+1)^((INDEX($A$5:$A$10,$X162)-($I162-DateToday+1))/(INDEX($A$5:$A$10,$X162+1)-INDEX($A$5:$A$10,$X162))))</f>
        <v>9.85904585774418E-005</v>
      </c>
      <c r="AC162" s="348" t="n">
        <f aca="false">IF($X162="",AC161^2/AC160,INDEX(F$5:F$10,$X162)^((INDEX($A$5:$A$10,$X162+1)-($I162-DateToday+1))/(INDEX($A$5:$A$10,$X162+1)-INDEX($A$5:$A$10,$X162)))/INDEX(F$5:F$10,$X162+1)^((INDEX($A$5:$A$10,$X162)-($I162-DateToday+1))/(INDEX($A$5:$A$10,$X162+1)-INDEX($A$5:$A$10,$X162))))</f>
        <v>0.000314588606015161</v>
      </c>
      <c r="AD162" s="348" t="n">
        <f aca="false">IF($X162="",AD161^2/AD160,INDEX(G$5:G$10,$X162)^((INDEX($A$5:$A$10,$X162+1)-($I162-DateToday+1))/(INDEX($A$5:$A$10,$X162+1)-INDEX($A$5:$A$10,$X162)))/INDEX(G$5:G$10,$X162+1)^((INDEX($A$5:$A$10,$X162)-($I162-DateToday+1))/(INDEX($A$5:$A$10,$X162+1)-INDEX($A$5:$A$10,$X162))))</f>
        <v>0.00118056972682019</v>
      </c>
      <c r="AE162" s="321" t="n">
        <v>0.07363616060029</v>
      </c>
      <c r="AF162" s="316" t="n">
        <f aca="false">(1+AE162/2)^(-2*(I163-DateToday)/365.25)</f>
        <v>0.387846176026081</v>
      </c>
      <c r="AG162" s="316" t="n">
        <f aca="false">AG161*(1+IF(AND(M162=1,L162&gt;YearStart),Escalation,0))</f>
        <v>1</v>
      </c>
      <c r="AH162" s="322" t="n">
        <f aca="false">IF(OR(DateStart&gt;=I163,DateEnd&lt;I162),0,Volume*AG162)</f>
        <v>0</v>
      </c>
      <c r="AI162" s="322" t="n">
        <f aca="false">AH162*AF162</f>
        <v>0</v>
      </c>
      <c r="AJ162" s="322" t="n">
        <f aca="false">IF(OR(DateStart2&gt;=I163,DateEnd2&lt;I162),0,VolumeSwaption*AG162)</f>
        <v>0</v>
      </c>
      <c r="AK162" s="322" t="n">
        <f aca="false">AJ162*AF162</f>
        <v>0</v>
      </c>
      <c r="AL162" s="316" t="str">
        <f aca="true">IF(AH162,OFFSET(BY162,0,HorizontalPriceOffset)+PriceSpreadAsian,"")</f>
        <v/>
      </c>
      <c r="AM162" s="316" t="str">
        <f aca="false">IF(AH162,Strike1/AL162-1,"")</f>
        <v/>
      </c>
      <c r="AN162" s="316" t="str">
        <f aca="false">IF(AH162,Strike2/AL162-1,"")</f>
        <v/>
      </c>
      <c r="AO162" s="323" t="str">
        <f aca="false">IF(AH162,IF(VolOverrideAsian,VolOverrideAsian,IF(ProductGroup=1,IF(Product&lt;3,DA163,DE163),W163)+VolSpreadAsian),"")</f>
        <v/>
      </c>
      <c r="AP162" s="323" t="str">
        <f aca="false">IF($AH162,$AO162+IF(SkewFlag=1,IF(AM162&gt;0,$AA162*MIN(AM162/10%,1)+($Z162-$AA162)*MAX(0,MIN(AM162/10%-1,1))+($Y162-$Z162)*MAX(0,AM162/10%-2),$AB162*MIN(-AM162/10%,1)+($AC162-$AB162)*MAX(0,MIN(-AM162/10%-1,1))+($AD162-$AC162)*MAX(0,-AM162/10%-2)),0),"")</f>
        <v/>
      </c>
      <c r="AQ162" s="323" t="str">
        <f aca="false">IF($AH162,$AO162+IF(SkewFlag=1,IF(AN162&gt;0,$AA162*MIN(AN162/10%,1)+($Z162-$AA162)*MAX(0,MIN(AN162/10%-1,1))+($Y162-$Z162)*MAX(0,AN162/10%-2),$AB162*MIN(-AN162/10%,1)+($AC162-$AB162)*MAX(0,MIN(-AN162/10%-1,1))+($AD162-$AC162)*MAX(0,-AN162/10%-2)),0),"")</f>
        <v/>
      </c>
      <c r="AR162" s="324" t="n">
        <f aca="false">IF(AH162,xASN(AL162,Strike1,AE162,AP162,0,N162,0,P162,Q162,IF(OptControl=4,0,1),0),0)</f>
        <v>0</v>
      </c>
      <c r="AS162" s="324" t="n">
        <f aca="false">IF(AH162,xASN(AL162,Strike1,AE162,AP162,0,N162,0,P162,Q162,IF(OptControl=4,0,1),1),0)</f>
        <v>0</v>
      </c>
      <c r="AT162" s="324" t="n">
        <f aca="false">IF(AH162,xASN(AL162,Strike1,AE162,AP162,0,N162,0,P162,Q162,IF(OptControl=4,0,1),2),0)</f>
        <v>0</v>
      </c>
      <c r="AU162" s="324" t="n">
        <f aca="false">IF(AH162,xASN(AL162,Strike1,AE162,AP162,0,N162,0,P162,Q162,IF(OptControl=4,0,1),3)/100,0)</f>
        <v>0</v>
      </c>
      <c r="AV162" s="324" t="n">
        <f aca="false">IF(AH162,xASN(AL162,Strike1,AE162,AP162,0,N162,0,P162-DaysForThetaCalculation/365.25,Q162-DaysForThetaCalculation/365.25,IF(OptControl=4,0,1),0)-xASN(AL162,Strike1,AE162,AP162,0,N162,0,P162,Q162,IF(OptControl=4,0,1),0),0)</f>
        <v>0</v>
      </c>
      <c r="AW162" s="324" t="n">
        <f aca="false">IF(AH162,xASN(AL162,Strike2,AE162,AQ162,0,N162,0,P162,Q162,IF(OptControl=3,1,0),0),0)</f>
        <v>0</v>
      </c>
      <c r="AX162" s="324" t="n">
        <f aca="false">IF(AH162,xASN(AL162,Strike2,AE162,AQ162,0,N162,0,P162,Q162,IF(OptControl=3,1,0),1),0)</f>
        <v>0</v>
      </c>
      <c r="AY162" s="324" t="n">
        <f aca="false">IF(AH162,xASN(AL162,Strike2,AE162,AQ162,0,N162,0,P162,Q162,IF(OptControl=3,1,0),2),0)</f>
        <v>0</v>
      </c>
      <c r="AZ162" s="324" t="n">
        <f aca="false">IF(AH162,xASN(AL162,Strike2,AE162,AQ162,0,N162,0,P162,Q162,IF(OptControl=3,1,0),3)/100,0)</f>
        <v>0</v>
      </c>
      <c r="BA162" s="324" t="n">
        <f aca="false">IF(AH162,xASN(AL162,Strike2,AE162,AQ162,0,N162,0,P162-DaysForThetaCalculation/365.25,Q162-DaysForThetaCalculation/365.25,IF(OptControl=3,1,0),0)-xASN(AL162,Strike2,AE162,AQ162,0,N162,0,P162,Q162,IF(OptControl=3,1,0),0),0)</f>
        <v>0</v>
      </c>
      <c r="BB162" s="325" t="str">
        <f aca="false">IF(AH162,IF(ProductGroup=1,IF(Product=1,BX162+PriceSpreadEuro,IF(Product=3,CK162+PriceSpreadEuro,"N/A")),"N/A"),"")</f>
        <v/>
      </c>
      <c r="BC162" s="316" t="str">
        <f aca="false">IF(AH162,Strike1/BB162-1,"")</f>
        <v/>
      </c>
      <c r="BD162" s="316" t="str">
        <f aca="false">IF(AH162,Strike2/BB162-1,"")</f>
        <v/>
      </c>
      <c r="BE162" s="326" t="str">
        <f aca="false">IF(AH162,IF(VolOverrideEuro,VolOverrideEuro,IF(ProductGroup=1,IF(Product&lt;3,DA162,DE162)+VolSpreadEuro,"N/A")),"")</f>
        <v/>
      </c>
      <c r="BF162" s="323" t="str">
        <f aca="false">IF($AH162,$BE162+IF(SkewFlag=1,IF(BC162&gt;0,$AA162*MIN(BC162/10%,1)+($Z162-$AA162)*MAX(0,MIN(BC162/10%-1,1))+($Y162-$Z162)*MAX(0,BC162/10%-2),$AB162*MIN(-BC162/10%,1)+($AC162-$AB162)*MAX(0,MIN(-BC162/10%-1,1))+($AD162-$AC162)*MAX(0,-BC162/10%-2)),0),"")</f>
        <v/>
      </c>
      <c r="BG162" s="323" t="str">
        <f aca="false">IF($AH162,$BE162+IF(SkewFlag=1,IF(BD162&gt;0,$AA162*MIN(BD162/10%,1)+($Z162-$AA162)*MAX(0,MIN(BD162/10%-1,1))+($Y162-$Z162)*MAX(0,BD162/10%-2),$AB162*MIN(-BD162/10%,1)+($AC162-$AB162)*MAX(0,MIN(-BD162/10%-1,1))+($AD162-$AC162)*MAX(0,-BD162/10%-2)),0),"")</f>
        <v/>
      </c>
      <c r="BH162" s="324" t="n">
        <f aca="false">IF(AH162,xEURO(BB162,Strike1,AE162,AE162,BF162,O162,IF(OptControl=4,0,1),0),0)</f>
        <v>0</v>
      </c>
      <c r="BI162" s="324" t="n">
        <f aca="false">IF(AH162,xEURO(BB162,Strike1,AE162,AE162,BF162,O162,IF(OptControl=4,0,1),1),0)</f>
        <v>0</v>
      </c>
      <c r="BJ162" s="324" t="n">
        <f aca="false">IF(AH162,xEURO(BB162,Strike1,AE162,AE162,BF162,O162,IF(OptControl=4,0,1),2),0)</f>
        <v>0</v>
      </c>
      <c r="BK162" s="324" t="n">
        <f aca="false">IF(AH162,xEURO(BB162,Strike1,AE162,AE162,BF162,O162,IF(OptControl=4,0,1),3)/100,0)</f>
        <v>0</v>
      </c>
      <c r="BL162" s="324" t="n">
        <f aca="false">IF(AH162,xEURO(BB162,Strike1,AE162,AE162,BF162,O162-DaysForThetaCalculation,IF(OptControl=4,0,1),0)-xEURO(BB162,Strike1,AE162,AE162,BF162,O162,IF(OptControl=4,0,1),0),0)</f>
        <v>0</v>
      </c>
      <c r="BM162" s="324" t="n">
        <f aca="false">IF(AH162,xEURO(BB162,Strike2,AE162,AE162,BG162,O162,IF(OptControl=3,1,0),0),0)</f>
        <v>0</v>
      </c>
      <c r="BN162" s="324" t="n">
        <f aca="false">IF(AH162,xEURO(BB162,Strike2,AE162,AE162,BG162,O162,IF(OptControl=3,1,0),1),0)</f>
        <v>0</v>
      </c>
      <c r="BO162" s="324" t="n">
        <f aca="false">IF(AH162,xEURO(BB162,Strike2,AE162,AE162,BG162,O162,IF(OptControl=3,1,0),2),0)</f>
        <v>0</v>
      </c>
      <c r="BP162" s="324" t="n">
        <f aca="false">IF(AH162,xEURO(BB162,Strike2,AE162,AE162,BG162,O162,IF(OptControl=3,1,0),3)/100,0)</f>
        <v>0</v>
      </c>
      <c r="BQ162" s="327" t="n">
        <f aca="false">IF(AH162,xEURO(BB162,Strike2,AE162,AE162,BG162,O162-DaysForThetaCalculation,IF(OptControl=3,1,0),0)-xEURO(BB162,Strike2,AE162,AE162,BG162,O162,IF(OptControl=3,1,0),0),0)</f>
        <v>0</v>
      </c>
      <c r="BR162" s="343"/>
      <c r="BS162" s="314"/>
      <c r="BT162" s="329" t="n">
        <f aca="false">BS162*100/42</f>
        <v>0</v>
      </c>
      <c r="BU162" s="329" t="n">
        <f aca="false">BS163-$U162</f>
        <v>-31.416666666667</v>
      </c>
      <c r="BV162" s="224"/>
      <c r="BW162" s="329" t="n">
        <f aca="false">BW150+VLOOKUP(1900+$L162,ProductSpreadTable,2)</f>
        <v>22.3743478260869</v>
      </c>
      <c r="BX162" s="329" t="n">
        <f aca="false">($V161+BW161)*100/42</f>
        <v>102.545887445887</v>
      </c>
      <c r="BY162" s="332" t="n">
        <f aca="false">BX163</f>
        <v>128.073844030366</v>
      </c>
      <c r="BZ162" s="314"/>
      <c r="CA162" s="329" t="n">
        <f aca="false">BZ162*100/42</f>
        <v>0</v>
      </c>
      <c r="CB162" s="329" t="n">
        <f aca="false">BZ162-$U162</f>
        <v>-31.416666666667</v>
      </c>
      <c r="CC162" s="329" t="n">
        <f aca="false">CC150+VLOOKUP(1900+$L162,ProductSpreadTable,3)</f>
        <v>19.7493478260869</v>
      </c>
      <c r="CD162" s="329" t="n">
        <f aca="false">($V162+CC162)*100/42</f>
        <v>121.823844030366</v>
      </c>
      <c r="CE162" s="333" t="n">
        <f aca="false">CD162-BY162</f>
        <v>-6.25</v>
      </c>
      <c r="CF162" s="314"/>
      <c r="CG162" s="329" t="n">
        <f aca="false">CF162*100/42</f>
        <v>0</v>
      </c>
      <c r="CH162" s="329" t="n">
        <f aca="false">CF163-$U162</f>
        <v>-31.416666666667</v>
      </c>
      <c r="CI162" s="224"/>
      <c r="CJ162" s="329" t="n">
        <f aca="false">CJ150+VLOOKUP(1900+$L162,ProductSpreadTable,4)</f>
        <v>10.1616363636363</v>
      </c>
      <c r="CK162" s="329" t="n">
        <f aca="false">($V161+CJ161)*100/42</f>
        <v>100.95541125541</v>
      </c>
      <c r="CL162" s="329" t="n">
        <f aca="false">CK163</f>
        <v>98.9959595959603</v>
      </c>
      <c r="CM162" s="314"/>
      <c r="CN162" s="329" t="n">
        <f aca="false">CM162*100/42</f>
        <v>0</v>
      </c>
      <c r="CO162" s="329" t="n">
        <f aca="false">CM162-$U162</f>
        <v>-31.416666666667</v>
      </c>
      <c r="CP162" s="329" t="n">
        <f aca="false">CP150+VLOOKUP(1900+$L162,ProductSpreadTable,5)</f>
        <v>9.23763636363634</v>
      </c>
      <c r="CQ162" s="329" t="n">
        <f aca="false">($V162+CP162)*100/42</f>
        <v>96.7959595959603</v>
      </c>
      <c r="CR162" s="333" t="n">
        <f aca="false">CQ162-CL162</f>
        <v>-2.20000000000002</v>
      </c>
      <c r="CS162" s="314"/>
      <c r="CT162" s="329" t="n">
        <f aca="false">CS162*100/42</f>
        <v>0</v>
      </c>
      <c r="CU162" s="329" t="n">
        <f aca="false">CT162-CG163</f>
        <v>0</v>
      </c>
      <c r="CV162" s="329" t="n">
        <f aca="false">CV150+VLOOKUP(1900+$L162,ProductSpreadTable,6)</f>
        <v>2.39999999999999</v>
      </c>
      <c r="CW162" s="333" t="n">
        <f aca="false">CL162+CV162</f>
        <v>101.39595959596</v>
      </c>
      <c r="CX162" s="318"/>
      <c r="CY162" s="326" t="n">
        <f aca="false">CX162-$W162</f>
        <v>-0.154899999999999</v>
      </c>
      <c r="CZ162" s="326" t="n">
        <f aca="false">VLOOKUP(1900+$L162,ProductSpreadTable,7)</f>
        <v>-0.03</v>
      </c>
      <c r="DA162" s="365" t="n">
        <f aca="false">$W162+CZ162</f>
        <v>0.124899999999999</v>
      </c>
      <c r="DB162" s="318"/>
      <c r="DC162" s="326" t="n">
        <f aca="false">DB162-$W162</f>
        <v>-0.154899999999999</v>
      </c>
      <c r="DD162" s="326" t="n">
        <f aca="false">VLOOKUP(1900+$L162,ProductSpreadTable,8)</f>
        <v>0.03</v>
      </c>
      <c r="DE162" s="365" t="n">
        <f aca="false">$W162+DD162</f>
        <v>0.184899999999999</v>
      </c>
      <c r="DG162" s="336"/>
      <c r="DH162" s="314"/>
      <c r="DI162" s="325" t="n">
        <f aca="false">DH162-$U162</f>
        <v>-31.416666666667</v>
      </c>
      <c r="DJ162" s="325" t="n">
        <f aca="false">VLOOKUP(1900+$L162,ResidSpreadTable,2)</f>
        <v>-2</v>
      </c>
      <c r="DK162" s="337" t="n">
        <f aca="false">$V162+DJ162</f>
        <v>29.416666666667</v>
      </c>
      <c r="DL162" s="314"/>
      <c r="DM162" s="325" t="n">
        <f aca="false">DL162-$U162</f>
        <v>-31.416666666667</v>
      </c>
      <c r="DN162" s="325" t="n">
        <f aca="false">VLOOKUP(1900+$L162,ResidSpreadTable,3)</f>
        <v>-3</v>
      </c>
      <c r="DO162" s="337" t="n">
        <f aca="false">$V162+DN162</f>
        <v>28.416666666667</v>
      </c>
      <c r="DP162" s="314"/>
      <c r="DQ162" s="325" t="n">
        <f aca="false">DP162-$U162</f>
        <v>-31.416666666667</v>
      </c>
      <c r="DR162" s="325" t="n">
        <f aca="false">VLOOKUP(1900+$L162,ResidSpreadTable,4)</f>
        <v>-6</v>
      </c>
      <c r="DS162" s="337" t="n">
        <f aca="false">$V162+DR162</f>
        <v>25.416666666667</v>
      </c>
      <c r="DT162" s="314"/>
      <c r="DU162" s="325" t="n">
        <f aca="false">DT162-$U162</f>
        <v>-31.416666666667</v>
      </c>
      <c r="DV162" s="325" t="n">
        <f aca="false">VLOOKUP(1900+$L162,ResidSpreadTable,5)</f>
        <v>-5</v>
      </c>
      <c r="DW162" s="337" t="n">
        <f aca="false">$V162+DV162</f>
        <v>26.416666666667</v>
      </c>
    </row>
    <row r="163" customFormat="false" ht="12.75" hidden="false" customHeight="false" outlineLevel="0" collapsed="false">
      <c r="B163" s="371" t="n">
        <v>40513</v>
      </c>
      <c r="C163" s="391" t="n">
        <v>40501</v>
      </c>
      <c r="I163" s="338" t="n">
        <f aca="false">EOMONTH(I162,0)+1</f>
        <v>50710</v>
      </c>
      <c r="J163" s="389" t="n">
        <f aca="false">VLOOKUP(I163,$B$12:$C$332,2)</f>
        <v>45644</v>
      </c>
      <c r="K163" s="339" t="n">
        <f aca="false">NETWORKDAYS(I163,J164)/N163</f>
        <v>-164.5</v>
      </c>
      <c r="L163" s="309" t="n">
        <f aca="false">YEAR(I163)-1900</f>
        <v>138</v>
      </c>
      <c r="M163" s="310" t="n">
        <f aca="false">MONTH(I163)</f>
        <v>11</v>
      </c>
      <c r="N163" s="340" t="n">
        <f aca="false">NETWORKDAYS(I163,I164-1)</f>
        <v>22</v>
      </c>
      <c r="O163" s="341" t="n">
        <f aca="false">I163-DateToday-IF(EuroExpDateToggle=1,3+IF(WEEKDAY(I163-1)=7,1,IF(WEEKDAY(I163-1)&lt;5,2,0)),1+IF(WEEKDAY(I163-1)=7,1,IF(WEEKDAY(I163-1)&lt;3,2,0)))</f>
        <v>4779</v>
      </c>
      <c r="P163" s="342" t="n">
        <f aca="false">(I163-DateToday+1)/365.25</f>
        <v>13.1006160164271</v>
      </c>
      <c r="Q163" s="342" t="n">
        <f aca="false">(I164-DateToday)/365.25</f>
        <v>13.1800136892539</v>
      </c>
      <c r="R163" s="314" t="n">
        <v>22.8000000000001</v>
      </c>
      <c r="S163" s="347" t="n">
        <v>0</v>
      </c>
      <c r="T163" s="316" t="n">
        <f aca="false">R163+S163/100</f>
        <v>22.8000000000001</v>
      </c>
      <c r="U163" s="325" t="n">
        <f aca="false">R164*K163+R165*(1-K163)</f>
        <v>31.1250000000005</v>
      </c>
      <c r="V163" s="337" t="n">
        <f aca="false">T164*K163+T165*(1-K163)</f>
        <v>31.1250000000005</v>
      </c>
      <c r="W163" s="318" t="n">
        <v>0.154499999999999</v>
      </c>
      <c r="X163" s="319" t="str">
        <f aca="false">IF($I163-DateToday+1&gt;=$A$10,"",IF($I163-DateToday+1&lt;$A$5,1,MATCH($I163-DateToday+1,$A$5:$A$10)))</f>
        <v/>
      </c>
      <c r="Y163" s="348" t="n">
        <f aca="false">IF($X163="",Y162^2/Y161,INDEX(B$5:B$10,$X163)^((INDEX($A$5:$A$10,$X163+1)-($I163-DateToday+1))/(INDEX($A$5:$A$10,$X163+1)-INDEX($A$5:$A$10,$X163)))/INDEX(B$5:B$10,$X163+1)^((INDEX($A$5:$A$10,$X163)-($I163-DateToday+1))/(INDEX($A$5:$A$10,$X163+1)-INDEX($A$5:$A$10,$X163))))</f>
        <v>0.00051282649348801</v>
      </c>
      <c r="Z163" s="348" t="n">
        <f aca="false">IF($X163="",Z162^2/Z161,INDEX(C$5:C$10,$X163)^((INDEX($A$5:$A$10,$X163+1)-($I163-DateToday+1))/(INDEX($A$5:$A$10,$X163+1)-INDEX($A$5:$A$10,$X163)))/INDEX(C$5:C$10,$X163+1)^((INDEX($A$5:$A$10,$X163)-($I163-DateToday+1))/(INDEX($A$5:$A$10,$X163+1)-INDEX($A$5:$A$10,$X163))))</f>
        <v>0.000135922175736549</v>
      </c>
      <c r="AA163" s="348" t="n">
        <f aca="false">IF($X163="",AA162^2/AA161,INDEX(D$5:D$10,$X163)^((INDEX($A$5:$A$10,$X163+1)-($I163-DateToday+1))/(INDEX($A$5:$A$10,$X163+1)-INDEX($A$5:$A$10,$X163)))/INDEX(D$5:D$10,$X163+1)^((INDEX($A$5:$A$10,$X163)-($I163-DateToday+1))/(INDEX($A$5:$A$10,$X163+1)-INDEX($A$5:$A$10,$X163))))</f>
        <v>4.24830852895226E-005</v>
      </c>
      <c r="AB163" s="348" t="n">
        <f aca="false">IF($X163="",AB162^2/AB161,INDEX(E$5:E$10,$X163)^((INDEX($A$5:$A$10,$X163+1)-($I163-DateToday+1))/(INDEX($A$5:$A$10,$X163+1)-INDEX($A$5:$A$10,$X163)))/INDEX(E$5:E$10,$X163+1)^((INDEX($A$5:$A$10,$X163)-($I163-DateToday+1))/(INDEX($A$5:$A$10,$X163+1)-INDEX($A$5:$A$10,$X163))))</f>
        <v>9.57058945402447E-005</v>
      </c>
      <c r="AC163" s="348" t="n">
        <f aca="false">IF($X163="",AC162^2/AC161,INDEX(F$5:F$10,$X163)^((INDEX($A$5:$A$10,$X163+1)-($I163-DateToday+1))/(INDEX($A$5:$A$10,$X163+1)-INDEX($A$5:$A$10,$X163)))/INDEX(F$5:F$10,$X163+1)^((INDEX($A$5:$A$10,$X163)-($I163-DateToday+1))/(INDEX($A$5:$A$10,$X163+1)-INDEX($A$5:$A$10,$X163))))</f>
        <v>0.000306205477499293</v>
      </c>
      <c r="AD163" s="348" t="n">
        <f aca="false">IF($X163="",AD162^2/AD161,INDEX(G$5:G$10,$X163)^((INDEX($A$5:$A$10,$X163+1)-($I163-DateToday+1))/(INDEX($A$5:$A$10,$X163+1)-INDEX($A$5:$A$10,$X163)))/INDEX(G$5:G$10,$X163+1)^((INDEX($A$5:$A$10,$X163)-($I163-DateToday+1))/(INDEX($A$5:$A$10,$X163+1)-INDEX($A$5:$A$10,$X163))))</f>
        <v>0.00115529552452967</v>
      </c>
      <c r="AE163" s="321" t="n">
        <v>0.073632326833908</v>
      </c>
      <c r="AF163" s="316" t="n">
        <f aca="false">(1+AE163/2)^(-2*(I164-DateToday)/365.25)</f>
        <v>0.385568195441172</v>
      </c>
      <c r="AG163" s="316" t="n">
        <f aca="false">AG162*(1+IF(AND(M163=1,L163&gt;YearStart),Escalation,0))</f>
        <v>1</v>
      </c>
      <c r="AH163" s="322" t="n">
        <f aca="false">IF(OR(DateStart&gt;=I164,DateEnd&lt;I163),0,Volume*AG163)</f>
        <v>0</v>
      </c>
      <c r="AI163" s="322" t="n">
        <f aca="false">AH163*AF163</f>
        <v>0</v>
      </c>
      <c r="AJ163" s="322" t="n">
        <f aca="false">IF(OR(DateStart2&gt;=I164,DateEnd2&lt;I163),0,VolumeSwaption*AG163)</f>
        <v>0</v>
      </c>
      <c r="AK163" s="322" t="n">
        <f aca="false">AJ163*AF163</f>
        <v>0</v>
      </c>
      <c r="AL163" s="316" t="str">
        <f aca="true">IF(AH163,OFFSET(BY163,0,HorizontalPriceOffset)+PriceSpreadAsian,"")</f>
        <v/>
      </c>
      <c r="AM163" s="316" t="str">
        <f aca="false">IF(AH163,Strike1/AL163-1,"")</f>
        <v/>
      </c>
      <c r="AN163" s="316" t="str">
        <f aca="false">IF(AH163,Strike2/AL163-1,"")</f>
        <v/>
      </c>
      <c r="AO163" s="323" t="str">
        <f aca="false">IF(AH163,IF(VolOverrideAsian,VolOverrideAsian,IF(ProductGroup=1,IF(Product&lt;3,DA164,DE164),W164)+VolSpreadAsian),"")</f>
        <v/>
      </c>
      <c r="AP163" s="323" t="str">
        <f aca="false">IF($AH163,$AO163+IF(SkewFlag=1,IF(AM163&gt;0,$AA163*MIN(AM163/10%,1)+($Z163-$AA163)*MAX(0,MIN(AM163/10%-1,1))+($Y163-$Z163)*MAX(0,AM163/10%-2),$AB163*MIN(-AM163/10%,1)+($AC163-$AB163)*MAX(0,MIN(-AM163/10%-1,1))+($AD163-$AC163)*MAX(0,-AM163/10%-2)),0),"")</f>
        <v/>
      </c>
      <c r="AQ163" s="323" t="str">
        <f aca="false">IF($AH163,$AO163+IF(SkewFlag=1,IF(AN163&gt;0,$AA163*MIN(AN163/10%,1)+($Z163-$AA163)*MAX(0,MIN(AN163/10%-1,1))+($Y163-$Z163)*MAX(0,AN163/10%-2),$AB163*MIN(-AN163/10%,1)+($AC163-$AB163)*MAX(0,MIN(-AN163/10%-1,1))+($AD163-$AC163)*MAX(0,-AN163/10%-2)),0),"")</f>
        <v/>
      </c>
      <c r="AR163" s="324" t="n">
        <f aca="false">IF(AH163,xASN(AL163,Strike1,AE163,AP163,0,N163,0,P163,Q163,IF(OptControl=4,0,1),0),0)</f>
        <v>0</v>
      </c>
      <c r="AS163" s="324" t="n">
        <f aca="false">IF(AH163,xASN(AL163,Strike1,AE163,AP163,0,N163,0,P163,Q163,IF(OptControl=4,0,1),1),0)</f>
        <v>0</v>
      </c>
      <c r="AT163" s="324" t="n">
        <f aca="false">IF(AH163,xASN(AL163,Strike1,AE163,AP163,0,N163,0,P163,Q163,IF(OptControl=4,0,1),2),0)</f>
        <v>0</v>
      </c>
      <c r="AU163" s="324" t="n">
        <f aca="false">IF(AH163,xASN(AL163,Strike1,AE163,AP163,0,N163,0,P163,Q163,IF(OptControl=4,0,1),3)/100,0)</f>
        <v>0</v>
      </c>
      <c r="AV163" s="324" t="n">
        <f aca="false">IF(AH163,xASN(AL163,Strike1,AE163,AP163,0,N163,0,P163-DaysForThetaCalculation/365.25,Q163-DaysForThetaCalculation/365.25,IF(OptControl=4,0,1),0)-xASN(AL163,Strike1,AE163,AP163,0,N163,0,P163,Q163,IF(OptControl=4,0,1),0),0)</f>
        <v>0</v>
      </c>
      <c r="AW163" s="324" t="n">
        <f aca="false">IF(AH163,xASN(AL163,Strike2,AE163,AQ163,0,N163,0,P163,Q163,IF(OptControl=3,1,0),0),0)</f>
        <v>0</v>
      </c>
      <c r="AX163" s="324" t="n">
        <f aca="false">IF(AH163,xASN(AL163,Strike2,AE163,AQ163,0,N163,0,P163,Q163,IF(OptControl=3,1,0),1),0)</f>
        <v>0</v>
      </c>
      <c r="AY163" s="324" t="n">
        <f aca="false">IF(AH163,xASN(AL163,Strike2,AE163,AQ163,0,N163,0,P163,Q163,IF(OptControl=3,1,0),2),0)</f>
        <v>0</v>
      </c>
      <c r="AZ163" s="324" t="n">
        <f aca="false">IF(AH163,xASN(AL163,Strike2,AE163,AQ163,0,N163,0,P163,Q163,IF(OptControl=3,1,0),3)/100,0)</f>
        <v>0</v>
      </c>
      <c r="BA163" s="324" t="n">
        <f aca="false">IF(AH163,xASN(AL163,Strike2,AE163,AQ163,0,N163,0,P163-DaysForThetaCalculation/365.25,Q163-DaysForThetaCalculation/365.25,IF(OptControl=3,1,0),0)-xASN(AL163,Strike2,AE163,AQ163,0,N163,0,P163,Q163,IF(OptControl=3,1,0),0),0)</f>
        <v>0</v>
      </c>
      <c r="BB163" s="325" t="str">
        <f aca="false">IF(AH163,IF(ProductGroup=1,IF(Product=1,BX163+PriceSpreadEuro,IF(Product=3,CK163+PriceSpreadEuro,"N/A")),"N/A"),"")</f>
        <v/>
      </c>
      <c r="BC163" s="316" t="str">
        <f aca="false">IF(AH163,Strike1/BB163-1,"")</f>
        <v/>
      </c>
      <c r="BD163" s="316" t="str">
        <f aca="false">IF(AH163,Strike2/BB163-1,"")</f>
        <v/>
      </c>
      <c r="BE163" s="326" t="str">
        <f aca="false">IF(AH163,IF(VolOverrideEuro,VolOverrideEuro,IF(ProductGroup=1,IF(Product&lt;3,DA163,DE163)+VolSpreadEuro,"N/A")),"")</f>
        <v/>
      </c>
      <c r="BF163" s="323" t="str">
        <f aca="false">IF($AH163,$BE163+IF(SkewFlag=1,IF(BC163&gt;0,$AA163*MIN(BC163/10%,1)+($Z163-$AA163)*MAX(0,MIN(BC163/10%-1,1))+($Y163-$Z163)*MAX(0,BC163/10%-2),$AB163*MIN(-BC163/10%,1)+($AC163-$AB163)*MAX(0,MIN(-BC163/10%-1,1))+($AD163-$AC163)*MAX(0,-BC163/10%-2)),0),"")</f>
        <v/>
      </c>
      <c r="BG163" s="323" t="str">
        <f aca="false">IF($AH163,$BE163+IF(SkewFlag=1,IF(BD163&gt;0,$AA163*MIN(BD163/10%,1)+($Z163-$AA163)*MAX(0,MIN(BD163/10%-1,1))+($Y163-$Z163)*MAX(0,BD163/10%-2),$AB163*MIN(-BD163/10%,1)+($AC163-$AB163)*MAX(0,MIN(-BD163/10%-1,1))+($AD163-$AC163)*MAX(0,-BD163/10%-2)),0),"")</f>
        <v/>
      </c>
      <c r="BH163" s="324" t="n">
        <f aca="false">IF(AH163,xEURO(BB163,Strike1,AE163,AE163,BF163,O163,IF(OptControl=4,0,1),0),0)</f>
        <v>0</v>
      </c>
      <c r="BI163" s="324" t="n">
        <f aca="false">IF(AH163,xEURO(BB163,Strike1,AE163,AE163,BF163,O163,IF(OptControl=4,0,1),1),0)</f>
        <v>0</v>
      </c>
      <c r="BJ163" s="324" t="n">
        <f aca="false">IF(AH163,xEURO(BB163,Strike1,AE163,AE163,BF163,O163,IF(OptControl=4,0,1),2),0)</f>
        <v>0</v>
      </c>
      <c r="BK163" s="324" t="n">
        <f aca="false">IF(AH163,xEURO(BB163,Strike1,AE163,AE163,BF163,O163,IF(OptControl=4,0,1),3)/100,0)</f>
        <v>0</v>
      </c>
      <c r="BL163" s="324" t="n">
        <f aca="false">IF(AH163,xEURO(BB163,Strike1,AE163,AE163,BF163,O163-DaysForThetaCalculation,IF(OptControl=4,0,1),0)-xEURO(BB163,Strike1,AE163,AE163,BF163,O163,IF(OptControl=4,0,1),0),0)</f>
        <v>0</v>
      </c>
      <c r="BM163" s="324" t="n">
        <f aca="false">IF(AH163,xEURO(BB163,Strike2,AE163,AE163,BG163,O163,IF(OptControl=3,1,0),0),0)</f>
        <v>0</v>
      </c>
      <c r="BN163" s="324" t="n">
        <f aca="false">IF(AH163,xEURO(BB163,Strike2,AE163,AE163,BG163,O163,IF(OptControl=3,1,0),1),0)</f>
        <v>0</v>
      </c>
      <c r="BO163" s="324" t="n">
        <f aca="false">IF(AH163,xEURO(BB163,Strike2,AE163,AE163,BG163,O163,IF(OptControl=3,1,0),2),0)</f>
        <v>0</v>
      </c>
      <c r="BP163" s="324" t="n">
        <f aca="false">IF(AH163,xEURO(BB163,Strike2,AE163,AE163,BG163,O163,IF(OptControl=3,1,0),3)/100,0)</f>
        <v>0</v>
      </c>
      <c r="BQ163" s="327" t="n">
        <f aca="false">IF(AH163,xEURO(BB163,Strike2,AE163,AE163,BG163,O163-DaysForThetaCalculation,IF(OptControl=3,1,0),0)-xEURO(BB163,Strike2,AE163,AE163,BG163,O163,IF(OptControl=3,1,0),0),0)</f>
        <v>0</v>
      </c>
      <c r="BR163" s="343"/>
      <c r="BS163" s="314"/>
      <c r="BT163" s="329" t="n">
        <f aca="false">BS163*100/42</f>
        <v>0</v>
      </c>
      <c r="BU163" s="329" t="n">
        <f aca="false">BS164-$U163</f>
        <v>-31.1250000000005</v>
      </c>
      <c r="BV163" s="224"/>
      <c r="BW163" s="329" t="n">
        <f aca="false">BW151+VLOOKUP(1900+$L163,ProductSpreadTable,2)</f>
        <v>20.39</v>
      </c>
      <c r="BX163" s="329" t="n">
        <f aca="false">($V162+BW162)*100/42</f>
        <v>128.073844030366</v>
      </c>
      <c r="BY163" s="332" t="n">
        <f aca="false">BX164</f>
        <v>122.654761904763</v>
      </c>
      <c r="BZ163" s="314"/>
      <c r="CA163" s="329" t="n">
        <f aca="false">BZ163*100/42</f>
        <v>0</v>
      </c>
      <c r="CB163" s="329" t="n">
        <f aca="false">BZ163-$U163</f>
        <v>-31.1250000000005</v>
      </c>
      <c r="CC163" s="329" t="n">
        <f aca="false">CC151+VLOOKUP(1900+$L163,ProductSpreadTable,3)</f>
        <v>17.765</v>
      </c>
      <c r="CD163" s="329" t="n">
        <f aca="false">($V163+CC163)*100/42</f>
        <v>116.404761904763</v>
      </c>
      <c r="CE163" s="333" t="n">
        <f aca="false">CD163-BY163</f>
        <v>-6.25</v>
      </c>
      <c r="CF163" s="314"/>
      <c r="CG163" s="329" t="n">
        <f aca="false">CF163*100/42</f>
        <v>0</v>
      </c>
      <c r="CH163" s="329" t="n">
        <f aca="false">CF164-$U163</f>
        <v>-31.1250000000005</v>
      </c>
      <c r="CI163" s="224"/>
      <c r="CJ163" s="329" t="n">
        <f aca="false">CJ151+VLOOKUP(1900+$L163,ProductSpreadTable,4)</f>
        <v>9.60552380952372</v>
      </c>
      <c r="CK163" s="329" t="n">
        <f aca="false">($V162+CJ162)*100/42</f>
        <v>98.9959595959603</v>
      </c>
      <c r="CL163" s="329" t="n">
        <f aca="false">CK164</f>
        <v>96.9774376417242</v>
      </c>
      <c r="CM163" s="314"/>
      <c r="CN163" s="329" t="n">
        <f aca="false">CM163*100/42</f>
        <v>0</v>
      </c>
      <c r="CO163" s="329" t="n">
        <f aca="false">CM163-$U163</f>
        <v>-31.1250000000005</v>
      </c>
      <c r="CP163" s="329" t="n">
        <f aca="false">CP151+VLOOKUP(1900+$L163,ProductSpreadTable,5)</f>
        <v>8.68152380952373</v>
      </c>
      <c r="CQ163" s="329" t="n">
        <f aca="false">($V163+CP163)*100/42</f>
        <v>94.7774376417242</v>
      </c>
      <c r="CR163" s="333" t="n">
        <f aca="false">CQ163-CL163</f>
        <v>-2.2</v>
      </c>
      <c r="CS163" s="314"/>
      <c r="CT163" s="329" t="n">
        <f aca="false">CS163*100/42</f>
        <v>0</v>
      </c>
      <c r="CU163" s="329" t="n">
        <f aca="false">CT163-CG164</f>
        <v>0</v>
      </c>
      <c r="CV163" s="329" t="n">
        <f aca="false">CV151+VLOOKUP(1900+$L163,ProductSpreadTable,6)</f>
        <v>2.40000000000001</v>
      </c>
      <c r="CW163" s="333" t="n">
        <f aca="false">CL163+CV163</f>
        <v>99.3774376417242</v>
      </c>
      <c r="CX163" s="318"/>
      <c r="CY163" s="326" t="n">
        <f aca="false">CX163-$W163</f>
        <v>-0.154499999999999</v>
      </c>
      <c r="CZ163" s="326" t="n">
        <f aca="false">VLOOKUP(1900+$L163,ProductSpreadTable,7)</f>
        <v>-0.03</v>
      </c>
      <c r="DA163" s="365" t="n">
        <f aca="false">$W163+CZ163</f>
        <v>0.124499999999999</v>
      </c>
      <c r="DB163" s="318"/>
      <c r="DC163" s="326" t="n">
        <f aca="false">DB163-$W163</f>
        <v>-0.154499999999999</v>
      </c>
      <c r="DD163" s="326" t="n">
        <f aca="false">VLOOKUP(1900+$L163,ProductSpreadTable,8)</f>
        <v>0.03</v>
      </c>
      <c r="DE163" s="365" t="n">
        <f aca="false">$W163+DD163</f>
        <v>0.184499999999999</v>
      </c>
      <c r="DG163" s="336"/>
      <c r="DH163" s="314"/>
      <c r="DI163" s="325" t="n">
        <f aca="false">DH163-$U163</f>
        <v>-31.1250000000005</v>
      </c>
      <c r="DJ163" s="325" t="n">
        <f aca="false">VLOOKUP(1900+$L163,ResidSpreadTable,2)</f>
        <v>-2</v>
      </c>
      <c r="DK163" s="337" t="n">
        <f aca="false">$V163+DJ163</f>
        <v>29.1250000000005</v>
      </c>
      <c r="DL163" s="314"/>
      <c r="DM163" s="325" t="n">
        <f aca="false">DL163-$U163</f>
        <v>-31.1250000000005</v>
      </c>
      <c r="DN163" s="325" t="n">
        <f aca="false">VLOOKUP(1900+$L163,ResidSpreadTable,3)</f>
        <v>-3</v>
      </c>
      <c r="DO163" s="337" t="n">
        <f aca="false">$V163+DN163</f>
        <v>28.1250000000005</v>
      </c>
      <c r="DP163" s="314"/>
      <c r="DQ163" s="325" t="n">
        <f aca="false">DP163-$U163</f>
        <v>-31.1250000000005</v>
      </c>
      <c r="DR163" s="325" t="n">
        <f aca="false">VLOOKUP(1900+$L163,ResidSpreadTable,4)</f>
        <v>-6</v>
      </c>
      <c r="DS163" s="337" t="n">
        <f aca="false">$V163+DR163</f>
        <v>25.1250000000005</v>
      </c>
      <c r="DT163" s="314"/>
      <c r="DU163" s="325" t="n">
        <f aca="false">DT163-$U163</f>
        <v>-31.1250000000005</v>
      </c>
      <c r="DV163" s="325" t="n">
        <f aca="false">VLOOKUP(1900+$L163,ResidSpreadTable,5)</f>
        <v>-5</v>
      </c>
      <c r="DW163" s="337" t="n">
        <f aca="false">$V163+DV163</f>
        <v>26.1250000000005</v>
      </c>
    </row>
    <row r="164" customFormat="false" ht="12.75" hidden="false" customHeight="false" outlineLevel="0" collapsed="false">
      <c r="B164" s="371" t="n">
        <v>40544</v>
      </c>
      <c r="C164" s="391" t="n">
        <v>40531</v>
      </c>
      <c r="I164" s="338" t="n">
        <f aca="false">EOMONTH(I163,0)+1</f>
        <v>50740</v>
      </c>
      <c r="J164" s="389" t="n">
        <f aca="false">VLOOKUP(I164,$B$12:$C$332,2)</f>
        <v>45644</v>
      </c>
      <c r="K164" s="339" t="n">
        <f aca="false">NETWORKDAYS(I164,J165)/N164</f>
        <v>-158.304347826087</v>
      </c>
      <c r="L164" s="309" t="n">
        <f aca="false">YEAR(I164)-1900</f>
        <v>138</v>
      </c>
      <c r="M164" s="310" t="n">
        <f aca="false">MONTH(I164)</f>
        <v>12</v>
      </c>
      <c r="N164" s="340" t="n">
        <f aca="false">NETWORKDAYS(I164,I165-1)</f>
        <v>23</v>
      </c>
      <c r="O164" s="341" t="n">
        <f aca="false">I164-DateToday-IF(EuroExpDateToggle=1,3+IF(WEEKDAY(I164-1)=7,1,IF(WEEKDAY(I164-1)&lt;5,2,0)),1+IF(WEEKDAY(I164-1)=7,1,IF(WEEKDAY(I164-1)&lt;3,2,0)))</f>
        <v>4809</v>
      </c>
      <c r="P164" s="342" t="n">
        <f aca="false">(I164-DateToday+1)/365.25</f>
        <v>13.1827515400411</v>
      </c>
      <c r="Q164" s="342" t="n">
        <f aca="false">(I165-DateToday)/365.25</f>
        <v>13.264887063655</v>
      </c>
      <c r="R164" s="314" t="n">
        <v>22.8500000000001</v>
      </c>
      <c r="S164" s="347" t="n">
        <v>0</v>
      </c>
      <c r="T164" s="316" t="n">
        <f aca="false">R164+S164/100</f>
        <v>22.8500000000001</v>
      </c>
      <c r="U164" s="325" t="n">
        <f aca="false">R165*K164+R166*(1-K164)</f>
        <v>30.8652173913047</v>
      </c>
      <c r="V164" s="337" t="n">
        <f aca="false">T165*K164+T166*(1-K164)</f>
        <v>30.8652173913047</v>
      </c>
      <c r="W164" s="318" t="n">
        <v>0.154099999999998</v>
      </c>
      <c r="X164" s="319" t="str">
        <f aca="false">IF($I164-DateToday+1&gt;=$A$10,"",IF($I164-DateToday+1&lt;$A$5,1,MATCH($I164-DateToday+1,$A$5:$A$10)))</f>
        <v/>
      </c>
      <c r="Y164" s="348" t="n">
        <f aca="false">IF($X164="",Y163^2/Y162,INDEX(B$5:B$10,$X164)^((INDEX($A$5:$A$10,$X164+1)-($I164-DateToday+1))/(INDEX($A$5:$A$10,$X164+1)-INDEX($A$5:$A$10,$X164)))/INDEX(B$5:B$10,$X164+1)^((INDEX($A$5:$A$10,$X164)-($I164-DateToday+1))/(INDEX($A$5:$A$10,$X164+1)-INDEX($A$5:$A$10,$X164))))</f>
        <v>0.000501847658234234</v>
      </c>
      <c r="Z164" s="348" t="n">
        <f aca="false">IF($X164="",Z163^2/Z162,INDEX(C$5:C$10,$X164)^((INDEX($A$5:$A$10,$X164+1)-($I164-DateToday+1))/(INDEX($A$5:$A$10,$X164+1)-INDEX($A$5:$A$10,$X164)))/INDEX(C$5:C$10,$X164+1)^((INDEX($A$5:$A$10,$X164)-($I164-DateToday+1))/(INDEX($A$5:$A$10,$X164+1)-INDEX($A$5:$A$10,$X164))))</f>
        <v>0.000132300133979254</v>
      </c>
      <c r="AA164" s="348" t="n">
        <f aca="false">IF($X164="",AA163^2/AA162,INDEX(D$5:D$10,$X164)^((INDEX($A$5:$A$10,$X164+1)-($I164-DateToday+1))/(INDEX($A$5:$A$10,$X164+1)-INDEX($A$5:$A$10,$X164)))/INDEX(D$5:D$10,$X164+1)^((INDEX($A$5:$A$10,$X164)-($I164-DateToday+1))/(INDEX($A$5:$A$10,$X164+1)-INDEX($A$5:$A$10,$X164))))</f>
        <v>4.12401132840817E-005</v>
      </c>
      <c r="AB164" s="348" t="n">
        <f aca="false">IF($X164="",AB163^2/AB162,INDEX(E$5:E$10,$X164)^((INDEX($A$5:$A$10,$X164+1)-($I164-DateToday+1))/(INDEX($A$5:$A$10,$X164+1)-INDEX($A$5:$A$10,$X164)))/INDEX(E$5:E$10,$X164+1)^((INDEX($A$5:$A$10,$X164)-($I164-DateToday+1))/(INDEX($A$5:$A$10,$X164+1)-INDEX($A$5:$A$10,$X164))))</f>
        <v>9.29057272063873E-005</v>
      </c>
      <c r="AC164" s="348" t="n">
        <f aca="false">IF($X164="",AC163^2/AC162,INDEX(F$5:F$10,$X164)^((INDEX($A$5:$A$10,$X164+1)-($I164-DateToday+1))/(INDEX($A$5:$A$10,$X164+1)-INDEX($A$5:$A$10,$X164)))/INDEX(F$5:F$10,$X164+1)^((INDEX($A$5:$A$10,$X164)-($I164-DateToday+1))/(INDEX($A$5:$A$10,$X164+1)-INDEX($A$5:$A$10,$X164))))</f>
        <v>0.000298045741828461</v>
      </c>
      <c r="AD164" s="348" t="n">
        <f aca="false">IF($X164="",AD163^2/AD162,INDEX(G$5:G$10,$X164)^((INDEX($A$5:$A$10,$X164+1)-($I164-DateToday+1))/(INDEX($A$5:$A$10,$X164+1)-INDEX($A$5:$A$10,$X164)))/INDEX(G$5:G$10,$X164+1)^((INDEX($A$5:$A$10,$X164)-($I164-DateToday+1))/(INDEX($A$5:$A$10,$X164+1)-INDEX($A$5:$A$10,$X164))))</f>
        <v>0.00113056240446997</v>
      </c>
      <c r="AE164" s="321" t="n">
        <v>0.073628365275318</v>
      </c>
      <c r="AF164" s="316" t="n">
        <f aca="false">(1+AE164/2)^(-2*(I165-DateToday)/365.25)</f>
        <v>0.383228581763126</v>
      </c>
      <c r="AG164" s="316" t="n">
        <f aca="false">AG163*(1+IF(AND(M164=1,L164&gt;YearStart),Escalation,0))</f>
        <v>1</v>
      </c>
      <c r="AH164" s="322" t="n">
        <f aca="false">IF(OR(DateStart&gt;=I165,DateEnd&lt;I164),0,Volume*AG164)</f>
        <v>0</v>
      </c>
      <c r="AI164" s="322" t="n">
        <f aca="false">AH164*AF164</f>
        <v>0</v>
      </c>
      <c r="AJ164" s="322" t="n">
        <f aca="false">IF(OR(DateStart2&gt;=I165,DateEnd2&lt;I164),0,VolumeSwaption*AG164)</f>
        <v>0</v>
      </c>
      <c r="AK164" s="322" t="n">
        <f aca="false">AJ164*AF164</f>
        <v>0</v>
      </c>
      <c r="AL164" s="316" t="str">
        <f aca="true">IF(AH164,OFFSET(BY164,0,HorizontalPriceOffset)+PriceSpreadAsian,"")</f>
        <v/>
      </c>
      <c r="AM164" s="316" t="str">
        <f aca="false">IF(AH164,Strike1/AL164-1,"")</f>
        <v/>
      </c>
      <c r="AN164" s="316" t="str">
        <f aca="false">IF(AH164,Strike2/AL164-1,"")</f>
        <v/>
      </c>
      <c r="AO164" s="323" t="str">
        <f aca="false">IF(AH164,IF(VolOverrideAsian,VolOverrideAsian,IF(ProductGroup=1,IF(Product&lt;3,DA165,DE165),W165)+VolSpreadAsian),"")</f>
        <v/>
      </c>
      <c r="AP164" s="323" t="str">
        <f aca="false">IF($AH164,$AO164+IF(SkewFlag=1,IF(AM164&gt;0,$AA164*MIN(AM164/10%,1)+($Z164-$AA164)*MAX(0,MIN(AM164/10%-1,1))+($Y164-$Z164)*MAX(0,AM164/10%-2),$AB164*MIN(-AM164/10%,1)+($AC164-$AB164)*MAX(0,MIN(-AM164/10%-1,1))+($AD164-$AC164)*MAX(0,-AM164/10%-2)),0),"")</f>
        <v/>
      </c>
      <c r="AQ164" s="323" t="str">
        <f aca="false">IF($AH164,$AO164+IF(SkewFlag=1,IF(AN164&gt;0,$AA164*MIN(AN164/10%,1)+($Z164-$AA164)*MAX(0,MIN(AN164/10%-1,1))+($Y164-$Z164)*MAX(0,AN164/10%-2),$AB164*MIN(-AN164/10%,1)+($AC164-$AB164)*MAX(0,MIN(-AN164/10%-1,1))+($AD164-$AC164)*MAX(0,-AN164/10%-2)),0),"")</f>
        <v/>
      </c>
      <c r="AR164" s="324" t="n">
        <f aca="false">IF(AH164,xASN(AL164,Strike1,AE164,AP164,0,N164,0,P164,Q164,IF(OptControl=4,0,1),0),0)</f>
        <v>0</v>
      </c>
      <c r="AS164" s="324" t="n">
        <f aca="false">IF(AH164,xASN(AL164,Strike1,AE164,AP164,0,N164,0,P164,Q164,IF(OptControl=4,0,1),1),0)</f>
        <v>0</v>
      </c>
      <c r="AT164" s="324" t="n">
        <f aca="false">IF(AH164,xASN(AL164,Strike1,AE164,AP164,0,N164,0,P164,Q164,IF(OptControl=4,0,1),2),0)</f>
        <v>0</v>
      </c>
      <c r="AU164" s="324" t="n">
        <f aca="false">IF(AH164,xASN(AL164,Strike1,AE164,AP164,0,N164,0,P164,Q164,IF(OptControl=4,0,1),3)/100,0)</f>
        <v>0</v>
      </c>
      <c r="AV164" s="324" t="n">
        <f aca="false">IF(AH164,xASN(AL164,Strike1,AE164,AP164,0,N164,0,P164-DaysForThetaCalculation/365.25,Q164-DaysForThetaCalculation/365.25,IF(OptControl=4,0,1),0)-xASN(AL164,Strike1,AE164,AP164,0,N164,0,P164,Q164,IF(OptControl=4,0,1),0),0)</f>
        <v>0</v>
      </c>
      <c r="AW164" s="324" t="n">
        <f aca="false">IF(AH164,xASN(AL164,Strike2,AE164,AQ164,0,N164,0,P164,Q164,IF(OptControl=3,1,0),0),0)</f>
        <v>0</v>
      </c>
      <c r="AX164" s="324" t="n">
        <f aca="false">IF(AH164,xASN(AL164,Strike2,AE164,AQ164,0,N164,0,P164,Q164,IF(OptControl=3,1,0),1),0)</f>
        <v>0</v>
      </c>
      <c r="AY164" s="324" t="n">
        <f aca="false">IF(AH164,xASN(AL164,Strike2,AE164,AQ164,0,N164,0,P164,Q164,IF(OptControl=3,1,0),2),0)</f>
        <v>0</v>
      </c>
      <c r="AZ164" s="324" t="n">
        <f aca="false">IF(AH164,xASN(AL164,Strike2,AE164,AQ164,0,N164,0,P164,Q164,IF(OptControl=3,1,0),3)/100,0)</f>
        <v>0</v>
      </c>
      <c r="BA164" s="324" t="n">
        <f aca="false">IF(AH164,xASN(AL164,Strike2,AE164,AQ164,0,N164,0,P164-DaysForThetaCalculation/365.25,Q164-DaysForThetaCalculation/365.25,IF(OptControl=3,1,0),0)-xASN(AL164,Strike2,AE164,AQ164,0,N164,0,P164,Q164,IF(OptControl=3,1,0),0),0)</f>
        <v>0</v>
      </c>
      <c r="BB164" s="325" t="str">
        <f aca="false">IF(AH164,IF(ProductGroup=1,IF(Product=1,BX164+PriceSpreadEuro,IF(Product=3,CK164+PriceSpreadEuro,"N/A")),"N/A"),"")</f>
        <v/>
      </c>
      <c r="BC164" s="316" t="str">
        <f aca="false">IF(AH164,Strike1/BB164-1,"")</f>
        <v/>
      </c>
      <c r="BD164" s="316" t="str">
        <f aca="false">IF(AH164,Strike2/BB164-1,"")</f>
        <v/>
      </c>
      <c r="BE164" s="326" t="str">
        <f aca="false">IF(AH164,IF(VolOverrideEuro,VolOverrideEuro,IF(ProductGroup=1,IF(Product&lt;3,DA164,DE164)+VolSpreadEuro,"N/A")),"")</f>
        <v/>
      </c>
      <c r="BF164" s="323" t="str">
        <f aca="false">IF($AH164,$BE164+IF(SkewFlag=1,IF(BC164&gt;0,$AA164*MIN(BC164/10%,1)+($Z164-$AA164)*MAX(0,MIN(BC164/10%-1,1))+($Y164-$Z164)*MAX(0,BC164/10%-2),$AB164*MIN(-BC164/10%,1)+($AC164-$AB164)*MAX(0,MIN(-BC164/10%-1,1))+($AD164-$AC164)*MAX(0,-BC164/10%-2)),0),"")</f>
        <v/>
      </c>
      <c r="BG164" s="323" t="str">
        <f aca="false">IF($AH164,$BE164+IF(SkewFlag=1,IF(BD164&gt;0,$AA164*MIN(BD164/10%,1)+($Z164-$AA164)*MAX(0,MIN(BD164/10%-1,1))+($Y164-$Z164)*MAX(0,BD164/10%-2),$AB164*MIN(-BD164/10%,1)+($AC164-$AB164)*MAX(0,MIN(-BD164/10%-1,1))+($AD164-$AC164)*MAX(0,-BD164/10%-2)),0),"")</f>
        <v/>
      </c>
      <c r="BH164" s="324" t="n">
        <f aca="false">IF(AH164,xEURO(BB164,Strike1,AE164,AE164,BF164,O164,IF(OptControl=4,0,1),0),0)</f>
        <v>0</v>
      </c>
      <c r="BI164" s="324" t="n">
        <f aca="false">IF(AH164,xEURO(BB164,Strike1,AE164,AE164,BF164,O164,IF(OptControl=4,0,1),1),0)</f>
        <v>0</v>
      </c>
      <c r="BJ164" s="324" t="n">
        <f aca="false">IF(AH164,xEURO(BB164,Strike1,AE164,AE164,BF164,O164,IF(OptControl=4,0,1),2),0)</f>
        <v>0</v>
      </c>
      <c r="BK164" s="324" t="n">
        <f aca="false">IF(AH164,xEURO(BB164,Strike1,AE164,AE164,BF164,O164,IF(OptControl=4,0,1),3)/100,0)</f>
        <v>0</v>
      </c>
      <c r="BL164" s="324" t="n">
        <f aca="false">IF(AH164,xEURO(BB164,Strike1,AE164,AE164,BF164,O164-DaysForThetaCalculation,IF(OptControl=4,0,1),0)-xEURO(BB164,Strike1,AE164,AE164,BF164,O164,IF(OptControl=4,0,1),0),0)</f>
        <v>0</v>
      </c>
      <c r="BM164" s="324" t="n">
        <f aca="false">IF(AH164,xEURO(BB164,Strike2,AE164,AE164,BG164,O164,IF(OptControl=3,1,0),0),0)</f>
        <v>0</v>
      </c>
      <c r="BN164" s="324" t="n">
        <f aca="false">IF(AH164,xEURO(BB164,Strike2,AE164,AE164,BG164,O164,IF(OptControl=3,1,0),1),0)</f>
        <v>0</v>
      </c>
      <c r="BO164" s="324" t="n">
        <f aca="false">IF(AH164,xEURO(BB164,Strike2,AE164,AE164,BG164,O164,IF(OptControl=3,1,0),2),0)</f>
        <v>0</v>
      </c>
      <c r="BP164" s="324" t="n">
        <f aca="false">IF(AH164,xEURO(BB164,Strike2,AE164,AE164,BG164,O164,IF(OptControl=3,1,0),3)/100,0)</f>
        <v>0</v>
      </c>
      <c r="BQ164" s="327" t="n">
        <f aca="false">IF(AH164,xEURO(BB164,Strike2,AE164,AE164,BG164,O164-DaysForThetaCalculation,IF(OptControl=3,1,0),0)-xEURO(BB164,Strike2,AE164,AE164,BG164,O164,IF(OptControl=3,1,0),0),0)</f>
        <v>0</v>
      </c>
      <c r="BR164" s="343"/>
      <c r="BS164" s="314"/>
      <c r="BT164" s="329" t="n">
        <f aca="false">BS164*100/42</f>
        <v>0</v>
      </c>
      <c r="BU164" s="329" t="n">
        <f aca="false">BS165-$U164</f>
        <v>-30.8652173913047</v>
      </c>
      <c r="BV164" s="224"/>
      <c r="BW164" s="329" t="n">
        <f aca="false">BW152+VLOOKUP(1900+$L164,ProductSpreadTable,2)</f>
        <v>16.4939565217392</v>
      </c>
      <c r="BX164" s="329" t="n">
        <f aca="false">($V163+BW163)*100/42</f>
        <v>122.654761904763</v>
      </c>
      <c r="BY164" s="332" t="n">
        <f aca="false">BX165</f>
        <v>112.7599378882</v>
      </c>
      <c r="BZ164" s="314"/>
      <c r="CA164" s="329" t="n">
        <f aca="false">BZ164*100/42</f>
        <v>0</v>
      </c>
      <c r="CB164" s="329" t="n">
        <f aca="false">BZ164-$U164</f>
        <v>-30.8652173913047</v>
      </c>
      <c r="CC164" s="329" t="n">
        <f aca="false">CC152+VLOOKUP(1900+$L164,ProductSpreadTable,3)</f>
        <v>13.8689565217392</v>
      </c>
      <c r="CD164" s="329" t="n">
        <f aca="false">($V164+CC164)*100/42</f>
        <v>106.5099378882</v>
      </c>
      <c r="CE164" s="333" t="n">
        <f aca="false">CD164-BY164</f>
        <v>-6.24999999999997</v>
      </c>
      <c r="CF164" s="314"/>
      <c r="CG164" s="329" t="n">
        <f aca="false">CF164*100/42</f>
        <v>0</v>
      </c>
      <c r="CH164" s="329" t="n">
        <f aca="false">CF165-$U164</f>
        <v>-30.8652173913047</v>
      </c>
      <c r="CI164" s="224"/>
      <c r="CJ164" s="329" t="n">
        <f aca="false">CJ152+VLOOKUP(1900+$L164,ProductSpreadTable,4)</f>
        <v>8.95800000000003</v>
      </c>
      <c r="CK164" s="329" t="n">
        <f aca="false">($V163+CJ163)*100/42</f>
        <v>96.9774376417242</v>
      </c>
      <c r="CL164" s="329" t="n">
        <f aca="false">CK165</f>
        <v>94.8171842650112</v>
      </c>
      <c r="CM164" s="314"/>
      <c r="CN164" s="329" t="n">
        <f aca="false">CM164*100/42</f>
        <v>0</v>
      </c>
      <c r="CO164" s="329" t="n">
        <f aca="false">CM164-$U164</f>
        <v>-30.8652173913047</v>
      </c>
      <c r="CP164" s="329" t="n">
        <f aca="false">CP152+VLOOKUP(1900+$L164,ProductSpreadTable,5)</f>
        <v>8.03400000000003</v>
      </c>
      <c r="CQ164" s="329" t="n">
        <f aca="false">($V164+CP164)*100/42</f>
        <v>92.6171842650112</v>
      </c>
      <c r="CR164" s="333" t="n">
        <f aca="false">CQ164-CL164</f>
        <v>-2.2</v>
      </c>
      <c r="CS164" s="314"/>
      <c r="CT164" s="329" t="n">
        <f aca="false">CS164*100/42</f>
        <v>0</v>
      </c>
      <c r="CU164" s="329" t="n">
        <f aca="false">CT164-CG165</f>
        <v>0</v>
      </c>
      <c r="CV164" s="329" t="n">
        <f aca="false">CV152+VLOOKUP(1900+$L164,ProductSpreadTable,6)</f>
        <v>2.39999999999999</v>
      </c>
      <c r="CW164" s="333" t="n">
        <f aca="false">CL164+CV164</f>
        <v>97.2171842650112</v>
      </c>
      <c r="CX164" s="318"/>
      <c r="CY164" s="326" t="n">
        <f aca="false">CX164-$W164</f>
        <v>-0.154099999999998</v>
      </c>
      <c r="CZ164" s="326" t="n">
        <f aca="false">VLOOKUP(1900+$L164,ProductSpreadTable,7)</f>
        <v>-0.03</v>
      </c>
      <c r="DA164" s="365" t="n">
        <f aca="false">$W164+CZ164</f>
        <v>0.124099999999998</v>
      </c>
      <c r="DB164" s="318"/>
      <c r="DC164" s="326" t="n">
        <f aca="false">DB164-$W164</f>
        <v>-0.154099999999998</v>
      </c>
      <c r="DD164" s="326" t="n">
        <f aca="false">VLOOKUP(1900+$L164,ProductSpreadTable,8)</f>
        <v>0.03</v>
      </c>
      <c r="DE164" s="365" t="n">
        <f aca="false">$W164+DD164</f>
        <v>0.184099999999998</v>
      </c>
      <c r="DG164" s="336"/>
      <c r="DH164" s="314"/>
      <c r="DI164" s="325" t="n">
        <f aca="false">DH164-$U164</f>
        <v>-30.8652173913047</v>
      </c>
      <c r="DJ164" s="325" t="n">
        <f aca="false">VLOOKUP(1900+$L164,ResidSpreadTable,2)</f>
        <v>-2</v>
      </c>
      <c r="DK164" s="337" t="n">
        <f aca="false">$V164+DJ164</f>
        <v>28.8652173913047</v>
      </c>
      <c r="DL164" s="314"/>
      <c r="DM164" s="325" t="n">
        <f aca="false">DL164-$U164</f>
        <v>-30.8652173913047</v>
      </c>
      <c r="DN164" s="325" t="n">
        <f aca="false">VLOOKUP(1900+$L164,ResidSpreadTable,3)</f>
        <v>-3</v>
      </c>
      <c r="DO164" s="337" t="n">
        <f aca="false">$V164+DN164</f>
        <v>27.8652173913047</v>
      </c>
      <c r="DP164" s="314"/>
      <c r="DQ164" s="325" t="n">
        <f aca="false">DP164-$U164</f>
        <v>-30.8652173913047</v>
      </c>
      <c r="DR164" s="325" t="n">
        <f aca="false">VLOOKUP(1900+$L164,ResidSpreadTable,4)</f>
        <v>-6</v>
      </c>
      <c r="DS164" s="337" t="n">
        <f aca="false">$V164+DR164</f>
        <v>24.8652173913047</v>
      </c>
      <c r="DT164" s="314"/>
      <c r="DU164" s="325" t="n">
        <f aca="false">DT164-$U164</f>
        <v>-30.8652173913047</v>
      </c>
      <c r="DV164" s="325" t="n">
        <f aca="false">VLOOKUP(1900+$L164,ResidSpreadTable,5)</f>
        <v>-5</v>
      </c>
      <c r="DW164" s="337" t="n">
        <f aca="false">$V164+DV164</f>
        <v>25.8652173913047</v>
      </c>
    </row>
    <row r="165" customFormat="false" ht="12.75" hidden="false" customHeight="false" outlineLevel="0" collapsed="false">
      <c r="B165" s="371" t="n">
        <v>40575</v>
      </c>
      <c r="C165" s="391" t="n">
        <v>40565</v>
      </c>
      <c r="I165" s="338" t="n">
        <f aca="false">EOMONTH(I164,0)+1</f>
        <v>50771</v>
      </c>
      <c r="J165" s="389" t="n">
        <f aca="false">VLOOKUP(I165,$B$12:$C$332,2)</f>
        <v>45644</v>
      </c>
      <c r="K165" s="339" t="n">
        <f aca="false">NETWORKDAYS(I165,J166)/N165</f>
        <v>-174.428571428571</v>
      </c>
      <c r="L165" s="309" t="n">
        <f aca="false">YEAR(I165)-1900</f>
        <v>139</v>
      </c>
      <c r="M165" s="310" t="n">
        <f aca="false">MONTH(I165)</f>
        <v>1</v>
      </c>
      <c r="N165" s="340" t="n">
        <f aca="false">NETWORKDAYS(I165,I166-1)</f>
        <v>21</v>
      </c>
      <c r="O165" s="341" t="n">
        <f aca="false">I165-DateToday-IF(EuroExpDateToggle=1,3+IF(WEEKDAY(I165-1)=7,1,IF(WEEKDAY(I165-1)&lt;5,2,0)),1+IF(WEEKDAY(I165-1)=7,1,IF(WEEKDAY(I165-1)&lt;3,2,0)))</f>
        <v>4842</v>
      </c>
      <c r="P165" s="342" t="n">
        <f aca="false">(I165-DateToday+1)/365.25</f>
        <v>13.2676249144422</v>
      </c>
      <c r="Q165" s="342" t="n">
        <f aca="false">(I166-DateToday)/365.25</f>
        <v>13.3497604380561</v>
      </c>
      <c r="R165" s="314" t="n">
        <v>22.9000000000001</v>
      </c>
      <c r="S165" s="347" t="n">
        <v>0</v>
      </c>
      <c r="T165" s="316" t="n">
        <f aca="false">R165+S165/100</f>
        <v>22.9000000000001</v>
      </c>
      <c r="U165" s="325" t="n">
        <f aca="false">R166*K165+R167*(1-K165)</f>
        <v>31.721428571429</v>
      </c>
      <c r="V165" s="337" t="n">
        <f aca="false">T166*K165+T167*(1-K165)</f>
        <v>31.721428571429</v>
      </c>
      <c r="W165" s="318" t="n">
        <v>0.153699999999998</v>
      </c>
      <c r="X165" s="319" t="str">
        <f aca="false">IF($I165-DateToday+1&gt;=$A$10,"",IF($I165-DateToday+1&lt;$A$5,1,MATCH($I165-DateToday+1,$A$5:$A$10)))</f>
        <v/>
      </c>
      <c r="Y165" s="348" t="n">
        <f aca="false">IF($X165="",Y164^2/Y163,INDEX(B$5:B$10,$X165)^((INDEX($A$5:$A$10,$X165+1)-($I165-DateToday+1))/(INDEX($A$5:$A$10,$X165+1)-INDEX($A$5:$A$10,$X165)))/INDEX(B$5:B$10,$X165+1)^((INDEX($A$5:$A$10,$X165)-($I165-DateToday+1))/(INDEX($A$5:$A$10,$X165+1)-INDEX($A$5:$A$10,$X165))))</f>
        <v>0.000491103863145231</v>
      </c>
      <c r="Z165" s="348" t="n">
        <f aca="false">IF($X165="",Z164^2/Z163,INDEX(C$5:C$10,$X165)^((INDEX($A$5:$A$10,$X165+1)-($I165-DateToday+1))/(INDEX($A$5:$A$10,$X165+1)-INDEX($A$5:$A$10,$X165)))/INDEX(C$5:C$10,$X165+1)^((INDEX($A$5:$A$10,$X165)-($I165-DateToday+1))/(INDEX($A$5:$A$10,$X165+1)-INDEX($A$5:$A$10,$X165))))</f>
        <v>0.000128774612060761</v>
      </c>
      <c r="AA165" s="348" t="n">
        <f aca="false">IF($X165="",AA164^2/AA163,INDEX(D$5:D$10,$X165)^((INDEX($A$5:$A$10,$X165+1)-($I165-DateToday+1))/(INDEX($A$5:$A$10,$X165+1)-INDEX($A$5:$A$10,$X165)))/INDEX(D$5:D$10,$X165+1)^((INDEX($A$5:$A$10,$X165)-($I165-DateToday+1))/(INDEX($A$5:$A$10,$X165+1)-INDEX($A$5:$A$10,$X165))))</f>
        <v>4.00335082090504E-005</v>
      </c>
      <c r="AB165" s="348" t="n">
        <f aca="false">IF($X165="",AB164^2/AB163,INDEX(E$5:E$10,$X165)^((INDEX($A$5:$A$10,$X165+1)-($I165-DateToday+1))/(INDEX($A$5:$A$10,$X165+1)-INDEX($A$5:$A$10,$X165)))/INDEX(E$5:E$10,$X165+1)^((INDEX($A$5:$A$10,$X165)-($I165-DateToday+1))/(INDEX($A$5:$A$10,$X165+1)-INDEX($A$5:$A$10,$X165))))</f>
        <v>9.01874872933567E-005</v>
      </c>
      <c r="AC165" s="348" t="n">
        <f aca="false">IF($X165="",AC164^2/AC163,INDEX(F$5:F$10,$X165)^((INDEX($A$5:$A$10,$X165+1)-($I165-DateToday+1))/(INDEX($A$5:$A$10,$X165+1)-INDEX($A$5:$A$10,$X165)))/INDEX(F$5:F$10,$X165+1)^((INDEX($A$5:$A$10,$X165)-($I165-DateToday+1))/(INDEX($A$5:$A$10,$X165+1)-INDEX($A$5:$A$10,$X165))))</f>
        <v>0.000290103446050479</v>
      </c>
      <c r="AD165" s="348" t="n">
        <f aca="false">IF($X165="",AD164^2/AD163,INDEX(G$5:G$10,$X165)^((INDEX($A$5:$A$10,$X165+1)-($I165-DateToday+1))/(INDEX($A$5:$A$10,$X165+1)-INDEX($A$5:$A$10,$X165)))/INDEX(G$5:G$10,$X165+1)^((INDEX($A$5:$A$10,$X165)-($I165-DateToday+1))/(INDEX($A$5:$A$10,$X165+1)-INDEX($A$5:$A$10,$X165))))</f>
        <v>0.00110635878289346</v>
      </c>
      <c r="AE165" s="321" t="n">
        <v>0.073624531508946</v>
      </c>
      <c r="AF165" s="316" t="n">
        <f aca="false">(1+AE165/2)^(-2*(I166-DateToday)/365.25)</f>
        <v>0.380902785112995</v>
      </c>
      <c r="AG165" s="316" t="n">
        <f aca="false">AG164*(1+IF(AND(M165=1,L165&gt;YearStart),Escalation,0))</f>
        <v>1</v>
      </c>
      <c r="AH165" s="322" t="n">
        <f aca="false">IF(OR(DateStart&gt;=I166,DateEnd&lt;I165),0,Volume*AG165)</f>
        <v>0</v>
      </c>
      <c r="AI165" s="322" t="n">
        <f aca="false">AH165*AF165</f>
        <v>0</v>
      </c>
      <c r="AJ165" s="322" t="n">
        <f aca="false">IF(OR(DateStart2&gt;=I166,DateEnd2&lt;I165),0,VolumeSwaption*AG165)</f>
        <v>0</v>
      </c>
      <c r="AK165" s="322" t="n">
        <f aca="false">AJ165*AF165</f>
        <v>0</v>
      </c>
      <c r="AL165" s="316" t="str">
        <f aca="true">IF(AH165,OFFSET(BY165,0,HorizontalPriceOffset)+PriceSpreadAsian,"")</f>
        <v/>
      </c>
      <c r="AM165" s="316" t="str">
        <f aca="false">IF(AH165,Strike1/AL165-1,"")</f>
        <v/>
      </c>
      <c r="AN165" s="316" t="str">
        <f aca="false">IF(AH165,Strike2/AL165-1,"")</f>
        <v/>
      </c>
      <c r="AO165" s="323" t="str">
        <f aca="false">IF(AH165,IF(VolOverrideAsian,VolOverrideAsian,IF(ProductGroup=1,IF(Product&lt;3,DA166,DE166),W166)+VolSpreadAsian),"")</f>
        <v/>
      </c>
      <c r="AP165" s="323" t="str">
        <f aca="false">IF($AH165,$AO165+IF(SkewFlag=1,IF(AM165&gt;0,$AA165*MIN(AM165/10%,1)+($Z165-$AA165)*MAX(0,MIN(AM165/10%-1,1))+($Y165-$Z165)*MAX(0,AM165/10%-2),$AB165*MIN(-AM165/10%,1)+($AC165-$AB165)*MAX(0,MIN(-AM165/10%-1,1))+($AD165-$AC165)*MAX(0,-AM165/10%-2)),0),"")</f>
        <v/>
      </c>
      <c r="AQ165" s="323" t="str">
        <f aca="false">IF($AH165,$AO165+IF(SkewFlag=1,IF(AN165&gt;0,$AA165*MIN(AN165/10%,1)+($Z165-$AA165)*MAX(0,MIN(AN165/10%-1,1))+($Y165-$Z165)*MAX(0,AN165/10%-2),$AB165*MIN(-AN165/10%,1)+($AC165-$AB165)*MAX(0,MIN(-AN165/10%-1,1))+($AD165-$AC165)*MAX(0,-AN165/10%-2)),0),"")</f>
        <v/>
      </c>
      <c r="AR165" s="324" t="n">
        <f aca="false">IF(AH165,xASN(AL165,Strike1,AE165,AP165,0,N165,0,P165,Q165,IF(OptControl=4,0,1),0),0)</f>
        <v>0</v>
      </c>
      <c r="AS165" s="324" t="n">
        <f aca="false">IF(AH165,xASN(AL165,Strike1,AE165,AP165,0,N165,0,P165,Q165,IF(OptControl=4,0,1),1),0)</f>
        <v>0</v>
      </c>
      <c r="AT165" s="324" t="n">
        <f aca="false">IF(AH165,xASN(AL165,Strike1,AE165,AP165,0,N165,0,P165,Q165,IF(OptControl=4,0,1),2),0)</f>
        <v>0</v>
      </c>
      <c r="AU165" s="324" t="n">
        <f aca="false">IF(AH165,xASN(AL165,Strike1,AE165,AP165,0,N165,0,P165,Q165,IF(OptControl=4,0,1),3)/100,0)</f>
        <v>0</v>
      </c>
      <c r="AV165" s="324" t="n">
        <f aca="false">IF(AH165,xASN(AL165,Strike1,AE165,AP165,0,N165,0,P165-DaysForThetaCalculation/365.25,Q165-DaysForThetaCalculation/365.25,IF(OptControl=4,0,1),0)-xASN(AL165,Strike1,AE165,AP165,0,N165,0,P165,Q165,IF(OptControl=4,0,1),0),0)</f>
        <v>0</v>
      </c>
      <c r="AW165" s="324" t="n">
        <f aca="false">IF(AH165,xASN(AL165,Strike2,AE165,AQ165,0,N165,0,P165,Q165,IF(OptControl=3,1,0),0),0)</f>
        <v>0</v>
      </c>
      <c r="AX165" s="324" t="n">
        <f aca="false">IF(AH165,xASN(AL165,Strike2,AE165,AQ165,0,N165,0,P165,Q165,IF(OptControl=3,1,0),1),0)</f>
        <v>0</v>
      </c>
      <c r="AY165" s="324" t="n">
        <f aca="false">IF(AH165,xASN(AL165,Strike2,AE165,AQ165,0,N165,0,P165,Q165,IF(OptControl=3,1,0),2),0)</f>
        <v>0</v>
      </c>
      <c r="AZ165" s="324" t="n">
        <f aca="false">IF(AH165,xASN(AL165,Strike2,AE165,AQ165,0,N165,0,P165,Q165,IF(OptControl=3,1,0),3)/100,0)</f>
        <v>0</v>
      </c>
      <c r="BA165" s="324" t="n">
        <f aca="false">IF(AH165,xASN(AL165,Strike2,AE165,AQ165,0,N165,0,P165-DaysForThetaCalculation/365.25,Q165-DaysForThetaCalculation/365.25,IF(OptControl=3,1,0),0)-xASN(AL165,Strike2,AE165,AQ165,0,N165,0,P165,Q165,IF(OptControl=3,1,0),0),0)</f>
        <v>0</v>
      </c>
      <c r="BB165" s="325" t="str">
        <f aca="false">IF(AH165,IF(ProductGroup=1,IF(Product=1,BX165+PriceSpreadEuro,IF(Product=3,CK165+PriceSpreadEuro,"N/A")),"N/A"),"")</f>
        <v/>
      </c>
      <c r="BC165" s="316" t="str">
        <f aca="false">IF(AH165,Strike1/BB165-1,"")</f>
        <v/>
      </c>
      <c r="BD165" s="316" t="str">
        <f aca="false">IF(AH165,Strike2/BB165-1,"")</f>
        <v/>
      </c>
      <c r="BE165" s="326" t="str">
        <f aca="false">IF(AH165,IF(VolOverrideEuro,VolOverrideEuro,IF(ProductGroup=1,IF(Product&lt;3,DA165,DE165)+VolSpreadEuro,"N/A")),"")</f>
        <v/>
      </c>
      <c r="BF165" s="323" t="str">
        <f aca="false">IF($AH165,$BE165+IF(SkewFlag=1,IF(BC165&gt;0,$AA165*MIN(BC165/10%,1)+($Z165-$AA165)*MAX(0,MIN(BC165/10%-1,1))+($Y165-$Z165)*MAX(0,BC165/10%-2),$AB165*MIN(-BC165/10%,1)+($AC165-$AB165)*MAX(0,MIN(-BC165/10%-1,1))+($AD165-$AC165)*MAX(0,-BC165/10%-2)),0),"")</f>
        <v/>
      </c>
      <c r="BG165" s="323" t="str">
        <f aca="false">IF($AH165,$BE165+IF(SkewFlag=1,IF(BD165&gt;0,$AA165*MIN(BD165/10%,1)+($Z165-$AA165)*MAX(0,MIN(BD165/10%-1,1))+($Y165-$Z165)*MAX(0,BD165/10%-2),$AB165*MIN(-BD165/10%,1)+($AC165-$AB165)*MAX(0,MIN(-BD165/10%-1,1))+($AD165-$AC165)*MAX(0,-BD165/10%-2)),0),"")</f>
        <v/>
      </c>
      <c r="BH165" s="324" t="n">
        <f aca="false">IF(AH165,xEURO(BB165,Strike1,AE165,AE165,BF165,O165,IF(OptControl=4,0,1),0),0)</f>
        <v>0</v>
      </c>
      <c r="BI165" s="324" t="n">
        <f aca="false">IF(AH165,xEURO(BB165,Strike1,AE165,AE165,BF165,O165,IF(OptControl=4,0,1),1),0)</f>
        <v>0</v>
      </c>
      <c r="BJ165" s="324" t="n">
        <f aca="false">IF(AH165,xEURO(BB165,Strike1,AE165,AE165,BF165,O165,IF(OptControl=4,0,1),2),0)</f>
        <v>0</v>
      </c>
      <c r="BK165" s="324" t="n">
        <f aca="false">IF(AH165,xEURO(BB165,Strike1,AE165,AE165,BF165,O165,IF(OptControl=4,0,1),3)/100,0)</f>
        <v>0</v>
      </c>
      <c r="BL165" s="324" t="n">
        <f aca="false">IF(AH165,xEURO(BB165,Strike1,AE165,AE165,BF165,O165-DaysForThetaCalculation,IF(OptControl=4,0,1),0)-xEURO(BB165,Strike1,AE165,AE165,BF165,O165,IF(OptControl=4,0,1),0),0)</f>
        <v>0</v>
      </c>
      <c r="BM165" s="324" t="n">
        <f aca="false">IF(AH165,xEURO(BB165,Strike2,AE165,AE165,BG165,O165,IF(OptControl=3,1,0),0),0)</f>
        <v>0</v>
      </c>
      <c r="BN165" s="324" t="n">
        <f aca="false">IF(AH165,xEURO(BB165,Strike2,AE165,AE165,BG165,O165,IF(OptControl=3,1,0),1),0)</f>
        <v>0</v>
      </c>
      <c r="BO165" s="324" t="n">
        <f aca="false">IF(AH165,xEURO(BB165,Strike2,AE165,AE165,BG165,O165,IF(OptControl=3,1,0),2),0)</f>
        <v>0</v>
      </c>
      <c r="BP165" s="324" t="n">
        <f aca="false">IF(AH165,xEURO(BB165,Strike2,AE165,AE165,BG165,O165,IF(OptControl=3,1,0),3)/100,0)</f>
        <v>0</v>
      </c>
      <c r="BQ165" s="327" t="n">
        <f aca="false">IF(AH165,xEURO(BB165,Strike2,AE165,AE165,BG165,O165-DaysForThetaCalculation,IF(OptControl=3,1,0),0)-xEURO(BB165,Strike2,AE165,AE165,BG165,O165,IF(OptControl=3,1,0),0),0)</f>
        <v>0</v>
      </c>
      <c r="BR165" s="343"/>
      <c r="BS165" s="314"/>
      <c r="BT165" s="329" t="n">
        <f aca="false">BS165*100/42</f>
        <v>0</v>
      </c>
      <c r="BU165" s="329" t="n">
        <f aca="false">BS166-$U165</f>
        <v>-31.721428571429</v>
      </c>
      <c r="BV165" s="224"/>
      <c r="BW165" s="329" t="n">
        <f aca="false">BW153+VLOOKUP(1900+$L165,ProductSpreadTable,2)</f>
        <v>15.9192727272728</v>
      </c>
      <c r="BX165" s="329" t="n">
        <f aca="false">($V164+BW164)*100/42</f>
        <v>112.7599378882</v>
      </c>
      <c r="BY165" s="332" t="n">
        <f aca="false">BX166</f>
        <v>113.430241187385</v>
      </c>
      <c r="BZ165" s="314"/>
      <c r="CA165" s="329" t="n">
        <f aca="false">BZ165*100/42</f>
        <v>0</v>
      </c>
      <c r="CB165" s="329" t="n">
        <f aca="false">BZ165-$U165</f>
        <v>-31.721428571429</v>
      </c>
      <c r="CC165" s="329" t="n">
        <f aca="false">CC153+VLOOKUP(1900+$L165,ProductSpreadTable,3)</f>
        <v>13.5042727272728</v>
      </c>
      <c r="CD165" s="329" t="n">
        <f aca="false">($V165+CC165)*100/42</f>
        <v>107.680241187385</v>
      </c>
      <c r="CE165" s="333" t="n">
        <f aca="false">CD165-BY165</f>
        <v>-5.75</v>
      </c>
      <c r="CF165" s="314"/>
      <c r="CG165" s="329" t="n">
        <f aca="false">CF165*100/42</f>
        <v>0</v>
      </c>
      <c r="CH165" s="329" t="n">
        <f aca="false">CF166-$U165</f>
        <v>-31.721428571429</v>
      </c>
      <c r="CI165" s="224"/>
      <c r="CJ165" s="329" t="n">
        <f aca="false">CJ153+VLOOKUP(1900+$L165,ProductSpreadTable,4)</f>
        <v>9.50299999999997</v>
      </c>
      <c r="CK165" s="329" t="n">
        <f aca="false">($V164+CJ164)*100/42</f>
        <v>94.8171842650112</v>
      </c>
      <c r="CL165" s="329" t="n">
        <f aca="false">CK166</f>
        <v>98.1534013605452</v>
      </c>
      <c r="CM165" s="314"/>
      <c r="CN165" s="329" t="n">
        <f aca="false">CM165*100/42</f>
        <v>0</v>
      </c>
      <c r="CO165" s="329" t="n">
        <f aca="false">CM165-$U165</f>
        <v>-31.721428571429</v>
      </c>
      <c r="CP165" s="329" t="n">
        <f aca="false">CP153+VLOOKUP(1900+$L165,ProductSpreadTable,5)</f>
        <v>8.57899999999997</v>
      </c>
      <c r="CQ165" s="329" t="n">
        <f aca="false">($V165+CP165)*100/42</f>
        <v>95.9534013605451</v>
      </c>
      <c r="CR165" s="333" t="n">
        <f aca="false">CQ165-CL165</f>
        <v>-2.20000000000002</v>
      </c>
      <c r="CS165" s="314"/>
      <c r="CT165" s="329" t="n">
        <f aca="false">CS165*100/42</f>
        <v>0</v>
      </c>
      <c r="CU165" s="329" t="n">
        <f aca="false">CT165-CG166</f>
        <v>0</v>
      </c>
      <c r="CV165" s="329" t="n">
        <f aca="false">CV153+VLOOKUP(1900+$L165,ProductSpreadTable,6)</f>
        <v>2.39999999999999</v>
      </c>
      <c r="CW165" s="333" t="n">
        <f aca="false">CL165+CV165</f>
        <v>100.553401360545</v>
      </c>
      <c r="CX165" s="318"/>
      <c r="CY165" s="326" t="n">
        <f aca="false">CX165-$W165</f>
        <v>-0.153699999999998</v>
      </c>
      <c r="CZ165" s="326" t="n">
        <f aca="false">VLOOKUP(1900+$L165,ProductSpreadTable,7)</f>
        <v>-0.03</v>
      </c>
      <c r="DA165" s="365" t="n">
        <f aca="false">$W165+CZ165</f>
        <v>0.123699999999998</v>
      </c>
      <c r="DB165" s="318"/>
      <c r="DC165" s="326" t="n">
        <f aca="false">DB165-$W165</f>
        <v>-0.153699999999998</v>
      </c>
      <c r="DD165" s="326" t="n">
        <f aca="false">VLOOKUP(1900+$L165,ProductSpreadTable,8)</f>
        <v>0.03</v>
      </c>
      <c r="DE165" s="365" t="n">
        <f aca="false">$W165+DD165</f>
        <v>0.183699999999998</v>
      </c>
      <c r="DG165" s="336"/>
      <c r="DH165" s="314"/>
      <c r="DI165" s="325" t="n">
        <f aca="false">DH165-$U165</f>
        <v>-31.721428571429</v>
      </c>
      <c r="DJ165" s="325" t="n">
        <f aca="false">VLOOKUP(1900+$L165,ResidSpreadTable,2)</f>
        <v>-2</v>
      </c>
      <c r="DK165" s="337" t="n">
        <f aca="false">$V165+DJ165</f>
        <v>29.721428571429</v>
      </c>
      <c r="DL165" s="314"/>
      <c r="DM165" s="325" t="n">
        <f aca="false">DL165-$U165</f>
        <v>-31.721428571429</v>
      </c>
      <c r="DN165" s="325" t="n">
        <f aca="false">VLOOKUP(1900+$L165,ResidSpreadTable,3)</f>
        <v>-3</v>
      </c>
      <c r="DO165" s="337" t="n">
        <f aca="false">$V165+DN165</f>
        <v>28.721428571429</v>
      </c>
      <c r="DP165" s="314"/>
      <c r="DQ165" s="325" t="n">
        <f aca="false">DP165-$U165</f>
        <v>-31.721428571429</v>
      </c>
      <c r="DR165" s="325" t="n">
        <f aca="false">VLOOKUP(1900+$L165,ResidSpreadTable,4)</f>
        <v>-6</v>
      </c>
      <c r="DS165" s="337" t="n">
        <f aca="false">$V165+DR165</f>
        <v>25.721428571429</v>
      </c>
      <c r="DT165" s="314"/>
      <c r="DU165" s="325" t="n">
        <f aca="false">DT165-$U165</f>
        <v>-31.721428571429</v>
      </c>
      <c r="DV165" s="325" t="n">
        <f aca="false">VLOOKUP(1900+$L165,ResidSpreadTable,5)</f>
        <v>-5</v>
      </c>
      <c r="DW165" s="337" t="n">
        <f aca="false">$V165+DV165</f>
        <v>26.721428571429</v>
      </c>
    </row>
    <row r="166" customFormat="false" ht="12.75" hidden="false" customHeight="false" outlineLevel="0" collapsed="false">
      <c r="B166" s="371" t="n">
        <v>40603</v>
      </c>
      <c r="C166" s="391" t="n">
        <v>40594</v>
      </c>
      <c r="I166" s="338" t="n">
        <f aca="false">EOMONTH(I165,0)+1</f>
        <v>50802</v>
      </c>
      <c r="J166" s="389" t="n">
        <f aca="false">VLOOKUP(I166,$B$12:$C$332,2)</f>
        <v>45644</v>
      </c>
      <c r="K166" s="339" t="n">
        <f aca="false">NETWORKDAYS(I166,J167)/N166</f>
        <v>-184.25</v>
      </c>
      <c r="L166" s="309" t="n">
        <f aca="false">YEAR(I166)-1900</f>
        <v>139</v>
      </c>
      <c r="M166" s="310" t="n">
        <f aca="false">MONTH(I166)</f>
        <v>2</v>
      </c>
      <c r="N166" s="340" t="n">
        <f aca="false">NETWORKDAYS(I166,I167-1)</f>
        <v>20</v>
      </c>
      <c r="O166" s="341" t="n">
        <f aca="false">I166-DateToday-IF(EuroExpDateToggle=1,3+IF(WEEKDAY(I166-1)=7,1,IF(WEEKDAY(I166-1)&lt;5,2,0)),1+IF(WEEKDAY(I166-1)=7,1,IF(WEEKDAY(I166-1)&lt;3,2,0)))</f>
        <v>4871</v>
      </c>
      <c r="P166" s="342" t="n">
        <f aca="false">(I166-DateToday+1)/365.25</f>
        <v>13.3524982888433</v>
      </c>
      <c r="Q166" s="342" t="n">
        <f aca="false">(I167-DateToday)/365.25</f>
        <v>13.4264202600958</v>
      </c>
      <c r="R166" s="314" t="n">
        <v>22.9500000000001</v>
      </c>
      <c r="S166" s="347" t="n">
        <v>0</v>
      </c>
      <c r="T166" s="316" t="n">
        <f aca="false">R166+S166/100</f>
        <v>22.9500000000001</v>
      </c>
      <c r="U166" s="325" t="n">
        <f aca="false">R167*K166+R168*(1-K166)</f>
        <v>32.2624999999989</v>
      </c>
      <c r="V166" s="337" t="n">
        <f aca="false">T167*K166+T168*(1-K166)</f>
        <v>32.2624999999989</v>
      </c>
      <c r="W166" s="318" t="n">
        <v>0.153299999999998</v>
      </c>
      <c r="X166" s="319" t="str">
        <f aca="false">IF($I166-DateToday+1&gt;=$A$10,"",IF($I166-DateToday+1&lt;$A$5,1,MATCH($I166-DateToday+1,$A$5:$A$10)))</f>
        <v/>
      </c>
      <c r="Y166" s="348" t="n">
        <f aca="false">IF($X166="",Y165^2/Y164,INDEX(B$5:B$10,$X166)^((INDEX($A$5:$A$10,$X166+1)-($I166-DateToday+1))/(INDEX($A$5:$A$10,$X166+1)-INDEX($A$5:$A$10,$X166)))/INDEX(B$5:B$10,$X166+1)^((INDEX($A$5:$A$10,$X166)-($I166-DateToday+1))/(INDEX($A$5:$A$10,$X166+1)-INDEX($A$5:$A$10,$X166))))</f>
        <v>0.000480590076368552</v>
      </c>
      <c r="Z166" s="348" t="n">
        <f aca="false">IF($X166="",Z165^2/Z164,INDEX(C$5:C$10,$X166)^((INDEX($A$5:$A$10,$X166+1)-($I166-DateToday+1))/(INDEX($A$5:$A$10,$X166+1)-INDEX($A$5:$A$10,$X166)))/INDEX(C$5:C$10,$X166+1)^((INDEX($A$5:$A$10,$X166)-($I166-DateToday+1))/(INDEX($A$5:$A$10,$X166+1)-INDEX($A$5:$A$10,$X166))))</f>
        <v>0.000125343037929197</v>
      </c>
      <c r="AA166" s="348" t="n">
        <f aca="false">IF($X166="",AA165^2/AA164,INDEX(D$5:D$10,$X166)^((INDEX($A$5:$A$10,$X166+1)-($I166-DateToday+1))/(INDEX($A$5:$A$10,$X166+1)-INDEX($A$5:$A$10,$X166)))/INDEX(D$5:D$10,$X166+1)^((INDEX($A$5:$A$10,$X166)-($I166-DateToday+1))/(INDEX($A$5:$A$10,$X166+1)-INDEX($A$5:$A$10,$X166))))</f>
        <v>3.88622060391557E-005</v>
      </c>
      <c r="AB166" s="348" t="n">
        <f aca="false">IF($X166="",AB165^2/AB164,INDEX(E$5:E$10,$X166)^((INDEX($A$5:$A$10,$X166+1)-($I166-DateToday+1))/(INDEX($A$5:$A$10,$X166+1)-INDEX($A$5:$A$10,$X166)))/INDEX(E$5:E$10,$X166+1)^((INDEX($A$5:$A$10,$X166)-($I166-DateToday+1))/(INDEX($A$5:$A$10,$X166+1)-INDEX($A$5:$A$10,$X166))))</f>
        <v>8.75487777650179E-005</v>
      </c>
      <c r="AC166" s="348" t="n">
        <f aca="false">IF($X166="",AC165^2/AC164,INDEX(F$5:F$10,$X166)^((INDEX($A$5:$A$10,$X166+1)-($I166-DateToday+1))/(INDEX($A$5:$A$10,$X166+1)-INDEX($A$5:$A$10,$X166)))/INDEX(F$5:F$10,$X166+1)^((INDEX($A$5:$A$10,$X166)-($I166-DateToday+1))/(INDEX($A$5:$A$10,$X166+1)-INDEX($A$5:$A$10,$X166))))</f>
        <v>0.000282372795846892</v>
      </c>
      <c r="AD166" s="348" t="n">
        <f aca="false">IF($X166="",AD165^2/AD164,INDEX(G$5:G$10,$X166)^((INDEX($A$5:$A$10,$X166+1)-($I166-DateToday+1))/(INDEX($A$5:$A$10,$X166+1)-INDEX($A$5:$A$10,$X166)))/INDEX(G$5:G$10,$X166+1)^((INDEX($A$5:$A$10,$X166)-($I166-DateToday+1))/(INDEX($A$5:$A$10,$X166+1)-INDEX($A$5:$A$10,$X166))))</f>
        <v>0.00108267332404296</v>
      </c>
      <c r="AE166" s="321" t="n">
        <v>0.073620569950366</v>
      </c>
      <c r="AF166" s="316" t="n">
        <f aca="false">(1+AE166/2)^(-2*(I167-DateToday)/365.25)</f>
        <v>0.378816851512069</v>
      </c>
      <c r="AG166" s="316" t="n">
        <f aca="false">AG165*(1+IF(AND(M166=1,L166&gt;YearStart),Escalation,0))</f>
        <v>1</v>
      </c>
      <c r="AH166" s="322" t="n">
        <f aca="false">IF(OR(DateStart&gt;=I167,DateEnd&lt;I166),0,Volume*AG166)</f>
        <v>0</v>
      </c>
      <c r="AI166" s="322" t="n">
        <f aca="false">AH166*AF166</f>
        <v>0</v>
      </c>
      <c r="AJ166" s="322" t="n">
        <f aca="false">IF(OR(DateStart2&gt;=I167,DateEnd2&lt;I166),0,VolumeSwaption*AG166)</f>
        <v>0</v>
      </c>
      <c r="AK166" s="322" t="n">
        <f aca="false">AJ166*AF166</f>
        <v>0</v>
      </c>
      <c r="AL166" s="316" t="str">
        <f aca="true">IF(AH166,OFFSET(BY166,0,HorizontalPriceOffset)+PriceSpreadAsian,"")</f>
        <v/>
      </c>
      <c r="AM166" s="316" t="str">
        <f aca="false">IF(AH166,Strike1/AL166-1,"")</f>
        <v/>
      </c>
      <c r="AN166" s="316" t="str">
        <f aca="false">IF(AH166,Strike2/AL166-1,"")</f>
        <v/>
      </c>
      <c r="AO166" s="323" t="str">
        <f aca="false">IF(AH166,IF(VolOverrideAsian,VolOverrideAsian,IF(ProductGroup=1,IF(Product&lt;3,DA167,DE167),W167)+VolSpreadAsian),"")</f>
        <v/>
      </c>
      <c r="AP166" s="323" t="str">
        <f aca="false">IF($AH166,$AO166+IF(SkewFlag=1,IF(AM166&gt;0,$AA166*MIN(AM166/10%,1)+($Z166-$AA166)*MAX(0,MIN(AM166/10%-1,1))+($Y166-$Z166)*MAX(0,AM166/10%-2),$AB166*MIN(-AM166/10%,1)+($AC166-$AB166)*MAX(0,MIN(-AM166/10%-1,1))+($AD166-$AC166)*MAX(0,-AM166/10%-2)),0),"")</f>
        <v/>
      </c>
      <c r="AQ166" s="323" t="str">
        <f aca="false">IF($AH166,$AO166+IF(SkewFlag=1,IF(AN166&gt;0,$AA166*MIN(AN166/10%,1)+($Z166-$AA166)*MAX(0,MIN(AN166/10%-1,1))+($Y166-$Z166)*MAX(0,AN166/10%-2),$AB166*MIN(-AN166/10%,1)+($AC166-$AB166)*MAX(0,MIN(-AN166/10%-1,1))+($AD166-$AC166)*MAX(0,-AN166/10%-2)),0),"")</f>
        <v/>
      </c>
      <c r="AR166" s="324" t="n">
        <f aca="false">IF(AH166,xASN(AL166,Strike1,AE166,AP166,0,N166,0,P166,Q166,IF(OptControl=4,0,1),0),0)</f>
        <v>0</v>
      </c>
      <c r="AS166" s="324" t="n">
        <f aca="false">IF(AH166,xASN(AL166,Strike1,AE166,AP166,0,N166,0,P166,Q166,IF(OptControl=4,0,1),1),0)</f>
        <v>0</v>
      </c>
      <c r="AT166" s="324" t="n">
        <f aca="false">IF(AH166,xASN(AL166,Strike1,AE166,AP166,0,N166,0,P166,Q166,IF(OptControl=4,0,1),2),0)</f>
        <v>0</v>
      </c>
      <c r="AU166" s="324" t="n">
        <f aca="false">IF(AH166,xASN(AL166,Strike1,AE166,AP166,0,N166,0,P166,Q166,IF(OptControl=4,0,1),3)/100,0)</f>
        <v>0</v>
      </c>
      <c r="AV166" s="324" t="n">
        <f aca="false">IF(AH166,xASN(AL166,Strike1,AE166,AP166,0,N166,0,P166-DaysForThetaCalculation/365.25,Q166-DaysForThetaCalculation/365.25,IF(OptControl=4,0,1),0)-xASN(AL166,Strike1,AE166,AP166,0,N166,0,P166,Q166,IF(OptControl=4,0,1),0),0)</f>
        <v>0</v>
      </c>
      <c r="AW166" s="324" t="n">
        <f aca="false">IF(AH166,xASN(AL166,Strike2,AE166,AQ166,0,N166,0,P166,Q166,IF(OptControl=3,1,0),0),0)</f>
        <v>0</v>
      </c>
      <c r="AX166" s="324" t="n">
        <f aca="false">IF(AH166,xASN(AL166,Strike2,AE166,AQ166,0,N166,0,P166,Q166,IF(OptControl=3,1,0),1),0)</f>
        <v>0</v>
      </c>
      <c r="AY166" s="324" t="n">
        <f aca="false">IF(AH166,xASN(AL166,Strike2,AE166,AQ166,0,N166,0,P166,Q166,IF(OptControl=3,1,0),2),0)</f>
        <v>0</v>
      </c>
      <c r="AZ166" s="324" t="n">
        <f aca="false">IF(AH166,xASN(AL166,Strike2,AE166,AQ166,0,N166,0,P166,Q166,IF(OptControl=3,1,0),3)/100,0)</f>
        <v>0</v>
      </c>
      <c r="BA166" s="324" t="n">
        <f aca="false">IF(AH166,xASN(AL166,Strike2,AE166,AQ166,0,N166,0,P166-DaysForThetaCalculation/365.25,Q166-DaysForThetaCalculation/365.25,IF(OptControl=3,1,0),0)-xASN(AL166,Strike2,AE166,AQ166,0,N166,0,P166,Q166,IF(OptControl=3,1,0),0),0)</f>
        <v>0</v>
      </c>
      <c r="BB166" s="325" t="str">
        <f aca="false">IF(AH166,IF(ProductGroup=1,IF(Product=1,BX166+PriceSpreadEuro,IF(Product=3,CK166+PriceSpreadEuro,"N/A")),"N/A"),"")</f>
        <v/>
      </c>
      <c r="BC166" s="316" t="str">
        <f aca="false">IF(AH166,Strike1/BB166-1,"")</f>
        <v/>
      </c>
      <c r="BD166" s="316" t="str">
        <f aca="false">IF(AH166,Strike2/BB166-1,"")</f>
        <v/>
      </c>
      <c r="BE166" s="326" t="str">
        <f aca="false">IF(AH166,IF(VolOverrideEuro,VolOverrideEuro,IF(ProductGroup=1,IF(Product&lt;3,DA166,DE166)+VolSpreadEuro,"N/A")),"")</f>
        <v/>
      </c>
      <c r="BF166" s="323" t="str">
        <f aca="false">IF($AH166,$BE166+IF(SkewFlag=1,IF(BC166&gt;0,$AA166*MIN(BC166/10%,1)+($Z166-$AA166)*MAX(0,MIN(BC166/10%-1,1))+($Y166-$Z166)*MAX(0,BC166/10%-2),$AB166*MIN(-BC166/10%,1)+($AC166-$AB166)*MAX(0,MIN(-BC166/10%-1,1))+($AD166-$AC166)*MAX(0,-BC166/10%-2)),0),"")</f>
        <v/>
      </c>
      <c r="BG166" s="323" t="str">
        <f aca="false">IF($AH166,$BE166+IF(SkewFlag=1,IF(BD166&gt;0,$AA166*MIN(BD166/10%,1)+($Z166-$AA166)*MAX(0,MIN(BD166/10%-1,1))+($Y166-$Z166)*MAX(0,BD166/10%-2),$AB166*MIN(-BD166/10%,1)+($AC166-$AB166)*MAX(0,MIN(-BD166/10%-1,1))+($AD166-$AC166)*MAX(0,-BD166/10%-2)),0),"")</f>
        <v/>
      </c>
      <c r="BH166" s="324" t="n">
        <f aca="false">IF(AH166,xEURO(BB166,Strike1,AE166,AE166,BF166,O166,IF(OptControl=4,0,1),0),0)</f>
        <v>0</v>
      </c>
      <c r="BI166" s="324" t="n">
        <f aca="false">IF(AH166,xEURO(BB166,Strike1,AE166,AE166,BF166,O166,IF(OptControl=4,0,1),1),0)</f>
        <v>0</v>
      </c>
      <c r="BJ166" s="324" t="n">
        <f aca="false">IF(AH166,xEURO(BB166,Strike1,AE166,AE166,BF166,O166,IF(OptControl=4,0,1),2),0)</f>
        <v>0</v>
      </c>
      <c r="BK166" s="324" t="n">
        <f aca="false">IF(AH166,xEURO(BB166,Strike1,AE166,AE166,BF166,O166,IF(OptControl=4,0,1),3)/100,0)</f>
        <v>0</v>
      </c>
      <c r="BL166" s="324" t="n">
        <f aca="false">IF(AH166,xEURO(BB166,Strike1,AE166,AE166,BF166,O166-DaysForThetaCalculation,IF(OptControl=4,0,1),0)-xEURO(BB166,Strike1,AE166,AE166,BF166,O166,IF(OptControl=4,0,1),0),0)</f>
        <v>0</v>
      </c>
      <c r="BM166" s="324" t="n">
        <f aca="false">IF(AH166,xEURO(BB166,Strike2,AE166,AE166,BG166,O166,IF(OptControl=3,1,0),0),0)</f>
        <v>0</v>
      </c>
      <c r="BN166" s="324" t="n">
        <f aca="false">IF(AH166,xEURO(BB166,Strike2,AE166,AE166,BG166,O166,IF(OptControl=3,1,0),1),0)</f>
        <v>0</v>
      </c>
      <c r="BO166" s="324" t="n">
        <f aca="false">IF(AH166,xEURO(BB166,Strike2,AE166,AE166,BG166,O166,IF(OptControl=3,1,0),2),0)</f>
        <v>0</v>
      </c>
      <c r="BP166" s="324" t="n">
        <f aca="false">IF(AH166,xEURO(BB166,Strike2,AE166,AE166,BG166,O166,IF(OptControl=3,1,0),3)/100,0)</f>
        <v>0</v>
      </c>
      <c r="BQ166" s="327" t="n">
        <f aca="false">IF(AH166,xEURO(BB166,Strike2,AE166,AE166,BG166,O166-DaysForThetaCalculation,IF(OptControl=3,1,0),0)-xEURO(BB166,Strike2,AE166,AE166,BG166,O166,IF(OptControl=3,1,0),0),0)</f>
        <v>0</v>
      </c>
      <c r="BR166" s="343"/>
      <c r="BS166" s="314"/>
      <c r="BT166" s="329" t="n">
        <f aca="false">BS166*100/42</f>
        <v>0</v>
      </c>
      <c r="BU166" s="329" t="n">
        <f aca="false">BS167-$U166</f>
        <v>-32.2624999999989</v>
      </c>
      <c r="BV166" s="224"/>
      <c r="BW166" s="329" t="n">
        <f aca="false">BW154+VLOOKUP(1900+$L166,ProductSpreadTable,2)</f>
        <v>15.939</v>
      </c>
      <c r="BX166" s="329" t="n">
        <f aca="false">($V165+BW165)*100/42</f>
        <v>113.430241187385</v>
      </c>
      <c r="BY166" s="332" t="n">
        <f aca="false">BX167</f>
        <v>114.765476190474</v>
      </c>
      <c r="BZ166" s="314"/>
      <c r="CA166" s="329" t="n">
        <f aca="false">BZ166*100/42</f>
        <v>0</v>
      </c>
      <c r="CB166" s="329" t="n">
        <f aca="false">BZ166-$U166</f>
        <v>-32.2624999999989</v>
      </c>
      <c r="CC166" s="329" t="n">
        <f aca="false">CC154+VLOOKUP(1900+$L166,ProductSpreadTable,3)</f>
        <v>13.524</v>
      </c>
      <c r="CD166" s="329" t="n">
        <f aca="false">($V166+CC166)*100/42</f>
        <v>109.015476190474</v>
      </c>
      <c r="CE166" s="333" t="n">
        <f aca="false">CD166-BY166</f>
        <v>-5.75</v>
      </c>
      <c r="CF166" s="314"/>
      <c r="CG166" s="329" t="n">
        <f aca="false">CF166*100/42</f>
        <v>0</v>
      </c>
      <c r="CH166" s="329" t="n">
        <f aca="false">CF167-$U166</f>
        <v>-32.2624999999989</v>
      </c>
      <c r="CI166" s="224"/>
      <c r="CJ166" s="329" t="n">
        <f aca="false">CJ154+VLOOKUP(1900+$L166,ProductSpreadTable,4)</f>
        <v>9.8359999999999</v>
      </c>
      <c r="CK166" s="329" t="n">
        <f aca="false">($V165+CJ165)*100/42</f>
        <v>98.1534013605452</v>
      </c>
      <c r="CL166" s="329" t="n">
        <f aca="false">CK167</f>
        <v>100.234523809521</v>
      </c>
      <c r="CM166" s="314"/>
      <c r="CN166" s="329" t="n">
        <f aca="false">CM166*100/42</f>
        <v>0</v>
      </c>
      <c r="CO166" s="329" t="n">
        <f aca="false">CM166-$U166</f>
        <v>-32.2624999999989</v>
      </c>
      <c r="CP166" s="329" t="n">
        <f aca="false">CP154+VLOOKUP(1900+$L166,ProductSpreadTable,5)</f>
        <v>8.9119999999999</v>
      </c>
      <c r="CQ166" s="329" t="n">
        <f aca="false">($V166+CP166)*100/42</f>
        <v>98.034523809521</v>
      </c>
      <c r="CR166" s="333" t="n">
        <f aca="false">CQ166-CL166</f>
        <v>-2.19999999999997</v>
      </c>
      <c r="CS166" s="314"/>
      <c r="CT166" s="329" t="n">
        <f aca="false">CS166*100/42</f>
        <v>0</v>
      </c>
      <c r="CU166" s="329" t="n">
        <f aca="false">CT166-CG167</f>
        <v>0</v>
      </c>
      <c r="CV166" s="329" t="n">
        <f aca="false">CV154+VLOOKUP(1900+$L166,ProductSpreadTable,6)</f>
        <v>2.39999999999999</v>
      </c>
      <c r="CW166" s="333" t="n">
        <f aca="false">CL166+CV166</f>
        <v>102.634523809521</v>
      </c>
      <c r="CX166" s="318"/>
      <c r="CY166" s="326" t="n">
        <f aca="false">CX166-$W166</f>
        <v>-0.153299999999998</v>
      </c>
      <c r="CZ166" s="326" t="n">
        <f aca="false">VLOOKUP(1900+$L166,ProductSpreadTable,7)</f>
        <v>-0.03</v>
      </c>
      <c r="DA166" s="365" t="n">
        <f aca="false">$W166+CZ166</f>
        <v>0.123299999999998</v>
      </c>
      <c r="DB166" s="318"/>
      <c r="DC166" s="326" t="n">
        <f aca="false">DB166-$W166</f>
        <v>-0.153299999999998</v>
      </c>
      <c r="DD166" s="326" t="n">
        <f aca="false">VLOOKUP(1900+$L166,ProductSpreadTable,8)</f>
        <v>0.03</v>
      </c>
      <c r="DE166" s="365" t="n">
        <f aca="false">$W166+DD166</f>
        <v>0.183299999999998</v>
      </c>
      <c r="DG166" s="336"/>
      <c r="DH166" s="314"/>
      <c r="DI166" s="325" t="n">
        <f aca="false">DH166-$U166</f>
        <v>-32.2624999999989</v>
      </c>
      <c r="DJ166" s="325" t="n">
        <f aca="false">VLOOKUP(1900+$L166,ResidSpreadTable,2)</f>
        <v>-2</v>
      </c>
      <c r="DK166" s="337" t="n">
        <f aca="false">$V166+DJ166</f>
        <v>30.2624999999989</v>
      </c>
      <c r="DL166" s="314"/>
      <c r="DM166" s="325" t="n">
        <f aca="false">DL166-$U166</f>
        <v>-32.2624999999989</v>
      </c>
      <c r="DN166" s="325" t="n">
        <f aca="false">VLOOKUP(1900+$L166,ResidSpreadTable,3)</f>
        <v>-3</v>
      </c>
      <c r="DO166" s="337" t="n">
        <f aca="false">$V166+DN166</f>
        <v>29.2624999999989</v>
      </c>
      <c r="DP166" s="314"/>
      <c r="DQ166" s="325" t="n">
        <f aca="false">DP166-$U166</f>
        <v>-32.2624999999989</v>
      </c>
      <c r="DR166" s="325" t="n">
        <f aca="false">VLOOKUP(1900+$L166,ResidSpreadTable,4)</f>
        <v>-6</v>
      </c>
      <c r="DS166" s="337" t="n">
        <f aca="false">$V166+DR166</f>
        <v>26.2624999999989</v>
      </c>
      <c r="DT166" s="314"/>
      <c r="DU166" s="325" t="n">
        <f aca="false">DT166-$U166</f>
        <v>-32.2624999999989</v>
      </c>
      <c r="DV166" s="325" t="n">
        <f aca="false">VLOOKUP(1900+$L166,ResidSpreadTable,5)</f>
        <v>-5</v>
      </c>
      <c r="DW166" s="337" t="n">
        <f aca="false">$V166+DV166</f>
        <v>27.2624999999989</v>
      </c>
    </row>
    <row r="167" customFormat="false" ht="12.75" hidden="false" customHeight="false" outlineLevel="0" collapsed="false">
      <c r="B167" s="371" t="n">
        <v>40634</v>
      </c>
      <c r="C167" s="391" t="n">
        <v>40622</v>
      </c>
      <c r="I167" s="338" t="n">
        <f aca="false">EOMONTH(I166,0)+1</f>
        <v>50830</v>
      </c>
      <c r="J167" s="389" t="n">
        <f aca="false">VLOOKUP(I167,$B$12:$C$332,2)</f>
        <v>45644</v>
      </c>
      <c r="K167" s="339" t="n">
        <f aca="false">NETWORKDAYS(I167,J168)/N167</f>
        <v>-161.086956521739</v>
      </c>
      <c r="L167" s="309" t="n">
        <f aca="false">YEAR(I167)-1900</f>
        <v>139</v>
      </c>
      <c r="M167" s="310" t="n">
        <f aca="false">MONTH(I167)</f>
        <v>3</v>
      </c>
      <c r="N167" s="340" t="n">
        <f aca="false">NETWORKDAYS(I167,I168-1)</f>
        <v>23</v>
      </c>
      <c r="O167" s="341" t="n">
        <f aca="false">I167-DateToday-IF(EuroExpDateToggle=1,3+IF(WEEKDAY(I167-1)=7,1,IF(WEEKDAY(I167-1)&lt;5,2,0)),1+IF(WEEKDAY(I167-1)=7,1,IF(WEEKDAY(I167-1)&lt;3,2,0)))</f>
        <v>4899</v>
      </c>
      <c r="P167" s="342" t="n">
        <f aca="false">(I167-DateToday+1)/365.25</f>
        <v>13.429158110883</v>
      </c>
      <c r="Q167" s="342" t="n">
        <f aca="false">(I168-DateToday)/365.25</f>
        <v>13.5112936344969</v>
      </c>
      <c r="R167" s="314" t="n">
        <v>23.0000000000001</v>
      </c>
      <c r="S167" s="347" t="n">
        <v>0</v>
      </c>
      <c r="T167" s="316" t="n">
        <f aca="false">R167+S167/100</f>
        <v>23.0000000000001</v>
      </c>
      <c r="U167" s="325" t="n">
        <f aca="false">R168*K167+R169*(1-K167)</f>
        <v>31.1543478260874</v>
      </c>
      <c r="V167" s="337" t="n">
        <f aca="false">T168*K167+T169*(1-K167)</f>
        <v>31.1543478260874</v>
      </c>
      <c r="W167" s="318" t="n">
        <v>0.152899999999998</v>
      </c>
      <c r="X167" s="319" t="str">
        <f aca="false">IF($I167-DateToday+1&gt;=$A$10,"",IF($I167-DateToday+1&lt;$A$5,1,MATCH($I167-DateToday+1,$A$5:$A$10)))</f>
        <v/>
      </c>
      <c r="Y167" s="348" t="n">
        <f aca="false">IF($X167="",Y166^2/Y165,INDEX(B$5:B$10,$X167)^((INDEX($A$5:$A$10,$X167+1)-($I167-DateToday+1))/(INDEX($A$5:$A$10,$X167+1)-INDEX($A$5:$A$10,$X167)))/INDEX(B$5:B$10,$X167+1)^((INDEX($A$5:$A$10,$X167)-($I167-DateToday+1))/(INDEX($A$5:$A$10,$X167+1)-INDEX($A$5:$A$10,$X167))))</f>
        <v>0.000470301373776057</v>
      </c>
      <c r="Z167" s="348" t="n">
        <f aca="false">IF($X167="",Z166^2/Z165,INDEX(C$5:C$10,$X167)^((INDEX($A$5:$A$10,$X167+1)-($I167-DateToday+1))/(INDEX($A$5:$A$10,$X167+1)-INDEX($A$5:$A$10,$X167)))/INDEX(C$5:C$10,$X167+1)^((INDEX($A$5:$A$10,$X167)-($I167-DateToday+1))/(INDEX($A$5:$A$10,$X167+1)-INDEX($A$5:$A$10,$X167))))</f>
        <v>0.000122002908072494</v>
      </c>
      <c r="AA167" s="348" t="n">
        <f aca="false">IF($X167="",AA166^2/AA165,INDEX(D$5:D$10,$X167)^((INDEX($A$5:$A$10,$X167+1)-($I167-DateToday+1))/(INDEX($A$5:$A$10,$X167+1)-INDEX($A$5:$A$10,$X167)))/INDEX(D$5:D$10,$X167+1)^((INDEX($A$5:$A$10,$X167)-($I167-DateToday+1))/(INDEX($A$5:$A$10,$X167+1)-INDEX($A$5:$A$10,$X167))))</f>
        <v>3.77251738804236E-005</v>
      </c>
      <c r="AB167" s="348" t="n">
        <f aca="false">IF($X167="",AB166^2/AB165,INDEX(E$5:E$10,$X167)^((INDEX($A$5:$A$10,$X167+1)-($I167-DateToday+1))/(INDEX($A$5:$A$10,$X167+1)-INDEX($A$5:$A$10,$X167)))/INDEX(E$5:E$10,$X167+1)^((INDEX($A$5:$A$10,$X167)-($I167-DateToday+1))/(INDEX($A$5:$A$10,$X167+1)-INDEX($A$5:$A$10,$X167))))</f>
        <v>8.4987271717826E-005</v>
      </c>
      <c r="AC167" s="348" t="n">
        <f aca="false">IF($X167="",AC166^2/AC165,INDEX(F$5:F$10,$X167)^((INDEX($A$5:$A$10,$X167+1)-($I167-DateToday+1))/(INDEX($A$5:$A$10,$X167+1)-INDEX($A$5:$A$10,$X167)))/INDEX(F$5:F$10,$X167+1)^((INDEX($A$5:$A$10,$X167)-($I167-DateToday+1))/(INDEX($A$5:$A$10,$X167+1)-INDEX($A$5:$A$10,$X167))))</f>
        <v>0.000274848151305712</v>
      </c>
      <c r="AD167" s="348" t="n">
        <f aca="false">IF($X167="",AD166^2/AD165,INDEX(G$5:G$10,$X167)^((INDEX($A$5:$A$10,$X167+1)-($I167-DateToday+1))/(INDEX($A$5:$A$10,$X167+1)-INDEX($A$5:$A$10,$X167)))/INDEX(G$5:G$10,$X167+1)^((INDEX($A$5:$A$10,$X167)-($I167-DateToday+1))/(INDEX($A$5:$A$10,$X167+1)-INDEX($A$5:$A$10,$X167))))</f>
        <v>0.00105949493484259</v>
      </c>
      <c r="AE167" s="321" t="n">
        <v>0.073616608391792</v>
      </c>
      <c r="AF167" s="316" t="n">
        <f aca="false">(1+AE167/2)^(-2*(I168-DateToday)/365.25)</f>
        <v>0.376518921708956</v>
      </c>
      <c r="AG167" s="316" t="n">
        <f aca="false">AG166*(1+IF(AND(M167=1,L167&gt;YearStart),Escalation,0))</f>
        <v>1</v>
      </c>
      <c r="AH167" s="322" t="n">
        <f aca="false">IF(OR(DateStart&gt;=I168,DateEnd&lt;I167),0,Volume*AG167)</f>
        <v>0</v>
      </c>
      <c r="AI167" s="322" t="n">
        <f aca="false">AH167*AF167</f>
        <v>0</v>
      </c>
      <c r="AJ167" s="322" t="n">
        <f aca="false">IF(OR(DateStart2&gt;=I168,DateEnd2&lt;I167),0,VolumeSwaption*AG167)</f>
        <v>0</v>
      </c>
      <c r="AK167" s="322" t="n">
        <f aca="false">AJ167*AF167</f>
        <v>0</v>
      </c>
      <c r="AL167" s="316" t="str">
        <f aca="true">IF(AH167,OFFSET(BY167,0,HorizontalPriceOffset)+PriceSpreadAsian,"")</f>
        <v/>
      </c>
      <c r="AM167" s="316" t="str">
        <f aca="false">IF(AH167,Strike1/AL167-1,"")</f>
        <v/>
      </c>
      <c r="AN167" s="316" t="str">
        <f aca="false">IF(AH167,Strike2/AL167-1,"")</f>
        <v/>
      </c>
      <c r="AO167" s="323" t="str">
        <f aca="false">IF(AH167,IF(VolOverrideAsian,VolOverrideAsian,IF(ProductGroup=1,IF(Product&lt;3,DA168,DE168),W168)+VolSpreadAsian),"")</f>
        <v/>
      </c>
      <c r="AP167" s="323" t="str">
        <f aca="false">IF($AH167,$AO167+IF(SkewFlag=1,IF(AM167&gt;0,$AA167*MIN(AM167/10%,1)+($Z167-$AA167)*MAX(0,MIN(AM167/10%-1,1))+($Y167-$Z167)*MAX(0,AM167/10%-2),$AB167*MIN(-AM167/10%,1)+($AC167-$AB167)*MAX(0,MIN(-AM167/10%-1,1))+($AD167-$AC167)*MAX(0,-AM167/10%-2)),0),"")</f>
        <v/>
      </c>
      <c r="AQ167" s="323" t="str">
        <f aca="false">IF($AH167,$AO167+IF(SkewFlag=1,IF(AN167&gt;0,$AA167*MIN(AN167/10%,1)+($Z167-$AA167)*MAX(0,MIN(AN167/10%-1,1))+($Y167-$Z167)*MAX(0,AN167/10%-2),$AB167*MIN(-AN167/10%,1)+($AC167-$AB167)*MAX(0,MIN(-AN167/10%-1,1))+($AD167-$AC167)*MAX(0,-AN167/10%-2)),0),"")</f>
        <v/>
      </c>
      <c r="AR167" s="324" t="n">
        <f aca="false">IF(AH167,xASN(AL167,Strike1,AE167,AP167,0,N167,0,P167,Q167,IF(OptControl=4,0,1),0),0)</f>
        <v>0</v>
      </c>
      <c r="AS167" s="324" t="n">
        <f aca="false">IF(AH167,xASN(AL167,Strike1,AE167,AP167,0,N167,0,P167,Q167,IF(OptControl=4,0,1),1),0)</f>
        <v>0</v>
      </c>
      <c r="AT167" s="324" t="n">
        <f aca="false">IF(AH167,xASN(AL167,Strike1,AE167,AP167,0,N167,0,P167,Q167,IF(OptControl=4,0,1),2),0)</f>
        <v>0</v>
      </c>
      <c r="AU167" s="324" t="n">
        <f aca="false">IF(AH167,xASN(AL167,Strike1,AE167,AP167,0,N167,0,P167,Q167,IF(OptControl=4,0,1),3)/100,0)</f>
        <v>0</v>
      </c>
      <c r="AV167" s="324" t="n">
        <f aca="false">IF(AH167,xASN(AL167,Strike1,AE167,AP167,0,N167,0,P167-DaysForThetaCalculation/365.25,Q167-DaysForThetaCalculation/365.25,IF(OptControl=4,0,1),0)-xASN(AL167,Strike1,AE167,AP167,0,N167,0,P167,Q167,IF(OptControl=4,0,1),0),0)</f>
        <v>0</v>
      </c>
      <c r="AW167" s="324" t="n">
        <f aca="false">IF(AH167,xASN(AL167,Strike2,AE167,AQ167,0,N167,0,P167,Q167,IF(OptControl=3,1,0),0),0)</f>
        <v>0</v>
      </c>
      <c r="AX167" s="324" t="n">
        <f aca="false">IF(AH167,xASN(AL167,Strike2,AE167,AQ167,0,N167,0,P167,Q167,IF(OptControl=3,1,0),1),0)</f>
        <v>0</v>
      </c>
      <c r="AY167" s="324" t="n">
        <f aca="false">IF(AH167,xASN(AL167,Strike2,AE167,AQ167,0,N167,0,P167,Q167,IF(OptControl=3,1,0),2),0)</f>
        <v>0</v>
      </c>
      <c r="AZ167" s="324" t="n">
        <f aca="false">IF(AH167,xASN(AL167,Strike2,AE167,AQ167,0,N167,0,P167,Q167,IF(OptControl=3,1,0),3)/100,0)</f>
        <v>0</v>
      </c>
      <c r="BA167" s="324" t="n">
        <f aca="false">IF(AH167,xASN(AL167,Strike2,AE167,AQ167,0,N167,0,P167-DaysForThetaCalculation/365.25,Q167-DaysForThetaCalculation/365.25,IF(OptControl=3,1,0),0)-xASN(AL167,Strike2,AE167,AQ167,0,N167,0,P167,Q167,IF(OptControl=3,1,0),0),0)</f>
        <v>0</v>
      </c>
      <c r="BB167" s="325" t="str">
        <f aca="false">IF(AH167,IF(ProductGroup=1,IF(Product=1,BX167+PriceSpreadEuro,IF(Product=3,CK167+PriceSpreadEuro,"N/A")),"N/A"),"")</f>
        <v/>
      </c>
      <c r="BC167" s="316" t="str">
        <f aca="false">IF(AH167,Strike1/BB167-1,"")</f>
        <v/>
      </c>
      <c r="BD167" s="316" t="str">
        <f aca="false">IF(AH167,Strike2/BB167-1,"")</f>
        <v/>
      </c>
      <c r="BE167" s="326" t="str">
        <f aca="false">IF(AH167,IF(VolOverrideEuro,VolOverrideEuro,IF(ProductGroup=1,IF(Product&lt;3,DA167,DE167)+VolSpreadEuro,"N/A")),"")</f>
        <v/>
      </c>
      <c r="BF167" s="323" t="str">
        <f aca="false">IF($AH167,$BE167+IF(SkewFlag=1,IF(BC167&gt;0,$AA167*MIN(BC167/10%,1)+($Z167-$AA167)*MAX(0,MIN(BC167/10%-1,1))+($Y167-$Z167)*MAX(0,BC167/10%-2),$AB167*MIN(-BC167/10%,1)+($AC167-$AB167)*MAX(0,MIN(-BC167/10%-1,1))+($AD167-$AC167)*MAX(0,-BC167/10%-2)),0),"")</f>
        <v/>
      </c>
      <c r="BG167" s="323" t="str">
        <f aca="false">IF($AH167,$BE167+IF(SkewFlag=1,IF(BD167&gt;0,$AA167*MIN(BD167/10%,1)+($Z167-$AA167)*MAX(0,MIN(BD167/10%-1,1))+($Y167-$Z167)*MAX(0,BD167/10%-2),$AB167*MIN(-BD167/10%,1)+($AC167-$AB167)*MAX(0,MIN(-BD167/10%-1,1))+($AD167-$AC167)*MAX(0,-BD167/10%-2)),0),"")</f>
        <v/>
      </c>
      <c r="BH167" s="324" t="n">
        <f aca="false">IF(AH167,xEURO(BB167,Strike1,AE167,AE167,BF167,O167,IF(OptControl=4,0,1),0),0)</f>
        <v>0</v>
      </c>
      <c r="BI167" s="324" t="n">
        <f aca="false">IF(AH167,xEURO(BB167,Strike1,AE167,AE167,BF167,O167,IF(OptControl=4,0,1),1),0)</f>
        <v>0</v>
      </c>
      <c r="BJ167" s="324" t="n">
        <f aca="false">IF(AH167,xEURO(BB167,Strike1,AE167,AE167,BF167,O167,IF(OptControl=4,0,1),2),0)</f>
        <v>0</v>
      </c>
      <c r="BK167" s="324" t="n">
        <f aca="false">IF(AH167,xEURO(BB167,Strike1,AE167,AE167,BF167,O167,IF(OptControl=4,0,1),3)/100,0)</f>
        <v>0</v>
      </c>
      <c r="BL167" s="324" t="n">
        <f aca="false">IF(AH167,xEURO(BB167,Strike1,AE167,AE167,BF167,O167-DaysForThetaCalculation,IF(OptControl=4,0,1),0)-xEURO(BB167,Strike1,AE167,AE167,BF167,O167,IF(OptControl=4,0,1),0),0)</f>
        <v>0</v>
      </c>
      <c r="BM167" s="324" t="n">
        <f aca="false">IF(AH167,xEURO(BB167,Strike2,AE167,AE167,BG167,O167,IF(OptControl=3,1,0),0),0)</f>
        <v>0</v>
      </c>
      <c r="BN167" s="324" t="n">
        <f aca="false">IF(AH167,xEURO(BB167,Strike2,AE167,AE167,BG167,O167,IF(OptControl=3,1,0),1),0)</f>
        <v>0</v>
      </c>
      <c r="BO167" s="324" t="n">
        <f aca="false">IF(AH167,xEURO(BB167,Strike2,AE167,AE167,BG167,O167,IF(OptControl=3,1,0),2),0)</f>
        <v>0</v>
      </c>
      <c r="BP167" s="324" t="n">
        <f aca="false">IF(AH167,xEURO(BB167,Strike2,AE167,AE167,BG167,O167,IF(OptControl=3,1,0),3)/100,0)</f>
        <v>0</v>
      </c>
      <c r="BQ167" s="327" t="n">
        <f aca="false">IF(AH167,xEURO(BB167,Strike2,AE167,AE167,BG167,O167-DaysForThetaCalculation,IF(OptControl=3,1,0),0)-xEURO(BB167,Strike2,AE167,AE167,BG167,O167,IF(OptControl=3,1,0),0),0)</f>
        <v>0</v>
      </c>
      <c r="BR167" s="343"/>
      <c r="BS167" s="314"/>
      <c r="BT167" s="329" t="n">
        <f aca="false">BS167*100/42</f>
        <v>0</v>
      </c>
      <c r="BU167" s="329" t="n">
        <f aca="false">BS168-$U167</f>
        <v>-31.1543478260874</v>
      </c>
      <c r="BV167" s="224"/>
      <c r="BW167" s="329" t="n">
        <f aca="false">BW155+VLOOKUP(1900+$L167,ProductSpreadTable,2)</f>
        <v>13.4669999999999</v>
      </c>
      <c r="BX167" s="329" t="n">
        <f aca="false">($V166+BW166)*100/42</f>
        <v>114.765476190474</v>
      </c>
      <c r="BY167" s="332" t="n">
        <f aca="false">BX168</f>
        <v>106.241304347827</v>
      </c>
      <c r="BZ167" s="314"/>
      <c r="CA167" s="329" t="n">
        <f aca="false">BZ167*100/42</f>
        <v>0</v>
      </c>
      <c r="CB167" s="329" t="n">
        <f aca="false">BZ167-$U167</f>
        <v>-31.1543478260874</v>
      </c>
      <c r="CC167" s="329" t="n">
        <f aca="false">CC155+VLOOKUP(1900+$L167,ProductSpreadTable,3)</f>
        <v>11.0519999999999</v>
      </c>
      <c r="CD167" s="329" t="n">
        <f aca="false">($V167+CC167)*100/42</f>
        <v>100.491304347827</v>
      </c>
      <c r="CE167" s="333" t="n">
        <f aca="false">CD167-BY167</f>
        <v>-5.75</v>
      </c>
      <c r="CF167" s="314"/>
      <c r="CG167" s="329" t="n">
        <f aca="false">CF167*100/42</f>
        <v>0</v>
      </c>
      <c r="CH167" s="329" t="n">
        <f aca="false">CF168-$U167</f>
        <v>-31.1543478260874</v>
      </c>
      <c r="CI167" s="224"/>
      <c r="CJ167" s="329" t="n">
        <f aca="false">CJ155+VLOOKUP(1900+$L167,ProductSpreadTable,4)</f>
        <v>11.3589999999999</v>
      </c>
      <c r="CK167" s="329" t="n">
        <f aca="false">($V166+CJ166)*100/42</f>
        <v>100.234523809521</v>
      </c>
      <c r="CL167" s="329" t="n">
        <f aca="false">CK168</f>
        <v>101.222256728779</v>
      </c>
      <c r="CM167" s="314"/>
      <c r="CN167" s="329" t="n">
        <f aca="false">CM167*100/42</f>
        <v>0</v>
      </c>
      <c r="CO167" s="329" t="n">
        <f aca="false">CM167-$U167</f>
        <v>-31.1543478260874</v>
      </c>
      <c r="CP167" s="329" t="n">
        <f aca="false">CP155+VLOOKUP(1900+$L167,ProductSpreadTable,5)</f>
        <v>8.85773913043482</v>
      </c>
      <c r="CQ167" s="329" t="n">
        <f aca="false">($V167+CP167)*100/42</f>
        <v>95.2668737060052</v>
      </c>
      <c r="CR167" s="333" t="n">
        <f aca="false">CQ167-CL167</f>
        <v>-5.95538302277406</v>
      </c>
      <c r="CS167" s="314"/>
      <c r="CT167" s="329" t="n">
        <f aca="false">CS167*100/42</f>
        <v>0</v>
      </c>
      <c r="CU167" s="329" t="n">
        <f aca="false">CT167-CG168</f>
        <v>0</v>
      </c>
      <c r="CV167" s="329" t="n">
        <f aca="false">CV155+VLOOKUP(1900+$L167,ProductSpreadTable,6)</f>
        <v>2.40000000000001</v>
      </c>
      <c r="CW167" s="333" t="n">
        <f aca="false">CL167+CV167</f>
        <v>103.622256728779</v>
      </c>
      <c r="CX167" s="318"/>
      <c r="CY167" s="326" t="n">
        <f aca="false">CX167-$W167</f>
        <v>-0.152899999999998</v>
      </c>
      <c r="CZ167" s="326" t="n">
        <f aca="false">VLOOKUP(1900+$L167,ProductSpreadTable,7)</f>
        <v>-0.03</v>
      </c>
      <c r="DA167" s="365" t="n">
        <f aca="false">$W167+CZ167</f>
        <v>0.122899999999998</v>
      </c>
      <c r="DB167" s="318"/>
      <c r="DC167" s="326" t="n">
        <f aca="false">DB167-$W167</f>
        <v>-0.152899999999998</v>
      </c>
      <c r="DD167" s="326" t="n">
        <f aca="false">VLOOKUP(1900+$L167,ProductSpreadTable,8)</f>
        <v>0.03</v>
      </c>
      <c r="DE167" s="365" t="n">
        <f aca="false">$W167+DD167</f>
        <v>0.182899999999998</v>
      </c>
      <c r="DG167" s="336"/>
      <c r="DH167" s="314"/>
      <c r="DI167" s="325" t="n">
        <f aca="false">DH167-$U167</f>
        <v>-31.1543478260874</v>
      </c>
      <c r="DJ167" s="325" t="n">
        <f aca="false">VLOOKUP(1900+$L167,ResidSpreadTable,2)</f>
        <v>-2</v>
      </c>
      <c r="DK167" s="337" t="n">
        <f aca="false">$V167+DJ167</f>
        <v>29.1543478260874</v>
      </c>
      <c r="DL167" s="314"/>
      <c r="DM167" s="325" t="n">
        <f aca="false">DL167-$U167</f>
        <v>-31.1543478260874</v>
      </c>
      <c r="DN167" s="325" t="n">
        <f aca="false">VLOOKUP(1900+$L167,ResidSpreadTable,3)</f>
        <v>-3</v>
      </c>
      <c r="DO167" s="337" t="n">
        <f aca="false">$V167+DN167</f>
        <v>28.1543478260874</v>
      </c>
      <c r="DP167" s="314"/>
      <c r="DQ167" s="325" t="n">
        <f aca="false">DP167-$U167</f>
        <v>-31.1543478260874</v>
      </c>
      <c r="DR167" s="325" t="n">
        <f aca="false">VLOOKUP(1900+$L167,ResidSpreadTable,4)</f>
        <v>-6</v>
      </c>
      <c r="DS167" s="337" t="n">
        <f aca="false">$V167+DR167</f>
        <v>25.1543478260874</v>
      </c>
      <c r="DT167" s="314"/>
      <c r="DU167" s="325" t="n">
        <f aca="false">DT167-$U167</f>
        <v>-31.1543478260874</v>
      </c>
      <c r="DV167" s="325" t="n">
        <f aca="false">VLOOKUP(1900+$L167,ResidSpreadTable,5)</f>
        <v>-5</v>
      </c>
      <c r="DW167" s="337" t="n">
        <f aca="false">$V167+DV167</f>
        <v>26.1543478260874</v>
      </c>
    </row>
    <row r="168" customFormat="false" ht="12.75" hidden="false" customHeight="false" outlineLevel="0" collapsed="false">
      <c r="B168" s="371" t="n">
        <v>40664</v>
      </c>
      <c r="C168" s="391" t="n">
        <v>40653</v>
      </c>
      <c r="I168" s="338" t="n">
        <f aca="false">EOMONTH(I167,0)+1</f>
        <v>50861</v>
      </c>
      <c r="J168" s="389" t="n">
        <f aca="false">VLOOKUP(I168,$B$12:$C$332,2)</f>
        <v>45644</v>
      </c>
      <c r="K168" s="339" t="n">
        <f aca="false">NETWORKDAYS(I168,J169)/N168</f>
        <v>-177.52380952381</v>
      </c>
      <c r="L168" s="309" t="n">
        <f aca="false">YEAR(I168)-1900</f>
        <v>139</v>
      </c>
      <c r="M168" s="310" t="n">
        <f aca="false">MONTH(I168)</f>
        <v>4</v>
      </c>
      <c r="N168" s="340" t="n">
        <f aca="false">NETWORKDAYS(I168,I169-1)</f>
        <v>21</v>
      </c>
      <c r="O168" s="341" t="n">
        <f aca="false">I168-DateToday-IF(EuroExpDateToggle=1,3+IF(WEEKDAY(I168-1)=7,1,IF(WEEKDAY(I168-1)&lt;5,2,0)),1+IF(WEEKDAY(I168-1)=7,1,IF(WEEKDAY(I168-1)&lt;3,2,0)))</f>
        <v>4932</v>
      </c>
      <c r="P168" s="342" t="n">
        <f aca="false">(I168-DateToday+1)/365.25</f>
        <v>13.5140314852841</v>
      </c>
      <c r="Q168" s="342" t="n">
        <f aca="false">(I169-DateToday)/365.25</f>
        <v>13.5934291581109</v>
      </c>
      <c r="R168" s="314" t="n">
        <v>23.0500000000001</v>
      </c>
      <c r="S168" s="347" t="n">
        <v>0</v>
      </c>
      <c r="T168" s="316" t="n">
        <f aca="false">R168+S168/100</f>
        <v>23.0500000000001</v>
      </c>
      <c r="U168" s="325" t="n">
        <f aca="false">R169*K168+R170*(1-K168)</f>
        <v>32.026190476191</v>
      </c>
      <c r="V168" s="337" t="n">
        <f aca="false">T169*K168+T170*(1-K168)</f>
        <v>32.026190476191</v>
      </c>
      <c r="W168" s="318" t="n">
        <v>0.152499999999998</v>
      </c>
      <c r="X168" s="319" t="str">
        <f aca="false">IF($I168-DateToday+1&gt;=$A$10,"",IF($I168-DateToday+1&lt;$A$5,1,MATCH($I168-DateToday+1,$A$5:$A$10)))</f>
        <v/>
      </c>
      <c r="Y168" s="348" t="n">
        <f aca="false">IF($X168="",Y167^2/Y166,INDEX(B$5:B$10,$X168)^((INDEX($A$5:$A$10,$X168+1)-($I168-DateToday+1))/(INDEX($A$5:$A$10,$X168+1)-INDEX($A$5:$A$10,$X168)))/INDEX(B$5:B$10,$X168+1)^((INDEX($A$5:$A$10,$X168)-($I168-DateToday+1))/(INDEX($A$5:$A$10,$X168+1)-INDEX($A$5:$A$10,$X168))))</f>
        <v>0.000460232936657699</v>
      </c>
      <c r="Z168" s="348" t="n">
        <f aca="false">IF($X168="",Z167^2/Z166,INDEX(C$5:C$10,$X168)^((INDEX($A$5:$A$10,$X168+1)-($I168-DateToday+1))/(INDEX($A$5:$A$10,$X168+1)-INDEX($A$5:$A$10,$X168)))/INDEX(C$5:C$10,$X168+1)^((INDEX($A$5:$A$10,$X168)-($I168-DateToday+1))/(INDEX($A$5:$A$10,$X168+1)-INDEX($A$5:$A$10,$X168))))</f>
        <v>0.000118751785691946</v>
      </c>
      <c r="AA168" s="348" t="n">
        <f aca="false">IF($X168="",AA167^2/AA166,INDEX(D$5:D$10,$X168)^((INDEX($A$5:$A$10,$X168+1)-($I168-DateToday+1))/(INDEX($A$5:$A$10,$X168+1)-INDEX($A$5:$A$10,$X168)))/INDEX(D$5:D$10,$X168+1)^((INDEX($A$5:$A$10,$X168)-($I168-DateToday+1))/(INDEX($A$5:$A$10,$X168+1)-INDEX($A$5:$A$10,$X168))))</f>
        <v>3.66214090593379E-005</v>
      </c>
      <c r="AB168" s="348" t="n">
        <f aca="false">IF($X168="",AB167^2/AB166,INDEX(E$5:E$10,$X168)^((INDEX($A$5:$A$10,$X168+1)-($I168-DateToday+1))/(INDEX($A$5:$A$10,$X168+1)-INDEX($A$5:$A$10,$X168)))/INDEX(E$5:E$10,$X168+1)^((INDEX($A$5:$A$10,$X168)-($I168-DateToday+1))/(INDEX($A$5:$A$10,$X168+1)-INDEX($A$5:$A$10,$X168))))</f>
        <v>8.25007103288841E-005</v>
      </c>
      <c r="AC168" s="348" t="n">
        <f aca="false">IF($X168="",AC167^2/AC166,INDEX(F$5:F$10,$X168)^((INDEX($A$5:$A$10,$X168+1)-($I168-DateToday+1))/(INDEX($A$5:$A$10,$X168+1)-INDEX($A$5:$A$10,$X168)))/INDEX(F$5:F$10,$X168+1)^((INDEX($A$5:$A$10,$X168)-($I168-DateToday+1))/(INDEX($A$5:$A$10,$X168+1)-INDEX($A$5:$A$10,$X168))))</f>
        <v>0.000267524022806813</v>
      </c>
      <c r="AD168" s="348" t="n">
        <f aca="false">IF($X168="",AD167^2/AD166,INDEX(G$5:G$10,$X168)^((INDEX($A$5:$A$10,$X168+1)-($I168-DateToday+1))/(INDEX($A$5:$A$10,$X168+1)-INDEX($A$5:$A$10,$X168)))/INDEX(G$5:G$10,$X168+1)^((INDEX($A$5:$A$10,$X168)-($I168-DateToday+1))/(INDEX($A$5:$A$10,$X168+1)-INDEX($A$5:$A$10,$X168))))</f>
        <v>0.00103681275970235</v>
      </c>
      <c r="AE168" s="321" t="n">
        <v>0.073612774625434</v>
      </c>
      <c r="AF168" s="316" t="n">
        <f aca="false">(1+AE168/2)^(-2*(I169-DateToday)/365.25)</f>
        <v>0.374308622897119</v>
      </c>
      <c r="AG168" s="316" t="n">
        <f aca="false">AG167*(1+IF(AND(M168=1,L168&gt;YearStart),Escalation,0))</f>
        <v>1</v>
      </c>
      <c r="AH168" s="322" t="n">
        <f aca="false">IF(OR(DateStart&gt;=I169,DateEnd&lt;I168),0,Volume*AG168)</f>
        <v>0</v>
      </c>
      <c r="AI168" s="322" t="n">
        <f aca="false">AH168*AF168</f>
        <v>0</v>
      </c>
      <c r="AJ168" s="322" t="n">
        <f aca="false">IF(OR(DateStart2&gt;=I169,DateEnd2&lt;I168),0,VolumeSwaption*AG168)</f>
        <v>0</v>
      </c>
      <c r="AK168" s="322" t="n">
        <f aca="false">AJ168*AF168</f>
        <v>0</v>
      </c>
      <c r="AL168" s="316" t="str">
        <f aca="true">IF(AH168,OFFSET(BY168,0,HorizontalPriceOffset)+PriceSpreadAsian,"")</f>
        <v/>
      </c>
      <c r="AM168" s="316" t="str">
        <f aca="false">IF(AH168,Strike1/AL168-1,"")</f>
        <v/>
      </c>
      <c r="AN168" s="316" t="str">
        <f aca="false">IF(AH168,Strike2/AL168-1,"")</f>
        <v/>
      </c>
      <c r="AO168" s="323" t="str">
        <f aca="false">IF(AH168,IF(VolOverrideAsian,VolOverrideAsian,IF(ProductGroup=1,IF(Product&lt;3,DA169,DE169),W169)+VolSpreadAsian),"")</f>
        <v/>
      </c>
      <c r="AP168" s="323" t="str">
        <f aca="false">IF($AH168,$AO168+IF(SkewFlag=1,IF(AM168&gt;0,$AA168*MIN(AM168/10%,1)+($Z168-$AA168)*MAX(0,MIN(AM168/10%-1,1))+($Y168-$Z168)*MAX(0,AM168/10%-2),$AB168*MIN(-AM168/10%,1)+($AC168-$AB168)*MAX(0,MIN(-AM168/10%-1,1))+($AD168-$AC168)*MAX(0,-AM168/10%-2)),0),"")</f>
        <v/>
      </c>
      <c r="AQ168" s="323" t="str">
        <f aca="false">IF($AH168,$AO168+IF(SkewFlag=1,IF(AN168&gt;0,$AA168*MIN(AN168/10%,1)+($Z168-$AA168)*MAX(0,MIN(AN168/10%-1,1))+($Y168-$Z168)*MAX(0,AN168/10%-2),$AB168*MIN(-AN168/10%,1)+($AC168-$AB168)*MAX(0,MIN(-AN168/10%-1,1))+($AD168-$AC168)*MAX(0,-AN168/10%-2)),0),"")</f>
        <v/>
      </c>
      <c r="AR168" s="324" t="n">
        <f aca="false">IF(AH168,xASN(AL168,Strike1,AE168,AP168,0,N168,0,P168,Q168,IF(OptControl=4,0,1),0),0)</f>
        <v>0</v>
      </c>
      <c r="AS168" s="324" t="n">
        <f aca="false">IF(AH168,xASN(AL168,Strike1,AE168,AP168,0,N168,0,P168,Q168,IF(OptControl=4,0,1),1),0)</f>
        <v>0</v>
      </c>
      <c r="AT168" s="324" t="n">
        <f aca="false">IF(AH168,xASN(AL168,Strike1,AE168,AP168,0,N168,0,P168,Q168,IF(OptControl=4,0,1),2),0)</f>
        <v>0</v>
      </c>
      <c r="AU168" s="324" t="n">
        <f aca="false">IF(AH168,xASN(AL168,Strike1,AE168,AP168,0,N168,0,P168,Q168,IF(OptControl=4,0,1),3)/100,0)</f>
        <v>0</v>
      </c>
      <c r="AV168" s="324" t="n">
        <f aca="false">IF(AH168,xASN(AL168,Strike1,AE168,AP168,0,N168,0,P168-DaysForThetaCalculation/365.25,Q168-DaysForThetaCalculation/365.25,IF(OptControl=4,0,1),0)-xASN(AL168,Strike1,AE168,AP168,0,N168,0,P168,Q168,IF(OptControl=4,0,1),0),0)</f>
        <v>0</v>
      </c>
      <c r="AW168" s="324" t="n">
        <f aca="false">IF(AH168,xASN(AL168,Strike2,AE168,AQ168,0,N168,0,P168,Q168,IF(OptControl=3,1,0),0),0)</f>
        <v>0</v>
      </c>
      <c r="AX168" s="324" t="n">
        <f aca="false">IF(AH168,xASN(AL168,Strike2,AE168,AQ168,0,N168,0,P168,Q168,IF(OptControl=3,1,0),1),0)</f>
        <v>0</v>
      </c>
      <c r="AY168" s="324" t="n">
        <f aca="false">IF(AH168,xASN(AL168,Strike2,AE168,AQ168,0,N168,0,P168,Q168,IF(OptControl=3,1,0),2),0)</f>
        <v>0</v>
      </c>
      <c r="AZ168" s="324" t="n">
        <f aca="false">IF(AH168,xASN(AL168,Strike2,AE168,AQ168,0,N168,0,P168,Q168,IF(OptControl=3,1,0),3)/100,0)</f>
        <v>0</v>
      </c>
      <c r="BA168" s="324" t="n">
        <f aca="false">IF(AH168,xASN(AL168,Strike2,AE168,AQ168,0,N168,0,P168-DaysForThetaCalculation/365.25,Q168-DaysForThetaCalculation/365.25,IF(OptControl=3,1,0),0)-xASN(AL168,Strike2,AE168,AQ168,0,N168,0,P168,Q168,IF(OptControl=3,1,0),0),0)</f>
        <v>0</v>
      </c>
      <c r="BB168" s="325" t="str">
        <f aca="false">IF(AH168,IF(ProductGroup=1,IF(Product=1,BX168+PriceSpreadEuro,IF(Product=3,CK168+PriceSpreadEuro,"N/A")),"N/A"),"")</f>
        <v/>
      </c>
      <c r="BC168" s="316" t="str">
        <f aca="false">IF(AH168,Strike1/BB168-1,"")</f>
        <v/>
      </c>
      <c r="BD168" s="316" t="str">
        <f aca="false">IF(AH168,Strike2/BB168-1,"")</f>
        <v/>
      </c>
      <c r="BE168" s="326" t="str">
        <f aca="false">IF(AH168,IF(VolOverrideEuro,VolOverrideEuro,IF(ProductGroup=1,IF(Product&lt;3,DA168,DE168)+VolSpreadEuro,"N/A")),"")</f>
        <v/>
      </c>
      <c r="BF168" s="323" t="str">
        <f aca="false">IF($AH168,$BE168+IF(SkewFlag=1,IF(BC168&gt;0,$AA168*MIN(BC168/10%,1)+($Z168-$AA168)*MAX(0,MIN(BC168/10%-1,1))+($Y168-$Z168)*MAX(0,BC168/10%-2),$AB168*MIN(-BC168/10%,1)+($AC168-$AB168)*MAX(0,MIN(-BC168/10%-1,1))+($AD168-$AC168)*MAX(0,-BC168/10%-2)),0),"")</f>
        <v/>
      </c>
      <c r="BG168" s="323" t="str">
        <f aca="false">IF($AH168,$BE168+IF(SkewFlag=1,IF(BD168&gt;0,$AA168*MIN(BD168/10%,1)+($Z168-$AA168)*MAX(0,MIN(BD168/10%-1,1))+($Y168-$Z168)*MAX(0,BD168/10%-2),$AB168*MIN(-BD168/10%,1)+($AC168-$AB168)*MAX(0,MIN(-BD168/10%-1,1))+($AD168-$AC168)*MAX(0,-BD168/10%-2)),0),"")</f>
        <v/>
      </c>
      <c r="BH168" s="324" t="n">
        <f aca="false">IF(AH168,xEURO(BB168,Strike1,AE168,AE168,BF168,O168,IF(OptControl=4,0,1),0),0)</f>
        <v>0</v>
      </c>
      <c r="BI168" s="324" t="n">
        <f aca="false">IF(AH168,xEURO(BB168,Strike1,AE168,AE168,BF168,O168,IF(OptControl=4,0,1),1),0)</f>
        <v>0</v>
      </c>
      <c r="BJ168" s="324" t="n">
        <f aca="false">IF(AH168,xEURO(BB168,Strike1,AE168,AE168,BF168,O168,IF(OptControl=4,0,1),2),0)</f>
        <v>0</v>
      </c>
      <c r="BK168" s="324" t="n">
        <f aca="false">IF(AH168,xEURO(BB168,Strike1,AE168,AE168,BF168,O168,IF(OptControl=4,0,1),3)/100,0)</f>
        <v>0</v>
      </c>
      <c r="BL168" s="324" t="n">
        <f aca="false">IF(AH168,xEURO(BB168,Strike1,AE168,AE168,BF168,O168-DaysForThetaCalculation,IF(OptControl=4,0,1),0)-xEURO(BB168,Strike1,AE168,AE168,BF168,O168,IF(OptControl=4,0,1),0),0)</f>
        <v>0</v>
      </c>
      <c r="BM168" s="324" t="n">
        <f aca="false">IF(AH168,xEURO(BB168,Strike2,AE168,AE168,BG168,O168,IF(OptControl=3,1,0),0),0)</f>
        <v>0</v>
      </c>
      <c r="BN168" s="324" t="n">
        <f aca="false">IF(AH168,xEURO(BB168,Strike2,AE168,AE168,BG168,O168,IF(OptControl=3,1,0),1),0)</f>
        <v>0</v>
      </c>
      <c r="BO168" s="324" t="n">
        <f aca="false">IF(AH168,xEURO(BB168,Strike2,AE168,AE168,BG168,O168,IF(OptControl=3,1,0),2),0)</f>
        <v>0</v>
      </c>
      <c r="BP168" s="324" t="n">
        <f aca="false">IF(AH168,xEURO(BB168,Strike2,AE168,AE168,BG168,O168,IF(OptControl=3,1,0),3)/100,0)</f>
        <v>0</v>
      </c>
      <c r="BQ168" s="327" t="n">
        <f aca="false">IF(AH168,xEURO(BB168,Strike2,AE168,AE168,BG168,O168-DaysForThetaCalculation,IF(OptControl=3,1,0),0)-xEURO(BB168,Strike2,AE168,AE168,BG168,O168,IF(OptControl=3,1,0),0),0)</f>
        <v>0</v>
      </c>
      <c r="BR168" s="343"/>
      <c r="BS168" s="314"/>
      <c r="BT168" s="329" t="n">
        <f aca="false">BS168*100/42</f>
        <v>0</v>
      </c>
      <c r="BU168" s="329" t="n">
        <f aca="false">BS169-$U168</f>
        <v>-32.026190476191</v>
      </c>
      <c r="BV168" s="224"/>
      <c r="BW168" s="329" t="n">
        <f aca="false">BW156+VLOOKUP(1900+$L168,ProductSpreadTable,2)</f>
        <v>13.0388181818182</v>
      </c>
      <c r="BX168" s="329" t="n">
        <f aca="false">($V167+BW167)*100/42</f>
        <v>106.241304347827</v>
      </c>
      <c r="BY168" s="332" t="n">
        <f aca="false">BX169</f>
        <v>107.297639661927</v>
      </c>
      <c r="BZ168" s="314"/>
      <c r="CA168" s="329" t="n">
        <f aca="false">BZ168*100/42</f>
        <v>0</v>
      </c>
      <c r="CB168" s="329" t="n">
        <f aca="false">BZ168-$U168</f>
        <v>-32.026190476191</v>
      </c>
      <c r="CC168" s="329" t="n">
        <f aca="false">CC156+VLOOKUP(1900+$L168,ProductSpreadTable,3)</f>
        <v>10.7288181818182</v>
      </c>
      <c r="CD168" s="329" t="n">
        <f aca="false">($V168+CC168)*100/42</f>
        <v>101.797639661927</v>
      </c>
      <c r="CE168" s="333" t="n">
        <f aca="false">CD168-BY168</f>
        <v>-5.5</v>
      </c>
      <c r="CF168" s="314"/>
      <c r="CG168" s="329" t="n">
        <f aca="false">CF168*100/42</f>
        <v>0</v>
      </c>
      <c r="CH168" s="329" t="n">
        <f aca="false">CF169-$U168</f>
        <v>-32.026190476191</v>
      </c>
      <c r="CI168" s="224"/>
      <c r="CJ168" s="329" t="n">
        <f aca="false">CJ156+VLOOKUP(1900+$L168,ProductSpreadTable,4)</f>
        <v>11.8968181818182</v>
      </c>
      <c r="CK168" s="329" t="n">
        <f aca="false">($V167+CJ167)*100/42</f>
        <v>101.222256728779</v>
      </c>
      <c r="CL168" s="329" t="n">
        <f aca="false">CK169</f>
        <v>104.578592042879</v>
      </c>
      <c r="CM168" s="314"/>
      <c r="CN168" s="329" t="n">
        <f aca="false">CM168*100/42</f>
        <v>0</v>
      </c>
      <c r="CO168" s="329" t="n">
        <f aca="false">CM168-$U168</f>
        <v>-32.026190476191</v>
      </c>
      <c r="CP168" s="329" t="n">
        <f aca="false">CP156+VLOOKUP(1900+$L168,ProductSpreadTable,5)</f>
        <v>10.6998181818182</v>
      </c>
      <c r="CQ168" s="329" t="n">
        <f aca="false">($V168+CP168)*100/42</f>
        <v>101.728592042879</v>
      </c>
      <c r="CR168" s="333" t="n">
        <f aca="false">CQ168-CL168</f>
        <v>-2.84999999999997</v>
      </c>
      <c r="CS168" s="314"/>
      <c r="CT168" s="329" t="n">
        <f aca="false">CS168*100/42</f>
        <v>0</v>
      </c>
      <c r="CU168" s="329" t="n">
        <f aca="false">CT168-CG169</f>
        <v>0</v>
      </c>
      <c r="CV168" s="329" t="n">
        <f aca="false">CV156+VLOOKUP(1900+$L168,ProductSpreadTable,6)</f>
        <v>2.55000000000001</v>
      </c>
      <c r="CW168" s="333" t="n">
        <f aca="false">CL168+CV168</f>
        <v>107.128592042879</v>
      </c>
      <c r="CX168" s="318"/>
      <c r="CY168" s="326" t="n">
        <f aca="false">CX168-$W168</f>
        <v>-0.152499999999998</v>
      </c>
      <c r="CZ168" s="326" t="n">
        <f aca="false">VLOOKUP(1900+$L168,ProductSpreadTable,7)</f>
        <v>-0.03</v>
      </c>
      <c r="DA168" s="365" t="n">
        <f aca="false">$W168+CZ168</f>
        <v>0.122499999999998</v>
      </c>
      <c r="DB168" s="318"/>
      <c r="DC168" s="326" t="n">
        <f aca="false">DB168-$W168</f>
        <v>-0.152499999999998</v>
      </c>
      <c r="DD168" s="326" t="n">
        <f aca="false">VLOOKUP(1900+$L168,ProductSpreadTable,8)</f>
        <v>0.03</v>
      </c>
      <c r="DE168" s="365" t="n">
        <f aca="false">$W168+DD168</f>
        <v>0.182499999999998</v>
      </c>
      <c r="DG168" s="336"/>
      <c r="DH168" s="314"/>
      <c r="DI168" s="325" t="n">
        <f aca="false">DH168-$U168</f>
        <v>-32.026190476191</v>
      </c>
      <c r="DJ168" s="325" t="n">
        <f aca="false">VLOOKUP(1900+$L168,ResidSpreadTable,2)</f>
        <v>-2</v>
      </c>
      <c r="DK168" s="337" t="n">
        <f aca="false">$V168+DJ168</f>
        <v>30.026190476191</v>
      </c>
      <c r="DL168" s="314"/>
      <c r="DM168" s="325" t="n">
        <f aca="false">DL168-$U168</f>
        <v>-32.026190476191</v>
      </c>
      <c r="DN168" s="325" t="n">
        <f aca="false">VLOOKUP(1900+$L168,ResidSpreadTable,3)</f>
        <v>-3</v>
      </c>
      <c r="DO168" s="337" t="n">
        <f aca="false">$V168+DN168</f>
        <v>29.026190476191</v>
      </c>
      <c r="DP168" s="314"/>
      <c r="DQ168" s="325" t="n">
        <f aca="false">DP168-$U168</f>
        <v>-32.026190476191</v>
      </c>
      <c r="DR168" s="325" t="n">
        <f aca="false">VLOOKUP(1900+$L168,ResidSpreadTable,4)</f>
        <v>-6</v>
      </c>
      <c r="DS168" s="337" t="n">
        <f aca="false">$V168+DR168</f>
        <v>26.026190476191</v>
      </c>
      <c r="DT168" s="314"/>
      <c r="DU168" s="325" t="n">
        <f aca="false">DT168-$U168</f>
        <v>-32.026190476191</v>
      </c>
      <c r="DV168" s="325" t="n">
        <f aca="false">VLOOKUP(1900+$L168,ResidSpreadTable,5)</f>
        <v>-5</v>
      </c>
      <c r="DW168" s="337" t="n">
        <f aca="false">$V168+DV168</f>
        <v>27.026190476191</v>
      </c>
    </row>
    <row r="169" customFormat="false" ht="12.75" hidden="false" customHeight="false" outlineLevel="0" collapsed="false">
      <c r="B169" s="371" t="n">
        <v>40695</v>
      </c>
      <c r="C169" s="391" t="n">
        <v>40685</v>
      </c>
      <c r="I169" s="338" t="n">
        <f aca="false">EOMONTH(I168,0)+1</f>
        <v>50891</v>
      </c>
      <c r="J169" s="389" t="n">
        <f aca="false">VLOOKUP(I169,$B$12:$C$332,2)</f>
        <v>45644</v>
      </c>
      <c r="K169" s="339" t="n">
        <f aca="false">NETWORKDAYS(I169,J170)/N169</f>
        <v>-170.363636363636</v>
      </c>
      <c r="L169" s="309" t="n">
        <f aca="false">YEAR(I169)-1900</f>
        <v>139</v>
      </c>
      <c r="M169" s="310" t="n">
        <f aca="false">MONTH(I169)</f>
        <v>5</v>
      </c>
      <c r="N169" s="340" t="n">
        <f aca="false">NETWORKDAYS(I169,I170-1)</f>
        <v>22</v>
      </c>
      <c r="O169" s="341" t="n">
        <f aca="false">I169-DateToday-IF(EuroExpDateToggle=1,3+IF(WEEKDAY(I169-1)=7,1,IF(WEEKDAY(I169-1)&lt;5,2,0)),1+IF(WEEKDAY(I169-1)=7,1,IF(WEEKDAY(I169-1)&lt;3,2,0)))</f>
        <v>4961</v>
      </c>
      <c r="P169" s="342" t="n">
        <f aca="false">(I169-DateToday+1)/365.25</f>
        <v>13.596167008898</v>
      </c>
      <c r="Q169" s="342" t="n">
        <f aca="false">(I170-DateToday)/365.25</f>
        <v>13.678302532512</v>
      </c>
      <c r="R169" s="314" t="n">
        <v>23.1000000000001</v>
      </c>
      <c r="S169" s="347" t="n">
        <v>0</v>
      </c>
      <c r="T169" s="316" t="n">
        <f aca="false">R169+S169/100</f>
        <v>23.1000000000001</v>
      </c>
      <c r="U169" s="325" t="n">
        <f aca="false">R170*K169+R171*(1-K169)</f>
        <v>31.7181818181821</v>
      </c>
      <c r="V169" s="337" t="n">
        <f aca="false">T170*K169+T171*(1-K169)</f>
        <v>31.7181818181821</v>
      </c>
      <c r="W169" s="318" t="n">
        <v>0.152099999999998</v>
      </c>
      <c r="X169" s="319" t="str">
        <f aca="false">IF($I169-DateToday+1&gt;=$A$10,"",IF($I169-DateToday+1&lt;$A$5,1,MATCH($I169-DateToday+1,$A$5:$A$10)))</f>
        <v/>
      </c>
      <c r="Y169" s="348" t="n">
        <f aca="false">IF($X169="",Y168^2/Y167,INDEX(B$5:B$10,$X169)^((INDEX($A$5:$A$10,$X169+1)-($I169-DateToday+1))/(INDEX($A$5:$A$10,$X169+1)-INDEX($A$5:$A$10,$X169)))/INDEX(B$5:B$10,$X169+1)^((INDEX($A$5:$A$10,$X169)-($I169-DateToday+1))/(INDEX($A$5:$A$10,$X169+1)-INDEX($A$5:$A$10,$X169))))</f>
        <v>0.000450380049464685</v>
      </c>
      <c r="Z169" s="348" t="n">
        <f aca="false">IF($X169="",Z168^2/Z167,INDEX(C$5:C$10,$X169)^((INDEX($A$5:$A$10,$X169+1)-($I169-DateToday+1))/(INDEX($A$5:$A$10,$X169+1)-INDEX($A$5:$A$10,$X169)))/INDEX(C$5:C$10,$X169+1)^((INDEX($A$5:$A$10,$X169)-($I169-DateToday+1))/(INDEX($A$5:$A$10,$X169+1)-INDEX($A$5:$A$10,$X169))))</f>
        <v>0.000115587298924436</v>
      </c>
      <c r="AA169" s="348" t="n">
        <f aca="false">IF($X169="",AA168^2/AA167,INDEX(D$5:D$10,$X169)^((INDEX($A$5:$A$10,$X169+1)-($I169-DateToday+1))/(INDEX($A$5:$A$10,$X169+1)-INDEX($A$5:$A$10,$X169)))/INDEX(D$5:D$10,$X169+1)^((INDEX($A$5:$A$10,$X169)-($I169-DateToday+1))/(INDEX($A$5:$A$10,$X169+1)-INDEX($A$5:$A$10,$X169))))</f>
        <v>3.55499382386491E-005</v>
      </c>
      <c r="AB169" s="348" t="n">
        <f aca="false">IF($X169="",AB168^2/AB167,INDEX(E$5:E$10,$X169)^((INDEX($A$5:$A$10,$X169+1)-($I169-DateToday+1))/(INDEX($A$5:$A$10,$X169+1)-INDEX($A$5:$A$10,$X169)))/INDEX(E$5:E$10,$X169+1)^((INDEX($A$5:$A$10,$X169)-($I169-DateToday+1))/(INDEX($A$5:$A$10,$X169+1)-INDEX($A$5:$A$10,$X169))))</f>
        <v>8.00869008640362E-005</v>
      </c>
      <c r="AC169" s="348" t="n">
        <f aca="false">IF($X169="",AC168^2/AC167,INDEX(F$5:F$10,$X169)^((INDEX($A$5:$A$10,$X169+1)-($I169-DateToday+1))/(INDEX($A$5:$A$10,$X169+1)-INDEX($A$5:$A$10,$X169)))/INDEX(F$5:F$10,$X169+1)^((INDEX($A$5:$A$10,$X169)-($I169-DateToday+1))/(INDEX($A$5:$A$10,$X169+1)-INDEX($A$5:$A$10,$X169))))</f>
        <v>0.000260395067016966</v>
      </c>
      <c r="AD169" s="348" t="n">
        <f aca="false">IF($X169="",AD168^2/AD167,INDEX(G$5:G$10,$X169)^((INDEX($A$5:$A$10,$X169+1)-($I169-DateToday+1))/(INDEX($A$5:$A$10,$X169+1)-INDEX($A$5:$A$10,$X169)))/INDEX(G$5:G$10,$X169+1)^((INDEX($A$5:$A$10,$X169)-($I169-DateToday+1))/(INDEX($A$5:$A$10,$X169+1)-INDEX($A$5:$A$10,$X169))))</f>
        <v>0.00101461617543393</v>
      </c>
      <c r="AE169" s="321" t="n">
        <v>0.07360881306687</v>
      </c>
      <c r="AF169" s="316" t="n">
        <f aca="false">(1+AE169/2)^(-2*(I170-DateToday)/365.25)</f>
        <v>0.372038515215775</v>
      </c>
      <c r="AG169" s="316" t="n">
        <f aca="false">AG168*(1+IF(AND(M169=1,L169&gt;YearStart),Escalation,0))</f>
        <v>1</v>
      </c>
      <c r="AH169" s="322" t="n">
        <f aca="false">IF(OR(DateStart&gt;=I170,DateEnd&lt;I169),0,Volume*AG169)</f>
        <v>0</v>
      </c>
      <c r="AI169" s="322" t="n">
        <f aca="false">AH169*AF169</f>
        <v>0</v>
      </c>
      <c r="AJ169" s="322" t="n">
        <f aca="false">IF(OR(DateStart2&gt;=I170,DateEnd2&lt;I169),0,VolumeSwaption*AG169)</f>
        <v>0</v>
      </c>
      <c r="AK169" s="322" t="n">
        <f aca="false">AJ169*AF169</f>
        <v>0</v>
      </c>
      <c r="AL169" s="316" t="str">
        <f aca="true">IF(AH169,OFFSET(BY169,0,HorizontalPriceOffset)+PriceSpreadAsian,"")</f>
        <v/>
      </c>
      <c r="AM169" s="316" t="str">
        <f aca="false">IF(AH169,Strike1/AL169-1,"")</f>
        <v/>
      </c>
      <c r="AN169" s="316" t="str">
        <f aca="false">IF(AH169,Strike2/AL169-1,"")</f>
        <v/>
      </c>
      <c r="AO169" s="323" t="str">
        <f aca="false">IF(AH169,IF(VolOverrideAsian,VolOverrideAsian,IF(ProductGroup=1,IF(Product&lt;3,DA170,DE170),W170)+VolSpreadAsian),"")</f>
        <v/>
      </c>
      <c r="AP169" s="323" t="str">
        <f aca="false">IF($AH169,$AO169+IF(SkewFlag=1,IF(AM169&gt;0,$AA169*MIN(AM169/10%,1)+($Z169-$AA169)*MAX(0,MIN(AM169/10%-1,1))+($Y169-$Z169)*MAX(0,AM169/10%-2),$AB169*MIN(-AM169/10%,1)+($AC169-$AB169)*MAX(0,MIN(-AM169/10%-1,1))+($AD169-$AC169)*MAX(0,-AM169/10%-2)),0),"")</f>
        <v/>
      </c>
      <c r="AQ169" s="323" t="str">
        <f aca="false">IF($AH169,$AO169+IF(SkewFlag=1,IF(AN169&gt;0,$AA169*MIN(AN169/10%,1)+($Z169-$AA169)*MAX(0,MIN(AN169/10%-1,1))+($Y169-$Z169)*MAX(0,AN169/10%-2),$AB169*MIN(-AN169/10%,1)+($AC169-$AB169)*MAX(0,MIN(-AN169/10%-1,1))+($AD169-$AC169)*MAX(0,-AN169/10%-2)),0),"")</f>
        <v/>
      </c>
      <c r="AR169" s="324" t="n">
        <f aca="false">IF(AH169,xASN(AL169,Strike1,AE169,AP169,0,N169,0,P169,Q169,IF(OptControl=4,0,1),0),0)</f>
        <v>0</v>
      </c>
      <c r="AS169" s="324" t="n">
        <f aca="false">IF(AH169,xASN(AL169,Strike1,AE169,AP169,0,N169,0,P169,Q169,IF(OptControl=4,0,1),1),0)</f>
        <v>0</v>
      </c>
      <c r="AT169" s="324" t="n">
        <f aca="false">IF(AH169,xASN(AL169,Strike1,AE169,AP169,0,N169,0,P169,Q169,IF(OptControl=4,0,1),2),0)</f>
        <v>0</v>
      </c>
      <c r="AU169" s="324" t="n">
        <f aca="false">IF(AH169,xASN(AL169,Strike1,AE169,AP169,0,N169,0,P169,Q169,IF(OptControl=4,0,1),3)/100,0)</f>
        <v>0</v>
      </c>
      <c r="AV169" s="324" t="n">
        <f aca="false">IF(AH169,xASN(AL169,Strike1,AE169,AP169,0,N169,0,P169-DaysForThetaCalculation/365.25,Q169-DaysForThetaCalculation/365.25,IF(OptControl=4,0,1),0)-xASN(AL169,Strike1,AE169,AP169,0,N169,0,P169,Q169,IF(OptControl=4,0,1),0),0)</f>
        <v>0</v>
      </c>
      <c r="AW169" s="324" t="n">
        <f aca="false">IF(AH169,xASN(AL169,Strike2,AE169,AQ169,0,N169,0,P169,Q169,IF(OptControl=3,1,0),0),0)</f>
        <v>0</v>
      </c>
      <c r="AX169" s="324" t="n">
        <f aca="false">IF(AH169,xASN(AL169,Strike2,AE169,AQ169,0,N169,0,P169,Q169,IF(OptControl=3,1,0),1),0)</f>
        <v>0</v>
      </c>
      <c r="AY169" s="324" t="n">
        <f aca="false">IF(AH169,xASN(AL169,Strike2,AE169,AQ169,0,N169,0,P169,Q169,IF(OptControl=3,1,0),2),0)</f>
        <v>0</v>
      </c>
      <c r="AZ169" s="324" t="n">
        <f aca="false">IF(AH169,xASN(AL169,Strike2,AE169,AQ169,0,N169,0,P169,Q169,IF(OptControl=3,1,0),3)/100,0)</f>
        <v>0</v>
      </c>
      <c r="BA169" s="324" t="n">
        <f aca="false">IF(AH169,xASN(AL169,Strike2,AE169,AQ169,0,N169,0,P169-DaysForThetaCalculation/365.25,Q169-DaysForThetaCalculation/365.25,IF(OptControl=3,1,0),0)-xASN(AL169,Strike2,AE169,AQ169,0,N169,0,P169,Q169,IF(OptControl=3,1,0),0),0)</f>
        <v>0</v>
      </c>
      <c r="BB169" s="325" t="str">
        <f aca="false">IF(AH169,IF(ProductGroup=1,IF(Product=1,BX169+PriceSpreadEuro,IF(Product=3,CK169+PriceSpreadEuro,"N/A")),"N/A"),"")</f>
        <v/>
      </c>
      <c r="BC169" s="316" t="str">
        <f aca="false">IF(AH169,Strike1/BB169-1,"")</f>
        <v/>
      </c>
      <c r="BD169" s="316" t="str">
        <f aca="false">IF(AH169,Strike2/BB169-1,"")</f>
        <v/>
      </c>
      <c r="BE169" s="326" t="str">
        <f aca="false">IF(AH169,IF(VolOverrideEuro,VolOverrideEuro,IF(ProductGroup=1,IF(Product&lt;3,DA169,DE169)+VolSpreadEuro,"N/A")),"")</f>
        <v/>
      </c>
      <c r="BF169" s="323" t="str">
        <f aca="false">IF($AH169,$BE169+IF(SkewFlag=1,IF(BC169&gt;0,$AA169*MIN(BC169/10%,1)+($Z169-$AA169)*MAX(0,MIN(BC169/10%-1,1))+($Y169-$Z169)*MAX(0,BC169/10%-2),$AB169*MIN(-BC169/10%,1)+($AC169-$AB169)*MAX(0,MIN(-BC169/10%-1,1))+($AD169-$AC169)*MAX(0,-BC169/10%-2)),0),"")</f>
        <v/>
      </c>
      <c r="BG169" s="323" t="str">
        <f aca="false">IF($AH169,$BE169+IF(SkewFlag=1,IF(BD169&gt;0,$AA169*MIN(BD169/10%,1)+($Z169-$AA169)*MAX(0,MIN(BD169/10%-1,1))+($Y169-$Z169)*MAX(0,BD169/10%-2),$AB169*MIN(-BD169/10%,1)+($AC169-$AB169)*MAX(0,MIN(-BD169/10%-1,1))+($AD169-$AC169)*MAX(0,-BD169/10%-2)),0),"")</f>
        <v/>
      </c>
      <c r="BH169" s="324" t="n">
        <f aca="false">IF(AH169,xEURO(BB169,Strike1,AE169,AE169,BF169,O169,IF(OptControl=4,0,1),0),0)</f>
        <v>0</v>
      </c>
      <c r="BI169" s="324" t="n">
        <f aca="false">IF(AH169,xEURO(BB169,Strike1,AE169,AE169,BF169,O169,IF(OptControl=4,0,1),1),0)</f>
        <v>0</v>
      </c>
      <c r="BJ169" s="324" t="n">
        <f aca="false">IF(AH169,xEURO(BB169,Strike1,AE169,AE169,BF169,O169,IF(OptControl=4,0,1),2),0)</f>
        <v>0</v>
      </c>
      <c r="BK169" s="324" t="n">
        <f aca="false">IF(AH169,xEURO(BB169,Strike1,AE169,AE169,BF169,O169,IF(OptControl=4,0,1),3)/100,0)</f>
        <v>0</v>
      </c>
      <c r="BL169" s="324" t="n">
        <f aca="false">IF(AH169,xEURO(BB169,Strike1,AE169,AE169,BF169,O169-DaysForThetaCalculation,IF(OptControl=4,0,1),0)-xEURO(BB169,Strike1,AE169,AE169,BF169,O169,IF(OptControl=4,0,1),0),0)</f>
        <v>0</v>
      </c>
      <c r="BM169" s="324" t="n">
        <f aca="false">IF(AH169,xEURO(BB169,Strike2,AE169,AE169,BG169,O169,IF(OptControl=3,1,0),0),0)</f>
        <v>0</v>
      </c>
      <c r="BN169" s="324" t="n">
        <f aca="false">IF(AH169,xEURO(BB169,Strike2,AE169,AE169,BG169,O169,IF(OptControl=3,1,0),1),0)</f>
        <v>0</v>
      </c>
      <c r="BO169" s="324" t="n">
        <f aca="false">IF(AH169,xEURO(BB169,Strike2,AE169,AE169,BG169,O169,IF(OptControl=3,1,0),2),0)</f>
        <v>0</v>
      </c>
      <c r="BP169" s="324" t="n">
        <f aca="false">IF(AH169,xEURO(BB169,Strike2,AE169,AE169,BG169,O169,IF(OptControl=3,1,0),3)/100,0)</f>
        <v>0</v>
      </c>
      <c r="BQ169" s="327" t="n">
        <f aca="false">IF(AH169,xEURO(BB169,Strike2,AE169,AE169,BG169,O169-DaysForThetaCalculation,IF(OptControl=3,1,0),0)-xEURO(BB169,Strike2,AE169,AE169,BG169,O169,IF(OptControl=3,1,0),0),0)</f>
        <v>0</v>
      </c>
      <c r="BR169" s="343"/>
      <c r="BS169" s="314"/>
      <c r="BT169" s="329" t="n">
        <f aca="false">BS169*100/42</f>
        <v>0</v>
      </c>
      <c r="BU169" s="329" t="n">
        <f aca="false">BS170-$U169</f>
        <v>-31.7181818181821</v>
      </c>
      <c r="BV169" s="224"/>
      <c r="BW169" s="329" t="n">
        <f aca="false">BW157+VLOOKUP(1900+$L169,ProductSpreadTable,2)</f>
        <v>13.0470952380953</v>
      </c>
      <c r="BX169" s="329" t="n">
        <f aca="false">($V168+BW168)*100/42</f>
        <v>107.297639661927</v>
      </c>
      <c r="BY169" s="332" t="n">
        <f aca="false">BX170</f>
        <v>106.583992991137</v>
      </c>
      <c r="BZ169" s="314"/>
      <c r="CA169" s="329" t="n">
        <f aca="false">BZ169*100/42</f>
        <v>0</v>
      </c>
      <c r="CB169" s="329" t="n">
        <f aca="false">BZ169-$U169</f>
        <v>-31.7181818181821</v>
      </c>
      <c r="CC169" s="329" t="n">
        <f aca="false">CC157+VLOOKUP(1900+$L169,ProductSpreadTable,3)</f>
        <v>10.7370952380953</v>
      </c>
      <c r="CD169" s="329" t="n">
        <f aca="false">($V169+CC169)*100/42</f>
        <v>101.083992991137</v>
      </c>
      <c r="CE169" s="333" t="n">
        <f aca="false">CD169-BY169</f>
        <v>-5.5</v>
      </c>
      <c r="CF169" s="314"/>
      <c r="CG169" s="329" t="n">
        <f aca="false">CF169*100/42</f>
        <v>0</v>
      </c>
      <c r="CH169" s="329" t="n">
        <f aca="false">CF170-$U169</f>
        <v>-31.7181818181821</v>
      </c>
      <c r="CI169" s="224"/>
      <c r="CJ169" s="329" t="n">
        <f aca="false">CJ157+VLOOKUP(1900+$L169,ProductSpreadTable,4)</f>
        <v>12.6190952380953</v>
      </c>
      <c r="CK169" s="329" t="n">
        <f aca="false">($V168+CJ168)*100/42</f>
        <v>104.578592042879</v>
      </c>
      <c r="CL169" s="329" t="n">
        <f aca="false">CK170</f>
        <v>105.564945372089</v>
      </c>
      <c r="CM169" s="314"/>
      <c r="CN169" s="329" t="n">
        <f aca="false">CM169*100/42</f>
        <v>0</v>
      </c>
      <c r="CO169" s="329" t="n">
        <f aca="false">CM169-$U169</f>
        <v>-31.7181818181821</v>
      </c>
      <c r="CP169" s="329" t="n">
        <f aca="false">CP157+VLOOKUP(1900+$L169,ProductSpreadTable,5)</f>
        <v>11.4220952380953</v>
      </c>
      <c r="CQ169" s="329" t="n">
        <f aca="false">($V169+CP169)*100/42</f>
        <v>102.714945372089</v>
      </c>
      <c r="CR169" s="333" t="n">
        <f aca="false">CQ169-CL169</f>
        <v>-2.84999999999999</v>
      </c>
      <c r="CS169" s="314"/>
      <c r="CT169" s="329" t="n">
        <f aca="false">CS169*100/42</f>
        <v>0</v>
      </c>
      <c r="CU169" s="329" t="n">
        <f aca="false">CT169-CG170</f>
        <v>0</v>
      </c>
      <c r="CV169" s="329" t="n">
        <f aca="false">CV157+VLOOKUP(1900+$L169,ProductSpreadTable,6)</f>
        <v>2.55000000000001</v>
      </c>
      <c r="CW169" s="333" t="n">
        <f aca="false">CL169+CV169</f>
        <v>108.114945372089</v>
      </c>
      <c r="CX169" s="318"/>
      <c r="CY169" s="326" t="n">
        <f aca="false">CX169-$W169</f>
        <v>-0.152099999999998</v>
      </c>
      <c r="CZ169" s="326" t="n">
        <f aca="false">VLOOKUP(1900+$L169,ProductSpreadTable,7)</f>
        <v>-0.03</v>
      </c>
      <c r="DA169" s="365" t="n">
        <f aca="false">$W169+CZ169</f>
        <v>0.122099999999998</v>
      </c>
      <c r="DB169" s="318"/>
      <c r="DC169" s="326" t="n">
        <f aca="false">DB169-$W169</f>
        <v>-0.152099999999998</v>
      </c>
      <c r="DD169" s="326" t="n">
        <f aca="false">VLOOKUP(1900+$L169,ProductSpreadTable,8)</f>
        <v>0.03</v>
      </c>
      <c r="DE169" s="365" t="n">
        <f aca="false">$W169+DD169</f>
        <v>0.182099999999998</v>
      </c>
      <c r="DG169" s="336"/>
      <c r="DH169" s="314"/>
      <c r="DI169" s="325" t="n">
        <f aca="false">DH169-$U169</f>
        <v>-31.7181818181821</v>
      </c>
      <c r="DJ169" s="325" t="n">
        <f aca="false">VLOOKUP(1900+$L169,ResidSpreadTable,2)</f>
        <v>-2</v>
      </c>
      <c r="DK169" s="337" t="n">
        <f aca="false">$V169+DJ169</f>
        <v>29.7181818181821</v>
      </c>
      <c r="DL169" s="314"/>
      <c r="DM169" s="325" t="n">
        <f aca="false">DL169-$U169</f>
        <v>-31.7181818181821</v>
      </c>
      <c r="DN169" s="325" t="n">
        <f aca="false">VLOOKUP(1900+$L169,ResidSpreadTable,3)</f>
        <v>-3</v>
      </c>
      <c r="DO169" s="337" t="n">
        <f aca="false">$V169+DN169</f>
        <v>28.7181818181821</v>
      </c>
      <c r="DP169" s="314"/>
      <c r="DQ169" s="325" t="n">
        <f aca="false">DP169-$U169</f>
        <v>-31.7181818181821</v>
      </c>
      <c r="DR169" s="325" t="n">
        <f aca="false">VLOOKUP(1900+$L169,ResidSpreadTable,4)</f>
        <v>-6</v>
      </c>
      <c r="DS169" s="337" t="n">
        <f aca="false">$V169+DR169</f>
        <v>25.7181818181821</v>
      </c>
      <c r="DT169" s="314"/>
      <c r="DU169" s="325" t="n">
        <f aca="false">DT169-$U169</f>
        <v>-31.7181818181821</v>
      </c>
      <c r="DV169" s="325" t="n">
        <f aca="false">VLOOKUP(1900+$L169,ResidSpreadTable,5)</f>
        <v>-5</v>
      </c>
      <c r="DW169" s="337" t="n">
        <f aca="false">$V169+DV169</f>
        <v>26.7181818181821</v>
      </c>
    </row>
    <row r="170" customFormat="false" ht="12.75" hidden="false" customHeight="false" outlineLevel="0" collapsed="false">
      <c r="B170" s="371" t="n">
        <v>40725</v>
      </c>
      <c r="C170" s="391" t="n">
        <v>40714</v>
      </c>
      <c r="I170" s="338" t="n">
        <f aca="false">EOMONTH(I169,0)+1</f>
        <v>50922</v>
      </c>
      <c r="J170" s="389" t="n">
        <f aca="false">VLOOKUP(I170,$B$12:$C$332,2)</f>
        <v>45644</v>
      </c>
      <c r="K170" s="339" t="n">
        <f aca="false">NETWORKDAYS(I170,J171)/N170</f>
        <v>-171.409090909091</v>
      </c>
      <c r="L170" s="309" t="n">
        <f aca="false">YEAR(I170)-1900</f>
        <v>139</v>
      </c>
      <c r="M170" s="310" t="n">
        <f aca="false">MONTH(I170)</f>
        <v>6</v>
      </c>
      <c r="N170" s="340" t="n">
        <f aca="false">NETWORKDAYS(I170,I171-1)</f>
        <v>22</v>
      </c>
      <c r="O170" s="341" t="n">
        <f aca="false">I170-DateToday-IF(EuroExpDateToggle=1,3+IF(WEEKDAY(I170-1)=7,1,IF(WEEKDAY(I170-1)&lt;5,2,0)),1+IF(WEEKDAY(I170-1)=7,1,IF(WEEKDAY(I170-1)&lt;3,2,0)))</f>
        <v>4991</v>
      </c>
      <c r="P170" s="342" t="n">
        <f aca="false">(I170-DateToday+1)/365.25</f>
        <v>13.6810403832991</v>
      </c>
      <c r="Q170" s="342" t="n">
        <f aca="false">(I171-DateToday)/365.25</f>
        <v>13.7604380561259</v>
      </c>
      <c r="R170" s="314" t="n">
        <v>23.1500000000001</v>
      </c>
      <c r="S170" s="347" t="n">
        <v>0</v>
      </c>
      <c r="T170" s="316" t="n">
        <f aca="false">R170+S170/100</f>
        <v>23.1500000000001</v>
      </c>
      <c r="U170" s="325" t="n">
        <f aca="false">R171*K170+R172*(1-K170)</f>
        <v>31.8204545454551</v>
      </c>
      <c r="V170" s="337" t="n">
        <f aca="false">T171*K170+T172*(1-K170)</f>
        <v>31.8204545454551</v>
      </c>
      <c r="W170" s="318" t="n">
        <v>0.151699999999998</v>
      </c>
      <c r="X170" s="319" t="str">
        <f aca="false">IF($I170-DateToday+1&gt;=$A$10,"",IF($I170-DateToday+1&lt;$A$5,1,MATCH($I170-DateToday+1,$A$5:$A$10)))</f>
        <v/>
      </c>
      <c r="Y170" s="348" t="n">
        <f aca="false">IF($X170="",Y169^2/Y168,INDEX(B$5:B$10,$X170)^((INDEX($A$5:$A$10,$X170+1)-($I170-DateToday+1))/(INDEX($A$5:$A$10,$X170+1)-INDEX($A$5:$A$10,$X170)))/INDEX(B$5:B$10,$X170+1)^((INDEX($A$5:$A$10,$X170)-($I170-DateToday+1))/(INDEX($A$5:$A$10,$X170+1)-INDEX($A$5:$A$10,$X170))))</f>
        <v>0.000440738097600948</v>
      </c>
      <c r="Z170" s="348" t="n">
        <f aca="false">IF($X170="",Z169^2/Z168,INDEX(C$5:C$10,$X170)^((INDEX($A$5:$A$10,$X170+1)-($I170-DateToday+1))/(INDEX($A$5:$A$10,$X170+1)-INDEX($A$5:$A$10,$X170)))/INDEX(C$5:C$10,$X170+1)^((INDEX($A$5:$A$10,$X170)-($I170-DateToday+1))/(INDEX($A$5:$A$10,$X170+1)-INDEX($A$5:$A$10,$X170))))</f>
        <v>0.00011250713911204</v>
      </c>
      <c r="AA170" s="348" t="n">
        <f aca="false">IF($X170="",AA169^2/AA168,INDEX(D$5:D$10,$X170)^((INDEX($A$5:$A$10,$X170+1)-($I170-DateToday+1))/(INDEX($A$5:$A$10,$X170+1)-INDEX($A$5:$A$10,$X170)))/INDEX(D$5:D$10,$X170+1)^((INDEX($A$5:$A$10,$X170)-($I170-DateToday+1))/(INDEX($A$5:$A$10,$X170+1)-INDEX($A$5:$A$10,$X170))))</f>
        <v>3.45098165590523E-005</v>
      </c>
      <c r="AB170" s="348" t="n">
        <f aca="false">IF($X170="",AB169^2/AB168,INDEX(E$5:E$10,$X170)^((INDEX($A$5:$A$10,$X170+1)-($I170-DateToday+1))/(INDEX($A$5:$A$10,$X170+1)-INDEX($A$5:$A$10,$X170)))/INDEX(E$5:E$10,$X170+1)^((INDEX($A$5:$A$10,$X170)-($I170-DateToday+1))/(INDEX($A$5:$A$10,$X170+1)-INDEX($A$5:$A$10,$X170))))</f>
        <v>7.77437147442404E-005</v>
      </c>
      <c r="AC170" s="348" t="n">
        <f aca="false">IF($X170="",AC169^2/AC168,INDEX(F$5:F$10,$X170)^((INDEX($A$5:$A$10,$X170+1)-($I170-DateToday+1))/(INDEX($A$5:$A$10,$X170+1)-INDEX($A$5:$A$10,$X170)))/INDEX(F$5:F$10,$X170+1)^((INDEX($A$5:$A$10,$X170)-($I170-DateToday+1))/(INDEX($A$5:$A$10,$X170+1)-INDEX($A$5:$A$10,$X170))))</f>
        <v>0.0002534560829916</v>
      </c>
      <c r="AD170" s="348" t="n">
        <f aca="false">IF($X170="",AD169^2/AD168,INDEX(G$5:G$10,$X170)^((INDEX($A$5:$A$10,$X170+1)-($I170-DateToday+1))/(INDEX($A$5:$A$10,$X170+1)-INDEX($A$5:$A$10,$X170)))/INDEX(G$5:G$10,$X170+1)^((INDEX($A$5:$A$10,$X170)-($I170-DateToday+1))/(INDEX($A$5:$A$10,$X170+1)-INDEX($A$5:$A$10,$X170))))</f>
        <v>0.000992894786275307</v>
      </c>
      <c r="AE170" s="321" t="n">
        <v>0.073604979300522</v>
      </c>
      <c r="AF170" s="316" t="n">
        <f aca="false">(1+AE170/2)^(-2*(I171-DateToday)/365.25)</f>
        <v>0.369854974842932</v>
      </c>
      <c r="AG170" s="316" t="n">
        <f aca="false">AG169*(1+IF(AND(M170=1,L170&gt;YearStart),Escalation,0))</f>
        <v>1</v>
      </c>
      <c r="AH170" s="322" t="n">
        <f aca="false">IF(OR(DateStart&gt;=I171,DateEnd&lt;I170),0,Volume*AG170)</f>
        <v>0</v>
      </c>
      <c r="AI170" s="322" t="n">
        <f aca="false">AH170*AF170</f>
        <v>0</v>
      </c>
      <c r="AJ170" s="322" t="n">
        <f aca="false">IF(OR(DateStart2&gt;=I171,DateEnd2&lt;I170),0,VolumeSwaption*AG170)</f>
        <v>0</v>
      </c>
      <c r="AK170" s="322" t="n">
        <f aca="false">AJ170*AF170</f>
        <v>0</v>
      </c>
      <c r="AL170" s="316" t="str">
        <f aca="true">IF(AH170,OFFSET(BY170,0,HorizontalPriceOffset)+PriceSpreadAsian,"")</f>
        <v/>
      </c>
      <c r="AM170" s="316" t="str">
        <f aca="false">IF(AH170,Strike1/AL170-1,"")</f>
        <v/>
      </c>
      <c r="AN170" s="316" t="str">
        <f aca="false">IF(AH170,Strike2/AL170-1,"")</f>
        <v/>
      </c>
      <c r="AO170" s="323" t="str">
        <f aca="false">IF(AH170,IF(VolOverrideAsian,VolOverrideAsian,IF(ProductGroup=1,IF(Product&lt;3,DA171,DE171),W171)+VolSpreadAsian),"")</f>
        <v/>
      </c>
      <c r="AP170" s="323" t="str">
        <f aca="false">IF($AH170,$AO170+IF(SkewFlag=1,IF(AM170&gt;0,$AA170*MIN(AM170/10%,1)+($Z170-$AA170)*MAX(0,MIN(AM170/10%-1,1))+($Y170-$Z170)*MAX(0,AM170/10%-2),$AB170*MIN(-AM170/10%,1)+($AC170-$AB170)*MAX(0,MIN(-AM170/10%-1,1))+($AD170-$AC170)*MAX(0,-AM170/10%-2)),0),"")</f>
        <v/>
      </c>
      <c r="AQ170" s="323" t="str">
        <f aca="false">IF($AH170,$AO170+IF(SkewFlag=1,IF(AN170&gt;0,$AA170*MIN(AN170/10%,1)+($Z170-$AA170)*MAX(0,MIN(AN170/10%-1,1))+($Y170-$Z170)*MAX(0,AN170/10%-2),$AB170*MIN(-AN170/10%,1)+($AC170-$AB170)*MAX(0,MIN(-AN170/10%-1,1))+($AD170-$AC170)*MAX(0,-AN170/10%-2)),0),"")</f>
        <v/>
      </c>
      <c r="AR170" s="324" t="n">
        <f aca="false">IF(AH170,xASN(AL170,Strike1,AE170,AP170,0,N170,0,P170,Q170,IF(OptControl=4,0,1),0),0)</f>
        <v>0</v>
      </c>
      <c r="AS170" s="324" t="n">
        <f aca="false">IF(AH170,xASN(AL170,Strike1,AE170,AP170,0,N170,0,P170,Q170,IF(OptControl=4,0,1),1),0)</f>
        <v>0</v>
      </c>
      <c r="AT170" s="324" t="n">
        <f aca="false">IF(AH170,xASN(AL170,Strike1,AE170,AP170,0,N170,0,P170,Q170,IF(OptControl=4,0,1),2),0)</f>
        <v>0</v>
      </c>
      <c r="AU170" s="324" t="n">
        <f aca="false">IF(AH170,xASN(AL170,Strike1,AE170,AP170,0,N170,0,P170,Q170,IF(OptControl=4,0,1),3)/100,0)</f>
        <v>0</v>
      </c>
      <c r="AV170" s="324" t="n">
        <f aca="false">IF(AH170,xASN(AL170,Strike1,AE170,AP170,0,N170,0,P170-DaysForThetaCalculation/365.25,Q170-DaysForThetaCalculation/365.25,IF(OptControl=4,0,1),0)-xASN(AL170,Strike1,AE170,AP170,0,N170,0,P170,Q170,IF(OptControl=4,0,1),0),0)</f>
        <v>0</v>
      </c>
      <c r="AW170" s="324" t="n">
        <f aca="false">IF(AH170,xASN(AL170,Strike2,AE170,AQ170,0,N170,0,P170,Q170,IF(OptControl=3,1,0),0),0)</f>
        <v>0</v>
      </c>
      <c r="AX170" s="324" t="n">
        <f aca="false">IF(AH170,xASN(AL170,Strike2,AE170,AQ170,0,N170,0,P170,Q170,IF(OptControl=3,1,0),1),0)</f>
        <v>0</v>
      </c>
      <c r="AY170" s="324" t="n">
        <f aca="false">IF(AH170,xASN(AL170,Strike2,AE170,AQ170,0,N170,0,P170,Q170,IF(OptControl=3,1,0),2),0)</f>
        <v>0</v>
      </c>
      <c r="AZ170" s="324" t="n">
        <f aca="false">IF(AH170,xASN(AL170,Strike2,AE170,AQ170,0,N170,0,P170,Q170,IF(OptControl=3,1,0),3)/100,0)</f>
        <v>0</v>
      </c>
      <c r="BA170" s="324" t="n">
        <f aca="false">IF(AH170,xASN(AL170,Strike2,AE170,AQ170,0,N170,0,P170-DaysForThetaCalculation/365.25,Q170-DaysForThetaCalculation/365.25,IF(OptControl=3,1,0),0)-xASN(AL170,Strike2,AE170,AQ170,0,N170,0,P170,Q170,IF(OptControl=3,1,0),0),0)</f>
        <v>0</v>
      </c>
      <c r="BB170" s="325" t="str">
        <f aca="false">IF(AH170,IF(ProductGroup=1,IF(Product=1,BX170+PriceSpreadEuro,IF(Product=3,CK170+PriceSpreadEuro,"N/A")),"N/A"),"")</f>
        <v/>
      </c>
      <c r="BC170" s="316" t="str">
        <f aca="false">IF(AH170,Strike1/BB170-1,"")</f>
        <v/>
      </c>
      <c r="BD170" s="316" t="str">
        <f aca="false">IF(AH170,Strike2/BB170-1,"")</f>
        <v/>
      </c>
      <c r="BE170" s="326" t="str">
        <f aca="false">IF(AH170,IF(VolOverrideEuro,VolOverrideEuro,IF(ProductGroup=1,IF(Product&lt;3,DA170,DE170)+VolSpreadEuro,"N/A")),"")</f>
        <v/>
      </c>
      <c r="BF170" s="323" t="str">
        <f aca="false">IF($AH170,$BE170+IF(SkewFlag=1,IF(BC170&gt;0,$AA170*MIN(BC170/10%,1)+($Z170-$AA170)*MAX(0,MIN(BC170/10%-1,1))+($Y170-$Z170)*MAX(0,BC170/10%-2),$AB170*MIN(-BC170/10%,1)+($AC170-$AB170)*MAX(0,MIN(-BC170/10%-1,1))+($AD170-$AC170)*MAX(0,-BC170/10%-2)),0),"")</f>
        <v/>
      </c>
      <c r="BG170" s="323" t="str">
        <f aca="false">IF($AH170,$BE170+IF(SkewFlag=1,IF(BD170&gt;0,$AA170*MIN(BD170/10%,1)+($Z170-$AA170)*MAX(0,MIN(BD170/10%-1,1))+($Y170-$Z170)*MAX(0,BD170/10%-2),$AB170*MIN(-BD170/10%,1)+($AC170-$AB170)*MAX(0,MIN(-BD170/10%-1,1))+($AD170-$AC170)*MAX(0,-BD170/10%-2)),0),"")</f>
        <v/>
      </c>
      <c r="BH170" s="324" t="n">
        <f aca="false">IF(AH170,xEURO(BB170,Strike1,AE170,AE170,BF170,O170,IF(OptControl=4,0,1),0),0)</f>
        <v>0</v>
      </c>
      <c r="BI170" s="324" t="n">
        <f aca="false">IF(AH170,xEURO(BB170,Strike1,AE170,AE170,BF170,O170,IF(OptControl=4,0,1),1),0)</f>
        <v>0</v>
      </c>
      <c r="BJ170" s="324" t="n">
        <f aca="false">IF(AH170,xEURO(BB170,Strike1,AE170,AE170,BF170,O170,IF(OptControl=4,0,1),2),0)</f>
        <v>0</v>
      </c>
      <c r="BK170" s="324" t="n">
        <f aca="false">IF(AH170,xEURO(BB170,Strike1,AE170,AE170,BF170,O170,IF(OptControl=4,0,1),3)/100,0)</f>
        <v>0</v>
      </c>
      <c r="BL170" s="324" t="n">
        <f aca="false">IF(AH170,xEURO(BB170,Strike1,AE170,AE170,BF170,O170-DaysForThetaCalculation,IF(OptControl=4,0,1),0)-xEURO(BB170,Strike1,AE170,AE170,BF170,O170,IF(OptControl=4,0,1),0),0)</f>
        <v>0</v>
      </c>
      <c r="BM170" s="324" t="n">
        <f aca="false">IF(AH170,xEURO(BB170,Strike2,AE170,AE170,BG170,O170,IF(OptControl=3,1,0),0),0)</f>
        <v>0</v>
      </c>
      <c r="BN170" s="324" t="n">
        <f aca="false">IF(AH170,xEURO(BB170,Strike2,AE170,AE170,BG170,O170,IF(OptControl=3,1,0),1),0)</f>
        <v>0</v>
      </c>
      <c r="BO170" s="324" t="n">
        <f aca="false">IF(AH170,xEURO(BB170,Strike2,AE170,AE170,BG170,O170,IF(OptControl=3,1,0),2),0)</f>
        <v>0</v>
      </c>
      <c r="BP170" s="324" t="n">
        <f aca="false">IF(AH170,xEURO(BB170,Strike2,AE170,AE170,BG170,O170,IF(OptControl=3,1,0),3)/100,0)</f>
        <v>0</v>
      </c>
      <c r="BQ170" s="327" t="n">
        <f aca="false">IF(AH170,xEURO(BB170,Strike2,AE170,AE170,BG170,O170-DaysForThetaCalculation,IF(OptControl=3,1,0),0)-xEURO(BB170,Strike2,AE170,AE170,BG170,O170,IF(OptControl=3,1,0),0),0)</f>
        <v>0</v>
      </c>
      <c r="BR170" s="343"/>
      <c r="BS170" s="314"/>
      <c r="BT170" s="329" t="n">
        <f aca="false">BS170*100/42</f>
        <v>0</v>
      </c>
      <c r="BU170" s="329" t="n">
        <f aca="false">BS171-$U170</f>
        <v>-31.8204545454551</v>
      </c>
      <c r="BV170" s="224"/>
      <c r="BW170" s="329" t="n">
        <f aca="false">BW158+VLOOKUP(1900+$L170,ProductSpreadTable,2)</f>
        <v>12.9418181818182</v>
      </c>
      <c r="BX170" s="329" t="n">
        <f aca="false">($V169+BW169)*100/42</f>
        <v>106.583992991137</v>
      </c>
      <c r="BY170" s="332" t="n">
        <f aca="false">BX171</f>
        <v>106.576839826841</v>
      </c>
      <c r="BZ170" s="314"/>
      <c r="CA170" s="329" t="n">
        <f aca="false">BZ170*100/42</f>
        <v>0</v>
      </c>
      <c r="CB170" s="329" t="n">
        <f aca="false">BZ170-$U170</f>
        <v>-31.8204545454551</v>
      </c>
      <c r="CC170" s="329" t="n">
        <f aca="false">CC158+VLOOKUP(1900+$L170,ProductSpreadTable,3)</f>
        <v>10.6318181818182</v>
      </c>
      <c r="CD170" s="329" t="n">
        <f aca="false">($V170+CC170)*100/42</f>
        <v>101.076839826841</v>
      </c>
      <c r="CE170" s="333" t="n">
        <f aca="false">CD170-BY170</f>
        <v>-5.5</v>
      </c>
      <c r="CF170" s="314"/>
      <c r="CG170" s="329" t="n">
        <f aca="false">CF170*100/42</f>
        <v>0</v>
      </c>
      <c r="CH170" s="329" t="n">
        <f aca="false">CF171-$U170</f>
        <v>-31.8204545454551</v>
      </c>
      <c r="CI170" s="224"/>
      <c r="CJ170" s="329" t="n">
        <f aca="false">CJ158+VLOOKUP(1900+$L170,ProductSpreadTable,4)</f>
        <v>12.7028181818182</v>
      </c>
      <c r="CK170" s="329" t="n">
        <f aca="false">($V169+CJ169)*100/42</f>
        <v>105.564945372089</v>
      </c>
      <c r="CL170" s="329" t="n">
        <f aca="false">CK171</f>
        <v>106.007792207793</v>
      </c>
      <c r="CM170" s="314"/>
      <c r="CN170" s="329" t="n">
        <f aca="false">CM170*100/42</f>
        <v>0</v>
      </c>
      <c r="CO170" s="329" t="n">
        <f aca="false">CM170-$U170</f>
        <v>-31.8204545454551</v>
      </c>
      <c r="CP170" s="329" t="n">
        <f aca="false">CP158+VLOOKUP(1900+$L170,ProductSpreadTable,5)</f>
        <v>11.5058181818182</v>
      </c>
      <c r="CQ170" s="329" t="n">
        <f aca="false">($V170+CP170)*100/42</f>
        <v>103.157792207793</v>
      </c>
      <c r="CR170" s="333" t="n">
        <f aca="false">CQ170-CL170</f>
        <v>-2.84999999999998</v>
      </c>
      <c r="CS170" s="314"/>
      <c r="CT170" s="329" t="n">
        <f aca="false">CS170*100/42</f>
        <v>0</v>
      </c>
      <c r="CU170" s="329" t="n">
        <f aca="false">CT170-CG171</f>
        <v>0</v>
      </c>
      <c r="CV170" s="329" t="n">
        <f aca="false">CV158+VLOOKUP(1900+$L170,ProductSpreadTable,6)</f>
        <v>2.55000000000001</v>
      </c>
      <c r="CW170" s="333" t="n">
        <f aca="false">CL170+CV170</f>
        <v>108.557792207793</v>
      </c>
      <c r="CX170" s="318"/>
      <c r="CY170" s="326" t="n">
        <f aca="false">CX170-$W170</f>
        <v>-0.151699999999998</v>
      </c>
      <c r="CZ170" s="326" t="n">
        <f aca="false">VLOOKUP(1900+$L170,ProductSpreadTable,7)</f>
        <v>-0.03</v>
      </c>
      <c r="DA170" s="365" t="n">
        <f aca="false">$W170+CZ170</f>
        <v>0.121699999999998</v>
      </c>
      <c r="DB170" s="318"/>
      <c r="DC170" s="326" t="n">
        <f aca="false">DB170-$W170</f>
        <v>-0.151699999999998</v>
      </c>
      <c r="DD170" s="326" t="n">
        <f aca="false">VLOOKUP(1900+$L170,ProductSpreadTable,8)</f>
        <v>0.03</v>
      </c>
      <c r="DE170" s="365" t="n">
        <f aca="false">$W170+DD170</f>
        <v>0.181699999999998</v>
      </c>
      <c r="DG170" s="336"/>
      <c r="DH170" s="314"/>
      <c r="DI170" s="325" t="n">
        <f aca="false">DH170-$U170</f>
        <v>-31.8204545454551</v>
      </c>
      <c r="DJ170" s="325" t="n">
        <f aca="false">VLOOKUP(1900+$L170,ResidSpreadTable,2)</f>
        <v>-2</v>
      </c>
      <c r="DK170" s="337" t="n">
        <f aca="false">$V170+DJ170</f>
        <v>29.8204545454551</v>
      </c>
      <c r="DL170" s="314"/>
      <c r="DM170" s="325" t="n">
        <f aca="false">DL170-$U170</f>
        <v>-31.8204545454551</v>
      </c>
      <c r="DN170" s="325" t="n">
        <f aca="false">VLOOKUP(1900+$L170,ResidSpreadTable,3)</f>
        <v>-3</v>
      </c>
      <c r="DO170" s="337" t="n">
        <f aca="false">$V170+DN170</f>
        <v>28.8204545454551</v>
      </c>
      <c r="DP170" s="314"/>
      <c r="DQ170" s="325" t="n">
        <f aca="false">DP170-$U170</f>
        <v>-31.8204545454551</v>
      </c>
      <c r="DR170" s="325" t="n">
        <f aca="false">VLOOKUP(1900+$L170,ResidSpreadTable,4)</f>
        <v>-6</v>
      </c>
      <c r="DS170" s="337" t="n">
        <f aca="false">$V170+DR170</f>
        <v>25.8204545454551</v>
      </c>
      <c r="DT170" s="314"/>
      <c r="DU170" s="325" t="n">
        <f aca="false">DT170-$U170</f>
        <v>-31.8204545454551</v>
      </c>
      <c r="DV170" s="325" t="n">
        <f aca="false">VLOOKUP(1900+$L170,ResidSpreadTable,5)</f>
        <v>-5</v>
      </c>
      <c r="DW170" s="337" t="n">
        <f aca="false">$V170+DV170</f>
        <v>26.8204545454551</v>
      </c>
    </row>
    <row r="171" customFormat="false" ht="12.75" hidden="false" customHeight="false" outlineLevel="0" collapsed="false">
      <c r="B171" s="371" t="n">
        <v>40756</v>
      </c>
      <c r="C171" s="391" t="n">
        <v>40744</v>
      </c>
      <c r="I171" s="338" t="n">
        <f aca="false">EOMONTH(I170,0)+1</f>
        <v>50952</v>
      </c>
      <c r="J171" s="389" t="n">
        <f aca="false">VLOOKUP(I171,$B$12:$C$332,2)</f>
        <v>45644</v>
      </c>
      <c r="K171" s="339" t="n">
        <f aca="false">NETWORKDAYS(I171,J172)/N171</f>
        <v>-180.619047619048</v>
      </c>
      <c r="L171" s="309" t="n">
        <f aca="false">YEAR(I171)-1900</f>
        <v>139</v>
      </c>
      <c r="M171" s="310" t="n">
        <f aca="false">MONTH(I171)</f>
        <v>7</v>
      </c>
      <c r="N171" s="340" t="n">
        <f aca="false">NETWORKDAYS(I171,I172-1)</f>
        <v>21</v>
      </c>
      <c r="O171" s="341" t="n">
        <f aca="false">I171-DateToday-IF(EuroExpDateToggle=1,3+IF(WEEKDAY(I171-1)=7,1,IF(WEEKDAY(I171-1)&lt;5,2,0)),1+IF(WEEKDAY(I171-1)=7,1,IF(WEEKDAY(I171-1)&lt;3,2,0)))</f>
        <v>5023</v>
      </c>
      <c r="P171" s="342" t="n">
        <f aca="false">(I171-DateToday+1)/365.25</f>
        <v>13.7631759069131</v>
      </c>
      <c r="Q171" s="342" t="n">
        <f aca="false">(I172-DateToday)/365.25</f>
        <v>13.845311430527</v>
      </c>
      <c r="R171" s="314" t="n">
        <v>23.2000000000001</v>
      </c>
      <c r="S171" s="347" t="n">
        <v>0</v>
      </c>
      <c r="T171" s="316" t="n">
        <f aca="false">R171+S171/100</f>
        <v>23.2000000000001</v>
      </c>
      <c r="U171" s="325" t="n">
        <f aca="false">R172*K171+R173*(1-K171)</f>
        <v>32.3309523809521</v>
      </c>
      <c r="V171" s="337" t="n">
        <f aca="false">T172*K171+T173*(1-K171)</f>
        <v>32.3309523809521</v>
      </c>
      <c r="W171" s="318" t="n">
        <v>0.151299999999998</v>
      </c>
      <c r="X171" s="319" t="str">
        <f aca="false">IF($I171-DateToday+1&gt;=$A$10,"",IF($I171-DateToday+1&lt;$A$5,1,MATCH($I171-DateToday+1,$A$5:$A$10)))</f>
        <v/>
      </c>
      <c r="Y171" s="348" t="n">
        <f aca="false">IF($X171="",Y170^2/Y169,INDEX(B$5:B$10,$X171)^((INDEX($A$5:$A$10,$X171+1)-($I171-DateToday+1))/(INDEX($A$5:$A$10,$X171+1)-INDEX($A$5:$A$10,$X171)))/INDEX(B$5:B$10,$X171+1)^((INDEX($A$5:$A$10,$X171)-($I171-DateToday+1))/(INDEX($A$5:$A$10,$X171+1)-INDEX($A$5:$A$10,$X171))))</f>
        <v>0.000431302565261905</v>
      </c>
      <c r="Z171" s="348" t="n">
        <f aca="false">IF($X171="",Z170^2/Z169,INDEX(C$5:C$10,$X171)^((INDEX($A$5:$A$10,$X171+1)-($I171-DateToday+1))/(INDEX($A$5:$A$10,$X171+1)-INDEX($A$5:$A$10,$X171)))/INDEX(C$5:C$10,$X171+1)^((INDEX($A$5:$A$10,$X171)-($I171-DateToday+1))/(INDEX($A$5:$A$10,$X171+1)-INDEX($A$5:$A$10,$X171))))</f>
        <v>0.00010950905911774</v>
      </c>
      <c r="AA171" s="348" t="n">
        <f aca="false">IF($X171="",AA170^2/AA169,INDEX(D$5:D$10,$X171)^((INDEX($A$5:$A$10,$X171+1)-($I171-DateToday+1))/(INDEX($A$5:$A$10,$X171+1)-INDEX($A$5:$A$10,$X171)))/INDEX(D$5:D$10,$X171+1)^((INDEX($A$5:$A$10,$X171)-($I171-DateToday+1))/(INDEX($A$5:$A$10,$X171+1)-INDEX($A$5:$A$10,$X171))))</f>
        <v>3.35001268059782E-005</v>
      </c>
      <c r="AB171" s="348" t="n">
        <f aca="false">IF($X171="",AB170^2/AB169,INDEX(E$5:E$10,$X171)^((INDEX($A$5:$A$10,$X171+1)-($I171-DateToday+1))/(INDEX($A$5:$A$10,$X171+1)-INDEX($A$5:$A$10,$X171)))/INDEX(E$5:E$10,$X171+1)^((INDEX($A$5:$A$10,$X171)-($I171-DateToday+1))/(INDEX($A$5:$A$10,$X171+1)-INDEX($A$5:$A$10,$X171))))</f>
        <v>7.5469085668515E-005</v>
      </c>
      <c r="AC171" s="348" t="n">
        <f aca="false">IF($X171="",AC170^2/AC169,INDEX(F$5:F$10,$X171)^((INDEX($A$5:$A$10,$X171+1)-($I171-DateToday+1))/(INDEX($A$5:$A$10,$X171+1)-INDEX($A$5:$A$10,$X171)))/INDEX(F$5:F$10,$X171+1)^((INDEX($A$5:$A$10,$X171)-($I171-DateToday+1))/(INDEX($A$5:$A$10,$X171+1)-INDEX($A$5:$A$10,$X171))))</f>
        <v>0.000246702008380441</v>
      </c>
      <c r="AD171" s="348" t="n">
        <f aca="false">IF($X171="",AD170^2/AD169,INDEX(G$5:G$10,$X171)^((INDEX($A$5:$A$10,$X171+1)-($I171-DateToday+1))/(INDEX($A$5:$A$10,$X171+1)-INDEX($A$5:$A$10,$X171)))/INDEX(G$5:G$10,$X171+1)^((INDEX($A$5:$A$10,$X171)-($I171-DateToday+1))/(INDEX($A$5:$A$10,$X171+1)-INDEX($A$5:$A$10,$X171))))</f>
        <v>0.000971638419021915</v>
      </c>
      <c r="AE171" s="321" t="n">
        <v>0.073601017741968</v>
      </c>
      <c r="AF171" s="316" t="n">
        <f aca="false">(1+AE171/2)^(-2*(I172-DateToday)/365.25)</f>
        <v>0.367612346896308</v>
      </c>
      <c r="AG171" s="316" t="n">
        <f aca="false">AG170*(1+IF(AND(M171=1,L171&gt;YearStart),Escalation,0))</f>
        <v>1</v>
      </c>
      <c r="AH171" s="322" t="n">
        <f aca="false">IF(OR(DateStart&gt;=I172,DateEnd&lt;I171),0,Volume*AG171)</f>
        <v>0</v>
      </c>
      <c r="AI171" s="322" t="n">
        <f aca="false">AH171*AF171</f>
        <v>0</v>
      </c>
      <c r="AJ171" s="322" t="n">
        <f aca="false">IF(OR(DateStart2&gt;=I172,DateEnd2&lt;I171),0,VolumeSwaption*AG171)</f>
        <v>0</v>
      </c>
      <c r="AK171" s="322" t="n">
        <f aca="false">AJ171*AF171</f>
        <v>0</v>
      </c>
      <c r="AL171" s="316" t="str">
        <f aca="true">IF(AH171,OFFSET(BY171,0,HorizontalPriceOffset)+PriceSpreadAsian,"")</f>
        <v/>
      </c>
      <c r="AM171" s="316" t="str">
        <f aca="false">IF(AH171,Strike1/AL171-1,"")</f>
        <v/>
      </c>
      <c r="AN171" s="316" t="str">
        <f aca="false">IF(AH171,Strike2/AL171-1,"")</f>
        <v/>
      </c>
      <c r="AO171" s="323" t="str">
        <f aca="false">IF(AH171,IF(VolOverrideAsian,VolOverrideAsian,IF(ProductGroup=1,IF(Product&lt;3,DA172,DE172),W172)+VolSpreadAsian),"")</f>
        <v/>
      </c>
      <c r="AP171" s="323" t="str">
        <f aca="false">IF($AH171,$AO171+IF(SkewFlag=1,IF(AM171&gt;0,$AA171*MIN(AM171/10%,1)+($Z171-$AA171)*MAX(0,MIN(AM171/10%-1,1))+($Y171-$Z171)*MAX(0,AM171/10%-2),$AB171*MIN(-AM171/10%,1)+($AC171-$AB171)*MAX(0,MIN(-AM171/10%-1,1))+($AD171-$AC171)*MAX(0,-AM171/10%-2)),0),"")</f>
        <v/>
      </c>
      <c r="AQ171" s="323" t="str">
        <f aca="false">IF($AH171,$AO171+IF(SkewFlag=1,IF(AN171&gt;0,$AA171*MIN(AN171/10%,1)+($Z171-$AA171)*MAX(0,MIN(AN171/10%-1,1))+($Y171-$Z171)*MAX(0,AN171/10%-2),$AB171*MIN(-AN171/10%,1)+($AC171-$AB171)*MAX(0,MIN(-AN171/10%-1,1))+($AD171-$AC171)*MAX(0,-AN171/10%-2)),0),"")</f>
        <v/>
      </c>
      <c r="AR171" s="324" t="n">
        <f aca="false">IF(AH171,xASN(AL171,Strike1,AE171,AP171,0,N171,0,P171,Q171,IF(OptControl=4,0,1),0),0)</f>
        <v>0</v>
      </c>
      <c r="AS171" s="324" t="n">
        <f aca="false">IF(AH171,xASN(AL171,Strike1,AE171,AP171,0,N171,0,P171,Q171,IF(OptControl=4,0,1),1),0)</f>
        <v>0</v>
      </c>
      <c r="AT171" s="324" t="n">
        <f aca="false">IF(AH171,xASN(AL171,Strike1,AE171,AP171,0,N171,0,P171,Q171,IF(OptControl=4,0,1),2),0)</f>
        <v>0</v>
      </c>
      <c r="AU171" s="324" t="n">
        <f aca="false">IF(AH171,xASN(AL171,Strike1,AE171,AP171,0,N171,0,P171,Q171,IF(OptControl=4,0,1),3)/100,0)</f>
        <v>0</v>
      </c>
      <c r="AV171" s="324" t="n">
        <f aca="false">IF(AH171,xASN(AL171,Strike1,AE171,AP171,0,N171,0,P171-DaysForThetaCalculation/365.25,Q171-DaysForThetaCalculation/365.25,IF(OptControl=4,0,1),0)-xASN(AL171,Strike1,AE171,AP171,0,N171,0,P171,Q171,IF(OptControl=4,0,1),0),0)</f>
        <v>0</v>
      </c>
      <c r="AW171" s="324" t="n">
        <f aca="false">IF(AH171,xASN(AL171,Strike2,AE171,AQ171,0,N171,0,P171,Q171,IF(OptControl=3,1,0),0),0)</f>
        <v>0</v>
      </c>
      <c r="AX171" s="324" t="n">
        <f aca="false">IF(AH171,xASN(AL171,Strike2,AE171,AQ171,0,N171,0,P171,Q171,IF(OptControl=3,1,0),1),0)</f>
        <v>0</v>
      </c>
      <c r="AY171" s="324" t="n">
        <f aca="false">IF(AH171,xASN(AL171,Strike2,AE171,AQ171,0,N171,0,P171,Q171,IF(OptControl=3,1,0),2),0)</f>
        <v>0</v>
      </c>
      <c r="AZ171" s="324" t="n">
        <f aca="false">IF(AH171,xASN(AL171,Strike2,AE171,AQ171,0,N171,0,P171,Q171,IF(OptControl=3,1,0),3)/100,0)</f>
        <v>0</v>
      </c>
      <c r="BA171" s="324" t="n">
        <f aca="false">IF(AH171,xASN(AL171,Strike2,AE171,AQ171,0,N171,0,P171-DaysForThetaCalculation/365.25,Q171-DaysForThetaCalculation/365.25,IF(OptControl=3,1,0),0)-xASN(AL171,Strike2,AE171,AQ171,0,N171,0,P171,Q171,IF(OptControl=3,1,0),0),0)</f>
        <v>0</v>
      </c>
      <c r="BB171" s="325" t="str">
        <f aca="false">IF(AH171,IF(ProductGroup=1,IF(Product=1,BX171+PriceSpreadEuro,IF(Product=3,CK171+PriceSpreadEuro,"N/A")),"N/A"),"")</f>
        <v/>
      </c>
      <c r="BC171" s="316" t="str">
        <f aca="false">IF(AH171,Strike1/BB171-1,"")</f>
        <v/>
      </c>
      <c r="BD171" s="316" t="str">
        <f aca="false">IF(AH171,Strike2/BB171-1,"")</f>
        <v/>
      </c>
      <c r="BE171" s="326" t="str">
        <f aca="false">IF(AH171,IF(VolOverrideEuro,VolOverrideEuro,IF(ProductGroup=1,IF(Product&lt;3,DA171,DE171)+VolSpreadEuro,"N/A")),"")</f>
        <v/>
      </c>
      <c r="BF171" s="323" t="str">
        <f aca="false">IF($AH171,$BE171+IF(SkewFlag=1,IF(BC171&gt;0,$AA171*MIN(BC171/10%,1)+($Z171-$AA171)*MAX(0,MIN(BC171/10%-1,1))+($Y171-$Z171)*MAX(0,BC171/10%-2),$AB171*MIN(-BC171/10%,1)+($AC171-$AB171)*MAX(0,MIN(-BC171/10%-1,1))+($AD171-$AC171)*MAX(0,-BC171/10%-2)),0),"")</f>
        <v/>
      </c>
      <c r="BG171" s="323" t="str">
        <f aca="false">IF($AH171,$BE171+IF(SkewFlag=1,IF(BD171&gt;0,$AA171*MIN(BD171/10%,1)+($Z171-$AA171)*MAX(0,MIN(BD171/10%-1,1))+($Y171-$Z171)*MAX(0,BD171/10%-2),$AB171*MIN(-BD171/10%,1)+($AC171-$AB171)*MAX(0,MIN(-BD171/10%-1,1))+($AD171-$AC171)*MAX(0,-BD171/10%-2)),0),"")</f>
        <v/>
      </c>
      <c r="BH171" s="324" t="n">
        <f aca="false">IF(AH171,xEURO(BB171,Strike1,AE171,AE171,BF171,O171,IF(OptControl=4,0,1),0),0)</f>
        <v>0</v>
      </c>
      <c r="BI171" s="324" t="n">
        <f aca="false">IF(AH171,xEURO(BB171,Strike1,AE171,AE171,BF171,O171,IF(OptControl=4,0,1),1),0)</f>
        <v>0</v>
      </c>
      <c r="BJ171" s="324" t="n">
        <f aca="false">IF(AH171,xEURO(BB171,Strike1,AE171,AE171,BF171,O171,IF(OptControl=4,0,1),2),0)</f>
        <v>0</v>
      </c>
      <c r="BK171" s="324" t="n">
        <f aca="false">IF(AH171,xEURO(BB171,Strike1,AE171,AE171,BF171,O171,IF(OptControl=4,0,1),3)/100,0)</f>
        <v>0</v>
      </c>
      <c r="BL171" s="324" t="n">
        <f aca="false">IF(AH171,xEURO(BB171,Strike1,AE171,AE171,BF171,O171-DaysForThetaCalculation,IF(OptControl=4,0,1),0)-xEURO(BB171,Strike1,AE171,AE171,BF171,O171,IF(OptControl=4,0,1),0),0)</f>
        <v>0</v>
      </c>
      <c r="BM171" s="324" t="n">
        <f aca="false">IF(AH171,xEURO(BB171,Strike2,AE171,AE171,BG171,O171,IF(OptControl=3,1,0),0),0)</f>
        <v>0</v>
      </c>
      <c r="BN171" s="324" t="n">
        <f aca="false">IF(AH171,xEURO(BB171,Strike2,AE171,AE171,BG171,O171,IF(OptControl=3,1,0),1),0)</f>
        <v>0</v>
      </c>
      <c r="BO171" s="324" t="n">
        <f aca="false">IF(AH171,xEURO(BB171,Strike2,AE171,AE171,BG171,O171,IF(OptControl=3,1,0),2),0)</f>
        <v>0</v>
      </c>
      <c r="BP171" s="324" t="n">
        <f aca="false">IF(AH171,xEURO(BB171,Strike2,AE171,AE171,BG171,O171,IF(OptControl=3,1,0),3)/100,0)</f>
        <v>0</v>
      </c>
      <c r="BQ171" s="327" t="n">
        <f aca="false">IF(AH171,xEURO(BB171,Strike2,AE171,AE171,BG171,O171-DaysForThetaCalculation,IF(OptControl=3,1,0),0)-xEURO(BB171,Strike2,AE171,AE171,BG171,O171,IF(OptControl=3,1,0),0),0)</f>
        <v>0</v>
      </c>
      <c r="BR171" s="343"/>
      <c r="BS171" s="314"/>
      <c r="BT171" s="329" t="n">
        <f aca="false">BS171*100/42</f>
        <v>0</v>
      </c>
      <c r="BU171" s="329" t="n">
        <f aca="false">BS172-$U171</f>
        <v>-32.3309523809521</v>
      </c>
      <c r="BV171" s="224"/>
      <c r="BW171" s="329" t="n">
        <f aca="false">BW159+VLOOKUP(1900+$L171,ProductSpreadTable,2)</f>
        <v>12.9238260869565</v>
      </c>
      <c r="BX171" s="329" t="n">
        <f aca="false">($V170+BW170)*100/42</f>
        <v>106.576839826841</v>
      </c>
      <c r="BY171" s="332" t="n">
        <f aca="false">BX172</f>
        <v>107.74947254264</v>
      </c>
      <c r="BZ171" s="314"/>
      <c r="CA171" s="329" t="n">
        <f aca="false">BZ171*100/42</f>
        <v>0</v>
      </c>
      <c r="CB171" s="329" t="n">
        <f aca="false">BZ171-$U171</f>
        <v>-32.3309523809521</v>
      </c>
      <c r="CC171" s="329" t="n">
        <f aca="false">CC159+VLOOKUP(1900+$L171,ProductSpreadTable,3)</f>
        <v>11.4118260869565</v>
      </c>
      <c r="CD171" s="329" t="n">
        <f aca="false">($V171+CC171)*100/42</f>
        <v>104.14947254264</v>
      </c>
      <c r="CE171" s="333" t="n">
        <f aca="false">CD171-BY171</f>
        <v>-3.59999999999999</v>
      </c>
      <c r="CF171" s="314"/>
      <c r="CG171" s="329" t="n">
        <f aca="false">CF171*100/42</f>
        <v>0</v>
      </c>
      <c r="CH171" s="329" t="n">
        <f aca="false">CF172-$U171</f>
        <v>-32.3309523809521</v>
      </c>
      <c r="CI171" s="224"/>
      <c r="CJ171" s="329" t="n">
        <f aca="false">CJ159+VLOOKUP(1900+$L171,ProductSpreadTable,4)</f>
        <v>12.2438260869565</v>
      </c>
      <c r="CK171" s="329" t="n">
        <f aca="false">($V170+CJ170)*100/42</f>
        <v>106.007792207793</v>
      </c>
      <c r="CL171" s="329" t="n">
        <f aca="false">CK172</f>
        <v>106.130424923592</v>
      </c>
      <c r="CM171" s="314"/>
      <c r="CN171" s="329" t="n">
        <f aca="false">CM171*100/42</f>
        <v>0</v>
      </c>
      <c r="CO171" s="329" t="n">
        <f aca="false">CM171-$U171</f>
        <v>-32.3309523809521</v>
      </c>
      <c r="CP171" s="329" t="n">
        <f aca="false">CP159+VLOOKUP(1900+$L171,ProductSpreadTable,5)</f>
        <v>11.1308260869565</v>
      </c>
      <c r="CQ171" s="329" t="n">
        <f aca="false">($V171+CP171)*100/42</f>
        <v>103.480424923592</v>
      </c>
      <c r="CR171" s="333" t="n">
        <f aca="false">CQ171-CL171</f>
        <v>-2.64999999999998</v>
      </c>
      <c r="CS171" s="314"/>
      <c r="CT171" s="329" t="n">
        <f aca="false">CS171*100/42</f>
        <v>0</v>
      </c>
      <c r="CU171" s="329" t="n">
        <f aca="false">CT171-CG172</f>
        <v>0</v>
      </c>
      <c r="CV171" s="329" t="n">
        <f aca="false">CV159+VLOOKUP(1900+$L171,ProductSpreadTable,6)</f>
        <v>2.55000000000001</v>
      </c>
      <c r="CW171" s="333" t="n">
        <f aca="false">CL171+CV171</f>
        <v>108.680424923592</v>
      </c>
      <c r="CX171" s="318"/>
      <c r="CY171" s="326" t="n">
        <f aca="false">CX171-$W171</f>
        <v>-0.151299999999998</v>
      </c>
      <c r="CZ171" s="326" t="n">
        <f aca="false">VLOOKUP(1900+$L171,ProductSpreadTable,7)</f>
        <v>-0.03</v>
      </c>
      <c r="DA171" s="365" t="n">
        <f aca="false">$W171+CZ171</f>
        <v>0.121299999999998</v>
      </c>
      <c r="DB171" s="318"/>
      <c r="DC171" s="326" t="n">
        <f aca="false">DB171-$W171</f>
        <v>-0.151299999999998</v>
      </c>
      <c r="DD171" s="326" t="n">
        <f aca="false">VLOOKUP(1900+$L171,ProductSpreadTable,8)</f>
        <v>0.03</v>
      </c>
      <c r="DE171" s="365" t="n">
        <f aca="false">$W171+DD171</f>
        <v>0.181299999999998</v>
      </c>
      <c r="DG171" s="336"/>
      <c r="DH171" s="314"/>
      <c r="DI171" s="325" t="n">
        <f aca="false">DH171-$U171</f>
        <v>-32.3309523809521</v>
      </c>
      <c r="DJ171" s="325" t="n">
        <f aca="false">VLOOKUP(1900+$L171,ResidSpreadTable,2)</f>
        <v>-2</v>
      </c>
      <c r="DK171" s="337" t="n">
        <f aca="false">$V171+DJ171</f>
        <v>30.3309523809521</v>
      </c>
      <c r="DL171" s="314"/>
      <c r="DM171" s="325" t="n">
        <f aca="false">DL171-$U171</f>
        <v>-32.3309523809521</v>
      </c>
      <c r="DN171" s="325" t="n">
        <f aca="false">VLOOKUP(1900+$L171,ResidSpreadTable,3)</f>
        <v>-3</v>
      </c>
      <c r="DO171" s="337" t="n">
        <f aca="false">$V171+DN171</f>
        <v>29.3309523809521</v>
      </c>
      <c r="DP171" s="314"/>
      <c r="DQ171" s="325" t="n">
        <f aca="false">DP171-$U171</f>
        <v>-32.3309523809521</v>
      </c>
      <c r="DR171" s="325" t="n">
        <f aca="false">VLOOKUP(1900+$L171,ResidSpreadTable,4)</f>
        <v>-6</v>
      </c>
      <c r="DS171" s="337" t="n">
        <f aca="false">$V171+DR171</f>
        <v>26.3309523809521</v>
      </c>
      <c r="DT171" s="314"/>
      <c r="DU171" s="325" t="n">
        <f aca="false">DT171-$U171</f>
        <v>-32.3309523809521</v>
      </c>
      <c r="DV171" s="325" t="n">
        <f aca="false">VLOOKUP(1900+$L171,ResidSpreadTable,5)</f>
        <v>-5</v>
      </c>
      <c r="DW171" s="337" t="n">
        <f aca="false">$V171+DV171</f>
        <v>27.3309523809521</v>
      </c>
    </row>
    <row r="172" customFormat="false" ht="12.75" hidden="false" customHeight="false" outlineLevel="0" collapsed="false">
      <c r="B172" s="371" t="n">
        <v>40787</v>
      </c>
      <c r="C172" s="391" t="n">
        <v>40776</v>
      </c>
      <c r="I172" s="338" t="n">
        <f aca="false">EOMONTH(I171,0)+1</f>
        <v>50983</v>
      </c>
      <c r="J172" s="389" t="n">
        <f aca="false">VLOOKUP(I172,$B$12:$C$332,2)</f>
        <v>45644</v>
      </c>
      <c r="K172" s="339" t="n">
        <f aca="false">NETWORKDAYS(I172,J173)/N172</f>
        <v>-165.826086956522</v>
      </c>
      <c r="L172" s="309" t="n">
        <f aca="false">YEAR(I172)-1900</f>
        <v>139</v>
      </c>
      <c r="M172" s="310" t="n">
        <f aca="false">MONTH(I172)</f>
        <v>8</v>
      </c>
      <c r="N172" s="340" t="n">
        <f aca="false">NETWORKDAYS(I172,I173-1)</f>
        <v>23</v>
      </c>
      <c r="O172" s="341" t="n">
        <f aca="false">I172-DateToday-IF(EuroExpDateToggle=1,3+IF(WEEKDAY(I172-1)=7,1,IF(WEEKDAY(I172-1)&lt;5,2,0)),1+IF(WEEKDAY(I172-1)=7,1,IF(WEEKDAY(I172-1)&lt;3,2,0)))</f>
        <v>5052</v>
      </c>
      <c r="P172" s="342" t="n">
        <f aca="false">(I172-DateToday+1)/365.25</f>
        <v>13.8480492813142</v>
      </c>
      <c r="Q172" s="342" t="n">
        <f aca="false">(I173-DateToday)/365.25</f>
        <v>13.9301848049281</v>
      </c>
      <c r="R172" s="314" t="n">
        <v>23.2500000000001</v>
      </c>
      <c r="S172" s="347" t="n">
        <v>0</v>
      </c>
      <c r="T172" s="316" t="n">
        <f aca="false">R172+S172/100</f>
        <v>23.2500000000001</v>
      </c>
      <c r="U172" s="325" t="n">
        <f aca="false">R173*K172+R174*(1-K172)</f>
        <v>31.6413043478265</v>
      </c>
      <c r="V172" s="337" t="n">
        <f aca="false">T173*K172+T174*(1-K172)</f>
        <v>31.6413043478265</v>
      </c>
      <c r="W172" s="318" t="n">
        <v>0.150899999999998</v>
      </c>
      <c r="X172" s="319" t="str">
        <f aca="false">IF($I172-DateToday+1&gt;=$A$10,"",IF($I172-DateToday+1&lt;$A$5,1,MATCH($I172-DateToday+1,$A$5:$A$10)))</f>
        <v/>
      </c>
      <c r="Y172" s="348" t="n">
        <f aca="false">IF($X172="",Y171^2/Y170,INDEX(B$5:B$10,$X172)^((INDEX($A$5:$A$10,$X172+1)-($I172-DateToday+1))/(INDEX($A$5:$A$10,$X172+1)-INDEX($A$5:$A$10,$X172)))/INDEX(B$5:B$10,$X172+1)^((INDEX($A$5:$A$10,$X172)-($I172-DateToday+1))/(INDEX($A$5:$A$10,$X172+1)-INDEX($A$5:$A$10,$X172))))</f>
        <v>0.000422069033319484</v>
      </c>
      <c r="Z172" s="348" t="n">
        <f aca="false">IF($X172="",Z171^2/Z170,INDEX(C$5:C$10,$X172)^((INDEX($A$5:$A$10,$X172+1)-($I172-DateToday+1))/(INDEX($A$5:$A$10,$X172+1)-INDEX($A$5:$A$10,$X172)))/INDEX(C$5:C$10,$X172+1)^((INDEX($A$5:$A$10,$X172)-($I172-DateToday+1))/(INDEX($A$5:$A$10,$X172+1)-INDEX($A$5:$A$10,$X172))))</f>
        <v>0.000106590871686019</v>
      </c>
      <c r="AA172" s="348" t="n">
        <f aca="false">IF($X172="",AA171^2/AA170,INDEX(D$5:D$10,$X172)^((INDEX($A$5:$A$10,$X172+1)-($I172-DateToday+1))/(INDEX($A$5:$A$10,$X172+1)-INDEX($A$5:$A$10,$X172)))/INDEX(D$5:D$10,$X172+1)^((INDEX($A$5:$A$10,$X172)-($I172-DateToday+1))/(INDEX($A$5:$A$10,$X172+1)-INDEX($A$5:$A$10,$X172))))</f>
        <v>3.25199786007625E-005</v>
      </c>
      <c r="AB172" s="348" t="n">
        <f aca="false">IF($X172="",AB171^2/AB170,INDEX(E$5:E$10,$X172)^((INDEX($A$5:$A$10,$X172+1)-($I172-DateToday+1))/(INDEX($A$5:$A$10,$X172+1)-INDEX($A$5:$A$10,$X172)))/INDEX(E$5:E$10,$X172+1)^((INDEX($A$5:$A$10,$X172)-($I172-DateToday+1))/(INDEX($A$5:$A$10,$X172+1)-INDEX($A$5:$A$10,$X172))))</f>
        <v>7.32610077918049E-005</v>
      </c>
      <c r="AC172" s="348" t="n">
        <f aca="false">IF($X172="",AC171^2/AC170,INDEX(F$5:F$10,$X172)^((INDEX($A$5:$A$10,$X172+1)-($I172-DateToday+1))/(INDEX($A$5:$A$10,$X172+1)-INDEX($A$5:$A$10,$X172)))/INDEX(F$5:F$10,$X172+1)^((INDEX($A$5:$A$10,$X172)-($I172-DateToday+1))/(INDEX($A$5:$A$10,$X172+1)-INDEX($A$5:$A$10,$X172))))</f>
        <v>0.000240127915734262</v>
      </c>
      <c r="AD172" s="348" t="n">
        <f aca="false">IF($X172="",AD171^2/AD170,INDEX(G$5:G$10,$X172)^((INDEX($A$5:$A$10,$X172+1)-($I172-DateToday+1))/(INDEX($A$5:$A$10,$X172+1)-INDEX($A$5:$A$10,$X172)))/INDEX(G$5:G$10,$X172+1)^((INDEX($A$5:$A$10,$X172)-($I172-DateToday+1))/(INDEX($A$5:$A$10,$X172+1)-INDEX($A$5:$A$10,$X172))))</f>
        <v>0.000950837118262029</v>
      </c>
      <c r="AE172" s="321" t="n">
        <v>0.073597056183419</v>
      </c>
      <c r="AF172" s="316" t="n">
        <f aca="false">(1+AE172/2)^(-2*(I173-DateToday)/365.25)</f>
        <v>0.365383554220949</v>
      </c>
      <c r="AG172" s="316" t="n">
        <f aca="false">AG171*(1+IF(AND(M172=1,L172&gt;YearStart),Escalation,0))</f>
        <v>1</v>
      </c>
      <c r="AH172" s="322" t="n">
        <f aca="false">IF(OR(DateStart&gt;=I173,DateEnd&lt;I172),0,Volume*AG172)</f>
        <v>0</v>
      </c>
      <c r="AI172" s="322" t="n">
        <f aca="false">AH172*AF172</f>
        <v>0</v>
      </c>
      <c r="AJ172" s="322" t="n">
        <f aca="false">IF(OR(DateStart2&gt;=I173,DateEnd2&lt;I172),0,VolumeSwaption*AG172)</f>
        <v>0</v>
      </c>
      <c r="AK172" s="322" t="n">
        <f aca="false">AJ172*AF172</f>
        <v>0</v>
      </c>
      <c r="AL172" s="316" t="str">
        <f aca="true">IF(AH172,OFFSET(BY172,0,HorizontalPriceOffset)+PriceSpreadAsian,"")</f>
        <v/>
      </c>
      <c r="AM172" s="316" t="str">
        <f aca="false">IF(AH172,Strike1/AL172-1,"")</f>
        <v/>
      </c>
      <c r="AN172" s="316" t="str">
        <f aca="false">IF(AH172,Strike2/AL172-1,"")</f>
        <v/>
      </c>
      <c r="AO172" s="323" t="str">
        <f aca="false">IF(AH172,IF(VolOverrideAsian,VolOverrideAsian,IF(ProductGroup=1,IF(Product&lt;3,DA173,DE173),W173)+VolSpreadAsian),"")</f>
        <v/>
      </c>
      <c r="AP172" s="323" t="str">
        <f aca="false">IF($AH172,$AO172+IF(SkewFlag=1,IF(AM172&gt;0,$AA172*MIN(AM172/10%,1)+($Z172-$AA172)*MAX(0,MIN(AM172/10%-1,1))+($Y172-$Z172)*MAX(0,AM172/10%-2),$AB172*MIN(-AM172/10%,1)+($AC172-$AB172)*MAX(0,MIN(-AM172/10%-1,1))+($AD172-$AC172)*MAX(0,-AM172/10%-2)),0),"")</f>
        <v/>
      </c>
      <c r="AQ172" s="323" t="str">
        <f aca="false">IF($AH172,$AO172+IF(SkewFlag=1,IF(AN172&gt;0,$AA172*MIN(AN172/10%,1)+($Z172-$AA172)*MAX(0,MIN(AN172/10%-1,1))+($Y172-$Z172)*MAX(0,AN172/10%-2),$AB172*MIN(-AN172/10%,1)+($AC172-$AB172)*MAX(0,MIN(-AN172/10%-1,1))+($AD172-$AC172)*MAX(0,-AN172/10%-2)),0),"")</f>
        <v/>
      </c>
      <c r="AR172" s="324" t="n">
        <f aca="false">IF(AH172,xASN(AL172,Strike1,AE172,AP172,0,N172,0,P172,Q172,IF(OptControl=4,0,1),0),0)</f>
        <v>0</v>
      </c>
      <c r="AS172" s="324" t="n">
        <f aca="false">IF(AH172,xASN(AL172,Strike1,AE172,AP172,0,N172,0,P172,Q172,IF(OptControl=4,0,1),1),0)</f>
        <v>0</v>
      </c>
      <c r="AT172" s="324" t="n">
        <f aca="false">IF(AH172,xASN(AL172,Strike1,AE172,AP172,0,N172,0,P172,Q172,IF(OptControl=4,0,1),2),0)</f>
        <v>0</v>
      </c>
      <c r="AU172" s="324" t="n">
        <f aca="false">IF(AH172,xASN(AL172,Strike1,AE172,AP172,0,N172,0,P172,Q172,IF(OptControl=4,0,1),3)/100,0)</f>
        <v>0</v>
      </c>
      <c r="AV172" s="324" t="n">
        <f aca="false">IF(AH172,xASN(AL172,Strike1,AE172,AP172,0,N172,0,P172-DaysForThetaCalculation/365.25,Q172-DaysForThetaCalculation/365.25,IF(OptControl=4,0,1),0)-xASN(AL172,Strike1,AE172,AP172,0,N172,0,P172,Q172,IF(OptControl=4,0,1),0),0)</f>
        <v>0</v>
      </c>
      <c r="AW172" s="324" t="n">
        <f aca="false">IF(AH172,xASN(AL172,Strike2,AE172,AQ172,0,N172,0,P172,Q172,IF(OptControl=3,1,0),0),0)</f>
        <v>0</v>
      </c>
      <c r="AX172" s="324" t="n">
        <f aca="false">IF(AH172,xASN(AL172,Strike2,AE172,AQ172,0,N172,0,P172,Q172,IF(OptControl=3,1,0),1),0)</f>
        <v>0</v>
      </c>
      <c r="AY172" s="324" t="n">
        <f aca="false">IF(AH172,xASN(AL172,Strike2,AE172,AQ172,0,N172,0,P172,Q172,IF(OptControl=3,1,0),2),0)</f>
        <v>0</v>
      </c>
      <c r="AZ172" s="324" t="n">
        <f aca="false">IF(AH172,xASN(AL172,Strike2,AE172,AQ172,0,N172,0,P172,Q172,IF(OptControl=3,1,0),3)/100,0)</f>
        <v>0</v>
      </c>
      <c r="BA172" s="324" t="n">
        <f aca="false">IF(AH172,xASN(AL172,Strike2,AE172,AQ172,0,N172,0,P172-DaysForThetaCalculation/365.25,Q172-DaysForThetaCalculation/365.25,IF(OptControl=3,1,0),0)-xASN(AL172,Strike2,AE172,AQ172,0,N172,0,P172,Q172,IF(OptControl=3,1,0),0),0)</f>
        <v>0</v>
      </c>
      <c r="BB172" s="325" t="str">
        <f aca="false">IF(AH172,IF(ProductGroup=1,IF(Product=1,BX172+PriceSpreadEuro,IF(Product=3,CK172+PriceSpreadEuro,"N/A")),"N/A"),"")</f>
        <v/>
      </c>
      <c r="BC172" s="316" t="str">
        <f aca="false">IF(AH172,Strike1/BB172-1,"")</f>
        <v/>
      </c>
      <c r="BD172" s="316" t="str">
        <f aca="false">IF(AH172,Strike2/BB172-1,"")</f>
        <v/>
      </c>
      <c r="BE172" s="326" t="str">
        <f aca="false">IF(AH172,IF(VolOverrideEuro,VolOverrideEuro,IF(ProductGroup=1,IF(Product&lt;3,DA172,DE172)+VolSpreadEuro,"N/A")),"")</f>
        <v/>
      </c>
      <c r="BF172" s="323" t="str">
        <f aca="false">IF($AH172,$BE172+IF(SkewFlag=1,IF(BC172&gt;0,$AA172*MIN(BC172/10%,1)+($Z172-$AA172)*MAX(0,MIN(BC172/10%-1,1))+($Y172-$Z172)*MAX(0,BC172/10%-2),$AB172*MIN(-BC172/10%,1)+($AC172-$AB172)*MAX(0,MIN(-BC172/10%-1,1))+($AD172-$AC172)*MAX(0,-BC172/10%-2)),0),"")</f>
        <v/>
      </c>
      <c r="BG172" s="323" t="str">
        <f aca="false">IF($AH172,$BE172+IF(SkewFlag=1,IF(BD172&gt;0,$AA172*MIN(BD172/10%,1)+($Z172-$AA172)*MAX(0,MIN(BD172/10%-1,1))+($Y172-$Z172)*MAX(0,BD172/10%-2),$AB172*MIN(-BD172/10%,1)+($AC172-$AB172)*MAX(0,MIN(-BD172/10%-1,1))+($AD172-$AC172)*MAX(0,-BD172/10%-2)),0),"")</f>
        <v/>
      </c>
      <c r="BH172" s="324" t="n">
        <f aca="false">IF(AH172,xEURO(BB172,Strike1,AE172,AE172,BF172,O172,IF(OptControl=4,0,1),0),0)</f>
        <v>0</v>
      </c>
      <c r="BI172" s="324" t="n">
        <f aca="false">IF(AH172,xEURO(BB172,Strike1,AE172,AE172,BF172,O172,IF(OptControl=4,0,1),1),0)</f>
        <v>0</v>
      </c>
      <c r="BJ172" s="324" t="n">
        <f aca="false">IF(AH172,xEURO(BB172,Strike1,AE172,AE172,BF172,O172,IF(OptControl=4,0,1),2),0)</f>
        <v>0</v>
      </c>
      <c r="BK172" s="324" t="n">
        <f aca="false">IF(AH172,xEURO(BB172,Strike1,AE172,AE172,BF172,O172,IF(OptControl=4,0,1),3)/100,0)</f>
        <v>0</v>
      </c>
      <c r="BL172" s="324" t="n">
        <f aca="false">IF(AH172,xEURO(BB172,Strike1,AE172,AE172,BF172,O172-DaysForThetaCalculation,IF(OptControl=4,0,1),0)-xEURO(BB172,Strike1,AE172,AE172,BF172,O172,IF(OptControl=4,0,1),0),0)</f>
        <v>0</v>
      </c>
      <c r="BM172" s="324" t="n">
        <f aca="false">IF(AH172,xEURO(BB172,Strike2,AE172,AE172,BG172,O172,IF(OptControl=3,1,0),0),0)</f>
        <v>0</v>
      </c>
      <c r="BN172" s="324" t="n">
        <f aca="false">IF(AH172,xEURO(BB172,Strike2,AE172,AE172,BG172,O172,IF(OptControl=3,1,0),1),0)</f>
        <v>0</v>
      </c>
      <c r="BO172" s="324" t="n">
        <f aca="false">IF(AH172,xEURO(BB172,Strike2,AE172,AE172,BG172,O172,IF(OptControl=3,1,0),2),0)</f>
        <v>0</v>
      </c>
      <c r="BP172" s="324" t="n">
        <f aca="false">IF(AH172,xEURO(BB172,Strike2,AE172,AE172,BG172,O172,IF(OptControl=3,1,0),3)/100,0)</f>
        <v>0</v>
      </c>
      <c r="BQ172" s="327" t="n">
        <f aca="false">IF(AH172,xEURO(BB172,Strike2,AE172,AE172,BG172,O172-DaysForThetaCalculation,IF(OptControl=3,1,0),0)-xEURO(BB172,Strike2,AE172,AE172,BG172,O172,IF(OptControl=3,1,0),0),0)</f>
        <v>0</v>
      </c>
      <c r="BR172" s="343"/>
      <c r="BS172" s="314"/>
      <c r="BT172" s="329" t="n">
        <f aca="false">BS172*100/42</f>
        <v>0</v>
      </c>
      <c r="BU172" s="329" t="n">
        <f aca="false">BS173-$U172</f>
        <v>-31.6413043478265</v>
      </c>
      <c r="BV172" s="224"/>
      <c r="BW172" s="329" t="n">
        <f aca="false">BW160+VLOOKUP(1900+$L172,ProductSpreadTable,2)</f>
        <v>14.2265714285714</v>
      </c>
      <c r="BX172" s="329" t="n">
        <f aca="false">($V171+BW171)*100/42</f>
        <v>107.74947254264</v>
      </c>
      <c r="BY172" s="332" t="n">
        <f aca="false">BX173</f>
        <v>109.209228039043</v>
      </c>
      <c r="BZ172" s="314"/>
      <c r="CA172" s="329" t="n">
        <f aca="false">BZ172*100/42</f>
        <v>0</v>
      </c>
      <c r="CB172" s="329" t="n">
        <f aca="false">BZ172-$U172</f>
        <v>-31.6413043478265</v>
      </c>
      <c r="CC172" s="329" t="n">
        <f aca="false">CC160+VLOOKUP(1900+$L172,ProductSpreadTable,3)</f>
        <v>12.6685714285714</v>
      </c>
      <c r="CD172" s="329" t="n">
        <f aca="false">($V172+CC172)*100/42</f>
        <v>105.499704229519</v>
      </c>
      <c r="CE172" s="333" t="n">
        <f aca="false">CD172-BY172</f>
        <v>-3.70952380952382</v>
      </c>
      <c r="CF172" s="314"/>
      <c r="CG172" s="329" t="n">
        <f aca="false">CF172*100/42</f>
        <v>0</v>
      </c>
      <c r="CH172" s="329" t="n">
        <f aca="false">CF173-$U172</f>
        <v>-31.6413043478265</v>
      </c>
      <c r="CI172" s="224"/>
      <c r="CJ172" s="329" t="n">
        <f aca="false">CJ160+VLOOKUP(1900+$L172,ProductSpreadTable,4)</f>
        <v>12.4545714285714</v>
      </c>
      <c r="CK172" s="329" t="n">
        <f aca="false">($V171+CJ171)*100/42</f>
        <v>106.130424923592</v>
      </c>
      <c r="CL172" s="329" t="n">
        <f aca="false">CK173</f>
        <v>104.990180419995</v>
      </c>
      <c r="CM172" s="314"/>
      <c r="CN172" s="329" t="n">
        <f aca="false">CM172*100/42</f>
        <v>0</v>
      </c>
      <c r="CO172" s="329" t="n">
        <f aca="false">CM172-$U172</f>
        <v>-31.6413043478265</v>
      </c>
      <c r="CP172" s="329" t="n">
        <f aca="false">CP160+VLOOKUP(1900+$L172,ProductSpreadTable,5)</f>
        <v>11.3415714285714</v>
      </c>
      <c r="CQ172" s="329" t="n">
        <f aca="false">($V172+CP172)*100/42</f>
        <v>102.340180419995</v>
      </c>
      <c r="CR172" s="333" t="n">
        <f aca="false">CQ172-CL172</f>
        <v>-2.65000000000001</v>
      </c>
      <c r="CS172" s="314"/>
      <c r="CT172" s="329" t="n">
        <f aca="false">CS172*100/42</f>
        <v>0</v>
      </c>
      <c r="CU172" s="329" t="n">
        <f aca="false">CT172-CG173</f>
        <v>0</v>
      </c>
      <c r="CV172" s="329" t="n">
        <f aca="false">CV160+VLOOKUP(1900+$L172,ProductSpreadTable,6)</f>
        <v>2.55000000000001</v>
      </c>
      <c r="CW172" s="333" t="n">
        <f aca="false">CL172+CV172</f>
        <v>107.540180419995</v>
      </c>
      <c r="CX172" s="318"/>
      <c r="CY172" s="326" t="n">
        <f aca="false">CX172-$W172</f>
        <v>-0.150899999999998</v>
      </c>
      <c r="CZ172" s="326" t="n">
        <f aca="false">VLOOKUP(1900+$L172,ProductSpreadTable,7)</f>
        <v>-0.03</v>
      </c>
      <c r="DA172" s="365" t="n">
        <f aca="false">$W172+CZ172</f>
        <v>0.120899999999998</v>
      </c>
      <c r="DB172" s="318"/>
      <c r="DC172" s="326" t="n">
        <f aca="false">DB172-$W172</f>
        <v>-0.150899999999998</v>
      </c>
      <c r="DD172" s="326" t="n">
        <f aca="false">VLOOKUP(1900+$L172,ProductSpreadTable,8)</f>
        <v>0.03</v>
      </c>
      <c r="DE172" s="365" t="n">
        <f aca="false">$W172+DD172</f>
        <v>0.180899999999998</v>
      </c>
      <c r="DG172" s="336"/>
      <c r="DH172" s="314"/>
      <c r="DI172" s="325" t="n">
        <f aca="false">DH172-$U172</f>
        <v>-31.6413043478265</v>
      </c>
      <c r="DJ172" s="325" t="n">
        <f aca="false">VLOOKUP(1900+$L172,ResidSpreadTable,2)</f>
        <v>-2</v>
      </c>
      <c r="DK172" s="337" t="n">
        <f aca="false">$V172+DJ172</f>
        <v>29.6413043478265</v>
      </c>
      <c r="DL172" s="314"/>
      <c r="DM172" s="325" t="n">
        <f aca="false">DL172-$U172</f>
        <v>-31.6413043478265</v>
      </c>
      <c r="DN172" s="325" t="n">
        <f aca="false">VLOOKUP(1900+$L172,ResidSpreadTable,3)</f>
        <v>-3</v>
      </c>
      <c r="DO172" s="337" t="n">
        <f aca="false">$V172+DN172</f>
        <v>28.6413043478265</v>
      </c>
      <c r="DP172" s="314"/>
      <c r="DQ172" s="325" t="n">
        <f aca="false">DP172-$U172</f>
        <v>-31.6413043478265</v>
      </c>
      <c r="DR172" s="325" t="n">
        <f aca="false">VLOOKUP(1900+$L172,ResidSpreadTable,4)</f>
        <v>-6</v>
      </c>
      <c r="DS172" s="337" t="n">
        <f aca="false">$V172+DR172</f>
        <v>25.6413043478265</v>
      </c>
      <c r="DT172" s="314"/>
      <c r="DU172" s="325" t="n">
        <f aca="false">DT172-$U172</f>
        <v>-31.6413043478265</v>
      </c>
      <c r="DV172" s="325" t="n">
        <f aca="false">VLOOKUP(1900+$L172,ResidSpreadTable,5)</f>
        <v>-5</v>
      </c>
      <c r="DW172" s="337" t="n">
        <f aca="false">$V172+DV172</f>
        <v>26.6413043478265</v>
      </c>
    </row>
    <row r="173" customFormat="false" ht="12.75" hidden="false" customHeight="false" outlineLevel="0" collapsed="false">
      <c r="B173" s="371" t="n">
        <v>40817</v>
      </c>
      <c r="C173" s="391" t="n">
        <v>40806</v>
      </c>
      <c r="I173" s="338" t="n">
        <f aca="false">EOMONTH(I172,0)+1</f>
        <v>51014</v>
      </c>
      <c r="J173" s="389" t="n">
        <f aca="false">VLOOKUP(I173,$B$12:$C$332,2)</f>
        <v>45644</v>
      </c>
      <c r="K173" s="339" t="n">
        <f aca="false">NETWORKDAYS(I173,J174)/N173</f>
        <v>-174.409090909091</v>
      </c>
      <c r="L173" s="309" t="n">
        <f aca="false">YEAR(I173)-1900</f>
        <v>139</v>
      </c>
      <c r="M173" s="310" t="n">
        <f aca="false">MONTH(I173)</f>
        <v>9</v>
      </c>
      <c r="N173" s="340" t="n">
        <f aca="false">NETWORKDAYS(I173,I174-1)</f>
        <v>22</v>
      </c>
      <c r="O173" s="341" t="n">
        <f aca="false">I173-DateToday-IF(EuroExpDateToggle=1,3+IF(WEEKDAY(I173-1)=7,1,IF(WEEKDAY(I173-1)&lt;5,2,0)),1+IF(WEEKDAY(I173-1)=7,1,IF(WEEKDAY(I173-1)&lt;3,2,0)))</f>
        <v>5083</v>
      </c>
      <c r="P173" s="342" t="n">
        <f aca="false">(I173-DateToday+1)/365.25</f>
        <v>13.9329226557153</v>
      </c>
      <c r="Q173" s="342" t="n">
        <f aca="false">(I174-DateToday)/365.25</f>
        <v>14.0123203285421</v>
      </c>
      <c r="R173" s="314" t="n">
        <v>23.3000000000001</v>
      </c>
      <c r="S173" s="347" t="n">
        <v>0</v>
      </c>
      <c r="T173" s="316" t="n">
        <f aca="false">R173+S173/100</f>
        <v>23.3000000000001</v>
      </c>
      <c r="U173" s="325" t="n">
        <f aca="false">R174*K173+R175*(1-K173)</f>
        <v>32.1204545454543</v>
      </c>
      <c r="V173" s="337" t="n">
        <f aca="false">T174*K173+T175*(1-K173)</f>
        <v>32.1204545454543</v>
      </c>
      <c r="W173" s="318" t="n">
        <v>0.150499999999998</v>
      </c>
      <c r="X173" s="319" t="str">
        <f aca="false">IF($I173-DateToday+1&gt;=$A$10,"",IF($I173-DateToday+1&lt;$A$5,1,MATCH($I173-DateToday+1,$A$5:$A$10)))</f>
        <v/>
      </c>
      <c r="Y173" s="348" t="n">
        <f aca="false">IF($X173="",Y172^2/Y171,INDEX(B$5:B$10,$X173)^((INDEX($A$5:$A$10,$X173+1)-($I173-DateToday+1))/(INDEX($A$5:$A$10,$X173+1)-INDEX($A$5:$A$10,$X173)))/INDEX(B$5:B$10,$X173+1)^((INDEX($A$5:$A$10,$X173)-($I173-DateToday+1))/(INDEX($A$5:$A$10,$X173+1)-INDEX($A$5:$A$10,$X173))))</f>
        <v>0.000413033177252419</v>
      </c>
      <c r="Z173" s="348" t="n">
        <f aca="false">IF($X173="",Z172^2/Z171,INDEX(C$5:C$10,$X173)^((INDEX($A$5:$A$10,$X173+1)-($I173-DateToday+1))/(INDEX($A$5:$A$10,$X173+1)-INDEX($A$5:$A$10,$X173)))/INDEX(C$5:C$10,$X173+1)^((INDEX($A$5:$A$10,$X173)-($I173-DateToday+1))/(INDEX($A$5:$A$10,$X173+1)-INDEX($A$5:$A$10,$X173))))</f>
        <v>0.00010375044784715</v>
      </c>
      <c r="AA173" s="348" t="n">
        <f aca="false">IF($X173="",AA172^2/AA171,INDEX(D$5:D$10,$X173)^((INDEX($A$5:$A$10,$X173+1)-($I173-DateToday+1))/(INDEX($A$5:$A$10,$X173+1)-INDEX($A$5:$A$10,$X173)))/INDEX(D$5:D$10,$X173+1)^((INDEX($A$5:$A$10,$X173)-($I173-DateToday+1))/(INDEX($A$5:$A$10,$X173+1)-INDEX($A$5:$A$10,$X173))))</f>
        <v>3.15685076154794E-005</v>
      </c>
      <c r="AB173" s="348" t="n">
        <f aca="false">IF($X173="",AB172^2/AB171,INDEX(E$5:E$10,$X173)^((INDEX($A$5:$A$10,$X173+1)-($I173-DateToday+1))/(INDEX($A$5:$A$10,$X173+1)-INDEX($A$5:$A$10,$X173)))/INDEX(E$5:E$10,$X173+1)^((INDEX($A$5:$A$10,$X173)-($I173-DateToday+1))/(INDEX($A$5:$A$10,$X173+1)-INDEX($A$5:$A$10,$X173))))</f>
        <v>7.11175339561592E-005</v>
      </c>
      <c r="AC173" s="348" t="n">
        <f aca="false">IF($X173="",AC172^2/AC171,INDEX(F$5:F$10,$X173)^((INDEX($A$5:$A$10,$X173+1)-($I173-DateToday+1))/(INDEX($A$5:$A$10,$X173+1)-INDEX($A$5:$A$10,$X173)))/INDEX(F$5:F$10,$X173+1)^((INDEX($A$5:$A$10,$X173)-($I173-DateToday+1))/(INDEX($A$5:$A$10,$X173+1)-INDEX($A$5:$A$10,$X173))))</f>
        <v>0.000233729008910056</v>
      </c>
      <c r="AD173" s="348" t="n">
        <f aca="false">IF($X173="",AD172^2/AD171,INDEX(G$5:G$10,$X173)^((INDEX($A$5:$A$10,$X173+1)-($I173-DateToday+1))/(INDEX($A$5:$A$10,$X173+1)-INDEX($A$5:$A$10,$X173)))/INDEX(G$5:G$10,$X173+1)^((INDEX($A$5:$A$10,$X173)-($I173-DateToday+1))/(INDEX($A$5:$A$10,$X173+1)-INDEX($A$5:$A$10,$X173))))</f>
        <v>0.000930481141714147</v>
      </c>
      <c r="AE173" s="321" t="n">
        <v>0.073593478001508</v>
      </c>
      <c r="AF173" s="316" t="n">
        <f aca="false">(1+AE173/2)^(-2*(I174-DateToday)/365.25)</f>
        <v>0.363238494667565</v>
      </c>
      <c r="AG173" s="316" t="n">
        <f aca="false">AG172*(1+IF(AND(M173=1,L173&gt;YearStart),Escalation,0))</f>
        <v>1</v>
      </c>
      <c r="AH173" s="322" t="n">
        <f aca="false">IF(OR(DateStart&gt;=I174,DateEnd&lt;I173),0,Volume*AG173)</f>
        <v>0</v>
      </c>
      <c r="AI173" s="322" t="n">
        <f aca="false">AH173*AF173</f>
        <v>0</v>
      </c>
      <c r="AJ173" s="322" t="n">
        <f aca="false">IF(OR(DateStart2&gt;=I174,DateEnd2&lt;I173),0,VolumeSwaption*AG173)</f>
        <v>0</v>
      </c>
      <c r="AK173" s="322" t="n">
        <f aca="false">AJ173*AF173</f>
        <v>0</v>
      </c>
      <c r="AL173" s="316" t="str">
        <f aca="true">IF(AH173,OFFSET(BY173,0,HorizontalPriceOffset)+PriceSpreadAsian,"")</f>
        <v/>
      </c>
      <c r="AM173" s="316" t="str">
        <f aca="false">IF(AH173,Strike1/AL173-1,"")</f>
        <v/>
      </c>
      <c r="AN173" s="316" t="str">
        <f aca="false">IF(AH173,Strike2/AL173-1,"")</f>
        <v/>
      </c>
      <c r="AO173" s="323" t="str">
        <f aca="false">IF(AH173,IF(VolOverrideAsian,VolOverrideAsian,IF(ProductGroup=1,IF(Product&lt;3,DA174,DE174),W174)+VolSpreadAsian),"")</f>
        <v/>
      </c>
      <c r="AP173" s="323" t="str">
        <f aca="false">IF($AH173,$AO173+IF(SkewFlag=1,IF(AM173&gt;0,$AA173*MIN(AM173/10%,1)+($Z173-$AA173)*MAX(0,MIN(AM173/10%-1,1))+($Y173-$Z173)*MAX(0,AM173/10%-2),$AB173*MIN(-AM173/10%,1)+($AC173-$AB173)*MAX(0,MIN(-AM173/10%-1,1))+($AD173-$AC173)*MAX(0,-AM173/10%-2)),0),"")</f>
        <v/>
      </c>
      <c r="AQ173" s="323" t="str">
        <f aca="false">IF($AH173,$AO173+IF(SkewFlag=1,IF(AN173&gt;0,$AA173*MIN(AN173/10%,1)+($Z173-$AA173)*MAX(0,MIN(AN173/10%-1,1))+($Y173-$Z173)*MAX(0,AN173/10%-2),$AB173*MIN(-AN173/10%,1)+($AC173-$AB173)*MAX(0,MIN(-AN173/10%-1,1))+($AD173-$AC173)*MAX(0,-AN173/10%-2)),0),"")</f>
        <v/>
      </c>
      <c r="AR173" s="324" t="n">
        <f aca="false">IF(AH173,xASN(AL173,Strike1,AE173,AP173,0,N173,0,P173,Q173,IF(OptControl=4,0,1),0),0)</f>
        <v>0</v>
      </c>
      <c r="AS173" s="324" t="n">
        <f aca="false">IF(AH173,xASN(AL173,Strike1,AE173,AP173,0,N173,0,P173,Q173,IF(OptControl=4,0,1),1),0)</f>
        <v>0</v>
      </c>
      <c r="AT173" s="324" t="n">
        <f aca="false">IF(AH173,xASN(AL173,Strike1,AE173,AP173,0,N173,0,P173,Q173,IF(OptControl=4,0,1),2),0)</f>
        <v>0</v>
      </c>
      <c r="AU173" s="324" t="n">
        <f aca="false">IF(AH173,xASN(AL173,Strike1,AE173,AP173,0,N173,0,P173,Q173,IF(OptControl=4,0,1),3)/100,0)</f>
        <v>0</v>
      </c>
      <c r="AV173" s="324" t="n">
        <f aca="false">IF(AH173,xASN(AL173,Strike1,AE173,AP173,0,N173,0,P173-DaysForThetaCalculation/365.25,Q173-DaysForThetaCalculation/365.25,IF(OptControl=4,0,1),0)-xASN(AL173,Strike1,AE173,AP173,0,N173,0,P173,Q173,IF(OptControl=4,0,1),0),0)</f>
        <v>0</v>
      </c>
      <c r="AW173" s="324" t="n">
        <f aca="false">IF(AH173,xASN(AL173,Strike2,AE173,AQ173,0,N173,0,P173,Q173,IF(OptControl=3,1,0),0),0)</f>
        <v>0</v>
      </c>
      <c r="AX173" s="324" t="n">
        <f aca="false">IF(AH173,xASN(AL173,Strike2,AE173,AQ173,0,N173,0,P173,Q173,IF(OptControl=3,1,0),1),0)</f>
        <v>0</v>
      </c>
      <c r="AY173" s="324" t="n">
        <f aca="false">IF(AH173,xASN(AL173,Strike2,AE173,AQ173,0,N173,0,P173,Q173,IF(OptControl=3,1,0),2),0)</f>
        <v>0</v>
      </c>
      <c r="AZ173" s="324" t="n">
        <f aca="false">IF(AH173,xASN(AL173,Strike2,AE173,AQ173,0,N173,0,P173,Q173,IF(OptControl=3,1,0),3)/100,0)</f>
        <v>0</v>
      </c>
      <c r="BA173" s="324" t="n">
        <f aca="false">IF(AH173,xASN(AL173,Strike2,AE173,AQ173,0,N173,0,P173-DaysForThetaCalculation/365.25,Q173-DaysForThetaCalculation/365.25,IF(OptControl=3,1,0),0)-xASN(AL173,Strike2,AE173,AQ173,0,N173,0,P173,Q173,IF(OptControl=3,1,0),0),0)</f>
        <v>0</v>
      </c>
      <c r="BB173" s="325" t="str">
        <f aca="false">IF(AH173,IF(ProductGroup=1,IF(Product=1,BX173+PriceSpreadEuro,IF(Product=3,CK173+PriceSpreadEuro,"N/A")),"N/A"),"")</f>
        <v/>
      </c>
      <c r="BC173" s="316" t="str">
        <f aca="false">IF(AH173,Strike1/BB173-1,"")</f>
        <v/>
      </c>
      <c r="BD173" s="316" t="str">
        <f aca="false">IF(AH173,Strike2/BB173-1,"")</f>
        <v/>
      </c>
      <c r="BE173" s="326" t="str">
        <f aca="false">IF(AH173,IF(VolOverrideEuro,VolOverrideEuro,IF(ProductGroup=1,IF(Product&lt;3,DA173,DE173)+VolSpreadEuro,"N/A")),"")</f>
        <v/>
      </c>
      <c r="BF173" s="323" t="str">
        <f aca="false">IF($AH173,$BE173+IF(SkewFlag=1,IF(BC173&gt;0,$AA173*MIN(BC173/10%,1)+($Z173-$AA173)*MAX(0,MIN(BC173/10%-1,1))+($Y173-$Z173)*MAX(0,BC173/10%-2),$AB173*MIN(-BC173/10%,1)+($AC173-$AB173)*MAX(0,MIN(-BC173/10%-1,1))+($AD173-$AC173)*MAX(0,-BC173/10%-2)),0),"")</f>
        <v/>
      </c>
      <c r="BG173" s="323" t="str">
        <f aca="false">IF($AH173,$BE173+IF(SkewFlag=1,IF(BD173&gt;0,$AA173*MIN(BD173/10%,1)+($Z173-$AA173)*MAX(0,MIN(BD173/10%-1,1))+($Y173-$Z173)*MAX(0,BD173/10%-2),$AB173*MIN(-BD173/10%,1)+($AC173-$AB173)*MAX(0,MIN(-BD173/10%-1,1))+($AD173-$AC173)*MAX(0,-BD173/10%-2)),0),"")</f>
        <v/>
      </c>
      <c r="BH173" s="324" t="n">
        <f aca="false">IF(AH173,xEURO(BB173,Strike1,AE173,AE173,BF173,O173,IF(OptControl=4,0,1),0),0)</f>
        <v>0</v>
      </c>
      <c r="BI173" s="324" t="n">
        <f aca="false">IF(AH173,xEURO(BB173,Strike1,AE173,AE173,BF173,O173,IF(OptControl=4,0,1),1),0)</f>
        <v>0</v>
      </c>
      <c r="BJ173" s="324" t="n">
        <f aca="false">IF(AH173,xEURO(BB173,Strike1,AE173,AE173,BF173,O173,IF(OptControl=4,0,1),2),0)</f>
        <v>0</v>
      </c>
      <c r="BK173" s="324" t="n">
        <f aca="false">IF(AH173,xEURO(BB173,Strike1,AE173,AE173,BF173,O173,IF(OptControl=4,0,1),3)/100,0)</f>
        <v>0</v>
      </c>
      <c r="BL173" s="324" t="n">
        <f aca="false">IF(AH173,xEURO(BB173,Strike1,AE173,AE173,BF173,O173-DaysForThetaCalculation,IF(OptControl=4,0,1),0)-xEURO(BB173,Strike1,AE173,AE173,BF173,O173,IF(OptControl=4,0,1),0),0)</f>
        <v>0</v>
      </c>
      <c r="BM173" s="324" t="n">
        <f aca="false">IF(AH173,xEURO(BB173,Strike2,AE173,AE173,BG173,O173,IF(OptControl=3,1,0),0),0)</f>
        <v>0</v>
      </c>
      <c r="BN173" s="324" t="n">
        <f aca="false">IF(AH173,xEURO(BB173,Strike2,AE173,AE173,BG173,O173,IF(OptControl=3,1,0),1),0)</f>
        <v>0</v>
      </c>
      <c r="BO173" s="324" t="n">
        <f aca="false">IF(AH173,xEURO(BB173,Strike2,AE173,AE173,BG173,O173,IF(OptControl=3,1,0),2),0)</f>
        <v>0</v>
      </c>
      <c r="BP173" s="324" t="n">
        <f aca="false">IF(AH173,xEURO(BB173,Strike2,AE173,AE173,BG173,O173,IF(OptControl=3,1,0),3)/100,0)</f>
        <v>0</v>
      </c>
      <c r="BQ173" s="327" t="n">
        <f aca="false">IF(AH173,xEURO(BB173,Strike2,AE173,AE173,BG173,O173-DaysForThetaCalculation,IF(OptControl=3,1,0),0)-xEURO(BB173,Strike2,AE173,AE173,BG173,O173,IF(OptControl=3,1,0),0),0)</f>
        <v>0</v>
      </c>
      <c r="BR173" s="343"/>
      <c r="BS173" s="314"/>
      <c r="BT173" s="329" t="n">
        <f aca="false">BS173*100/42</f>
        <v>0</v>
      </c>
      <c r="BU173" s="329" t="n">
        <f aca="false">BS174-$U173</f>
        <v>-32.1204545454543</v>
      </c>
      <c r="BV173" s="224"/>
      <c r="BW173" s="329" t="n">
        <f aca="false">BW161+VLOOKUP(1900+$L173,ProductSpreadTable,2)</f>
        <v>12.292</v>
      </c>
      <c r="BX173" s="329" t="n">
        <f aca="false">($V172+BW172)*100/42</f>
        <v>109.209228039043</v>
      </c>
      <c r="BY173" s="332" t="n">
        <f aca="false">BX174</f>
        <v>105.743939393939</v>
      </c>
      <c r="BZ173" s="314"/>
      <c r="CA173" s="329" t="n">
        <f aca="false">BZ173*100/42</f>
        <v>0</v>
      </c>
      <c r="CB173" s="329" t="n">
        <f aca="false">BZ173-$U173</f>
        <v>-32.1204545454543</v>
      </c>
      <c r="CC173" s="329" t="n">
        <f aca="false">CC161+VLOOKUP(1900+$L173,ProductSpreadTable,3)</f>
        <v>14.643</v>
      </c>
      <c r="CD173" s="329" t="n">
        <f aca="false">($V173+CC173)*100/42</f>
        <v>111.341558441558</v>
      </c>
      <c r="CE173" s="333" t="n">
        <f aca="false">CD173-BY173</f>
        <v>5.59761904761899</v>
      </c>
      <c r="CF173" s="314"/>
      <c r="CG173" s="329" t="n">
        <f aca="false">CF173*100/42</f>
        <v>0</v>
      </c>
      <c r="CH173" s="329" t="n">
        <f aca="false">CF174-$U173</f>
        <v>-32.1204545454543</v>
      </c>
      <c r="CI173" s="224"/>
      <c r="CJ173" s="329" t="n">
        <f aca="false">CJ161+VLOOKUP(1900+$L173,ProductSpreadTable,4)</f>
        <v>11.624</v>
      </c>
      <c r="CK173" s="329" t="n">
        <f aca="false">($V172+CJ172)*100/42</f>
        <v>104.990180419995</v>
      </c>
      <c r="CL173" s="329" t="n">
        <f aca="false">CK174</f>
        <v>104.153463203463</v>
      </c>
      <c r="CM173" s="314"/>
      <c r="CN173" s="329" t="n">
        <f aca="false">CM173*100/42</f>
        <v>0</v>
      </c>
      <c r="CO173" s="329" t="n">
        <f aca="false">CM173-$U173</f>
        <v>-32.1204545454543</v>
      </c>
      <c r="CP173" s="329" t="n">
        <f aca="false">CP161+VLOOKUP(1900+$L173,ProductSpreadTable,5)</f>
        <v>10.511</v>
      </c>
      <c r="CQ173" s="329" t="n">
        <f aca="false">($V173+CP173)*100/42</f>
        <v>101.503463203463</v>
      </c>
      <c r="CR173" s="333" t="n">
        <f aca="false">CQ173-CL173</f>
        <v>-2.65000000000001</v>
      </c>
      <c r="CS173" s="314"/>
      <c r="CT173" s="329" t="n">
        <f aca="false">CS173*100/42</f>
        <v>0</v>
      </c>
      <c r="CU173" s="329" t="n">
        <f aca="false">CT173-CG174</f>
        <v>0</v>
      </c>
      <c r="CV173" s="329" t="n">
        <f aca="false">CV161+VLOOKUP(1900+$L173,ProductSpreadTable,6)</f>
        <v>2.54999999999999</v>
      </c>
      <c r="CW173" s="333" t="n">
        <f aca="false">CL173+CV173</f>
        <v>106.703463203463</v>
      </c>
      <c r="CX173" s="318"/>
      <c r="CY173" s="326" t="n">
        <f aca="false">CX173-$W173</f>
        <v>-0.150499999999998</v>
      </c>
      <c r="CZ173" s="326" t="n">
        <f aca="false">VLOOKUP(1900+$L173,ProductSpreadTable,7)</f>
        <v>-0.03</v>
      </c>
      <c r="DA173" s="365" t="n">
        <f aca="false">$W173+CZ173</f>
        <v>0.120499999999998</v>
      </c>
      <c r="DB173" s="318"/>
      <c r="DC173" s="326" t="n">
        <f aca="false">DB173-$W173</f>
        <v>-0.150499999999998</v>
      </c>
      <c r="DD173" s="326" t="n">
        <f aca="false">VLOOKUP(1900+$L173,ProductSpreadTable,8)</f>
        <v>0.03</v>
      </c>
      <c r="DE173" s="365" t="n">
        <f aca="false">$W173+DD173</f>
        <v>0.180499999999998</v>
      </c>
      <c r="DG173" s="336"/>
      <c r="DH173" s="314"/>
      <c r="DI173" s="325" t="n">
        <f aca="false">DH173-$U173</f>
        <v>-32.1204545454543</v>
      </c>
      <c r="DJ173" s="325" t="n">
        <f aca="false">VLOOKUP(1900+$L173,ResidSpreadTable,2)</f>
        <v>-2</v>
      </c>
      <c r="DK173" s="337" t="n">
        <f aca="false">$V173+DJ173</f>
        <v>30.1204545454543</v>
      </c>
      <c r="DL173" s="314"/>
      <c r="DM173" s="325" t="n">
        <f aca="false">DL173-$U173</f>
        <v>-32.1204545454543</v>
      </c>
      <c r="DN173" s="325" t="n">
        <f aca="false">VLOOKUP(1900+$L173,ResidSpreadTable,3)</f>
        <v>-3</v>
      </c>
      <c r="DO173" s="337" t="n">
        <f aca="false">$V173+DN173</f>
        <v>29.1204545454543</v>
      </c>
      <c r="DP173" s="314"/>
      <c r="DQ173" s="325" t="n">
        <f aca="false">DP173-$U173</f>
        <v>-32.1204545454543</v>
      </c>
      <c r="DR173" s="325" t="n">
        <f aca="false">VLOOKUP(1900+$L173,ResidSpreadTable,4)</f>
        <v>-6</v>
      </c>
      <c r="DS173" s="337" t="n">
        <f aca="false">$V173+DR173</f>
        <v>26.1204545454543</v>
      </c>
      <c r="DT173" s="314"/>
      <c r="DU173" s="325" t="n">
        <f aca="false">DT173-$U173</f>
        <v>-32.1204545454543</v>
      </c>
      <c r="DV173" s="325" t="n">
        <f aca="false">VLOOKUP(1900+$L173,ResidSpreadTable,5)</f>
        <v>-5</v>
      </c>
      <c r="DW173" s="337" t="n">
        <f aca="false">$V173+DV173</f>
        <v>27.1204545454543</v>
      </c>
    </row>
    <row r="174" customFormat="false" ht="12.75" hidden="false" customHeight="false" outlineLevel="0" collapsed="false">
      <c r="B174" s="371" t="n">
        <v>40848</v>
      </c>
      <c r="C174" s="391" t="n">
        <v>40838</v>
      </c>
      <c r="I174" s="338" t="n">
        <f aca="false">EOMONTH(I173,0)+1</f>
        <v>51044</v>
      </c>
      <c r="J174" s="389" t="n">
        <f aca="false">VLOOKUP(I174,$B$12:$C$332,2)</f>
        <v>45644</v>
      </c>
      <c r="K174" s="339" t="n">
        <f aca="false">NETWORKDAYS(I174,J175)/N174</f>
        <v>-183.714285714286</v>
      </c>
      <c r="L174" s="309" t="n">
        <f aca="false">YEAR(I174)-1900</f>
        <v>139</v>
      </c>
      <c r="M174" s="310" t="n">
        <f aca="false">MONTH(I174)</f>
        <v>10</v>
      </c>
      <c r="N174" s="340" t="n">
        <f aca="false">NETWORKDAYS(I174,I175-1)</f>
        <v>21</v>
      </c>
      <c r="O174" s="341" t="n">
        <f aca="false">I174-DateToday-IF(EuroExpDateToggle=1,3+IF(WEEKDAY(I174-1)=7,1,IF(WEEKDAY(I174-1)&lt;5,2,0)),1+IF(WEEKDAY(I174-1)=7,1,IF(WEEKDAY(I174-1)&lt;3,2,0)))</f>
        <v>5115</v>
      </c>
      <c r="P174" s="342" t="n">
        <f aca="false">(I174-DateToday+1)/365.25</f>
        <v>14.0150581793292</v>
      </c>
      <c r="Q174" s="342" t="n">
        <f aca="false">(I175-DateToday)/365.25</f>
        <v>14.0971937029432</v>
      </c>
      <c r="R174" s="314" t="n">
        <v>23.3500000000001</v>
      </c>
      <c r="S174" s="347" t="n">
        <v>0</v>
      </c>
      <c r="T174" s="316" t="n">
        <f aca="false">R174+S174/100</f>
        <v>23.3500000000001</v>
      </c>
      <c r="U174" s="325" t="n">
        <f aca="false">R175*K174+R176*(1-K174)</f>
        <v>32.635714285715</v>
      </c>
      <c r="V174" s="337" t="n">
        <f aca="false">T175*K174+T176*(1-K174)</f>
        <v>32.635714285715</v>
      </c>
      <c r="W174" s="318" t="n">
        <v>0.150099999999998</v>
      </c>
      <c r="X174" s="319" t="str">
        <f aca="false">IF($I174-DateToday+1&gt;=$A$10,"",IF($I174-DateToday+1&lt;$A$5,1,MATCH($I174-DateToday+1,$A$5:$A$10)))</f>
        <v/>
      </c>
      <c r="Y174" s="348" t="n">
        <f aca="false">IF($X174="",Y173^2/Y172,INDEX(B$5:B$10,$X174)^((INDEX($A$5:$A$10,$X174+1)-($I174-DateToday+1))/(INDEX($A$5:$A$10,$X174+1)-INDEX($A$5:$A$10,$X174)))/INDEX(B$5:B$10,$X174+1)^((INDEX($A$5:$A$10,$X174)-($I174-DateToday+1))/(INDEX($A$5:$A$10,$X174+1)-INDEX($A$5:$A$10,$X174))))</f>
        <v>0.00040419076512087</v>
      </c>
      <c r="Z174" s="348" t="n">
        <f aca="false">IF($X174="",Z173^2/Z172,INDEX(C$5:C$10,$X174)^((INDEX($A$5:$A$10,$X174+1)-($I174-DateToday+1))/(INDEX($A$5:$A$10,$X174+1)-INDEX($A$5:$A$10,$X174)))/INDEX(C$5:C$10,$X174+1)^((INDEX($A$5:$A$10,$X174)-($I174-DateToday+1))/(INDEX($A$5:$A$10,$X174+1)-INDEX($A$5:$A$10,$X174))))</f>
        <v>0.000100985715363992</v>
      </c>
      <c r="AA174" s="348" t="n">
        <f aca="false">IF($X174="",AA173^2/AA172,INDEX(D$5:D$10,$X174)^((INDEX($A$5:$A$10,$X174+1)-($I174-DateToday+1))/(INDEX($A$5:$A$10,$X174+1)-INDEX($A$5:$A$10,$X174)))/INDEX(D$5:D$10,$X174+1)^((INDEX($A$5:$A$10,$X174)-($I174-DateToday+1))/(INDEX($A$5:$A$10,$X174+1)-INDEX($A$5:$A$10,$X174))))</f>
        <v>3.06448748107484E-005</v>
      </c>
      <c r="AB174" s="348" t="n">
        <f aca="false">IF($X174="",AB173^2/AB172,INDEX(E$5:E$10,$X174)^((INDEX($A$5:$A$10,$X174+1)-($I174-DateToday+1))/(INDEX($A$5:$A$10,$X174+1)-INDEX($A$5:$A$10,$X174)))/INDEX(E$5:E$10,$X174+1)^((INDEX($A$5:$A$10,$X174)-($I174-DateToday+1))/(INDEX($A$5:$A$10,$X174+1)-INDEX($A$5:$A$10,$X174))))</f>
        <v>6.9036773973661E-005</v>
      </c>
      <c r="AC174" s="348" t="n">
        <f aca="false">IF($X174="",AC173^2/AC172,INDEX(F$5:F$10,$X174)^((INDEX($A$5:$A$10,$X174+1)-($I174-DateToday+1))/(INDEX($A$5:$A$10,$X174+1)-INDEX($A$5:$A$10,$X174)))/INDEX(F$5:F$10,$X174+1)^((INDEX($A$5:$A$10,$X174)-($I174-DateToday+1))/(INDEX($A$5:$A$10,$X174+1)-INDEX($A$5:$A$10,$X174))))</f>
        <v>0.000227500619571997</v>
      </c>
      <c r="AD174" s="348" t="n">
        <f aca="false">IF($X174="",AD173^2/AD172,INDEX(G$5:G$10,$X174)^((INDEX($A$5:$A$10,$X174+1)-($I174-DateToday+1))/(INDEX($A$5:$A$10,$X174+1)-INDEX($A$5:$A$10,$X174)))/INDEX(G$5:G$10,$X174+1)^((INDEX($A$5:$A$10,$X174)-($I174-DateToday+1))/(INDEX($A$5:$A$10,$X174+1)-INDEX($A$5:$A$10,$X174))))</f>
        <v>0.000910560955664194</v>
      </c>
      <c r="AE174" s="321" t="n">
        <v>0.073589516442969</v>
      </c>
      <c r="AF174" s="316" t="n">
        <f aca="false">(1+AE174/2)^(-2*(I175-DateToday)/365.25)</f>
        <v>0.361036673465977</v>
      </c>
      <c r="AG174" s="316" t="n">
        <f aca="false">AG173*(1+IF(AND(M174=1,L174&gt;YearStart),Escalation,0))</f>
        <v>1</v>
      </c>
      <c r="AH174" s="322" t="n">
        <f aca="false">IF(OR(DateStart&gt;=I175,DateEnd&lt;I174),0,Volume*AG174)</f>
        <v>0</v>
      </c>
      <c r="AI174" s="322" t="n">
        <f aca="false">AH174*AF174</f>
        <v>0</v>
      </c>
      <c r="AJ174" s="322" t="n">
        <f aca="false">IF(OR(DateStart2&gt;=I175,DateEnd2&lt;I174),0,VolumeSwaption*AG174)</f>
        <v>0</v>
      </c>
      <c r="AK174" s="322" t="n">
        <f aca="false">AJ174*AF174</f>
        <v>0</v>
      </c>
      <c r="AL174" s="316" t="str">
        <f aca="true">IF(AH174,OFFSET(BY174,0,HorizontalPriceOffset)+PriceSpreadAsian,"")</f>
        <v/>
      </c>
      <c r="AM174" s="316" t="str">
        <f aca="false">IF(AH174,Strike1/AL174-1,"")</f>
        <v/>
      </c>
      <c r="AN174" s="316" t="str">
        <f aca="false">IF(AH174,Strike2/AL174-1,"")</f>
        <v/>
      </c>
      <c r="AO174" s="323" t="str">
        <f aca="false">IF(AH174,IF(VolOverrideAsian,VolOverrideAsian,IF(ProductGroup=1,IF(Product&lt;3,DA175,DE175),W175)+VolSpreadAsian),"")</f>
        <v/>
      </c>
      <c r="AP174" s="323" t="str">
        <f aca="false">IF($AH174,$AO174+IF(SkewFlag=1,IF(AM174&gt;0,$AA174*MIN(AM174/10%,1)+($Z174-$AA174)*MAX(0,MIN(AM174/10%-1,1))+($Y174-$Z174)*MAX(0,AM174/10%-2),$AB174*MIN(-AM174/10%,1)+($AC174-$AB174)*MAX(0,MIN(-AM174/10%-1,1))+($AD174-$AC174)*MAX(0,-AM174/10%-2)),0),"")</f>
        <v/>
      </c>
      <c r="AQ174" s="323" t="str">
        <f aca="false">IF($AH174,$AO174+IF(SkewFlag=1,IF(AN174&gt;0,$AA174*MIN(AN174/10%,1)+($Z174-$AA174)*MAX(0,MIN(AN174/10%-1,1))+($Y174-$Z174)*MAX(0,AN174/10%-2),$AB174*MIN(-AN174/10%,1)+($AC174-$AB174)*MAX(0,MIN(-AN174/10%-1,1))+($AD174-$AC174)*MAX(0,-AN174/10%-2)),0),"")</f>
        <v/>
      </c>
      <c r="AR174" s="324" t="n">
        <f aca="false">IF(AH174,xASN(AL174,Strike1,AE174,AP174,0,N174,0,P174,Q174,IF(OptControl=4,0,1),0),0)</f>
        <v>0</v>
      </c>
      <c r="AS174" s="324" t="n">
        <f aca="false">IF(AH174,xASN(AL174,Strike1,AE174,AP174,0,N174,0,P174,Q174,IF(OptControl=4,0,1),1),0)</f>
        <v>0</v>
      </c>
      <c r="AT174" s="324" t="n">
        <f aca="false">IF(AH174,xASN(AL174,Strike1,AE174,AP174,0,N174,0,P174,Q174,IF(OptControl=4,0,1),2),0)</f>
        <v>0</v>
      </c>
      <c r="AU174" s="324" t="n">
        <f aca="false">IF(AH174,xASN(AL174,Strike1,AE174,AP174,0,N174,0,P174,Q174,IF(OptControl=4,0,1),3)/100,0)</f>
        <v>0</v>
      </c>
      <c r="AV174" s="324" t="n">
        <f aca="false">IF(AH174,xASN(AL174,Strike1,AE174,AP174,0,N174,0,P174-DaysForThetaCalculation/365.25,Q174-DaysForThetaCalculation/365.25,IF(OptControl=4,0,1),0)-xASN(AL174,Strike1,AE174,AP174,0,N174,0,P174,Q174,IF(OptControl=4,0,1),0),0)</f>
        <v>0</v>
      </c>
      <c r="AW174" s="324" t="n">
        <f aca="false">IF(AH174,xASN(AL174,Strike2,AE174,AQ174,0,N174,0,P174,Q174,IF(OptControl=3,1,0),0),0)</f>
        <v>0</v>
      </c>
      <c r="AX174" s="324" t="n">
        <f aca="false">IF(AH174,xASN(AL174,Strike2,AE174,AQ174,0,N174,0,P174,Q174,IF(OptControl=3,1,0),1),0)</f>
        <v>0</v>
      </c>
      <c r="AY174" s="324" t="n">
        <f aca="false">IF(AH174,xASN(AL174,Strike2,AE174,AQ174,0,N174,0,P174,Q174,IF(OptControl=3,1,0),2),0)</f>
        <v>0</v>
      </c>
      <c r="AZ174" s="324" t="n">
        <f aca="false">IF(AH174,xASN(AL174,Strike2,AE174,AQ174,0,N174,0,P174,Q174,IF(OptControl=3,1,0),3)/100,0)</f>
        <v>0</v>
      </c>
      <c r="BA174" s="324" t="n">
        <f aca="false">IF(AH174,xASN(AL174,Strike2,AE174,AQ174,0,N174,0,P174-DaysForThetaCalculation/365.25,Q174-DaysForThetaCalculation/365.25,IF(OptControl=3,1,0),0)-xASN(AL174,Strike2,AE174,AQ174,0,N174,0,P174,Q174,IF(OptControl=3,1,0),0),0)</f>
        <v>0</v>
      </c>
      <c r="BB174" s="325" t="str">
        <f aca="false">IF(AH174,IF(ProductGroup=1,IF(Product=1,BX174+PriceSpreadEuro,IF(Product=3,CK174+PriceSpreadEuro,"N/A")),"N/A"),"")</f>
        <v/>
      </c>
      <c r="BC174" s="316" t="str">
        <f aca="false">IF(AH174,Strike1/BB174-1,"")</f>
        <v/>
      </c>
      <c r="BD174" s="316" t="str">
        <f aca="false">IF(AH174,Strike2/BB174-1,"")</f>
        <v/>
      </c>
      <c r="BE174" s="326" t="str">
        <f aca="false">IF(AH174,IF(VolOverrideEuro,VolOverrideEuro,IF(ProductGroup=1,IF(Product&lt;3,DA174,DE174)+VolSpreadEuro,"N/A")),"")</f>
        <v/>
      </c>
      <c r="BF174" s="323" t="str">
        <f aca="false">IF($AH174,$BE174+IF(SkewFlag=1,IF(BC174&gt;0,$AA174*MIN(BC174/10%,1)+($Z174-$AA174)*MAX(0,MIN(BC174/10%-1,1))+($Y174-$Z174)*MAX(0,BC174/10%-2),$AB174*MIN(-BC174/10%,1)+($AC174-$AB174)*MAX(0,MIN(-BC174/10%-1,1))+($AD174-$AC174)*MAX(0,-BC174/10%-2)),0),"")</f>
        <v/>
      </c>
      <c r="BG174" s="323" t="str">
        <f aca="false">IF($AH174,$BE174+IF(SkewFlag=1,IF(BD174&gt;0,$AA174*MIN(BD174/10%,1)+($Z174-$AA174)*MAX(0,MIN(BD174/10%-1,1))+($Y174-$Z174)*MAX(0,BD174/10%-2),$AB174*MIN(-BD174/10%,1)+($AC174-$AB174)*MAX(0,MIN(-BD174/10%-1,1))+($AD174-$AC174)*MAX(0,-BD174/10%-2)),0),"")</f>
        <v/>
      </c>
      <c r="BH174" s="324" t="n">
        <f aca="false">IF(AH174,xEURO(BB174,Strike1,AE174,AE174,BF174,O174,IF(OptControl=4,0,1),0),0)</f>
        <v>0</v>
      </c>
      <c r="BI174" s="324" t="n">
        <f aca="false">IF(AH174,xEURO(BB174,Strike1,AE174,AE174,BF174,O174,IF(OptControl=4,0,1),1),0)</f>
        <v>0</v>
      </c>
      <c r="BJ174" s="324" t="n">
        <f aca="false">IF(AH174,xEURO(BB174,Strike1,AE174,AE174,BF174,O174,IF(OptControl=4,0,1),2),0)</f>
        <v>0</v>
      </c>
      <c r="BK174" s="324" t="n">
        <f aca="false">IF(AH174,xEURO(BB174,Strike1,AE174,AE174,BF174,O174,IF(OptControl=4,0,1),3)/100,0)</f>
        <v>0</v>
      </c>
      <c r="BL174" s="324" t="n">
        <f aca="false">IF(AH174,xEURO(BB174,Strike1,AE174,AE174,BF174,O174-DaysForThetaCalculation,IF(OptControl=4,0,1),0)-xEURO(BB174,Strike1,AE174,AE174,BF174,O174,IF(OptControl=4,0,1),0),0)</f>
        <v>0</v>
      </c>
      <c r="BM174" s="324" t="n">
        <f aca="false">IF(AH174,xEURO(BB174,Strike2,AE174,AE174,BG174,O174,IF(OptControl=3,1,0),0),0)</f>
        <v>0</v>
      </c>
      <c r="BN174" s="324" t="n">
        <f aca="false">IF(AH174,xEURO(BB174,Strike2,AE174,AE174,BG174,O174,IF(OptControl=3,1,0),1),0)</f>
        <v>0</v>
      </c>
      <c r="BO174" s="324" t="n">
        <f aca="false">IF(AH174,xEURO(BB174,Strike2,AE174,AE174,BG174,O174,IF(OptControl=3,1,0),2),0)</f>
        <v>0</v>
      </c>
      <c r="BP174" s="324" t="n">
        <f aca="false">IF(AH174,xEURO(BB174,Strike2,AE174,AE174,BG174,O174,IF(OptControl=3,1,0),3)/100,0)</f>
        <v>0</v>
      </c>
      <c r="BQ174" s="327" t="n">
        <f aca="false">IF(AH174,xEURO(BB174,Strike2,AE174,AE174,BG174,O174-DaysForThetaCalculation,IF(OptControl=3,1,0),0)-xEURO(BB174,Strike2,AE174,AE174,BG174,O174,IF(OptControl=3,1,0),0),0)</f>
        <v>0</v>
      </c>
      <c r="BR174" s="343"/>
      <c r="BS174" s="314"/>
      <c r="BT174" s="329" t="n">
        <f aca="false">BS174*100/42</f>
        <v>0</v>
      </c>
      <c r="BU174" s="329" t="n">
        <f aca="false">BS175-$U174</f>
        <v>-32.635714285715</v>
      </c>
      <c r="BV174" s="224"/>
      <c r="BW174" s="329" t="n">
        <f aca="false">BW162+VLOOKUP(1900+$L174,ProductSpreadTable,2)</f>
        <v>22.5243478260869</v>
      </c>
      <c r="BX174" s="329" t="n">
        <f aca="false">($V173+BW173)*100/42</f>
        <v>105.743939393939</v>
      </c>
      <c r="BY174" s="332" t="n">
        <f aca="false">BX175</f>
        <v>131.333481218576</v>
      </c>
      <c r="BZ174" s="314"/>
      <c r="CA174" s="329" t="n">
        <f aca="false">BZ174*100/42</f>
        <v>0</v>
      </c>
      <c r="CB174" s="329" t="n">
        <f aca="false">BZ174-$U174</f>
        <v>-32.635714285715</v>
      </c>
      <c r="CC174" s="329" t="n">
        <f aca="false">CC162+VLOOKUP(1900+$L174,ProductSpreadTable,3)</f>
        <v>19.8993478260869</v>
      </c>
      <c r="CD174" s="329" t="n">
        <f aca="false">($V174+CC174)*100/42</f>
        <v>125.083481218576</v>
      </c>
      <c r="CE174" s="333" t="n">
        <f aca="false">CD174-BY174</f>
        <v>-6.25</v>
      </c>
      <c r="CF174" s="314"/>
      <c r="CG174" s="329" t="n">
        <f aca="false">CF174*100/42</f>
        <v>0</v>
      </c>
      <c r="CH174" s="329" t="n">
        <f aca="false">CF175-$U174</f>
        <v>-32.635714285715</v>
      </c>
      <c r="CI174" s="224"/>
      <c r="CJ174" s="329" t="n">
        <f aca="false">CJ162+VLOOKUP(1900+$L174,ProductSpreadTable,4)</f>
        <v>10.3116363636363</v>
      </c>
      <c r="CK174" s="329" t="n">
        <f aca="false">($V173+CJ173)*100/42</f>
        <v>104.153463203463</v>
      </c>
      <c r="CL174" s="329" t="n">
        <f aca="false">CK175</f>
        <v>102.25559678417</v>
      </c>
      <c r="CM174" s="314"/>
      <c r="CN174" s="329" t="n">
        <f aca="false">CM174*100/42</f>
        <v>0</v>
      </c>
      <c r="CO174" s="329" t="n">
        <f aca="false">CM174-$U174</f>
        <v>-32.635714285715</v>
      </c>
      <c r="CP174" s="329" t="n">
        <f aca="false">CP162+VLOOKUP(1900+$L174,ProductSpreadTable,5)</f>
        <v>9.38763636363635</v>
      </c>
      <c r="CQ174" s="329" t="n">
        <f aca="false">($V174+CP174)*100/42</f>
        <v>100.05559678417</v>
      </c>
      <c r="CR174" s="333" t="n">
        <f aca="false">CQ174-CL174</f>
        <v>-2.2</v>
      </c>
      <c r="CS174" s="314"/>
      <c r="CT174" s="329" t="n">
        <f aca="false">CS174*100/42</f>
        <v>0</v>
      </c>
      <c r="CU174" s="329" t="n">
        <f aca="false">CT174-CG175</f>
        <v>0</v>
      </c>
      <c r="CV174" s="329" t="n">
        <f aca="false">CV162+VLOOKUP(1900+$L174,ProductSpreadTable,6)</f>
        <v>2.54999999999999</v>
      </c>
      <c r="CW174" s="333" t="n">
        <f aca="false">CL174+CV174</f>
        <v>104.80559678417</v>
      </c>
      <c r="CX174" s="318"/>
      <c r="CY174" s="326" t="n">
        <f aca="false">CX174-$W174</f>
        <v>-0.150099999999998</v>
      </c>
      <c r="CZ174" s="326" t="n">
        <f aca="false">VLOOKUP(1900+$L174,ProductSpreadTable,7)</f>
        <v>-0.03</v>
      </c>
      <c r="DA174" s="365" t="n">
        <f aca="false">$W174+CZ174</f>
        <v>0.120099999999998</v>
      </c>
      <c r="DB174" s="318"/>
      <c r="DC174" s="326" t="n">
        <f aca="false">DB174-$W174</f>
        <v>-0.150099999999998</v>
      </c>
      <c r="DD174" s="326" t="n">
        <f aca="false">VLOOKUP(1900+$L174,ProductSpreadTable,8)</f>
        <v>0.03</v>
      </c>
      <c r="DE174" s="365" t="n">
        <f aca="false">$W174+DD174</f>
        <v>0.180099999999998</v>
      </c>
      <c r="DG174" s="336"/>
      <c r="DH174" s="314"/>
      <c r="DI174" s="325" t="n">
        <f aca="false">DH174-$U174</f>
        <v>-32.635714285715</v>
      </c>
      <c r="DJ174" s="325" t="n">
        <f aca="false">VLOOKUP(1900+$L174,ResidSpreadTable,2)</f>
        <v>-2</v>
      </c>
      <c r="DK174" s="337" t="n">
        <f aca="false">$V174+DJ174</f>
        <v>30.635714285715</v>
      </c>
      <c r="DL174" s="314"/>
      <c r="DM174" s="325" t="n">
        <f aca="false">DL174-$U174</f>
        <v>-32.635714285715</v>
      </c>
      <c r="DN174" s="325" t="n">
        <f aca="false">VLOOKUP(1900+$L174,ResidSpreadTable,3)</f>
        <v>-3</v>
      </c>
      <c r="DO174" s="337" t="n">
        <f aca="false">$V174+DN174</f>
        <v>29.635714285715</v>
      </c>
      <c r="DP174" s="314"/>
      <c r="DQ174" s="325" t="n">
        <f aca="false">DP174-$U174</f>
        <v>-32.635714285715</v>
      </c>
      <c r="DR174" s="325" t="n">
        <f aca="false">VLOOKUP(1900+$L174,ResidSpreadTable,4)</f>
        <v>-6</v>
      </c>
      <c r="DS174" s="337" t="n">
        <f aca="false">$V174+DR174</f>
        <v>26.635714285715</v>
      </c>
      <c r="DT174" s="314"/>
      <c r="DU174" s="325" t="n">
        <f aca="false">DT174-$U174</f>
        <v>-32.635714285715</v>
      </c>
      <c r="DV174" s="325" t="n">
        <f aca="false">VLOOKUP(1900+$L174,ResidSpreadTable,5)</f>
        <v>-5</v>
      </c>
      <c r="DW174" s="337" t="n">
        <f aca="false">$V174+DV174</f>
        <v>27.635714285715</v>
      </c>
    </row>
    <row r="175" customFormat="false" ht="12.75" hidden="false" customHeight="false" outlineLevel="0" collapsed="false">
      <c r="B175" s="371" t="n">
        <v>40878</v>
      </c>
      <c r="C175" s="391" t="n">
        <v>40866</v>
      </c>
      <c r="I175" s="338" t="n">
        <f aca="false">EOMONTH(I174,0)+1</f>
        <v>51075</v>
      </c>
      <c r="J175" s="389" t="n">
        <f aca="false">VLOOKUP(I175,$B$12:$C$332,2)</f>
        <v>45644</v>
      </c>
      <c r="K175" s="339" t="n">
        <f aca="false">NETWORKDAYS(I175,J176)/N175</f>
        <v>-176.363636363636</v>
      </c>
      <c r="L175" s="309" t="n">
        <f aca="false">YEAR(I175)-1900</f>
        <v>139</v>
      </c>
      <c r="M175" s="310" t="n">
        <f aca="false">MONTH(I175)</f>
        <v>11</v>
      </c>
      <c r="N175" s="340" t="n">
        <f aca="false">NETWORKDAYS(I175,I176-1)</f>
        <v>22</v>
      </c>
      <c r="O175" s="341" t="n">
        <f aca="false">I175-DateToday-IF(EuroExpDateToggle=1,3+IF(WEEKDAY(I175-1)=7,1,IF(WEEKDAY(I175-1)&lt;5,2,0)),1+IF(WEEKDAY(I175-1)=7,1,IF(WEEKDAY(I175-1)&lt;3,2,0)))</f>
        <v>5144</v>
      </c>
      <c r="P175" s="342" t="n">
        <f aca="false">(I175-DateToday+1)/365.25</f>
        <v>14.0999315537303</v>
      </c>
      <c r="Q175" s="342" t="n">
        <f aca="false">(I176-DateToday)/365.25</f>
        <v>14.1793292265572</v>
      </c>
      <c r="R175" s="314" t="n">
        <v>23.4000000000001</v>
      </c>
      <c r="S175" s="347" t="n">
        <v>0</v>
      </c>
      <c r="T175" s="316" t="n">
        <f aca="false">R175+S175/100</f>
        <v>23.4000000000001</v>
      </c>
      <c r="U175" s="325" t="n">
        <f aca="false">R176*K175+R177*(1-K175)</f>
        <v>32.318181818182</v>
      </c>
      <c r="V175" s="337" t="n">
        <f aca="false">T176*K175+T177*(1-K175)</f>
        <v>32.318181818182</v>
      </c>
      <c r="W175" s="318" t="n">
        <v>0.149699999999998</v>
      </c>
      <c r="X175" s="319" t="str">
        <f aca="false">IF($I175-DateToday+1&gt;=$A$10,"",IF($I175-DateToday+1&lt;$A$5,1,MATCH($I175-DateToday+1,$A$5:$A$10)))</f>
        <v/>
      </c>
      <c r="Y175" s="348" t="n">
        <f aca="false">IF($X175="",Y174^2/Y173,INDEX(B$5:B$10,$X175)^((INDEX($A$5:$A$10,$X175+1)-($I175-DateToday+1))/(INDEX($A$5:$A$10,$X175+1)-INDEX($A$5:$A$10,$X175)))/INDEX(B$5:B$10,$X175+1)^((INDEX($A$5:$A$10,$X175)-($I175-DateToday+1))/(INDEX($A$5:$A$10,$X175+1)-INDEX($A$5:$A$10,$X175))))</f>
        <v>0.000395537655584391</v>
      </c>
      <c r="Z175" s="348" t="n">
        <f aca="false">IF($X175="",Z174^2/Z173,INDEX(C$5:C$10,$X175)^((INDEX($A$5:$A$10,$X175+1)-($I175-DateToday+1))/(INDEX($A$5:$A$10,$X175+1)-INDEX($A$5:$A$10,$X175)))/INDEX(C$5:C$10,$X175+1)^((INDEX($A$5:$A$10,$X175)-($I175-DateToday+1))/(INDEX($A$5:$A$10,$X175+1)-INDEX($A$5:$A$10,$X175))))</f>
        <v>9.82946572201934E-005</v>
      </c>
      <c r="AA175" s="348" t="n">
        <f aca="false">IF($X175="",AA174^2/AA173,INDEX(D$5:D$10,$X175)^((INDEX($A$5:$A$10,$X175+1)-($I175-DateToday+1))/(INDEX($A$5:$A$10,$X175+1)-INDEX($A$5:$A$10,$X175)))/INDEX(D$5:D$10,$X175+1)^((INDEX($A$5:$A$10,$X175)-($I175-DateToday+1))/(INDEX($A$5:$A$10,$X175+1)-INDEX($A$5:$A$10,$X175))))</f>
        <v>2.97482656958404E-005</v>
      </c>
      <c r="AB175" s="348" t="n">
        <f aca="false">IF($X175="",AB174^2/AB173,INDEX(E$5:E$10,$X175)^((INDEX($A$5:$A$10,$X175+1)-($I175-DateToday+1))/(INDEX($A$5:$A$10,$X175+1)-INDEX($A$5:$A$10,$X175)))/INDEX(E$5:E$10,$X175+1)^((INDEX($A$5:$A$10,$X175)-($I175-DateToday+1))/(INDEX($A$5:$A$10,$X175+1)-INDEX($A$5:$A$10,$X175))))</f>
        <v>6.70168929595961E-005</v>
      </c>
      <c r="AC175" s="348" t="n">
        <f aca="false">IF($X175="",AC174^2/AC173,INDEX(F$5:F$10,$X175)^((INDEX($A$5:$A$10,$X175+1)-($I175-DateToday+1))/(INDEX($A$5:$A$10,$X175+1)-INDEX($A$5:$A$10,$X175)))/INDEX(F$5:F$10,$X175+1)^((INDEX($A$5:$A$10,$X175)-($I175-DateToday+1))/(INDEX($A$5:$A$10,$X175+1)-INDEX($A$5:$A$10,$X175))))</f>
        <v>0.000221438203785649</v>
      </c>
      <c r="AD175" s="348" t="n">
        <f aca="false">IF($X175="",AD174^2/AD173,INDEX(G$5:G$10,$X175)^((INDEX($A$5:$A$10,$X175+1)-($I175-DateToday+1))/(INDEX($A$5:$A$10,$X175+1)-INDEX($A$5:$A$10,$X175)))/INDEX(G$5:G$10,$X175+1)^((INDEX($A$5:$A$10,$X175)-($I175-DateToday+1))/(INDEX($A$5:$A$10,$X175+1)-INDEX($A$5:$A$10,$X175))))</f>
        <v>0.000891067230500417</v>
      </c>
      <c r="AE175" s="321" t="n">
        <v>0.073585682676646</v>
      </c>
      <c r="AF175" s="316" t="n">
        <f aca="false">(1+AE175/2)^(-2*(I176-DateToday)/365.25)</f>
        <v>0.358918809057209</v>
      </c>
      <c r="AG175" s="316" t="n">
        <f aca="false">AG174*(1+IF(AND(M175=1,L175&gt;YearStart),Escalation,0))</f>
        <v>1</v>
      </c>
      <c r="AH175" s="322" t="n">
        <f aca="false">IF(OR(DateStart&gt;=I176,DateEnd&lt;I175),0,Volume*AG175)</f>
        <v>0</v>
      </c>
      <c r="AI175" s="322" t="n">
        <f aca="false">AH175*AF175</f>
        <v>0</v>
      </c>
      <c r="AJ175" s="322" t="n">
        <f aca="false">IF(OR(DateStart2&gt;=I176,DateEnd2&lt;I175),0,VolumeSwaption*AG175)</f>
        <v>0</v>
      </c>
      <c r="AK175" s="322" t="n">
        <f aca="false">AJ175*AF175</f>
        <v>0</v>
      </c>
      <c r="AL175" s="316" t="str">
        <f aca="true">IF(AH175,OFFSET(BY175,0,HorizontalPriceOffset)+PriceSpreadAsian,"")</f>
        <v/>
      </c>
      <c r="AM175" s="316" t="str">
        <f aca="false">IF(AH175,Strike1/AL175-1,"")</f>
        <v/>
      </c>
      <c r="AN175" s="316" t="str">
        <f aca="false">IF(AH175,Strike2/AL175-1,"")</f>
        <v/>
      </c>
      <c r="AO175" s="323" t="str">
        <f aca="false">IF(AH175,IF(VolOverrideAsian,VolOverrideAsian,IF(ProductGroup=1,IF(Product&lt;3,DA176,DE176),W176)+VolSpreadAsian),"")</f>
        <v/>
      </c>
      <c r="AP175" s="323" t="str">
        <f aca="false">IF($AH175,$AO175+IF(SkewFlag=1,IF(AM175&gt;0,$AA175*MIN(AM175/10%,1)+($Z175-$AA175)*MAX(0,MIN(AM175/10%-1,1))+($Y175-$Z175)*MAX(0,AM175/10%-2),$AB175*MIN(-AM175/10%,1)+($AC175-$AB175)*MAX(0,MIN(-AM175/10%-1,1))+($AD175-$AC175)*MAX(0,-AM175/10%-2)),0),"")</f>
        <v/>
      </c>
      <c r="AQ175" s="323" t="str">
        <f aca="false">IF($AH175,$AO175+IF(SkewFlag=1,IF(AN175&gt;0,$AA175*MIN(AN175/10%,1)+($Z175-$AA175)*MAX(0,MIN(AN175/10%-1,1))+($Y175-$Z175)*MAX(0,AN175/10%-2),$AB175*MIN(-AN175/10%,1)+($AC175-$AB175)*MAX(0,MIN(-AN175/10%-1,1))+($AD175-$AC175)*MAX(0,-AN175/10%-2)),0),"")</f>
        <v/>
      </c>
      <c r="AR175" s="324" t="n">
        <f aca="false">IF(AH175,xASN(AL175,Strike1,AE175,AP175,0,N175,0,P175,Q175,IF(OptControl=4,0,1),0),0)</f>
        <v>0</v>
      </c>
      <c r="AS175" s="324" t="n">
        <f aca="false">IF(AH175,xASN(AL175,Strike1,AE175,AP175,0,N175,0,P175,Q175,IF(OptControl=4,0,1),1),0)</f>
        <v>0</v>
      </c>
      <c r="AT175" s="324" t="n">
        <f aca="false">IF(AH175,xASN(AL175,Strike1,AE175,AP175,0,N175,0,P175,Q175,IF(OptControl=4,0,1),2),0)</f>
        <v>0</v>
      </c>
      <c r="AU175" s="324" t="n">
        <f aca="false">IF(AH175,xASN(AL175,Strike1,AE175,AP175,0,N175,0,P175,Q175,IF(OptControl=4,0,1),3)/100,0)</f>
        <v>0</v>
      </c>
      <c r="AV175" s="324" t="n">
        <f aca="false">IF(AH175,xASN(AL175,Strike1,AE175,AP175,0,N175,0,P175-DaysForThetaCalculation/365.25,Q175-DaysForThetaCalculation/365.25,IF(OptControl=4,0,1),0)-xASN(AL175,Strike1,AE175,AP175,0,N175,0,P175,Q175,IF(OptControl=4,0,1),0),0)</f>
        <v>0</v>
      </c>
      <c r="AW175" s="324" t="n">
        <f aca="false">IF(AH175,xASN(AL175,Strike2,AE175,AQ175,0,N175,0,P175,Q175,IF(OptControl=3,1,0),0),0)</f>
        <v>0</v>
      </c>
      <c r="AX175" s="324" t="n">
        <f aca="false">IF(AH175,xASN(AL175,Strike2,AE175,AQ175,0,N175,0,P175,Q175,IF(OptControl=3,1,0),1),0)</f>
        <v>0</v>
      </c>
      <c r="AY175" s="324" t="n">
        <f aca="false">IF(AH175,xASN(AL175,Strike2,AE175,AQ175,0,N175,0,P175,Q175,IF(OptControl=3,1,0),2),0)</f>
        <v>0</v>
      </c>
      <c r="AZ175" s="324" t="n">
        <f aca="false">IF(AH175,xASN(AL175,Strike2,AE175,AQ175,0,N175,0,P175,Q175,IF(OptControl=3,1,0),3)/100,0)</f>
        <v>0</v>
      </c>
      <c r="BA175" s="324" t="n">
        <f aca="false">IF(AH175,xASN(AL175,Strike2,AE175,AQ175,0,N175,0,P175-DaysForThetaCalculation/365.25,Q175-DaysForThetaCalculation/365.25,IF(OptControl=3,1,0),0)-xASN(AL175,Strike2,AE175,AQ175,0,N175,0,P175,Q175,IF(OptControl=3,1,0),0),0)</f>
        <v>0</v>
      </c>
      <c r="BB175" s="325" t="str">
        <f aca="false">IF(AH175,IF(ProductGroup=1,IF(Product=1,BX175+PriceSpreadEuro,IF(Product=3,CK175+PriceSpreadEuro,"N/A")),"N/A"),"")</f>
        <v/>
      </c>
      <c r="BC175" s="316" t="str">
        <f aca="false">IF(AH175,Strike1/BB175-1,"")</f>
        <v/>
      </c>
      <c r="BD175" s="316" t="str">
        <f aca="false">IF(AH175,Strike2/BB175-1,"")</f>
        <v/>
      </c>
      <c r="BE175" s="326" t="str">
        <f aca="false">IF(AH175,IF(VolOverrideEuro,VolOverrideEuro,IF(ProductGroup=1,IF(Product&lt;3,DA175,DE175)+VolSpreadEuro,"N/A")),"")</f>
        <v/>
      </c>
      <c r="BF175" s="323" t="str">
        <f aca="false">IF($AH175,$BE175+IF(SkewFlag=1,IF(BC175&gt;0,$AA175*MIN(BC175/10%,1)+($Z175-$AA175)*MAX(0,MIN(BC175/10%-1,1))+($Y175-$Z175)*MAX(0,BC175/10%-2),$AB175*MIN(-BC175/10%,1)+($AC175-$AB175)*MAX(0,MIN(-BC175/10%-1,1))+($AD175-$AC175)*MAX(0,-BC175/10%-2)),0),"")</f>
        <v/>
      </c>
      <c r="BG175" s="323" t="str">
        <f aca="false">IF($AH175,$BE175+IF(SkewFlag=1,IF(BD175&gt;0,$AA175*MIN(BD175/10%,1)+($Z175-$AA175)*MAX(0,MIN(BD175/10%-1,1))+($Y175-$Z175)*MAX(0,BD175/10%-2),$AB175*MIN(-BD175/10%,1)+($AC175-$AB175)*MAX(0,MIN(-BD175/10%-1,1))+($AD175-$AC175)*MAX(0,-BD175/10%-2)),0),"")</f>
        <v/>
      </c>
      <c r="BH175" s="324" t="n">
        <f aca="false">IF(AH175,xEURO(BB175,Strike1,AE175,AE175,BF175,O175,IF(OptControl=4,0,1),0),0)</f>
        <v>0</v>
      </c>
      <c r="BI175" s="324" t="n">
        <f aca="false">IF(AH175,xEURO(BB175,Strike1,AE175,AE175,BF175,O175,IF(OptControl=4,0,1),1),0)</f>
        <v>0</v>
      </c>
      <c r="BJ175" s="324" t="n">
        <f aca="false">IF(AH175,xEURO(BB175,Strike1,AE175,AE175,BF175,O175,IF(OptControl=4,0,1),2),0)</f>
        <v>0</v>
      </c>
      <c r="BK175" s="324" t="n">
        <f aca="false">IF(AH175,xEURO(BB175,Strike1,AE175,AE175,BF175,O175,IF(OptControl=4,0,1),3)/100,0)</f>
        <v>0</v>
      </c>
      <c r="BL175" s="324" t="n">
        <f aca="false">IF(AH175,xEURO(BB175,Strike1,AE175,AE175,BF175,O175-DaysForThetaCalculation,IF(OptControl=4,0,1),0)-xEURO(BB175,Strike1,AE175,AE175,BF175,O175,IF(OptControl=4,0,1),0),0)</f>
        <v>0</v>
      </c>
      <c r="BM175" s="324" t="n">
        <f aca="false">IF(AH175,xEURO(BB175,Strike2,AE175,AE175,BG175,O175,IF(OptControl=3,1,0),0),0)</f>
        <v>0</v>
      </c>
      <c r="BN175" s="324" t="n">
        <f aca="false">IF(AH175,xEURO(BB175,Strike2,AE175,AE175,BG175,O175,IF(OptControl=3,1,0),1),0)</f>
        <v>0</v>
      </c>
      <c r="BO175" s="324" t="n">
        <f aca="false">IF(AH175,xEURO(BB175,Strike2,AE175,AE175,BG175,O175,IF(OptControl=3,1,0),2),0)</f>
        <v>0</v>
      </c>
      <c r="BP175" s="324" t="n">
        <f aca="false">IF(AH175,xEURO(BB175,Strike2,AE175,AE175,BG175,O175,IF(OptControl=3,1,0),3)/100,0)</f>
        <v>0</v>
      </c>
      <c r="BQ175" s="327" t="n">
        <f aca="false">IF(AH175,xEURO(BB175,Strike2,AE175,AE175,BG175,O175-DaysForThetaCalculation,IF(OptControl=3,1,0),0)-xEURO(BB175,Strike2,AE175,AE175,BG175,O175,IF(OptControl=3,1,0),0),0)</f>
        <v>0</v>
      </c>
      <c r="BR175" s="343"/>
      <c r="BS175" s="314"/>
      <c r="BT175" s="329" t="n">
        <f aca="false">BS175*100/42</f>
        <v>0</v>
      </c>
      <c r="BU175" s="329" t="n">
        <f aca="false">BS176-$U175</f>
        <v>-32.318181818182</v>
      </c>
      <c r="BV175" s="224"/>
      <c r="BW175" s="329" t="n">
        <f aca="false">BW163+VLOOKUP(1900+$L175,ProductSpreadTable,2)</f>
        <v>20.54</v>
      </c>
      <c r="BX175" s="329" t="n">
        <f aca="false">($V174+BW174)*100/42</f>
        <v>131.333481218576</v>
      </c>
      <c r="BY175" s="332" t="n">
        <f aca="false">BX176</f>
        <v>125.852813852814</v>
      </c>
      <c r="BZ175" s="314"/>
      <c r="CA175" s="329" t="n">
        <f aca="false">BZ175*100/42</f>
        <v>0</v>
      </c>
      <c r="CB175" s="329" t="n">
        <f aca="false">BZ175-$U175</f>
        <v>-32.318181818182</v>
      </c>
      <c r="CC175" s="329" t="n">
        <f aca="false">CC163+VLOOKUP(1900+$L175,ProductSpreadTable,3)</f>
        <v>17.915</v>
      </c>
      <c r="CD175" s="329" t="n">
        <f aca="false">($V175+CC175)*100/42</f>
        <v>119.602813852814</v>
      </c>
      <c r="CE175" s="333" t="n">
        <f aca="false">CD175-BY175</f>
        <v>-6.25</v>
      </c>
      <c r="CF175" s="314"/>
      <c r="CG175" s="329" t="n">
        <f aca="false">CF175*100/42</f>
        <v>0</v>
      </c>
      <c r="CH175" s="329" t="n">
        <f aca="false">CF176-$U175</f>
        <v>-32.318181818182</v>
      </c>
      <c r="CI175" s="224"/>
      <c r="CJ175" s="329" t="n">
        <f aca="false">CJ163+VLOOKUP(1900+$L175,ProductSpreadTable,4)</f>
        <v>9.75552380952373</v>
      </c>
      <c r="CK175" s="329" t="n">
        <f aca="false">($V174+CJ174)*100/42</f>
        <v>102.25559678417</v>
      </c>
      <c r="CL175" s="329" t="n">
        <f aca="false">CK176</f>
        <v>100.175489589775</v>
      </c>
      <c r="CM175" s="314"/>
      <c r="CN175" s="329" t="n">
        <f aca="false">CM175*100/42</f>
        <v>0</v>
      </c>
      <c r="CO175" s="329" t="n">
        <f aca="false">CM175-$U175</f>
        <v>-32.318181818182</v>
      </c>
      <c r="CP175" s="329" t="n">
        <f aca="false">CP163+VLOOKUP(1900+$L175,ProductSpreadTable,5)</f>
        <v>8.83152380952373</v>
      </c>
      <c r="CQ175" s="329" t="n">
        <f aca="false">($V175+CP175)*100/42</f>
        <v>97.9754895897755</v>
      </c>
      <c r="CR175" s="333" t="n">
        <f aca="false">CQ175-CL175</f>
        <v>-2.19999999999996</v>
      </c>
      <c r="CS175" s="314"/>
      <c r="CT175" s="329" t="n">
        <f aca="false">CS175*100/42</f>
        <v>0</v>
      </c>
      <c r="CU175" s="329" t="n">
        <f aca="false">CT175-CG176</f>
        <v>0</v>
      </c>
      <c r="CV175" s="329" t="n">
        <f aca="false">CV163+VLOOKUP(1900+$L175,ProductSpreadTable,6)</f>
        <v>2.55000000000001</v>
      </c>
      <c r="CW175" s="333" t="n">
        <f aca="false">CL175+CV175</f>
        <v>102.725489589775</v>
      </c>
      <c r="CX175" s="318"/>
      <c r="CY175" s="326" t="n">
        <f aca="false">CX175-$W175</f>
        <v>-0.149699999999998</v>
      </c>
      <c r="CZ175" s="326" t="n">
        <f aca="false">VLOOKUP(1900+$L175,ProductSpreadTable,7)</f>
        <v>-0.03</v>
      </c>
      <c r="DA175" s="365" t="n">
        <f aca="false">$W175+CZ175</f>
        <v>0.119699999999998</v>
      </c>
      <c r="DB175" s="318"/>
      <c r="DC175" s="326" t="n">
        <f aca="false">DB175-$W175</f>
        <v>-0.149699999999998</v>
      </c>
      <c r="DD175" s="326" t="n">
        <f aca="false">VLOOKUP(1900+$L175,ProductSpreadTable,8)</f>
        <v>0.03</v>
      </c>
      <c r="DE175" s="365" t="n">
        <f aca="false">$W175+DD175</f>
        <v>0.179699999999998</v>
      </c>
      <c r="DG175" s="336"/>
      <c r="DH175" s="314"/>
      <c r="DI175" s="325" t="n">
        <f aca="false">DH175-$U175</f>
        <v>-32.318181818182</v>
      </c>
      <c r="DJ175" s="325" t="n">
        <f aca="false">VLOOKUP(1900+$L175,ResidSpreadTable,2)</f>
        <v>-2</v>
      </c>
      <c r="DK175" s="337" t="n">
        <f aca="false">$V175+DJ175</f>
        <v>30.318181818182</v>
      </c>
      <c r="DL175" s="314"/>
      <c r="DM175" s="325" t="n">
        <f aca="false">DL175-$U175</f>
        <v>-32.318181818182</v>
      </c>
      <c r="DN175" s="325" t="n">
        <f aca="false">VLOOKUP(1900+$L175,ResidSpreadTable,3)</f>
        <v>-3</v>
      </c>
      <c r="DO175" s="337" t="n">
        <f aca="false">$V175+DN175</f>
        <v>29.318181818182</v>
      </c>
      <c r="DP175" s="314"/>
      <c r="DQ175" s="325" t="n">
        <f aca="false">DP175-$U175</f>
        <v>-32.318181818182</v>
      </c>
      <c r="DR175" s="325" t="n">
        <f aca="false">VLOOKUP(1900+$L175,ResidSpreadTable,4)</f>
        <v>-6</v>
      </c>
      <c r="DS175" s="337" t="n">
        <f aca="false">$V175+DR175</f>
        <v>26.318181818182</v>
      </c>
      <c r="DT175" s="314"/>
      <c r="DU175" s="325" t="n">
        <f aca="false">DT175-$U175</f>
        <v>-32.318181818182</v>
      </c>
      <c r="DV175" s="325" t="n">
        <f aca="false">VLOOKUP(1900+$L175,ResidSpreadTable,5)</f>
        <v>-5</v>
      </c>
      <c r="DW175" s="337" t="n">
        <f aca="false">$V175+DV175</f>
        <v>27.318181818182</v>
      </c>
    </row>
    <row r="176" customFormat="false" ht="12.75" hidden="false" customHeight="false" outlineLevel="0" collapsed="false">
      <c r="B176" s="371" t="n">
        <v>40909</v>
      </c>
      <c r="C176" s="391" t="n">
        <v>40896</v>
      </c>
      <c r="I176" s="338" t="n">
        <f aca="false">EOMONTH(I175,0)+1</f>
        <v>51105</v>
      </c>
      <c r="J176" s="389" t="n">
        <f aca="false">VLOOKUP(I176,$B$12:$C$332,2)</f>
        <v>45644</v>
      </c>
      <c r="K176" s="339" t="n">
        <f aca="false">NETWORKDAYS(I176,J177)/N176</f>
        <v>-177.363636363636</v>
      </c>
      <c r="L176" s="309" t="n">
        <f aca="false">YEAR(I176)-1900</f>
        <v>139</v>
      </c>
      <c r="M176" s="310" t="n">
        <f aca="false">MONTH(I176)</f>
        <v>12</v>
      </c>
      <c r="N176" s="340" t="n">
        <f aca="false">NETWORKDAYS(I176,I177-1)</f>
        <v>22</v>
      </c>
      <c r="O176" s="341" t="n">
        <f aca="false">I176-DateToday-IF(EuroExpDateToggle=1,3+IF(WEEKDAY(I176-1)=7,1,IF(WEEKDAY(I176-1)&lt;5,2,0)),1+IF(WEEKDAY(I176-1)=7,1,IF(WEEKDAY(I176-1)&lt;3,2,0)))</f>
        <v>5174</v>
      </c>
      <c r="P176" s="342" t="n">
        <f aca="false">(I176-DateToday+1)/365.25</f>
        <v>14.1820670773443</v>
      </c>
      <c r="Q176" s="342" t="n">
        <f aca="false">(I177-DateToday)/365.25</f>
        <v>14.2642026009582</v>
      </c>
      <c r="R176" s="314" t="n">
        <v>23.4500000000001</v>
      </c>
      <c r="S176" s="347" t="n">
        <v>0</v>
      </c>
      <c r="T176" s="316" t="n">
        <f aca="false">R176+S176/100</f>
        <v>23.4500000000001</v>
      </c>
      <c r="U176" s="325" t="n">
        <f aca="false">R177*K176+R178*(1-K176)</f>
        <v>32.4181818181814</v>
      </c>
      <c r="V176" s="337" t="n">
        <f aca="false">T177*K176+T178*(1-K176)</f>
        <v>32.4181818181814</v>
      </c>
      <c r="W176" s="318" t="n">
        <v>0.149299999999998</v>
      </c>
      <c r="X176" s="319" t="str">
        <f aca="false">IF($I176-DateToday+1&gt;=$A$10,"",IF($I176-DateToday+1&lt;$A$5,1,MATCH($I176-DateToday+1,$A$5:$A$10)))</f>
        <v/>
      </c>
      <c r="Y176" s="348" t="n">
        <f aca="false">IF($X176="",Y175^2/Y174,INDEX(B$5:B$10,$X176)^((INDEX($A$5:$A$10,$X176+1)-($I176-DateToday+1))/(INDEX($A$5:$A$10,$X176+1)-INDEX($A$5:$A$10,$X176)))/INDEX(B$5:B$10,$X176+1)^((INDEX($A$5:$A$10,$X176)-($I176-DateToday+1))/(INDEX($A$5:$A$10,$X176+1)-INDEX($A$5:$A$10,$X176))))</f>
        <v>0.000387069795962339</v>
      </c>
      <c r="Z176" s="348" t="n">
        <f aca="false">IF($X176="",Z175^2/Z174,INDEX(C$5:C$10,$X176)^((INDEX($A$5:$A$10,$X176+1)-($I176-DateToday+1))/(INDEX($A$5:$A$10,$X176+1)-INDEX($A$5:$A$10,$X176)))/INDEX(C$5:C$10,$X176+1)^((INDEX($A$5:$A$10,$X176)-($I176-DateToday+1))/(INDEX($A$5:$A$10,$X176+1)-INDEX($A$5:$A$10,$X176))))</f>
        <v>9.56753101486712E-005</v>
      </c>
      <c r="AA176" s="348" t="n">
        <f aca="false">IF($X176="",AA175^2/AA174,INDEX(D$5:D$10,$X176)^((INDEX($A$5:$A$10,$X176+1)-($I176-DateToday+1))/(INDEX($A$5:$A$10,$X176+1)-INDEX($A$5:$A$10,$X176)))/INDEX(D$5:D$10,$X176+1)^((INDEX($A$5:$A$10,$X176)-($I176-DateToday+1))/(INDEX($A$5:$A$10,$X176+1)-INDEX($A$5:$A$10,$X176))))</f>
        <v>2.88778896104324E-005</v>
      </c>
      <c r="AB176" s="348" t="n">
        <f aca="false">IF($X176="",AB175^2/AB174,INDEX(E$5:E$10,$X176)^((INDEX($A$5:$A$10,$X176+1)-($I176-DateToday+1))/(INDEX($A$5:$A$10,$X176+1)-INDEX($A$5:$A$10,$X176)))/INDEX(E$5:E$10,$X176+1)^((INDEX($A$5:$A$10,$X176)-($I176-DateToday+1))/(INDEX($A$5:$A$10,$X176+1)-INDEX($A$5:$A$10,$X176))))</f>
        <v>6.50561097143889E-005</v>
      </c>
      <c r="AC176" s="348" t="n">
        <f aca="false">IF($X176="",AC175^2/AC174,INDEX(F$5:F$10,$X176)^((INDEX($A$5:$A$10,$X176+1)-($I176-DateToday+1))/(INDEX($A$5:$A$10,$X176+1)-INDEX($A$5:$A$10,$X176)))/INDEX(F$5:F$10,$X176+1)^((INDEX($A$5:$A$10,$X176)-($I176-DateToday+1))/(INDEX($A$5:$A$10,$X176+1)-INDEX($A$5:$A$10,$X176))))</f>
        <v>0.000215537338702924</v>
      </c>
      <c r="AD176" s="348" t="n">
        <f aca="false">IF($X176="",AD175^2/AD174,INDEX(G$5:G$10,$X176)^((INDEX($A$5:$A$10,$X176+1)-($I176-DateToday+1))/(INDEX($A$5:$A$10,$X176+1)-INDEX($A$5:$A$10,$X176)))/INDEX(G$5:G$10,$X176+1)^((INDEX($A$5:$A$10,$X176)-($I176-DateToday+1))/(INDEX($A$5:$A$10,$X176+1)-INDEX($A$5:$A$10,$X176))))</f>
        <v>0.000871990836343859</v>
      </c>
      <c r="AE176" s="321" t="n">
        <v>0.073581721118117</v>
      </c>
      <c r="AF176" s="316" t="n">
        <f aca="false">(1+AE176/2)^(-2*(I177-DateToday)/365.25)</f>
        <v>0.356743627611301</v>
      </c>
      <c r="AG176" s="316" t="n">
        <f aca="false">AG175*(1+IF(AND(M176=1,L176&gt;YearStart),Escalation,0))</f>
        <v>1</v>
      </c>
      <c r="AH176" s="322" t="n">
        <f aca="false">IF(OR(DateStart&gt;=I177,DateEnd&lt;I176),0,Volume*AG176)</f>
        <v>0</v>
      </c>
      <c r="AI176" s="322" t="n">
        <f aca="false">AH176*AF176</f>
        <v>0</v>
      </c>
      <c r="AJ176" s="322" t="n">
        <f aca="false">IF(OR(DateStart2&gt;=I177,DateEnd2&lt;I176),0,VolumeSwaption*AG176)</f>
        <v>0</v>
      </c>
      <c r="AK176" s="322" t="n">
        <f aca="false">AJ176*AF176</f>
        <v>0</v>
      </c>
      <c r="AL176" s="316" t="str">
        <f aca="true">IF(AH176,OFFSET(BY176,0,HorizontalPriceOffset)+PriceSpreadAsian,"")</f>
        <v/>
      </c>
      <c r="AM176" s="316" t="str">
        <f aca="false">IF(AH176,Strike1/AL176-1,"")</f>
        <v/>
      </c>
      <c r="AN176" s="316" t="str">
        <f aca="false">IF(AH176,Strike2/AL176-1,"")</f>
        <v/>
      </c>
      <c r="AO176" s="323" t="str">
        <f aca="false">IF(AH176,IF(VolOverrideAsian,VolOverrideAsian,IF(ProductGroup=1,IF(Product&lt;3,DA177,DE177),W177)+VolSpreadAsian),"")</f>
        <v/>
      </c>
      <c r="AP176" s="323" t="str">
        <f aca="false">IF($AH176,$AO176+IF(SkewFlag=1,IF(AM176&gt;0,$AA176*MIN(AM176/10%,1)+($Z176-$AA176)*MAX(0,MIN(AM176/10%-1,1))+($Y176-$Z176)*MAX(0,AM176/10%-2),$AB176*MIN(-AM176/10%,1)+($AC176-$AB176)*MAX(0,MIN(-AM176/10%-1,1))+($AD176-$AC176)*MAX(0,-AM176/10%-2)),0),"")</f>
        <v/>
      </c>
      <c r="AQ176" s="323" t="str">
        <f aca="false">IF($AH176,$AO176+IF(SkewFlag=1,IF(AN176&gt;0,$AA176*MIN(AN176/10%,1)+($Z176-$AA176)*MAX(0,MIN(AN176/10%-1,1))+($Y176-$Z176)*MAX(0,AN176/10%-2),$AB176*MIN(-AN176/10%,1)+($AC176-$AB176)*MAX(0,MIN(-AN176/10%-1,1))+($AD176-$AC176)*MAX(0,-AN176/10%-2)),0),"")</f>
        <v/>
      </c>
      <c r="AR176" s="324" t="n">
        <f aca="false">IF(AH176,xASN(AL176,Strike1,AE176,AP176,0,N176,0,P176,Q176,IF(OptControl=4,0,1),0),0)</f>
        <v>0</v>
      </c>
      <c r="AS176" s="324" t="n">
        <f aca="false">IF(AH176,xASN(AL176,Strike1,AE176,AP176,0,N176,0,P176,Q176,IF(OptControl=4,0,1),1),0)</f>
        <v>0</v>
      </c>
      <c r="AT176" s="324" t="n">
        <f aca="false">IF(AH176,xASN(AL176,Strike1,AE176,AP176,0,N176,0,P176,Q176,IF(OptControl=4,0,1),2),0)</f>
        <v>0</v>
      </c>
      <c r="AU176" s="324" t="n">
        <f aca="false">IF(AH176,xASN(AL176,Strike1,AE176,AP176,0,N176,0,P176,Q176,IF(OptControl=4,0,1),3)/100,0)</f>
        <v>0</v>
      </c>
      <c r="AV176" s="324" t="n">
        <f aca="false">IF(AH176,xASN(AL176,Strike1,AE176,AP176,0,N176,0,P176-DaysForThetaCalculation/365.25,Q176-DaysForThetaCalculation/365.25,IF(OptControl=4,0,1),0)-xASN(AL176,Strike1,AE176,AP176,0,N176,0,P176,Q176,IF(OptControl=4,0,1),0),0)</f>
        <v>0</v>
      </c>
      <c r="AW176" s="324" t="n">
        <f aca="false">IF(AH176,xASN(AL176,Strike2,AE176,AQ176,0,N176,0,P176,Q176,IF(OptControl=3,1,0),0),0)</f>
        <v>0</v>
      </c>
      <c r="AX176" s="324" t="n">
        <f aca="false">IF(AH176,xASN(AL176,Strike2,AE176,AQ176,0,N176,0,P176,Q176,IF(OptControl=3,1,0),1),0)</f>
        <v>0</v>
      </c>
      <c r="AY176" s="324" t="n">
        <f aca="false">IF(AH176,xASN(AL176,Strike2,AE176,AQ176,0,N176,0,P176,Q176,IF(OptControl=3,1,0),2),0)</f>
        <v>0</v>
      </c>
      <c r="AZ176" s="324" t="n">
        <f aca="false">IF(AH176,xASN(AL176,Strike2,AE176,AQ176,0,N176,0,P176,Q176,IF(OptControl=3,1,0),3)/100,0)</f>
        <v>0</v>
      </c>
      <c r="BA176" s="324" t="n">
        <f aca="false">IF(AH176,xASN(AL176,Strike2,AE176,AQ176,0,N176,0,P176-DaysForThetaCalculation/365.25,Q176-DaysForThetaCalculation/365.25,IF(OptControl=3,1,0),0)-xASN(AL176,Strike2,AE176,AQ176,0,N176,0,P176,Q176,IF(OptControl=3,1,0),0),0)</f>
        <v>0</v>
      </c>
      <c r="BB176" s="325" t="str">
        <f aca="false">IF(AH176,IF(ProductGroup=1,IF(Product=1,BX176+PriceSpreadEuro,IF(Product=3,CK176+PriceSpreadEuro,"N/A")),"N/A"),"")</f>
        <v/>
      </c>
      <c r="BC176" s="316" t="str">
        <f aca="false">IF(AH176,Strike1/BB176-1,"")</f>
        <v/>
      </c>
      <c r="BD176" s="316" t="str">
        <f aca="false">IF(AH176,Strike2/BB176-1,"")</f>
        <v/>
      </c>
      <c r="BE176" s="326" t="str">
        <f aca="false">IF(AH176,IF(VolOverrideEuro,VolOverrideEuro,IF(ProductGroup=1,IF(Product&lt;3,DA176,DE176)+VolSpreadEuro,"N/A")),"")</f>
        <v/>
      </c>
      <c r="BF176" s="323" t="str">
        <f aca="false">IF($AH176,$BE176+IF(SkewFlag=1,IF(BC176&gt;0,$AA176*MIN(BC176/10%,1)+($Z176-$AA176)*MAX(0,MIN(BC176/10%-1,1))+($Y176-$Z176)*MAX(0,BC176/10%-2),$AB176*MIN(-BC176/10%,1)+($AC176-$AB176)*MAX(0,MIN(-BC176/10%-1,1))+($AD176-$AC176)*MAX(0,-BC176/10%-2)),0),"")</f>
        <v/>
      </c>
      <c r="BG176" s="323" t="str">
        <f aca="false">IF($AH176,$BE176+IF(SkewFlag=1,IF(BD176&gt;0,$AA176*MIN(BD176/10%,1)+($Z176-$AA176)*MAX(0,MIN(BD176/10%-1,1))+($Y176-$Z176)*MAX(0,BD176/10%-2),$AB176*MIN(-BD176/10%,1)+($AC176-$AB176)*MAX(0,MIN(-BD176/10%-1,1))+($AD176-$AC176)*MAX(0,-BD176/10%-2)),0),"")</f>
        <v/>
      </c>
      <c r="BH176" s="324" t="n">
        <f aca="false">IF(AH176,xEURO(BB176,Strike1,AE176,AE176,BF176,O176,IF(OptControl=4,0,1),0),0)</f>
        <v>0</v>
      </c>
      <c r="BI176" s="324" t="n">
        <f aca="false">IF(AH176,xEURO(BB176,Strike1,AE176,AE176,BF176,O176,IF(OptControl=4,0,1),1),0)</f>
        <v>0</v>
      </c>
      <c r="BJ176" s="324" t="n">
        <f aca="false">IF(AH176,xEURO(BB176,Strike1,AE176,AE176,BF176,O176,IF(OptControl=4,0,1),2),0)</f>
        <v>0</v>
      </c>
      <c r="BK176" s="324" t="n">
        <f aca="false">IF(AH176,xEURO(BB176,Strike1,AE176,AE176,BF176,O176,IF(OptControl=4,0,1),3)/100,0)</f>
        <v>0</v>
      </c>
      <c r="BL176" s="324" t="n">
        <f aca="false">IF(AH176,xEURO(BB176,Strike1,AE176,AE176,BF176,O176-DaysForThetaCalculation,IF(OptControl=4,0,1),0)-xEURO(BB176,Strike1,AE176,AE176,BF176,O176,IF(OptControl=4,0,1),0),0)</f>
        <v>0</v>
      </c>
      <c r="BM176" s="324" t="n">
        <f aca="false">IF(AH176,xEURO(BB176,Strike2,AE176,AE176,BG176,O176,IF(OptControl=3,1,0),0),0)</f>
        <v>0</v>
      </c>
      <c r="BN176" s="324" t="n">
        <f aca="false">IF(AH176,xEURO(BB176,Strike2,AE176,AE176,BG176,O176,IF(OptControl=3,1,0),1),0)</f>
        <v>0</v>
      </c>
      <c r="BO176" s="324" t="n">
        <f aca="false">IF(AH176,xEURO(BB176,Strike2,AE176,AE176,BG176,O176,IF(OptControl=3,1,0),2),0)</f>
        <v>0</v>
      </c>
      <c r="BP176" s="324" t="n">
        <f aca="false">IF(AH176,xEURO(BB176,Strike2,AE176,AE176,BG176,O176,IF(OptControl=3,1,0),3)/100,0)</f>
        <v>0</v>
      </c>
      <c r="BQ176" s="327" t="n">
        <f aca="false">IF(AH176,xEURO(BB176,Strike2,AE176,AE176,BG176,O176-DaysForThetaCalculation,IF(OptControl=3,1,0),0)-xEURO(BB176,Strike2,AE176,AE176,BG176,O176,IF(OptControl=3,1,0),0),0)</f>
        <v>0</v>
      </c>
      <c r="BR176" s="343"/>
      <c r="BS176" s="314"/>
      <c r="BT176" s="329" t="n">
        <f aca="false">BS176*100/42</f>
        <v>0</v>
      </c>
      <c r="BU176" s="329" t="n">
        <f aca="false">BS177-$U176</f>
        <v>-32.4181818181814</v>
      </c>
      <c r="BV176" s="224"/>
      <c r="BW176" s="329" t="n">
        <f aca="false">BW164+VLOOKUP(1900+$L176,ProductSpreadTable,2)</f>
        <v>16.6439565217392</v>
      </c>
      <c r="BX176" s="329" t="n">
        <f aca="false">($V175+BW175)*100/42</f>
        <v>125.852813852814</v>
      </c>
      <c r="BY176" s="332" t="n">
        <f aca="false">BX177</f>
        <v>116.814615095049</v>
      </c>
      <c r="BZ176" s="314"/>
      <c r="CA176" s="329" t="n">
        <f aca="false">BZ176*100/42</f>
        <v>0</v>
      </c>
      <c r="CB176" s="329" t="n">
        <f aca="false">BZ176-$U176</f>
        <v>-32.4181818181814</v>
      </c>
      <c r="CC176" s="329" t="n">
        <f aca="false">CC164+VLOOKUP(1900+$L176,ProductSpreadTable,3)</f>
        <v>14.0189565217392</v>
      </c>
      <c r="CD176" s="329" t="n">
        <f aca="false">($V176+CC176)*100/42</f>
        <v>110.564615095049</v>
      </c>
      <c r="CE176" s="333" t="n">
        <f aca="false">CD176-BY176</f>
        <v>-6.24999999999997</v>
      </c>
      <c r="CF176" s="314"/>
      <c r="CG176" s="329" t="n">
        <f aca="false">CF176*100/42</f>
        <v>0</v>
      </c>
      <c r="CH176" s="329" t="n">
        <f aca="false">CF177-$U176</f>
        <v>-32.4181818181814</v>
      </c>
      <c r="CI176" s="224"/>
      <c r="CJ176" s="329" t="n">
        <f aca="false">CJ164+VLOOKUP(1900+$L176,ProductSpreadTable,4)</f>
        <v>9.10800000000003</v>
      </c>
      <c r="CK176" s="329" t="n">
        <f aca="false">($V175+CJ175)*100/42</f>
        <v>100.175489589775</v>
      </c>
      <c r="CL176" s="329" t="n">
        <f aca="false">CK177</f>
        <v>98.8718614718606</v>
      </c>
      <c r="CM176" s="314"/>
      <c r="CN176" s="329" t="n">
        <f aca="false">CM176*100/42</f>
        <v>0</v>
      </c>
      <c r="CO176" s="329" t="n">
        <f aca="false">CM176-$U176</f>
        <v>-32.4181818181814</v>
      </c>
      <c r="CP176" s="329" t="n">
        <f aca="false">CP164+VLOOKUP(1900+$L176,ProductSpreadTable,5)</f>
        <v>8.18400000000003</v>
      </c>
      <c r="CQ176" s="329" t="n">
        <f aca="false">($V176+CP176)*100/42</f>
        <v>96.6718614718606</v>
      </c>
      <c r="CR176" s="333" t="n">
        <f aca="false">CQ176-CL176</f>
        <v>-2.20000000000002</v>
      </c>
      <c r="CS176" s="314"/>
      <c r="CT176" s="329" t="n">
        <f aca="false">CS176*100/42</f>
        <v>0</v>
      </c>
      <c r="CU176" s="329" t="n">
        <f aca="false">CT176-CG177</f>
        <v>0</v>
      </c>
      <c r="CV176" s="329" t="n">
        <f aca="false">CV164+VLOOKUP(1900+$L176,ProductSpreadTable,6)</f>
        <v>2.54999999999999</v>
      </c>
      <c r="CW176" s="333" t="n">
        <f aca="false">CL176+CV176</f>
        <v>101.421861471861</v>
      </c>
      <c r="CX176" s="318"/>
      <c r="CY176" s="326" t="n">
        <f aca="false">CX176-$W176</f>
        <v>-0.149299999999998</v>
      </c>
      <c r="CZ176" s="326" t="n">
        <f aca="false">VLOOKUP(1900+$L176,ProductSpreadTable,7)</f>
        <v>-0.03</v>
      </c>
      <c r="DA176" s="365" t="n">
        <f aca="false">$W176+CZ176</f>
        <v>0.119299999999998</v>
      </c>
      <c r="DB176" s="318"/>
      <c r="DC176" s="326" t="n">
        <f aca="false">DB176-$W176</f>
        <v>-0.149299999999998</v>
      </c>
      <c r="DD176" s="326" t="n">
        <f aca="false">VLOOKUP(1900+$L176,ProductSpreadTable,8)</f>
        <v>0.03</v>
      </c>
      <c r="DE176" s="365" t="n">
        <f aca="false">$W176+DD176</f>
        <v>0.179299999999998</v>
      </c>
      <c r="DG176" s="336"/>
      <c r="DH176" s="314"/>
      <c r="DI176" s="325" t="n">
        <f aca="false">DH176-$U176</f>
        <v>-32.4181818181814</v>
      </c>
      <c r="DJ176" s="325" t="n">
        <f aca="false">VLOOKUP(1900+$L176,ResidSpreadTable,2)</f>
        <v>-2</v>
      </c>
      <c r="DK176" s="337" t="n">
        <f aca="false">$V176+DJ176</f>
        <v>30.4181818181814</v>
      </c>
      <c r="DL176" s="314"/>
      <c r="DM176" s="325" t="n">
        <f aca="false">DL176-$U176</f>
        <v>-32.4181818181814</v>
      </c>
      <c r="DN176" s="325" t="n">
        <f aca="false">VLOOKUP(1900+$L176,ResidSpreadTable,3)</f>
        <v>-3</v>
      </c>
      <c r="DO176" s="337" t="n">
        <f aca="false">$V176+DN176</f>
        <v>29.4181818181814</v>
      </c>
      <c r="DP176" s="314"/>
      <c r="DQ176" s="325" t="n">
        <f aca="false">DP176-$U176</f>
        <v>-32.4181818181814</v>
      </c>
      <c r="DR176" s="325" t="n">
        <f aca="false">VLOOKUP(1900+$L176,ResidSpreadTable,4)</f>
        <v>-6</v>
      </c>
      <c r="DS176" s="337" t="n">
        <f aca="false">$V176+DR176</f>
        <v>26.4181818181814</v>
      </c>
      <c r="DT176" s="314"/>
      <c r="DU176" s="325" t="n">
        <f aca="false">DT176-$U176</f>
        <v>-32.4181818181814</v>
      </c>
      <c r="DV176" s="325" t="n">
        <f aca="false">VLOOKUP(1900+$L176,ResidSpreadTable,5)</f>
        <v>-5</v>
      </c>
      <c r="DW176" s="337" t="n">
        <f aca="false">$V176+DV176</f>
        <v>27.4181818181814</v>
      </c>
    </row>
    <row r="177" customFormat="false" ht="12.75" hidden="false" customHeight="false" outlineLevel="0" collapsed="false">
      <c r="B177" s="371" t="n">
        <v>40940</v>
      </c>
      <c r="C177" s="391" t="n">
        <v>40930</v>
      </c>
      <c r="I177" s="338" t="n">
        <f aca="false">EOMONTH(I176,0)+1</f>
        <v>51136</v>
      </c>
      <c r="J177" s="389" t="n">
        <f aca="false">VLOOKUP(I177,$B$12:$C$332,2)</f>
        <v>45644</v>
      </c>
      <c r="K177" s="339" t="n">
        <f aca="false">NETWORKDAYS(I177,J178)/N177</f>
        <v>-178.318181818182</v>
      </c>
      <c r="L177" s="309" t="n">
        <f aca="false">YEAR(I177)-1900</f>
        <v>140</v>
      </c>
      <c r="M177" s="310" t="n">
        <f aca="false">MONTH(I177)</f>
        <v>1</v>
      </c>
      <c r="N177" s="340" t="n">
        <f aca="false">NETWORKDAYS(I177,I178-1)</f>
        <v>22</v>
      </c>
      <c r="O177" s="341" t="n">
        <f aca="false">I177-DateToday-IF(EuroExpDateToggle=1,3+IF(WEEKDAY(I177-1)=7,1,IF(WEEKDAY(I177-1)&lt;5,2,0)),1+IF(WEEKDAY(I177-1)=7,1,IF(WEEKDAY(I177-1)&lt;3,2,0)))</f>
        <v>5206</v>
      </c>
      <c r="P177" s="342" t="n">
        <f aca="false">(I177-DateToday+1)/365.25</f>
        <v>14.2669404517454</v>
      </c>
      <c r="Q177" s="342" t="n">
        <f aca="false">(I178-DateToday)/365.25</f>
        <v>14.3490759753593</v>
      </c>
      <c r="R177" s="314" t="n">
        <v>23.5000000000001</v>
      </c>
      <c r="S177" s="347" t="n">
        <v>0</v>
      </c>
      <c r="T177" s="316" t="n">
        <f aca="false">R177+S177/100</f>
        <v>23.5000000000001</v>
      </c>
      <c r="U177" s="325" t="n">
        <f aca="false">R178*K177+R179*(1-K177)</f>
        <v>32.5159090909092</v>
      </c>
      <c r="V177" s="337" t="n">
        <f aca="false">T178*K177+T179*(1-K177)</f>
        <v>32.5159090909092</v>
      </c>
      <c r="W177" s="318" t="n">
        <v>0.148899999999998</v>
      </c>
      <c r="X177" s="319" t="str">
        <f aca="false">IF($I177-DateToday+1&gt;=$A$10,"",IF($I177-DateToday+1&lt;$A$5,1,MATCH($I177-DateToday+1,$A$5:$A$10)))</f>
        <v/>
      </c>
      <c r="Y177" s="348" t="n">
        <f aca="false">IF($X177="",Y176^2/Y175,INDEX(B$5:B$10,$X177)^((INDEX($A$5:$A$10,$X177+1)-($I177-DateToday+1))/(INDEX($A$5:$A$10,$X177+1)-INDEX($A$5:$A$10,$X177)))/INDEX(B$5:B$10,$X177+1)^((INDEX($A$5:$A$10,$X177)-($I177-DateToday+1))/(INDEX($A$5:$A$10,$X177+1)-INDEX($A$5:$A$10,$X177))))</f>
        <v>0.000378783220335795</v>
      </c>
      <c r="Z177" s="348" t="n">
        <f aca="false">IF($X177="",Z176^2/Z175,INDEX(C$5:C$10,$X177)^((INDEX($A$5:$A$10,$X177+1)-($I177-DateToday+1))/(INDEX($A$5:$A$10,$X177+1)-INDEX($A$5:$A$10,$X177)))/INDEX(C$5:C$10,$X177+1)^((INDEX($A$5:$A$10,$X177)-($I177-DateToday+1))/(INDEX($A$5:$A$10,$X177+1)-INDEX($A$5:$A$10,$X177))))</f>
        <v>9.31257631993033E-005</v>
      </c>
      <c r="AA177" s="348" t="n">
        <f aca="false">IF($X177="",AA176^2/AA175,INDEX(D$5:D$10,$X177)^((INDEX($A$5:$A$10,$X177+1)-($I177-DateToday+1))/(INDEX($A$5:$A$10,$X177+1)-INDEX($A$5:$A$10,$X177)))/INDEX(D$5:D$10,$X177+1)^((INDEX($A$5:$A$10,$X177)-($I177-DateToday+1))/(INDEX($A$5:$A$10,$X177+1)-INDEX($A$5:$A$10,$X177))))</f>
        <v>2.80329790273766E-005</v>
      </c>
      <c r="AB177" s="348" t="n">
        <f aca="false">IF($X177="",AB176^2/AB175,INDEX(E$5:E$10,$X177)^((INDEX($A$5:$A$10,$X177+1)-($I177-DateToday+1))/(INDEX($A$5:$A$10,$X177+1)-INDEX($A$5:$A$10,$X177)))/INDEX(E$5:E$10,$X177+1)^((INDEX($A$5:$A$10,$X177)-($I177-DateToday+1))/(INDEX($A$5:$A$10,$X177+1)-INDEX($A$5:$A$10,$X177))))</f>
        <v>6.31526951528806E-005</v>
      </c>
      <c r="AC177" s="348" t="n">
        <f aca="false">IF($X177="",AC176^2/AC175,INDEX(F$5:F$10,$X177)^((INDEX($A$5:$A$10,$X177+1)-($I177-DateToday+1))/(INDEX($A$5:$A$10,$X177+1)-INDEX($A$5:$A$10,$X177)))/INDEX(F$5:F$10,$X177+1)^((INDEX($A$5:$A$10,$X177)-($I177-DateToday+1))/(INDEX($A$5:$A$10,$X177+1)-INDEX($A$5:$A$10,$X177))))</f>
        <v>0.000209793719335388</v>
      </c>
      <c r="AD177" s="348" t="n">
        <f aca="false">IF($X177="",AD176^2/AD175,INDEX(G$5:G$10,$X177)^((INDEX($A$5:$A$10,$X177+1)-($I177-DateToday+1))/(INDEX($A$5:$A$10,$X177+1)-INDEX($A$5:$A$10,$X177)))/INDEX(G$5:G$10,$X177+1)^((INDEX($A$5:$A$10,$X177)-($I177-DateToday+1))/(INDEX($A$5:$A$10,$X177+1)-INDEX($A$5:$A$10,$X177))))</f>
        <v>0.000853322838772384</v>
      </c>
      <c r="AE177" s="321" t="n">
        <v>0.073577887351804</v>
      </c>
      <c r="AF177" s="316" t="n">
        <f aca="false">(1+AE177/2)^(-2*(I178-DateToday)/365.25)</f>
        <v>0.354581231467126</v>
      </c>
      <c r="AG177" s="316" t="n">
        <f aca="false">AG176*(1+IF(AND(M177=1,L177&gt;YearStart),Escalation,0))</f>
        <v>1</v>
      </c>
      <c r="AH177" s="322" t="n">
        <f aca="false">IF(OR(DateStart&gt;=I178,DateEnd&lt;I177),0,Volume*AG177)</f>
        <v>0</v>
      </c>
      <c r="AI177" s="322" t="n">
        <f aca="false">AH177*AF177</f>
        <v>0</v>
      </c>
      <c r="AJ177" s="322" t="n">
        <f aca="false">IF(OR(DateStart2&gt;=I178,DateEnd2&lt;I177),0,VolumeSwaption*AG177)</f>
        <v>0</v>
      </c>
      <c r="AK177" s="322" t="n">
        <f aca="false">AJ177*AF177</f>
        <v>0</v>
      </c>
      <c r="AL177" s="316" t="str">
        <f aca="true">IF(AH177,OFFSET(BY177,0,HorizontalPriceOffset)+PriceSpreadAsian,"")</f>
        <v/>
      </c>
      <c r="AM177" s="316" t="str">
        <f aca="false">IF(AH177,Strike1/AL177-1,"")</f>
        <v/>
      </c>
      <c r="AN177" s="316" t="str">
        <f aca="false">IF(AH177,Strike2/AL177-1,"")</f>
        <v/>
      </c>
      <c r="AO177" s="323" t="str">
        <f aca="false">IF(AH177,IF(VolOverrideAsian,VolOverrideAsian,IF(ProductGroup=1,IF(Product&lt;3,DA178,DE178),W178)+VolSpreadAsian),"")</f>
        <v/>
      </c>
      <c r="AP177" s="323" t="str">
        <f aca="false">IF($AH177,$AO177+IF(SkewFlag=1,IF(AM177&gt;0,$AA177*MIN(AM177/10%,1)+($Z177-$AA177)*MAX(0,MIN(AM177/10%-1,1))+($Y177-$Z177)*MAX(0,AM177/10%-2),$AB177*MIN(-AM177/10%,1)+($AC177-$AB177)*MAX(0,MIN(-AM177/10%-1,1))+($AD177-$AC177)*MAX(0,-AM177/10%-2)),0),"")</f>
        <v/>
      </c>
      <c r="AQ177" s="323" t="str">
        <f aca="false">IF($AH177,$AO177+IF(SkewFlag=1,IF(AN177&gt;0,$AA177*MIN(AN177/10%,1)+($Z177-$AA177)*MAX(0,MIN(AN177/10%-1,1))+($Y177-$Z177)*MAX(0,AN177/10%-2),$AB177*MIN(-AN177/10%,1)+($AC177-$AB177)*MAX(0,MIN(-AN177/10%-1,1))+($AD177-$AC177)*MAX(0,-AN177/10%-2)),0),"")</f>
        <v/>
      </c>
      <c r="AR177" s="324" t="n">
        <f aca="false">IF(AH177,xASN(AL177,Strike1,AE177,AP177,0,N177,0,P177,Q177,IF(OptControl=4,0,1),0),0)</f>
        <v>0</v>
      </c>
      <c r="AS177" s="324" t="n">
        <f aca="false">IF(AH177,xASN(AL177,Strike1,AE177,AP177,0,N177,0,P177,Q177,IF(OptControl=4,0,1),1),0)</f>
        <v>0</v>
      </c>
      <c r="AT177" s="324" t="n">
        <f aca="false">IF(AH177,xASN(AL177,Strike1,AE177,AP177,0,N177,0,P177,Q177,IF(OptControl=4,0,1),2),0)</f>
        <v>0</v>
      </c>
      <c r="AU177" s="324" t="n">
        <f aca="false">IF(AH177,xASN(AL177,Strike1,AE177,AP177,0,N177,0,P177,Q177,IF(OptControl=4,0,1),3)/100,0)</f>
        <v>0</v>
      </c>
      <c r="AV177" s="324" t="n">
        <f aca="false">IF(AH177,xASN(AL177,Strike1,AE177,AP177,0,N177,0,P177-DaysForThetaCalculation/365.25,Q177-DaysForThetaCalculation/365.25,IF(OptControl=4,0,1),0)-xASN(AL177,Strike1,AE177,AP177,0,N177,0,P177,Q177,IF(OptControl=4,0,1),0),0)</f>
        <v>0</v>
      </c>
      <c r="AW177" s="324" t="n">
        <f aca="false">IF(AH177,xASN(AL177,Strike2,AE177,AQ177,0,N177,0,P177,Q177,IF(OptControl=3,1,0),0),0)</f>
        <v>0</v>
      </c>
      <c r="AX177" s="324" t="n">
        <f aca="false">IF(AH177,xASN(AL177,Strike2,AE177,AQ177,0,N177,0,P177,Q177,IF(OptControl=3,1,0),1),0)</f>
        <v>0</v>
      </c>
      <c r="AY177" s="324" t="n">
        <f aca="false">IF(AH177,xASN(AL177,Strike2,AE177,AQ177,0,N177,0,P177,Q177,IF(OptControl=3,1,0),2),0)</f>
        <v>0</v>
      </c>
      <c r="AZ177" s="324" t="n">
        <f aca="false">IF(AH177,xASN(AL177,Strike2,AE177,AQ177,0,N177,0,P177,Q177,IF(OptControl=3,1,0),3)/100,0)</f>
        <v>0</v>
      </c>
      <c r="BA177" s="324" t="n">
        <f aca="false">IF(AH177,xASN(AL177,Strike2,AE177,AQ177,0,N177,0,P177-DaysForThetaCalculation/365.25,Q177-DaysForThetaCalculation/365.25,IF(OptControl=3,1,0),0)-xASN(AL177,Strike2,AE177,AQ177,0,N177,0,P177,Q177,IF(OptControl=3,1,0),0),0)</f>
        <v>0</v>
      </c>
      <c r="BB177" s="325" t="str">
        <f aca="false">IF(AH177,IF(ProductGroup=1,IF(Product=1,BX177+PriceSpreadEuro,IF(Product=3,CK177+PriceSpreadEuro,"N/A")),"N/A"),"")</f>
        <v/>
      </c>
      <c r="BC177" s="316" t="str">
        <f aca="false">IF(AH177,Strike1/BB177-1,"")</f>
        <v/>
      </c>
      <c r="BD177" s="316" t="str">
        <f aca="false">IF(AH177,Strike2/BB177-1,"")</f>
        <v/>
      </c>
      <c r="BE177" s="326" t="str">
        <f aca="false">IF(AH177,IF(VolOverrideEuro,VolOverrideEuro,IF(ProductGroup=1,IF(Product&lt;3,DA177,DE177)+VolSpreadEuro,"N/A")),"")</f>
        <v/>
      </c>
      <c r="BF177" s="323" t="str">
        <f aca="false">IF($AH177,$BE177+IF(SkewFlag=1,IF(BC177&gt;0,$AA177*MIN(BC177/10%,1)+($Z177-$AA177)*MAX(0,MIN(BC177/10%-1,1))+($Y177-$Z177)*MAX(0,BC177/10%-2),$AB177*MIN(-BC177/10%,1)+($AC177-$AB177)*MAX(0,MIN(-BC177/10%-1,1))+($AD177-$AC177)*MAX(0,-BC177/10%-2)),0),"")</f>
        <v/>
      </c>
      <c r="BG177" s="323" t="str">
        <f aca="false">IF($AH177,$BE177+IF(SkewFlag=1,IF(BD177&gt;0,$AA177*MIN(BD177/10%,1)+($Z177-$AA177)*MAX(0,MIN(BD177/10%-1,1))+($Y177-$Z177)*MAX(0,BD177/10%-2),$AB177*MIN(-BD177/10%,1)+($AC177-$AB177)*MAX(0,MIN(-BD177/10%-1,1))+($AD177-$AC177)*MAX(0,-BD177/10%-2)),0),"")</f>
        <v/>
      </c>
      <c r="BH177" s="324" t="n">
        <f aca="false">IF(AH177,xEURO(BB177,Strike1,AE177,AE177,BF177,O177,IF(OptControl=4,0,1),0),0)</f>
        <v>0</v>
      </c>
      <c r="BI177" s="324" t="n">
        <f aca="false">IF(AH177,xEURO(BB177,Strike1,AE177,AE177,BF177,O177,IF(OptControl=4,0,1),1),0)</f>
        <v>0</v>
      </c>
      <c r="BJ177" s="324" t="n">
        <f aca="false">IF(AH177,xEURO(BB177,Strike1,AE177,AE177,BF177,O177,IF(OptControl=4,0,1),2),0)</f>
        <v>0</v>
      </c>
      <c r="BK177" s="324" t="n">
        <f aca="false">IF(AH177,xEURO(BB177,Strike1,AE177,AE177,BF177,O177,IF(OptControl=4,0,1),3)/100,0)</f>
        <v>0</v>
      </c>
      <c r="BL177" s="324" t="n">
        <f aca="false">IF(AH177,xEURO(BB177,Strike1,AE177,AE177,BF177,O177-DaysForThetaCalculation,IF(OptControl=4,0,1),0)-xEURO(BB177,Strike1,AE177,AE177,BF177,O177,IF(OptControl=4,0,1),0),0)</f>
        <v>0</v>
      </c>
      <c r="BM177" s="324" t="n">
        <f aca="false">IF(AH177,xEURO(BB177,Strike2,AE177,AE177,BG177,O177,IF(OptControl=3,1,0),0),0)</f>
        <v>0</v>
      </c>
      <c r="BN177" s="324" t="n">
        <f aca="false">IF(AH177,xEURO(BB177,Strike2,AE177,AE177,BG177,O177,IF(OptControl=3,1,0),1),0)</f>
        <v>0</v>
      </c>
      <c r="BO177" s="324" t="n">
        <f aca="false">IF(AH177,xEURO(BB177,Strike2,AE177,AE177,BG177,O177,IF(OptControl=3,1,0),2),0)</f>
        <v>0</v>
      </c>
      <c r="BP177" s="324" t="n">
        <f aca="false">IF(AH177,xEURO(BB177,Strike2,AE177,AE177,BG177,O177,IF(OptControl=3,1,0),3)/100,0)</f>
        <v>0</v>
      </c>
      <c r="BQ177" s="327" t="n">
        <f aca="false">IF(AH177,xEURO(BB177,Strike2,AE177,AE177,BG177,O177-DaysForThetaCalculation,IF(OptControl=3,1,0),0)-xEURO(BB177,Strike2,AE177,AE177,BG177,O177,IF(OptControl=3,1,0),0),0)</f>
        <v>0</v>
      </c>
      <c r="BR177" s="343"/>
      <c r="BS177" s="314"/>
      <c r="BT177" s="329" t="n">
        <f aca="false">BS177*100/42</f>
        <v>0</v>
      </c>
      <c r="BU177" s="329" t="n">
        <f aca="false">BS178-$U177</f>
        <v>-32.5159090909092</v>
      </c>
      <c r="BV177" s="224"/>
      <c r="BW177" s="329" t="n">
        <f aca="false">BW165+VLOOKUP(1900+$L177,ProductSpreadTable,2)</f>
        <v>16.0692727272728</v>
      </c>
      <c r="BX177" s="329" t="n">
        <f aca="false">($V176+BW176)*100/42</f>
        <v>116.814615095049</v>
      </c>
      <c r="BY177" s="332" t="n">
        <f aca="false">BX178</f>
        <v>115.679004329005</v>
      </c>
      <c r="BZ177" s="314"/>
      <c r="CA177" s="329" t="n">
        <f aca="false">BZ177*100/42</f>
        <v>0</v>
      </c>
      <c r="CB177" s="329" t="n">
        <f aca="false">BZ177-$U177</f>
        <v>-32.5159090909092</v>
      </c>
      <c r="CC177" s="329" t="n">
        <f aca="false">CC165+VLOOKUP(1900+$L177,ProductSpreadTable,3)</f>
        <v>13.6542727272728</v>
      </c>
      <c r="CD177" s="329" t="n">
        <f aca="false">($V177+CC177)*100/42</f>
        <v>109.929004329005</v>
      </c>
      <c r="CE177" s="333" t="n">
        <f aca="false">CD177-BY177</f>
        <v>-5.75000000000003</v>
      </c>
      <c r="CF177" s="314"/>
      <c r="CG177" s="329" t="n">
        <f aca="false">CF177*100/42</f>
        <v>0</v>
      </c>
      <c r="CH177" s="329" t="n">
        <f aca="false">CF178-$U177</f>
        <v>-32.5159090909092</v>
      </c>
      <c r="CI177" s="224"/>
      <c r="CJ177" s="329" t="n">
        <f aca="false">CJ165+VLOOKUP(1900+$L177,ProductSpreadTable,4)</f>
        <v>9.65299999999997</v>
      </c>
      <c r="CK177" s="329" t="n">
        <f aca="false">($V176+CJ176)*100/42</f>
        <v>98.8718614718606</v>
      </c>
      <c r="CL177" s="329" t="n">
        <f aca="false">CK178</f>
        <v>100.402164502165</v>
      </c>
      <c r="CM177" s="314"/>
      <c r="CN177" s="329" t="n">
        <f aca="false">CM177*100/42</f>
        <v>0</v>
      </c>
      <c r="CO177" s="329" t="n">
        <f aca="false">CM177-$U177</f>
        <v>-32.5159090909092</v>
      </c>
      <c r="CP177" s="329" t="n">
        <f aca="false">CP165+VLOOKUP(1900+$L177,ProductSpreadTable,5)</f>
        <v>8.72899999999997</v>
      </c>
      <c r="CQ177" s="329" t="n">
        <f aca="false">($V177+CP177)*100/42</f>
        <v>98.2021645021647</v>
      </c>
      <c r="CR177" s="333" t="n">
        <f aca="false">CQ177-CL177</f>
        <v>-2.20000000000002</v>
      </c>
      <c r="CS177" s="314"/>
      <c r="CT177" s="329" t="n">
        <f aca="false">CS177*100/42</f>
        <v>0</v>
      </c>
      <c r="CU177" s="329" t="n">
        <f aca="false">CT177-CG178</f>
        <v>0</v>
      </c>
      <c r="CV177" s="329" t="n">
        <f aca="false">CV165+VLOOKUP(1900+$L177,ProductSpreadTable,6)</f>
        <v>2.54999999999999</v>
      </c>
      <c r="CW177" s="333" t="n">
        <f aca="false">CL177+CV177</f>
        <v>102.952164502165</v>
      </c>
      <c r="CX177" s="318"/>
      <c r="CY177" s="326" t="n">
        <f aca="false">CX177-$W177</f>
        <v>-0.148899999999998</v>
      </c>
      <c r="CZ177" s="326" t="n">
        <f aca="false">VLOOKUP(1900+$L177,ProductSpreadTable,7)</f>
        <v>-0.03</v>
      </c>
      <c r="DA177" s="365" t="n">
        <f aca="false">$W177+CZ177</f>
        <v>0.118899999999998</v>
      </c>
      <c r="DB177" s="318"/>
      <c r="DC177" s="326" t="n">
        <f aca="false">DB177-$W177</f>
        <v>-0.148899999999998</v>
      </c>
      <c r="DD177" s="326" t="n">
        <f aca="false">VLOOKUP(1900+$L177,ProductSpreadTable,8)</f>
        <v>0.03</v>
      </c>
      <c r="DE177" s="365" t="n">
        <f aca="false">$W177+DD177</f>
        <v>0.178899999999998</v>
      </c>
      <c r="DG177" s="336"/>
      <c r="DH177" s="314"/>
      <c r="DI177" s="325" t="n">
        <f aca="false">DH177-$U177</f>
        <v>-32.5159090909092</v>
      </c>
      <c r="DJ177" s="325" t="n">
        <f aca="false">VLOOKUP(1900+$L177,ResidSpreadTable,2)</f>
        <v>-2</v>
      </c>
      <c r="DK177" s="337" t="n">
        <f aca="false">$V177+DJ177</f>
        <v>30.5159090909092</v>
      </c>
      <c r="DL177" s="314"/>
      <c r="DM177" s="325" t="n">
        <f aca="false">DL177-$U177</f>
        <v>-32.5159090909092</v>
      </c>
      <c r="DN177" s="325" t="n">
        <f aca="false">VLOOKUP(1900+$L177,ResidSpreadTable,3)</f>
        <v>-3</v>
      </c>
      <c r="DO177" s="337" t="n">
        <f aca="false">$V177+DN177</f>
        <v>29.5159090909092</v>
      </c>
      <c r="DP177" s="314"/>
      <c r="DQ177" s="325" t="n">
        <f aca="false">DP177-$U177</f>
        <v>-32.5159090909092</v>
      </c>
      <c r="DR177" s="325" t="n">
        <f aca="false">VLOOKUP(1900+$L177,ResidSpreadTable,4)</f>
        <v>-6</v>
      </c>
      <c r="DS177" s="337" t="n">
        <f aca="false">$V177+DR177</f>
        <v>26.5159090909092</v>
      </c>
      <c r="DT177" s="314"/>
      <c r="DU177" s="325" t="n">
        <f aca="false">DT177-$U177</f>
        <v>-32.5159090909092</v>
      </c>
      <c r="DV177" s="325" t="n">
        <f aca="false">VLOOKUP(1900+$L177,ResidSpreadTable,5)</f>
        <v>-5</v>
      </c>
      <c r="DW177" s="337" t="n">
        <f aca="false">$V177+DV177</f>
        <v>27.5159090909092</v>
      </c>
    </row>
    <row r="178" customFormat="false" ht="12.75" hidden="false" customHeight="false" outlineLevel="0" collapsed="false">
      <c r="B178" s="371" t="n">
        <v>40969</v>
      </c>
      <c r="C178" s="391" t="n">
        <v>40959</v>
      </c>
      <c r="I178" s="338" t="n">
        <f aca="false">EOMONTH(I177,0)+1</f>
        <v>51167</v>
      </c>
      <c r="J178" s="389" t="n">
        <f aca="false">VLOOKUP(I178,$B$12:$C$332,2)</f>
        <v>45644</v>
      </c>
      <c r="K178" s="339" t="n">
        <f aca="false">NETWORKDAYS(I178,J179)/N178</f>
        <v>-187.904761904762</v>
      </c>
      <c r="L178" s="309" t="n">
        <f aca="false">YEAR(I178)-1900</f>
        <v>140</v>
      </c>
      <c r="M178" s="310" t="n">
        <f aca="false">MONTH(I178)</f>
        <v>2</v>
      </c>
      <c r="N178" s="340" t="n">
        <f aca="false">NETWORKDAYS(I178,I179-1)</f>
        <v>21</v>
      </c>
      <c r="O178" s="341" t="n">
        <f aca="false">I178-DateToday-IF(EuroExpDateToggle=1,3+IF(WEEKDAY(I178-1)=7,1,IF(WEEKDAY(I178-1)&lt;5,2,0)),1+IF(WEEKDAY(I178-1)=7,1,IF(WEEKDAY(I178-1)&lt;3,2,0)))</f>
        <v>5236</v>
      </c>
      <c r="P178" s="342" t="n">
        <f aca="false">(I178-DateToday+1)/365.25</f>
        <v>14.3518138261465</v>
      </c>
      <c r="Q178" s="342" t="n">
        <f aca="false">(I179-DateToday)/365.25</f>
        <v>14.4284736481862</v>
      </c>
      <c r="R178" s="314" t="n">
        <v>23.5500000000001</v>
      </c>
      <c r="S178" s="347" t="n">
        <v>0</v>
      </c>
      <c r="T178" s="316" t="n">
        <f aca="false">R178+S178/100</f>
        <v>23.5500000000001</v>
      </c>
      <c r="U178" s="325" t="n">
        <f aca="false">R179*K178+R180*(1-K178)</f>
        <v>33.0452380952383</v>
      </c>
      <c r="V178" s="337" t="n">
        <f aca="false">T179*K178+T180*(1-K178)</f>
        <v>33.0452380952383</v>
      </c>
      <c r="W178" s="318" t="n">
        <v>0.148499999999998</v>
      </c>
      <c r="X178" s="319" t="str">
        <f aca="false">IF($I178-DateToday+1&gt;=$A$10,"",IF($I178-DateToday+1&lt;$A$5,1,MATCH($I178-DateToday+1,$A$5:$A$10)))</f>
        <v/>
      </c>
      <c r="Y178" s="348" t="n">
        <f aca="false">IF($X178="",Y177^2/Y176,INDEX(B$5:B$10,$X178)^((INDEX($A$5:$A$10,$X178+1)-($I178-DateToday+1))/(INDEX($A$5:$A$10,$X178+1)-INDEX($A$5:$A$10,$X178)))/INDEX(B$5:B$10,$X178+1)^((INDEX($A$5:$A$10,$X178)-($I178-DateToday+1))/(INDEX($A$5:$A$10,$X178+1)-INDEX($A$5:$A$10,$X178))))</f>
        <v>0.000370674047690137</v>
      </c>
      <c r="Z178" s="348" t="n">
        <f aca="false">IF($X178="",Z177^2/Z176,INDEX(C$5:C$10,$X178)^((INDEX($A$5:$A$10,$X178+1)-($I178-DateToday+1))/(INDEX($A$5:$A$10,$X178+1)-INDEX($A$5:$A$10,$X178)))/INDEX(C$5:C$10,$X178+1)^((INDEX($A$5:$A$10,$X178)-($I178-DateToday+1))/(INDEX($A$5:$A$10,$X178+1)-INDEX($A$5:$A$10,$X178))))</f>
        <v>9.0644156344793E-005</v>
      </c>
      <c r="AA178" s="348" t="n">
        <f aca="false">IF($X178="",AA177^2/AA176,INDEX(D$5:D$10,$X178)^((INDEX($A$5:$A$10,$X178+1)-($I178-DateToday+1))/(INDEX($A$5:$A$10,$X178+1)-INDEX($A$5:$A$10,$X178)))/INDEX(D$5:D$10,$X178+1)^((INDEX($A$5:$A$10,$X178)-($I178-DateToday+1))/(INDEX($A$5:$A$10,$X178+1)-INDEX($A$5:$A$10,$X178))))</f>
        <v>2.72127888758686E-005</v>
      </c>
      <c r="AB178" s="348" t="n">
        <f aca="false">IF($X178="",AB177^2/AB176,INDEX(E$5:E$10,$X178)^((INDEX($A$5:$A$10,$X178+1)-($I178-DateToday+1))/(INDEX($A$5:$A$10,$X178+1)-INDEX($A$5:$A$10,$X178)))/INDEX(E$5:E$10,$X178+1)^((INDEX($A$5:$A$10,$X178)-($I178-DateToday+1))/(INDEX($A$5:$A$10,$X178+1)-INDEX($A$5:$A$10,$X178))))</f>
        <v>6.13049707795633E-005</v>
      </c>
      <c r="AC178" s="348" t="n">
        <f aca="false">IF($X178="",AC177^2/AC176,INDEX(F$5:F$10,$X178)^((INDEX($A$5:$A$10,$X178+1)-($I178-DateToday+1))/(INDEX($A$5:$A$10,$X178+1)-INDEX($A$5:$A$10,$X178)))/INDEX(F$5:F$10,$X178+1)^((INDEX($A$5:$A$10,$X178)-($I178-DateToday+1))/(INDEX($A$5:$A$10,$X178+1)-INDEX($A$5:$A$10,$X178))))</f>
        <v>0.000204203155413547</v>
      </c>
      <c r="AD178" s="348" t="n">
        <f aca="false">IF($X178="",AD177^2/AD176,INDEX(G$5:G$10,$X178)^((INDEX($A$5:$A$10,$X178+1)-($I178-DateToday+1))/(INDEX($A$5:$A$10,$X178+1)-INDEX($A$5:$A$10,$X178)))/INDEX(G$5:G$10,$X178+1)^((INDEX($A$5:$A$10,$X178)-($I178-DateToday+1))/(INDEX($A$5:$A$10,$X178+1)-INDEX($A$5:$A$10,$X178))))</f>
        <v>0.000835054494636247</v>
      </c>
      <c r="AE178" s="321" t="n">
        <v>0.073573925793285</v>
      </c>
      <c r="AF178" s="316" t="n">
        <f aca="false">(1+AE178/2)^(-2*(I179-DateToday)/365.25)</f>
        <v>0.352572253446486</v>
      </c>
      <c r="AG178" s="316" t="n">
        <f aca="false">AG177*(1+IF(AND(M178=1,L178&gt;YearStart),Escalation,0))</f>
        <v>1</v>
      </c>
      <c r="AH178" s="322" t="n">
        <f aca="false">IF(OR(DateStart&gt;=I179,DateEnd&lt;I178),0,Volume*AG178)</f>
        <v>0</v>
      </c>
      <c r="AI178" s="322" t="n">
        <f aca="false">AH178*AF178</f>
        <v>0</v>
      </c>
      <c r="AJ178" s="322" t="n">
        <f aca="false">IF(OR(DateStart2&gt;=I179,DateEnd2&lt;I178),0,VolumeSwaption*AG178)</f>
        <v>0</v>
      </c>
      <c r="AK178" s="322" t="n">
        <f aca="false">AJ178*AF178</f>
        <v>0</v>
      </c>
      <c r="AL178" s="316" t="str">
        <f aca="true">IF(AH178,OFFSET(BY178,0,HorizontalPriceOffset)+PriceSpreadAsian,"")</f>
        <v/>
      </c>
      <c r="AM178" s="316" t="str">
        <f aca="false">IF(AH178,Strike1/AL178-1,"")</f>
        <v/>
      </c>
      <c r="AN178" s="316" t="str">
        <f aca="false">IF(AH178,Strike2/AL178-1,"")</f>
        <v/>
      </c>
      <c r="AO178" s="323" t="str">
        <f aca="false">IF(AH178,IF(VolOverrideAsian,VolOverrideAsian,IF(ProductGroup=1,IF(Product&lt;3,DA179,DE179),W179)+VolSpreadAsian),"")</f>
        <v/>
      </c>
      <c r="AP178" s="323" t="str">
        <f aca="false">IF($AH178,$AO178+IF(SkewFlag=1,IF(AM178&gt;0,$AA178*MIN(AM178/10%,1)+($Z178-$AA178)*MAX(0,MIN(AM178/10%-1,1))+($Y178-$Z178)*MAX(0,AM178/10%-2),$AB178*MIN(-AM178/10%,1)+($AC178-$AB178)*MAX(0,MIN(-AM178/10%-1,1))+($AD178-$AC178)*MAX(0,-AM178/10%-2)),0),"")</f>
        <v/>
      </c>
      <c r="AQ178" s="323" t="str">
        <f aca="false">IF($AH178,$AO178+IF(SkewFlag=1,IF(AN178&gt;0,$AA178*MIN(AN178/10%,1)+($Z178-$AA178)*MAX(0,MIN(AN178/10%-1,1))+($Y178-$Z178)*MAX(0,AN178/10%-2),$AB178*MIN(-AN178/10%,1)+($AC178-$AB178)*MAX(0,MIN(-AN178/10%-1,1))+($AD178-$AC178)*MAX(0,-AN178/10%-2)),0),"")</f>
        <v/>
      </c>
      <c r="AR178" s="324" t="n">
        <f aca="false">IF(AH178,xASN(AL178,Strike1,AE178,AP178,0,N178,0,P178,Q178,IF(OptControl=4,0,1),0),0)</f>
        <v>0</v>
      </c>
      <c r="AS178" s="324" t="n">
        <f aca="false">IF(AH178,xASN(AL178,Strike1,AE178,AP178,0,N178,0,P178,Q178,IF(OptControl=4,0,1),1),0)</f>
        <v>0</v>
      </c>
      <c r="AT178" s="324" t="n">
        <f aca="false">IF(AH178,xASN(AL178,Strike1,AE178,AP178,0,N178,0,P178,Q178,IF(OptControl=4,0,1),2),0)</f>
        <v>0</v>
      </c>
      <c r="AU178" s="324" t="n">
        <f aca="false">IF(AH178,xASN(AL178,Strike1,AE178,AP178,0,N178,0,P178,Q178,IF(OptControl=4,0,1),3)/100,0)</f>
        <v>0</v>
      </c>
      <c r="AV178" s="324" t="n">
        <f aca="false">IF(AH178,xASN(AL178,Strike1,AE178,AP178,0,N178,0,P178-DaysForThetaCalculation/365.25,Q178-DaysForThetaCalculation/365.25,IF(OptControl=4,0,1),0)-xASN(AL178,Strike1,AE178,AP178,0,N178,0,P178,Q178,IF(OptControl=4,0,1),0),0)</f>
        <v>0</v>
      </c>
      <c r="AW178" s="324" t="n">
        <f aca="false">IF(AH178,xASN(AL178,Strike2,AE178,AQ178,0,N178,0,P178,Q178,IF(OptControl=3,1,0),0),0)</f>
        <v>0</v>
      </c>
      <c r="AX178" s="324" t="n">
        <f aca="false">IF(AH178,xASN(AL178,Strike2,AE178,AQ178,0,N178,0,P178,Q178,IF(OptControl=3,1,0),1),0)</f>
        <v>0</v>
      </c>
      <c r="AY178" s="324" t="n">
        <f aca="false">IF(AH178,xASN(AL178,Strike2,AE178,AQ178,0,N178,0,P178,Q178,IF(OptControl=3,1,0),2),0)</f>
        <v>0</v>
      </c>
      <c r="AZ178" s="324" t="n">
        <f aca="false">IF(AH178,xASN(AL178,Strike2,AE178,AQ178,0,N178,0,P178,Q178,IF(OptControl=3,1,0),3)/100,0)</f>
        <v>0</v>
      </c>
      <c r="BA178" s="324" t="n">
        <f aca="false">IF(AH178,xASN(AL178,Strike2,AE178,AQ178,0,N178,0,P178-DaysForThetaCalculation/365.25,Q178-DaysForThetaCalculation/365.25,IF(OptControl=3,1,0),0)-xASN(AL178,Strike2,AE178,AQ178,0,N178,0,P178,Q178,IF(OptControl=3,1,0),0),0)</f>
        <v>0</v>
      </c>
      <c r="BB178" s="325" t="str">
        <f aca="false">IF(AH178,IF(ProductGroup=1,IF(Product=1,BX178+PriceSpreadEuro,IF(Product=3,CK178+PriceSpreadEuro,"N/A")),"N/A"),"")</f>
        <v/>
      </c>
      <c r="BC178" s="316" t="str">
        <f aca="false">IF(AH178,Strike1/BB178-1,"")</f>
        <v/>
      </c>
      <c r="BD178" s="316" t="str">
        <f aca="false">IF(AH178,Strike2/BB178-1,"")</f>
        <v/>
      </c>
      <c r="BE178" s="326" t="str">
        <f aca="false">IF(AH178,IF(VolOverrideEuro,VolOverrideEuro,IF(ProductGroup=1,IF(Product&lt;3,DA178,DE178)+VolSpreadEuro,"N/A")),"")</f>
        <v/>
      </c>
      <c r="BF178" s="323" t="str">
        <f aca="false">IF($AH178,$BE178+IF(SkewFlag=1,IF(BC178&gt;0,$AA178*MIN(BC178/10%,1)+($Z178-$AA178)*MAX(0,MIN(BC178/10%-1,1))+($Y178-$Z178)*MAX(0,BC178/10%-2),$AB178*MIN(-BC178/10%,1)+($AC178-$AB178)*MAX(0,MIN(-BC178/10%-1,1))+($AD178-$AC178)*MAX(0,-BC178/10%-2)),0),"")</f>
        <v/>
      </c>
      <c r="BG178" s="323" t="str">
        <f aca="false">IF($AH178,$BE178+IF(SkewFlag=1,IF(BD178&gt;0,$AA178*MIN(BD178/10%,1)+($Z178-$AA178)*MAX(0,MIN(BD178/10%-1,1))+($Y178-$Z178)*MAX(0,BD178/10%-2),$AB178*MIN(-BD178/10%,1)+($AC178-$AB178)*MAX(0,MIN(-BD178/10%-1,1))+($AD178-$AC178)*MAX(0,-BD178/10%-2)),0),"")</f>
        <v/>
      </c>
      <c r="BH178" s="324" t="n">
        <f aca="false">IF(AH178,xEURO(BB178,Strike1,AE178,AE178,BF178,O178,IF(OptControl=4,0,1),0),0)</f>
        <v>0</v>
      </c>
      <c r="BI178" s="324" t="n">
        <f aca="false">IF(AH178,xEURO(BB178,Strike1,AE178,AE178,BF178,O178,IF(OptControl=4,0,1),1),0)</f>
        <v>0</v>
      </c>
      <c r="BJ178" s="324" t="n">
        <f aca="false">IF(AH178,xEURO(BB178,Strike1,AE178,AE178,BF178,O178,IF(OptControl=4,0,1),2),0)</f>
        <v>0</v>
      </c>
      <c r="BK178" s="324" t="n">
        <f aca="false">IF(AH178,xEURO(BB178,Strike1,AE178,AE178,BF178,O178,IF(OptControl=4,0,1),3)/100,0)</f>
        <v>0</v>
      </c>
      <c r="BL178" s="324" t="n">
        <f aca="false">IF(AH178,xEURO(BB178,Strike1,AE178,AE178,BF178,O178-DaysForThetaCalculation,IF(OptControl=4,0,1),0)-xEURO(BB178,Strike1,AE178,AE178,BF178,O178,IF(OptControl=4,0,1),0),0)</f>
        <v>0</v>
      </c>
      <c r="BM178" s="324" t="n">
        <f aca="false">IF(AH178,xEURO(BB178,Strike2,AE178,AE178,BG178,O178,IF(OptControl=3,1,0),0),0)</f>
        <v>0</v>
      </c>
      <c r="BN178" s="324" t="n">
        <f aca="false">IF(AH178,xEURO(BB178,Strike2,AE178,AE178,BG178,O178,IF(OptControl=3,1,0),1),0)</f>
        <v>0</v>
      </c>
      <c r="BO178" s="324" t="n">
        <f aca="false">IF(AH178,xEURO(BB178,Strike2,AE178,AE178,BG178,O178,IF(OptControl=3,1,0),2),0)</f>
        <v>0</v>
      </c>
      <c r="BP178" s="324" t="n">
        <f aca="false">IF(AH178,xEURO(BB178,Strike2,AE178,AE178,BG178,O178,IF(OptControl=3,1,0),3)/100,0)</f>
        <v>0</v>
      </c>
      <c r="BQ178" s="327" t="n">
        <f aca="false">IF(AH178,xEURO(BB178,Strike2,AE178,AE178,BG178,O178-DaysForThetaCalculation,IF(OptControl=3,1,0),0)-xEURO(BB178,Strike2,AE178,AE178,BG178,O178,IF(OptControl=3,1,0),0),0)</f>
        <v>0</v>
      </c>
      <c r="BR178" s="343"/>
      <c r="BS178" s="314"/>
      <c r="BT178" s="329" t="n">
        <f aca="false">BS178*100/42</f>
        <v>0</v>
      </c>
      <c r="BU178" s="329" t="n">
        <f aca="false">BS179-$U178</f>
        <v>-33.0452380952383</v>
      </c>
      <c r="BV178" s="224"/>
      <c r="BW178" s="329" t="n">
        <f aca="false">BW166+VLOOKUP(1900+$L178,ProductSpreadTable,2)</f>
        <v>16.089</v>
      </c>
      <c r="BX178" s="329" t="n">
        <f aca="false">($V177+BW177)*100/42</f>
        <v>115.679004329005</v>
      </c>
      <c r="BY178" s="332" t="n">
        <f aca="false">BX179</f>
        <v>116.986281179139</v>
      </c>
      <c r="BZ178" s="314"/>
      <c r="CA178" s="329" t="n">
        <f aca="false">BZ178*100/42</f>
        <v>0</v>
      </c>
      <c r="CB178" s="329" t="n">
        <f aca="false">BZ178-$U178</f>
        <v>-33.0452380952383</v>
      </c>
      <c r="CC178" s="329" t="n">
        <f aca="false">CC166+VLOOKUP(1900+$L178,ProductSpreadTable,3)</f>
        <v>13.674</v>
      </c>
      <c r="CD178" s="329" t="n">
        <f aca="false">($V178+CC178)*100/42</f>
        <v>111.236281179139</v>
      </c>
      <c r="CE178" s="333" t="n">
        <f aca="false">CD178-BY178</f>
        <v>-5.75</v>
      </c>
      <c r="CF178" s="314"/>
      <c r="CG178" s="329" t="n">
        <f aca="false">CF178*100/42</f>
        <v>0</v>
      </c>
      <c r="CH178" s="329" t="n">
        <f aca="false">CF179-$U178</f>
        <v>-33.0452380952383</v>
      </c>
      <c r="CI178" s="224"/>
      <c r="CJ178" s="329" t="n">
        <f aca="false">CJ166+VLOOKUP(1900+$L178,ProductSpreadTable,4)</f>
        <v>9.9859999999999</v>
      </c>
      <c r="CK178" s="329" t="n">
        <f aca="false">($V177+CJ177)*100/42</f>
        <v>100.402164502165</v>
      </c>
      <c r="CL178" s="329" t="n">
        <f aca="false">CK179</f>
        <v>102.455328798186</v>
      </c>
      <c r="CM178" s="314"/>
      <c r="CN178" s="329" t="n">
        <f aca="false">CM178*100/42</f>
        <v>0</v>
      </c>
      <c r="CO178" s="329" t="n">
        <f aca="false">CM178-$U178</f>
        <v>-33.0452380952383</v>
      </c>
      <c r="CP178" s="329" t="n">
        <f aca="false">CP166+VLOOKUP(1900+$L178,ProductSpreadTable,5)</f>
        <v>9.0619999999999</v>
      </c>
      <c r="CQ178" s="329" t="n">
        <f aca="false">($V178+CP178)*100/42</f>
        <v>100.255328798186</v>
      </c>
      <c r="CR178" s="333" t="n">
        <f aca="false">CQ178-CL178</f>
        <v>-2.2</v>
      </c>
      <c r="CS178" s="314"/>
      <c r="CT178" s="329" t="n">
        <f aca="false">CS178*100/42</f>
        <v>0</v>
      </c>
      <c r="CU178" s="329" t="n">
        <f aca="false">CT178-CG179</f>
        <v>0</v>
      </c>
      <c r="CV178" s="329" t="n">
        <f aca="false">CV166+VLOOKUP(1900+$L178,ProductSpreadTable,6)</f>
        <v>2.54999999999999</v>
      </c>
      <c r="CW178" s="333" t="n">
        <f aca="false">CL178+CV178</f>
        <v>105.005328798186</v>
      </c>
      <c r="CX178" s="318"/>
      <c r="CY178" s="326" t="n">
        <f aca="false">CX178-$W178</f>
        <v>-0.148499999999998</v>
      </c>
      <c r="CZ178" s="326" t="n">
        <f aca="false">VLOOKUP(1900+$L178,ProductSpreadTable,7)</f>
        <v>-0.03</v>
      </c>
      <c r="DA178" s="365" t="n">
        <f aca="false">$W178+CZ178</f>
        <v>0.118499999999998</v>
      </c>
      <c r="DB178" s="318"/>
      <c r="DC178" s="326" t="n">
        <f aca="false">DB178-$W178</f>
        <v>-0.148499999999998</v>
      </c>
      <c r="DD178" s="326" t="n">
        <f aca="false">VLOOKUP(1900+$L178,ProductSpreadTable,8)</f>
        <v>0.03</v>
      </c>
      <c r="DE178" s="365" t="n">
        <f aca="false">$W178+DD178</f>
        <v>0.178499999999998</v>
      </c>
      <c r="DG178" s="336"/>
      <c r="DH178" s="314"/>
      <c r="DI178" s="325" t="n">
        <f aca="false">DH178-$U178</f>
        <v>-33.0452380952383</v>
      </c>
      <c r="DJ178" s="325" t="n">
        <f aca="false">VLOOKUP(1900+$L178,ResidSpreadTable,2)</f>
        <v>-2</v>
      </c>
      <c r="DK178" s="337" t="n">
        <f aca="false">$V178+DJ178</f>
        <v>31.0452380952383</v>
      </c>
      <c r="DL178" s="314"/>
      <c r="DM178" s="325" t="n">
        <f aca="false">DL178-$U178</f>
        <v>-33.0452380952383</v>
      </c>
      <c r="DN178" s="325" t="n">
        <f aca="false">VLOOKUP(1900+$L178,ResidSpreadTable,3)</f>
        <v>-3</v>
      </c>
      <c r="DO178" s="337" t="n">
        <f aca="false">$V178+DN178</f>
        <v>30.0452380952383</v>
      </c>
      <c r="DP178" s="314"/>
      <c r="DQ178" s="325" t="n">
        <f aca="false">DP178-$U178</f>
        <v>-33.0452380952383</v>
      </c>
      <c r="DR178" s="325" t="n">
        <f aca="false">VLOOKUP(1900+$L178,ResidSpreadTable,4)</f>
        <v>-6</v>
      </c>
      <c r="DS178" s="337" t="n">
        <f aca="false">$V178+DR178</f>
        <v>27.0452380952383</v>
      </c>
      <c r="DT178" s="314"/>
      <c r="DU178" s="325" t="n">
        <f aca="false">DT178-$U178</f>
        <v>-33.0452380952383</v>
      </c>
      <c r="DV178" s="325" t="n">
        <f aca="false">VLOOKUP(1900+$L178,ResidSpreadTable,5)</f>
        <v>-5</v>
      </c>
      <c r="DW178" s="337" t="n">
        <f aca="false">$V178+DV178</f>
        <v>28.0452380952383</v>
      </c>
    </row>
    <row r="179" customFormat="false" ht="12.75" hidden="false" customHeight="false" outlineLevel="0" collapsed="false">
      <c r="B179" s="371" t="n">
        <v>41000</v>
      </c>
      <c r="C179" s="391" t="n">
        <v>40988</v>
      </c>
      <c r="I179" s="338" t="n">
        <f aca="false">EOMONTH(I178,0)+1</f>
        <v>51196</v>
      </c>
      <c r="J179" s="389" t="n">
        <f aca="false">VLOOKUP(I179,$B$12:$C$332,2)</f>
        <v>45644</v>
      </c>
      <c r="K179" s="339" t="n">
        <f aca="false">NETWORKDAYS(I179,J180)/N179</f>
        <v>-180.318181818182</v>
      </c>
      <c r="L179" s="309" t="n">
        <f aca="false">YEAR(I179)-1900</f>
        <v>140</v>
      </c>
      <c r="M179" s="310" t="n">
        <f aca="false">MONTH(I179)</f>
        <v>3</v>
      </c>
      <c r="N179" s="340" t="n">
        <f aca="false">NETWORKDAYS(I179,I180-1)</f>
        <v>22</v>
      </c>
      <c r="O179" s="341" t="n">
        <f aca="false">I179-DateToday-IF(EuroExpDateToggle=1,3+IF(WEEKDAY(I179-1)=7,1,IF(WEEKDAY(I179-1)&lt;5,2,0)),1+IF(WEEKDAY(I179-1)=7,1,IF(WEEKDAY(I179-1)&lt;3,2,0)))</f>
        <v>5265</v>
      </c>
      <c r="P179" s="342" t="n">
        <f aca="false">(I179-DateToday+1)/365.25</f>
        <v>14.4312114989733</v>
      </c>
      <c r="Q179" s="342" t="n">
        <f aca="false">(I180-DateToday)/365.25</f>
        <v>14.5133470225873</v>
      </c>
      <c r="R179" s="314" t="n">
        <v>23.6000000000001</v>
      </c>
      <c r="S179" s="347" t="n">
        <v>0</v>
      </c>
      <c r="T179" s="316" t="n">
        <f aca="false">R179+S179/100</f>
        <v>23.6000000000001</v>
      </c>
      <c r="U179" s="325" t="n">
        <f aca="false">R180*K179+R181*(1-K179)</f>
        <v>32.715909090909</v>
      </c>
      <c r="V179" s="337" t="n">
        <f aca="false">T180*K179+T181*(1-K179)</f>
        <v>32.715909090909</v>
      </c>
      <c r="W179" s="318" t="n">
        <v>0.148099999999998</v>
      </c>
      <c r="X179" s="319" t="str">
        <f aca="false">IF($I179-DateToday+1&gt;=$A$10,"",IF($I179-DateToday+1&lt;$A$5,1,MATCH($I179-DateToday+1,$A$5:$A$10)))</f>
        <v/>
      </c>
      <c r="Y179" s="348" t="n">
        <f aca="false">IF($X179="",Y178^2/Y177,INDEX(B$5:B$10,$X179)^((INDEX($A$5:$A$10,$X179+1)-($I179-DateToday+1))/(INDEX($A$5:$A$10,$X179+1)-INDEX($A$5:$A$10,$X179)))/INDEX(B$5:B$10,$X179+1)^((INDEX($A$5:$A$10,$X179)-($I179-DateToday+1))/(INDEX($A$5:$A$10,$X179+1)-INDEX($A$5:$A$10,$X179))))</f>
        <v>0.000362738480097361</v>
      </c>
      <c r="Z179" s="348" t="n">
        <f aca="false">IF($X179="",Z178^2/Z177,INDEX(C$5:C$10,$X179)^((INDEX($A$5:$A$10,$X179+1)-($I179-DateToday+1))/(INDEX($A$5:$A$10,$X179+1)-INDEX($A$5:$A$10,$X179)))/INDEX(C$5:C$10,$X179+1)^((INDEX($A$5:$A$10,$X179)-($I179-DateToday+1))/(INDEX($A$5:$A$10,$X179+1)-INDEX($A$5:$A$10,$X179))))</f>
        <v>8.82286791236815E-005</v>
      </c>
      <c r="AA179" s="348" t="n">
        <f aca="false">IF($X179="",AA178^2/AA177,INDEX(D$5:D$10,$X179)^((INDEX($A$5:$A$10,$X179+1)-($I179-DateToday+1))/(INDEX($A$5:$A$10,$X179+1)-INDEX($A$5:$A$10,$X179)))/INDEX(D$5:D$10,$X179+1)^((INDEX($A$5:$A$10,$X179)-($I179-DateToday+1))/(INDEX($A$5:$A$10,$X179+1)-INDEX($A$5:$A$10,$X179))))</f>
        <v>2.64165958844189E-005</v>
      </c>
      <c r="AB179" s="348" t="n">
        <f aca="false">IF($X179="",AB178^2/AB177,INDEX(E$5:E$10,$X179)^((INDEX($A$5:$A$10,$X179+1)-($I179-DateToday+1))/(INDEX($A$5:$A$10,$X179+1)-INDEX($A$5:$A$10,$X179)))/INDEX(E$5:E$10,$X179+1)^((INDEX($A$5:$A$10,$X179)-($I179-DateToday+1))/(INDEX($A$5:$A$10,$X179+1)-INDEX($A$5:$A$10,$X179))))</f>
        <v>5.95113072084252E-005</v>
      </c>
      <c r="AC179" s="348" t="n">
        <f aca="false">IF($X179="",AC178^2/AC177,INDEX(F$5:F$10,$X179)^((INDEX($A$5:$A$10,$X179+1)-($I179-DateToday+1))/(INDEX($A$5:$A$10,$X179+1)-INDEX($A$5:$A$10,$X179)))/INDEX(F$5:F$10,$X179+1)^((INDEX($A$5:$A$10,$X179)-($I179-DateToday+1))/(INDEX($A$5:$A$10,$X179+1)-INDEX($A$5:$A$10,$X179))))</f>
        <v>0.000198761568329827</v>
      </c>
      <c r="AD179" s="348" t="n">
        <f aca="false">IF($X179="",AD178^2/AD177,INDEX(G$5:G$10,$X179)^((INDEX($A$5:$A$10,$X179+1)-($I179-DateToday+1))/(INDEX($A$5:$A$10,$X179+1)-INDEX($A$5:$A$10,$X179)))/INDEX(G$5:G$10,$X179+1)^((INDEX($A$5:$A$10,$X179)-($I179-DateToday+1))/(INDEX($A$5:$A$10,$X179+1)-INDEX($A$5:$A$10,$X179))))</f>
        <v>0.000817177247963243</v>
      </c>
      <c r="AE179" s="321" t="n">
        <v>0.073569964234771</v>
      </c>
      <c r="AF179" s="316" t="n">
        <f aca="false">(1+AE179/2)^(-2*(I180-DateToday)/365.25)</f>
        <v>0.350436205476845</v>
      </c>
      <c r="AG179" s="316" t="n">
        <f aca="false">AG178*(1+IF(AND(M179=1,L179&gt;YearStart),Escalation,0))</f>
        <v>1</v>
      </c>
      <c r="AH179" s="322" t="n">
        <f aca="false">IF(OR(DateStart&gt;=I180,DateEnd&lt;I179),0,Volume*AG179)</f>
        <v>0</v>
      </c>
      <c r="AI179" s="322" t="n">
        <f aca="false">AH179*AF179</f>
        <v>0</v>
      </c>
      <c r="AJ179" s="322" t="n">
        <f aca="false">IF(OR(DateStart2&gt;=I180,DateEnd2&lt;I179),0,VolumeSwaption*AG179)</f>
        <v>0</v>
      </c>
      <c r="AK179" s="322" t="n">
        <f aca="false">AJ179*AF179</f>
        <v>0</v>
      </c>
      <c r="AL179" s="316" t="str">
        <f aca="true">IF(AH179,OFFSET(BY179,0,HorizontalPriceOffset)+PriceSpreadAsian,"")</f>
        <v/>
      </c>
      <c r="AM179" s="316" t="str">
        <f aca="false">IF(AH179,Strike1/AL179-1,"")</f>
        <v/>
      </c>
      <c r="AN179" s="316" t="str">
        <f aca="false">IF(AH179,Strike2/AL179-1,"")</f>
        <v/>
      </c>
      <c r="AO179" s="323" t="str">
        <f aca="false">IF(AH179,IF(VolOverrideAsian,VolOverrideAsian,IF(ProductGroup=1,IF(Product&lt;3,DA180,DE180),W180)+VolSpreadAsian),"")</f>
        <v/>
      </c>
      <c r="AP179" s="323" t="str">
        <f aca="false">IF($AH179,$AO179+IF(SkewFlag=1,IF(AM179&gt;0,$AA179*MIN(AM179/10%,1)+($Z179-$AA179)*MAX(0,MIN(AM179/10%-1,1))+($Y179-$Z179)*MAX(0,AM179/10%-2),$AB179*MIN(-AM179/10%,1)+($AC179-$AB179)*MAX(0,MIN(-AM179/10%-1,1))+($AD179-$AC179)*MAX(0,-AM179/10%-2)),0),"")</f>
        <v/>
      </c>
      <c r="AQ179" s="323" t="str">
        <f aca="false">IF($AH179,$AO179+IF(SkewFlag=1,IF(AN179&gt;0,$AA179*MIN(AN179/10%,1)+($Z179-$AA179)*MAX(0,MIN(AN179/10%-1,1))+($Y179-$Z179)*MAX(0,AN179/10%-2),$AB179*MIN(-AN179/10%,1)+($AC179-$AB179)*MAX(0,MIN(-AN179/10%-1,1))+($AD179-$AC179)*MAX(0,-AN179/10%-2)),0),"")</f>
        <v/>
      </c>
      <c r="AR179" s="324" t="n">
        <f aca="false">IF(AH179,xASN(AL179,Strike1,AE179,AP179,0,N179,0,P179,Q179,IF(OptControl=4,0,1),0),0)</f>
        <v>0</v>
      </c>
      <c r="AS179" s="324" t="n">
        <f aca="false">IF(AH179,xASN(AL179,Strike1,AE179,AP179,0,N179,0,P179,Q179,IF(OptControl=4,0,1),1),0)</f>
        <v>0</v>
      </c>
      <c r="AT179" s="324" t="n">
        <f aca="false">IF(AH179,xASN(AL179,Strike1,AE179,AP179,0,N179,0,P179,Q179,IF(OptControl=4,0,1),2),0)</f>
        <v>0</v>
      </c>
      <c r="AU179" s="324" t="n">
        <f aca="false">IF(AH179,xASN(AL179,Strike1,AE179,AP179,0,N179,0,P179,Q179,IF(OptControl=4,0,1),3)/100,0)</f>
        <v>0</v>
      </c>
      <c r="AV179" s="324" t="n">
        <f aca="false">IF(AH179,xASN(AL179,Strike1,AE179,AP179,0,N179,0,P179-DaysForThetaCalculation/365.25,Q179-DaysForThetaCalculation/365.25,IF(OptControl=4,0,1),0)-xASN(AL179,Strike1,AE179,AP179,0,N179,0,P179,Q179,IF(OptControl=4,0,1),0),0)</f>
        <v>0</v>
      </c>
      <c r="AW179" s="324" t="n">
        <f aca="false">IF(AH179,xASN(AL179,Strike2,AE179,AQ179,0,N179,0,P179,Q179,IF(OptControl=3,1,0),0),0)</f>
        <v>0</v>
      </c>
      <c r="AX179" s="324" t="n">
        <f aca="false">IF(AH179,xASN(AL179,Strike2,AE179,AQ179,0,N179,0,P179,Q179,IF(OptControl=3,1,0),1),0)</f>
        <v>0</v>
      </c>
      <c r="AY179" s="324" t="n">
        <f aca="false">IF(AH179,xASN(AL179,Strike2,AE179,AQ179,0,N179,0,P179,Q179,IF(OptControl=3,1,0),2),0)</f>
        <v>0</v>
      </c>
      <c r="AZ179" s="324" t="n">
        <f aca="false">IF(AH179,xASN(AL179,Strike2,AE179,AQ179,0,N179,0,P179,Q179,IF(OptControl=3,1,0),3)/100,0)</f>
        <v>0</v>
      </c>
      <c r="BA179" s="324" t="n">
        <f aca="false">IF(AH179,xASN(AL179,Strike2,AE179,AQ179,0,N179,0,P179-DaysForThetaCalculation/365.25,Q179-DaysForThetaCalculation/365.25,IF(OptControl=3,1,0),0)-xASN(AL179,Strike2,AE179,AQ179,0,N179,0,P179,Q179,IF(OptControl=3,1,0),0),0)</f>
        <v>0</v>
      </c>
      <c r="BB179" s="325" t="str">
        <f aca="false">IF(AH179,IF(ProductGroup=1,IF(Product=1,BX179+PriceSpreadEuro,IF(Product=3,CK179+PriceSpreadEuro,"N/A")),"N/A"),"")</f>
        <v/>
      </c>
      <c r="BC179" s="316" t="str">
        <f aca="false">IF(AH179,Strike1/BB179-1,"")</f>
        <v/>
      </c>
      <c r="BD179" s="316" t="str">
        <f aca="false">IF(AH179,Strike2/BB179-1,"")</f>
        <v/>
      </c>
      <c r="BE179" s="326" t="str">
        <f aca="false">IF(AH179,IF(VolOverrideEuro,VolOverrideEuro,IF(ProductGroup=1,IF(Product&lt;3,DA179,DE179)+VolSpreadEuro,"N/A")),"")</f>
        <v/>
      </c>
      <c r="BF179" s="323" t="str">
        <f aca="false">IF($AH179,$BE179+IF(SkewFlag=1,IF(BC179&gt;0,$AA179*MIN(BC179/10%,1)+($Z179-$AA179)*MAX(0,MIN(BC179/10%-1,1))+($Y179-$Z179)*MAX(0,BC179/10%-2),$AB179*MIN(-BC179/10%,1)+($AC179-$AB179)*MAX(0,MIN(-BC179/10%-1,1))+($AD179-$AC179)*MAX(0,-BC179/10%-2)),0),"")</f>
        <v/>
      </c>
      <c r="BG179" s="323" t="str">
        <f aca="false">IF($AH179,$BE179+IF(SkewFlag=1,IF(BD179&gt;0,$AA179*MIN(BD179/10%,1)+($Z179-$AA179)*MAX(0,MIN(BD179/10%-1,1))+($Y179-$Z179)*MAX(0,BD179/10%-2),$AB179*MIN(-BD179/10%,1)+($AC179-$AB179)*MAX(0,MIN(-BD179/10%-1,1))+($AD179-$AC179)*MAX(0,-BD179/10%-2)),0),"")</f>
        <v/>
      </c>
      <c r="BH179" s="324" t="n">
        <f aca="false">IF(AH179,xEURO(BB179,Strike1,AE179,AE179,BF179,O179,IF(OptControl=4,0,1),0),0)</f>
        <v>0</v>
      </c>
      <c r="BI179" s="324" t="n">
        <f aca="false">IF(AH179,xEURO(BB179,Strike1,AE179,AE179,BF179,O179,IF(OptControl=4,0,1),1),0)</f>
        <v>0</v>
      </c>
      <c r="BJ179" s="324" t="n">
        <f aca="false">IF(AH179,xEURO(BB179,Strike1,AE179,AE179,BF179,O179,IF(OptControl=4,0,1),2),0)</f>
        <v>0</v>
      </c>
      <c r="BK179" s="324" t="n">
        <f aca="false">IF(AH179,xEURO(BB179,Strike1,AE179,AE179,BF179,O179,IF(OptControl=4,0,1),3)/100,0)</f>
        <v>0</v>
      </c>
      <c r="BL179" s="324" t="n">
        <f aca="false">IF(AH179,xEURO(BB179,Strike1,AE179,AE179,BF179,O179-DaysForThetaCalculation,IF(OptControl=4,0,1),0)-xEURO(BB179,Strike1,AE179,AE179,BF179,O179,IF(OptControl=4,0,1),0),0)</f>
        <v>0</v>
      </c>
      <c r="BM179" s="324" t="n">
        <f aca="false">IF(AH179,xEURO(BB179,Strike2,AE179,AE179,BG179,O179,IF(OptControl=3,1,0),0),0)</f>
        <v>0</v>
      </c>
      <c r="BN179" s="324" t="n">
        <f aca="false">IF(AH179,xEURO(BB179,Strike2,AE179,AE179,BG179,O179,IF(OptControl=3,1,0),1),0)</f>
        <v>0</v>
      </c>
      <c r="BO179" s="324" t="n">
        <f aca="false">IF(AH179,xEURO(BB179,Strike2,AE179,AE179,BG179,O179,IF(OptControl=3,1,0),2),0)</f>
        <v>0</v>
      </c>
      <c r="BP179" s="324" t="n">
        <f aca="false">IF(AH179,xEURO(BB179,Strike2,AE179,AE179,BG179,O179,IF(OptControl=3,1,0),3)/100,0)</f>
        <v>0</v>
      </c>
      <c r="BQ179" s="327" t="n">
        <f aca="false">IF(AH179,xEURO(BB179,Strike2,AE179,AE179,BG179,O179-DaysForThetaCalculation,IF(OptControl=3,1,0),0)-xEURO(BB179,Strike2,AE179,AE179,BG179,O179,IF(OptControl=3,1,0),0),0)</f>
        <v>0</v>
      </c>
      <c r="BR179" s="343"/>
      <c r="BS179" s="314"/>
      <c r="BT179" s="329" t="n">
        <f aca="false">BS179*100/42</f>
        <v>0</v>
      </c>
      <c r="BU179" s="329" t="n">
        <f aca="false">BS180-$U179</f>
        <v>-32.715909090909</v>
      </c>
      <c r="BV179" s="224"/>
      <c r="BW179" s="329" t="n">
        <f aca="false">BW167+VLOOKUP(1900+$L179,ProductSpreadTable,2)</f>
        <v>13.6169999999999</v>
      </c>
      <c r="BX179" s="329" t="n">
        <f aca="false">($V178+BW178)*100/42</f>
        <v>116.986281179139</v>
      </c>
      <c r="BY179" s="332" t="n">
        <f aca="false">BX180</f>
        <v>110.31645021645</v>
      </c>
      <c r="BZ179" s="314"/>
      <c r="CA179" s="329" t="n">
        <f aca="false">BZ179*100/42</f>
        <v>0</v>
      </c>
      <c r="CB179" s="329" t="n">
        <f aca="false">BZ179-$U179</f>
        <v>-32.715909090909</v>
      </c>
      <c r="CC179" s="329" t="n">
        <f aca="false">CC167+VLOOKUP(1900+$L179,ProductSpreadTable,3)</f>
        <v>11.2019999999999</v>
      </c>
      <c r="CD179" s="329" t="n">
        <f aca="false">($V179+CC179)*100/42</f>
        <v>104.56645021645</v>
      </c>
      <c r="CE179" s="333" t="n">
        <f aca="false">CD179-BY179</f>
        <v>-5.75</v>
      </c>
      <c r="CF179" s="314"/>
      <c r="CG179" s="329" t="n">
        <f aca="false">CF179*100/42</f>
        <v>0</v>
      </c>
      <c r="CH179" s="329" t="n">
        <f aca="false">CF180-$U179</f>
        <v>-32.715909090909</v>
      </c>
      <c r="CI179" s="224"/>
      <c r="CJ179" s="329" t="n">
        <f aca="false">CJ167+VLOOKUP(1900+$L179,ProductSpreadTable,4)</f>
        <v>11.5089999999999</v>
      </c>
      <c r="CK179" s="329" t="n">
        <f aca="false">($V178+CJ178)*100/42</f>
        <v>102.455328798186</v>
      </c>
      <c r="CL179" s="329" t="n">
        <f aca="false">CK180</f>
        <v>105.297402597402</v>
      </c>
      <c r="CM179" s="314"/>
      <c r="CN179" s="329" t="n">
        <f aca="false">CM179*100/42</f>
        <v>0</v>
      </c>
      <c r="CO179" s="329" t="n">
        <f aca="false">CM179-$U179</f>
        <v>-32.715909090909</v>
      </c>
      <c r="CP179" s="329" t="n">
        <f aca="false">CP167+VLOOKUP(1900+$L179,ProductSpreadTable,5)</f>
        <v>9.00773913043482</v>
      </c>
      <c r="CQ179" s="329" t="n">
        <f aca="false">($V179+CP179)*100/42</f>
        <v>99.3420195746281</v>
      </c>
      <c r="CR179" s="333" t="n">
        <f aca="false">CQ179-CL179</f>
        <v>-5.9553830227741</v>
      </c>
      <c r="CS179" s="314"/>
      <c r="CT179" s="329" t="n">
        <f aca="false">CS179*100/42</f>
        <v>0</v>
      </c>
      <c r="CU179" s="329" t="n">
        <f aca="false">CT179-CG180</f>
        <v>0</v>
      </c>
      <c r="CV179" s="329" t="n">
        <f aca="false">CV167+VLOOKUP(1900+$L179,ProductSpreadTable,6)</f>
        <v>2.55000000000001</v>
      </c>
      <c r="CW179" s="333" t="n">
        <f aca="false">CL179+CV179</f>
        <v>107.847402597402</v>
      </c>
      <c r="CX179" s="318"/>
      <c r="CY179" s="326" t="n">
        <f aca="false">CX179-$W179</f>
        <v>-0.148099999999998</v>
      </c>
      <c r="CZ179" s="326" t="n">
        <f aca="false">VLOOKUP(1900+$L179,ProductSpreadTable,7)</f>
        <v>-0.03</v>
      </c>
      <c r="DA179" s="365" t="n">
        <f aca="false">$W179+CZ179</f>
        <v>0.118099999999998</v>
      </c>
      <c r="DB179" s="318"/>
      <c r="DC179" s="326" t="n">
        <f aca="false">DB179-$W179</f>
        <v>-0.148099999999998</v>
      </c>
      <c r="DD179" s="326" t="n">
        <f aca="false">VLOOKUP(1900+$L179,ProductSpreadTable,8)</f>
        <v>0.03</v>
      </c>
      <c r="DE179" s="365" t="n">
        <f aca="false">$W179+DD179</f>
        <v>0.178099999999998</v>
      </c>
      <c r="DG179" s="336"/>
      <c r="DH179" s="314"/>
      <c r="DI179" s="325" t="n">
        <f aca="false">DH179-$U179</f>
        <v>-32.715909090909</v>
      </c>
      <c r="DJ179" s="325" t="n">
        <f aca="false">VLOOKUP(1900+$L179,ResidSpreadTable,2)</f>
        <v>-2</v>
      </c>
      <c r="DK179" s="337" t="n">
        <f aca="false">$V179+DJ179</f>
        <v>30.715909090909</v>
      </c>
      <c r="DL179" s="314"/>
      <c r="DM179" s="325" t="n">
        <f aca="false">DL179-$U179</f>
        <v>-32.715909090909</v>
      </c>
      <c r="DN179" s="325" t="n">
        <f aca="false">VLOOKUP(1900+$L179,ResidSpreadTable,3)</f>
        <v>-3</v>
      </c>
      <c r="DO179" s="337" t="n">
        <f aca="false">$V179+DN179</f>
        <v>29.715909090909</v>
      </c>
      <c r="DP179" s="314"/>
      <c r="DQ179" s="325" t="n">
        <f aca="false">DP179-$U179</f>
        <v>-32.715909090909</v>
      </c>
      <c r="DR179" s="325" t="n">
        <f aca="false">VLOOKUP(1900+$L179,ResidSpreadTable,4)</f>
        <v>-6</v>
      </c>
      <c r="DS179" s="337" t="n">
        <f aca="false">$V179+DR179</f>
        <v>26.715909090909</v>
      </c>
      <c r="DT179" s="314"/>
      <c r="DU179" s="325" t="n">
        <f aca="false">DT179-$U179</f>
        <v>-32.715909090909</v>
      </c>
      <c r="DV179" s="325" t="n">
        <f aca="false">VLOOKUP(1900+$L179,ResidSpreadTable,5)</f>
        <v>-5</v>
      </c>
      <c r="DW179" s="337" t="n">
        <f aca="false">$V179+DV179</f>
        <v>27.715909090909</v>
      </c>
    </row>
    <row r="180" customFormat="false" ht="12.75" hidden="false" customHeight="false" outlineLevel="0" collapsed="false">
      <c r="B180" s="371" t="n">
        <v>41030</v>
      </c>
      <c r="C180" s="391" t="n">
        <v>41019</v>
      </c>
      <c r="I180" s="338" t="n">
        <f aca="false">EOMONTH(I179,0)+1</f>
        <v>51227</v>
      </c>
      <c r="J180" s="389" t="n">
        <f aca="false">VLOOKUP(I180,$B$12:$C$332,2)</f>
        <v>45644</v>
      </c>
      <c r="K180" s="339" t="n">
        <f aca="false">NETWORKDAYS(I180,J181)/N180</f>
        <v>-189.904761904762</v>
      </c>
      <c r="L180" s="309" t="n">
        <f aca="false">YEAR(I180)-1900</f>
        <v>140</v>
      </c>
      <c r="M180" s="310" t="n">
        <f aca="false">MONTH(I180)</f>
        <v>4</v>
      </c>
      <c r="N180" s="340" t="n">
        <f aca="false">NETWORKDAYS(I180,I181-1)</f>
        <v>21</v>
      </c>
      <c r="O180" s="341" t="n">
        <f aca="false">I180-DateToday-IF(EuroExpDateToggle=1,3+IF(WEEKDAY(I180-1)=7,1,IF(WEEKDAY(I180-1)&lt;5,2,0)),1+IF(WEEKDAY(I180-1)=7,1,IF(WEEKDAY(I180-1)&lt;3,2,0)))</f>
        <v>5297</v>
      </c>
      <c r="P180" s="342" t="n">
        <f aca="false">(I180-DateToday+1)/365.25</f>
        <v>14.5160848733744</v>
      </c>
      <c r="Q180" s="342" t="n">
        <f aca="false">(I181-DateToday)/365.25</f>
        <v>14.5954825462012</v>
      </c>
      <c r="R180" s="314" t="n">
        <v>23.6500000000001</v>
      </c>
      <c r="S180" s="347" t="n">
        <v>0</v>
      </c>
      <c r="T180" s="316" t="n">
        <f aca="false">R180+S180/100</f>
        <v>23.6500000000001</v>
      </c>
      <c r="U180" s="325" t="n">
        <f aca="false">R181*K180+R182*(1-K180)</f>
        <v>33.2452380952382</v>
      </c>
      <c r="V180" s="337" t="n">
        <f aca="false">T181*K180+T182*(1-K180)</f>
        <v>33.2452380952382</v>
      </c>
      <c r="W180" s="318" t="n">
        <v>0.147699999999998</v>
      </c>
      <c r="X180" s="319" t="str">
        <f aca="false">IF($I180-DateToday+1&gt;=$A$10,"",IF($I180-DateToday+1&lt;$A$5,1,MATCH($I180-DateToday+1,$A$5:$A$10)))</f>
        <v/>
      </c>
      <c r="Y180" s="348" t="n">
        <f aca="false">IF($X180="",Y179^2/Y178,INDEX(B$5:B$10,$X180)^((INDEX($A$5:$A$10,$X180+1)-($I180-DateToday+1))/(INDEX($A$5:$A$10,$X180+1)-INDEX($A$5:$A$10,$X180)))/INDEX(B$5:B$10,$X180+1)^((INDEX($A$5:$A$10,$X180)-($I180-DateToday+1))/(INDEX($A$5:$A$10,$X180+1)-INDEX($A$5:$A$10,$X180))))</f>
        <v>0.000354972800937325</v>
      </c>
      <c r="Z180" s="348" t="n">
        <f aca="false">IF($X180="",Z179^2/Z178,INDEX(C$5:C$10,$X180)^((INDEX($A$5:$A$10,$X180+1)-($I180-DateToday+1))/(INDEX($A$5:$A$10,$X180+1)-INDEX($A$5:$A$10,$X180)))/INDEX(C$5:C$10,$X180+1)^((INDEX($A$5:$A$10,$X180)-($I180-DateToday+1))/(INDEX($A$5:$A$10,$X180+1)-INDEX($A$5:$A$10,$X180))))</f>
        <v>8.5877569319522E-005</v>
      </c>
      <c r="AA180" s="348" t="n">
        <f aca="false">IF($X180="",AA179^2/AA178,INDEX(D$5:D$10,$X180)^((INDEX($A$5:$A$10,$X180+1)-($I180-DateToday+1))/(INDEX($A$5:$A$10,$X180+1)-INDEX($A$5:$A$10,$X180)))/INDEX(D$5:D$10,$X180+1)^((INDEX($A$5:$A$10,$X180)-($I180-DateToday+1))/(INDEX($A$5:$A$10,$X180+1)-INDEX($A$5:$A$10,$X180))))</f>
        <v>2.56436979430475E-005</v>
      </c>
      <c r="AB180" s="348" t="n">
        <f aca="false">IF($X180="",AB179^2/AB178,INDEX(E$5:E$10,$X180)^((INDEX($A$5:$A$10,$X180+1)-($I180-DateToday+1))/(INDEX($A$5:$A$10,$X180+1)-INDEX($A$5:$A$10,$X180)))/INDEX(E$5:E$10,$X180+1)^((INDEX($A$5:$A$10,$X180)-($I180-DateToday+1))/(INDEX($A$5:$A$10,$X180+1)-INDEX($A$5:$A$10,$X180))))</f>
        <v>5.77701227261036E-005</v>
      </c>
      <c r="AC180" s="348" t="n">
        <f aca="false">IF($X180="",AC179^2/AC178,INDEX(F$5:F$10,$X180)^((INDEX($A$5:$A$10,$X180+1)-($I180-DateToday+1))/(INDEX($A$5:$A$10,$X180+1)-INDEX($A$5:$A$10,$X180)))/INDEX(F$5:F$10,$X180+1)^((INDEX($A$5:$A$10,$X180)-($I180-DateToday+1))/(INDEX($A$5:$A$10,$X180+1)-INDEX($A$5:$A$10,$X180))))</f>
        <v>0.000193464988163017</v>
      </c>
      <c r="AD180" s="348" t="n">
        <f aca="false">IF($X180="",AD179^2/AD178,INDEX(G$5:G$10,$X180)^((INDEX($A$5:$A$10,$X180+1)-($I180-DateToday+1))/(INDEX($A$5:$A$10,$X180+1)-INDEX($A$5:$A$10,$X180)))/INDEX(G$5:G$10,$X180+1)^((INDEX($A$5:$A$10,$X180)-($I180-DateToday+1))/(INDEX($A$5:$A$10,$X180+1)-INDEX($A$5:$A$10,$X180))))</f>
        <v>0.000799682725951515</v>
      </c>
      <c r="AE180" s="321" t="n">
        <v>0.073566130468473</v>
      </c>
      <c r="AF180" s="316" t="n">
        <f aca="false">(1+AE180/2)^(-2*(I181-DateToday)/365.25)</f>
        <v>0.348381599991542</v>
      </c>
      <c r="AG180" s="316" t="n">
        <f aca="false">AG179*(1+IF(AND(M180=1,L180&gt;YearStart),Escalation,0))</f>
        <v>1</v>
      </c>
      <c r="AH180" s="322" t="n">
        <f aca="false">IF(OR(DateStart&gt;=I181,DateEnd&lt;I180),0,Volume*AG180)</f>
        <v>0</v>
      </c>
      <c r="AI180" s="322" t="n">
        <f aca="false">AH180*AF180</f>
        <v>0</v>
      </c>
      <c r="AJ180" s="322" t="n">
        <f aca="false">IF(OR(DateStart2&gt;=I181,DateEnd2&lt;I180),0,VolumeSwaption*AG180)</f>
        <v>0</v>
      </c>
      <c r="AK180" s="322" t="n">
        <f aca="false">AJ180*AF180</f>
        <v>0</v>
      </c>
      <c r="AL180" s="316" t="str">
        <f aca="true">IF(AH180,OFFSET(BY180,0,HorizontalPriceOffset)+PriceSpreadAsian,"")</f>
        <v/>
      </c>
      <c r="AM180" s="316" t="str">
        <f aca="false">IF(AH180,Strike1/AL180-1,"")</f>
        <v/>
      </c>
      <c r="AN180" s="316" t="str">
        <f aca="false">IF(AH180,Strike2/AL180-1,"")</f>
        <v/>
      </c>
      <c r="AO180" s="323" t="str">
        <f aca="false">IF(AH180,IF(VolOverrideAsian,VolOverrideAsian,IF(ProductGroup=1,IF(Product&lt;3,DA181,DE181),W181)+VolSpreadAsian),"")</f>
        <v/>
      </c>
      <c r="AP180" s="323" t="str">
        <f aca="false">IF($AH180,$AO180+IF(SkewFlag=1,IF(AM180&gt;0,$AA180*MIN(AM180/10%,1)+($Z180-$AA180)*MAX(0,MIN(AM180/10%-1,1))+($Y180-$Z180)*MAX(0,AM180/10%-2),$AB180*MIN(-AM180/10%,1)+($AC180-$AB180)*MAX(0,MIN(-AM180/10%-1,1))+($AD180-$AC180)*MAX(0,-AM180/10%-2)),0),"")</f>
        <v/>
      </c>
      <c r="AQ180" s="323" t="str">
        <f aca="false">IF($AH180,$AO180+IF(SkewFlag=1,IF(AN180&gt;0,$AA180*MIN(AN180/10%,1)+($Z180-$AA180)*MAX(0,MIN(AN180/10%-1,1))+($Y180-$Z180)*MAX(0,AN180/10%-2),$AB180*MIN(-AN180/10%,1)+($AC180-$AB180)*MAX(0,MIN(-AN180/10%-1,1))+($AD180-$AC180)*MAX(0,-AN180/10%-2)),0),"")</f>
        <v/>
      </c>
      <c r="AR180" s="324" t="n">
        <f aca="false">IF(AH180,xASN(AL180,Strike1,AE180,AP180,0,N180,0,P180,Q180,IF(OptControl=4,0,1),0),0)</f>
        <v>0</v>
      </c>
      <c r="AS180" s="324" t="n">
        <f aca="false">IF(AH180,xASN(AL180,Strike1,AE180,AP180,0,N180,0,P180,Q180,IF(OptControl=4,0,1),1),0)</f>
        <v>0</v>
      </c>
      <c r="AT180" s="324" t="n">
        <f aca="false">IF(AH180,xASN(AL180,Strike1,AE180,AP180,0,N180,0,P180,Q180,IF(OptControl=4,0,1),2),0)</f>
        <v>0</v>
      </c>
      <c r="AU180" s="324" t="n">
        <f aca="false">IF(AH180,xASN(AL180,Strike1,AE180,AP180,0,N180,0,P180,Q180,IF(OptControl=4,0,1),3)/100,0)</f>
        <v>0</v>
      </c>
      <c r="AV180" s="324" t="n">
        <f aca="false">IF(AH180,xASN(AL180,Strike1,AE180,AP180,0,N180,0,P180-DaysForThetaCalculation/365.25,Q180-DaysForThetaCalculation/365.25,IF(OptControl=4,0,1),0)-xASN(AL180,Strike1,AE180,AP180,0,N180,0,P180,Q180,IF(OptControl=4,0,1),0),0)</f>
        <v>0</v>
      </c>
      <c r="AW180" s="324" t="n">
        <f aca="false">IF(AH180,xASN(AL180,Strike2,AE180,AQ180,0,N180,0,P180,Q180,IF(OptControl=3,1,0),0),0)</f>
        <v>0</v>
      </c>
      <c r="AX180" s="324" t="n">
        <f aca="false">IF(AH180,xASN(AL180,Strike2,AE180,AQ180,0,N180,0,P180,Q180,IF(OptControl=3,1,0),1),0)</f>
        <v>0</v>
      </c>
      <c r="AY180" s="324" t="n">
        <f aca="false">IF(AH180,xASN(AL180,Strike2,AE180,AQ180,0,N180,0,P180,Q180,IF(OptControl=3,1,0),2),0)</f>
        <v>0</v>
      </c>
      <c r="AZ180" s="324" t="n">
        <f aca="false">IF(AH180,xASN(AL180,Strike2,AE180,AQ180,0,N180,0,P180,Q180,IF(OptControl=3,1,0),3)/100,0)</f>
        <v>0</v>
      </c>
      <c r="BA180" s="324" t="n">
        <f aca="false">IF(AH180,xASN(AL180,Strike2,AE180,AQ180,0,N180,0,P180-DaysForThetaCalculation/365.25,Q180-DaysForThetaCalculation/365.25,IF(OptControl=3,1,0),0)-xASN(AL180,Strike2,AE180,AQ180,0,N180,0,P180,Q180,IF(OptControl=3,1,0),0),0)</f>
        <v>0</v>
      </c>
      <c r="BB180" s="325" t="str">
        <f aca="false">IF(AH180,IF(ProductGroup=1,IF(Product=1,BX180+PriceSpreadEuro,IF(Product=3,CK180+PriceSpreadEuro,"N/A")),"N/A"),"")</f>
        <v/>
      </c>
      <c r="BC180" s="316" t="str">
        <f aca="false">IF(AH180,Strike1/BB180-1,"")</f>
        <v/>
      </c>
      <c r="BD180" s="316" t="str">
        <f aca="false">IF(AH180,Strike2/BB180-1,"")</f>
        <v/>
      </c>
      <c r="BE180" s="326" t="str">
        <f aca="false">IF(AH180,IF(VolOverrideEuro,VolOverrideEuro,IF(ProductGroup=1,IF(Product&lt;3,DA180,DE180)+VolSpreadEuro,"N/A")),"")</f>
        <v/>
      </c>
      <c r="BF180" s="323" t="str">
        <f aca="false">IF($AH180,$BE180+IF(SkewFlag=1,IF(BC180&gt;0,$AA180*MIN(BC180/10%,1)+($Z180-$AA180)*MAX(0,MIN(BC180/10%-1,1))+($Y180-$Z180)*MAX(0,BC180/10%-2),$AB180*MIN(-BC180/10%,1)+($AC180-$AB180)*MAX(0,MIN(-BC180/10%-1,1))+($AD180-$AC180)*MAX(0,-BC180/10%-2)),0),"")</f>
        <v/>
      </c>
      <c r="BG180" s="323" t="str">
        <f aca="false">IF($AH180,$BE180+IF(SkewFlag=1,IF(BD180&gt;0,$AA180*MIN(BD180/10%,1)+($Z180-$AA180)*MAX(0,MIN(BD180/10%-1,1))+($Y180-$Z180)*MAX(0,BD180/10%-2),$AB180*MIN(-BD180/10%,1)+($AC180-$AB180)*MAX(0,MIN(-BD180/10%-1,1))+($AD180-$AC180)*MAX(0,-BD180/10%-2)),0),"")</f>
        <v/>
      </c>
      <c r="BH180" s="324" t="n">
        <f aca="false">IF(AH180,xEURO(BB180,Strike1,AE180,AE180,BF180,O180,IF(OptControl=4,0,1),0),0)</f>
        <v>0</v>
      </c>
      <c r="BI180" s="324" t="n">
        <f aca="false">IF(AH180,xEURO(BB180,Strike1,AE180,AE180,BF180,O180,IF(OptControl=4,0,1),1),0)</f>
        <v>0</v>
      </c>
      <c r="BJ180" s="324" t="n">
        <f aca="false">IF(AH180,xEURO(BB180,Strike1,AE180,AE180,BF180,O180,IF(OptControl=4,0,1),2),0)</f>
        <v>0</v>
      </c>
      <c r="BK180" s="324" t="n">
        <f aca="false">IF(AH180,xEURO(BB180,Strike1,AE180,AE180,BF180,O180,IF(OptControl=4,0,1),3)/100,0)</f>
        <v>0</v>
      </c>
      <c r="BL180" s="324" t="n">
        <f aca="false">IF(AH180,xEURO(BB180,Strike1,AE180,AE180,BF180,O180-DaysForThetaCalculation,IF(OptControl=4,0,1),0)-xEURO(BB180,Strike1,AE180,AE180,BF180,O180,IF(OptControl=4,0,1),0),0)</f>
        <v>0</v>
      </c>
      <c r="BM180" s="324" t="n">
        <f aca="false">IF(AH180,xEURO(BB180,Strike2,AE180,AE180,BG180,O180,IF(OptControl=3,1,0),0),0)</f>
        <v>0</v>
      </c>
      <c r="BN180" s="324" t="n">
        <f aca="false">IF(AH180,xEURO(BB180,Strike2,AE180,AE180,BG180,O180,IF(OptControl=3,1,0),1),0)</f>
        <v>0</v>
      </c>
      <c r="BO180" s="324" t="n">
        <f aca="false">IF(AH180,xEURO(BB180,Strike2,AE180,AE180,BG180,O180,IF(OptControl=3,1,0),2),0)</f>
        <v>0</v>
      </c>
      <c r="BP180" s="324" t="n">
        <f aca="false">IF(AH180,xEURO(BB180,Strike2,AE180,AE180,BG180,O180,IF(OptControl=3,1,0),3)/100,0)</f>
        <v>0</v>
      </c>
      <c r="BQ180" s="327" t="n">
        <f aca="false">IF(AH180,xEURO(BB180,Strike2,AE180,AE180,BG180,O180-DaysForThetaCalculation,IF(OptControl=3,1,0),0)-xEURO(BB180,Strike2,AE180,AE180,BG180,O180,IF(OptControl=3,1,0),0),0)</f>
        <v>0</v>
      </c>
      <c r="BR180" s="343"/>
      <c r="BS180" s="314"/>
      <c r="BT180" s="329" t="n">
        <f aca="false">BS180*100/42</f>
        <v>0</v>
      </c>
      <c r="BU180" s="329" t="n">
        <f aca="false">BS181-$U180</f>
        <v>-33.2452380952382</v>
      </c>
      <c r="BV180" s="224"/>
      <c r="BW180" s="329" t="n">
        <f aca="false">BW168+VLOOKUP(1900+$L180,ProductSpreadTable,2)</f>
        <v>13.1888181818182</v>
      </c>
      <c r="BX180" s="329" t="n">
        <f aca="false">($V179+BW179)*100/42</f>
        <v>110.31645021645</v>
      </c>
      <c r="BY180" s="332" t="n">
        <f aca="false">BX181</f>
        <v>110.557276850134</v>
      </c>
      <c r="BZ180" s="314"/>
      <c r="CA180" s="329" t="n">
        <f aca="false">BZ180*100/42</f>
        <v>0</v>
      </c>
      <c r="CB180" s="329" t="n">
        <f aca="false">BZ180-$U180</f>
        <v>-33.2452380952382</v>
      </c>
      <c r="CC180" s="329" t="n">
        <f aca="false">CC168+VLOOKUP(1900+$L180,ProductSpreadTable,3)</f>
        <v>10.8788181818182</v>
      </c>
      <c r="CD180" s="329" t="n">
        <f aca="false">($V180+CC180)*100/42</f>
        <v>105.057276850134</v>
      </c>
      <c r="CE180" s="333" t="n">
        <f aca="false">CD180-BY180</f>
        <v>-5.5</v>
      </c>
      <c r="CF180" s="314"/>
      <c r="CG180" s="329" t="n">
        <f aca="false">CF180*100/42</f>
        <v>0</v>
      </c>
      <c r="CH180" s="329" t="n">
        <f aca="false">CF181-$U180</f>
        <v>-33.2452380952382</v>
      </c>
      <c r="CI180" s="224"/>
      <c r="CJ180" s="329" t="n">
        <f aca="false">CJ168+VLOOKUP(1900+$L180,ProductSpreadTable,4)</f>
        <v>12.0468181818182</v>
      </c>
      <c r="CK180" s="329" t="n">
        <f aca="false">($V179+CJ179)*100/42</f>
        <v>105.297402597402</v>
      </c>
      <c r="CL180" s="329" t="n">
        <f aca="false">CK181</f>
        <v>107.838229231087</v>
      </c>
      <c r="CM180" s="314"/>
      <c r="CN180" s="329" t="n">
        <f aca="false">CM180*100/42</f>
        <v>0</v>
      </c>
      <c r="CO180" s="329" t="n">
        <f aca="false">CM180-$U180</f>
        <v>-33.2452380952382</v>
      </c>
      <c r="CP180" s="329" t="n">
        <f aca="false">CP168+VLOOKUP(1900+$L180,ProductSpreadTable,5)</f>
        <v>10.8498181818182</v>
      </c>
      <c r="CQ180" s="329" t="n">
        <f aca="false">($V180+CP180)*100/42</f>
        <v>104.988229231087</v>
      </c>
      <c r="CR180" s="333" t="n">
        <f aca="false">CQ180-CL180</f>
        <v>-2.84999999999999</v>
      </c>
      <c r="CS180" s="314"/>
      <c r="CT180" s="329" t="n">
        <f aca="false">CS180*100/42</f>
        <v>0</v>
      </c>
      <c r="CU180" s="329" t="n">
        <f aca="false">CT180-CG181</f>
        <v>0</v>
      </c>
      <c r="CV180" s="329" t="n">
        <f aca="false">CV168+VLOOKUP(1900+$L180,ProductSpreadTable,6)</f>
        <v>2.70000000000001</v>
      </c>
      <c r="CW180" s="333" t="n">
        <f aca="false">CL180+CV180</f>
        <v>110.538229231087</v>
      </c>
      <c r="CX180" s="318"/>
      <c r="CY180" s="326" t="n">
        <f aca="false">CX180-$W180</f>
        <v>-0.147699999999998</v>
      </c>
      <c r="CZ180" s="326" t="n">
        <f aca="false">VLOOKUP(1900+$L180,ProductSpreadTable,7)</f>
        <v>-0.03</v>
      </c>
      <c r="DA180" s="365" t="n">
        <f aca="false">$W180+CZ180</f>
        <v>0.117699999999998</v>
      </c>
      <c r="DB180" s="318"/>
      <c r="DC180" s="326" t="n">
        <f aca="false">DB180-$W180</f>
        <v>-0.147699999999998</v>
      </c>
      <c r="DD180" s="326" t="n">
        <f aca="false">VLOOKUP(1900+$L180,ProductSpreadTable,8)</f>
        <v>0.03</v>
      </c>
      <c r="DE180" s="365" t="n">
        <f aca="false">$W180+DD180</f>
        <v>0.177699999999998</v>
      </c>
      <c r="DG180" s="336"/>
      <c r="DH180" s="314"/>
      <c r="DI180" s="325" t="n">
        <f aca="false">DH180-$U180</f>
        <v>-33.2452380952382</v>
      </c>
      <c r="DJ180" s="325" t="n">
        <f aca="false">VLOOKUP(1900+$L180,ResidSpreadTable,2)</f>
        <v>-2</v>
      </c>
      <c r="DK180" s="337" t="n">
        <f aca="false">$V180+DJ180</f>
        <v>31.2452380952382</v>
      </c>
      <c r="DL180" s="314"/>
      <c r="DM180" s="325" t="n">
        <f aca="false">DL180-$U180</f>
        <v>-33.2452380952382</v>
      </c>
      <c r="DN180" s="325" t="n">
        <f aca="false">VLOOKUP(1900+$L180,ResidSpreadTable,3)</f>
        <v>-3</v>
      </c>
      <c r="DO180" s="337" t="n">
        <f aca="false">$V180+DN180</f>
        <v>30.2452380952382</v>
      </c>
      <c r="DP180" s="314"/>
      <c r="DQ180" s="325" t="n">
        <f aca="false">DP180-$U180</f>
        <v>-33.2452380952382</v>
      </c>
      <c r="DR180" s="325" t="n">
        <f aca="false">VLOOKUP(1900+$L180,ResidSpreadTable,4)</f>
        <v>-6</v>
      </c>
      <c r="DS180" s="337" t="n">
        <f aca="false">$V180+DR180</f>
        <v>27.2452380952382</v>
      </c>
      <c r="DT180" s="314"/>
      <c r="DU180" s="325" t="n">
        <f aca="false">DT180-$U180</f>
        <v>-33.2452380952382</v>
      </c>
      <c r="DV180" s="325" t="n">
        <f aca="false">VLOOKUP(1900+$L180,ResidSpreadTable,5)</f>
        <v>-5</v>
      </c>
      <c r="DW180" s="337" t="n">
        <f aca="false">$V180+DV180</f>
        <v>28.2452380952382</v>
      </c>
    </row>
    <row r="181" customFormat="false" ht="12.75" hidden="false" customHeight="false" outlineLevel="0" collapsed="false">
      <c r="B181" s="371" t="n">
        <v>41061</v>
      </c>
      <c r="C181" s="391" t="n">
        <v>41051</v>
      </c>
      <c r="I181" s="338" t="n">
        <f aca="false">EOMONTH(I180,0)+1</f>
        <v>51257</v>
      </c>
      <c r="J181" s="389" t="n">
        <f aca="false">VLOOKUP(I181,$B$12:$C$332,2)</f>
        <v>45644</v>
      </c>
      <c r="K181" s="339" t="n">
        <f aca="false">NETWORKDAYS(I181,J182)/N181</f>
        <v>-174.347826086957</v>
      </c>
      <c r="L181" s="309" t="n">
        <f aca="false">YEAR(I181)-1900</f>
        <v>140</v>
      </c>
      <c r="M181" s="310" t="n">
        <f aca="false">MONTH(I181)</f>
        <v>5</v>
      </c>
      <c r="N181" s="340" t="n">
        <f aca="false">NETWORKDAYS(I181,I182-1)</f>
        <v>23</v>
      </c>
      <c r="O181" s="341" t="n">
        <f aca="false">I181-DateToday-IF(EuroExpDateToggle=1,3+IF(WEEKDAY(I181-1)=7,1,IF(WEEKDAY(I181-1)&lt;5,2,0)),1+IF(WEEKDAY(I181-1)=7,1,IF(WEEKDAY(I181-1)&lt;3,2,0)))</f>
        <v>5326</v>
      </c>
      <c r="P181" s="342" t="n">
        <f aca="false">(I181-DateToday+1)/365.25</f>
        <v>14.5982203969884</v>
      </c>
      <c r="Q181" s="342" t="n">
        <f aca="false">(I182-DateToday)/365.25</f>
        <v>14.6803559206023</v>
      </c>
      <c r="R181" s="314" t="n">
        <v>23.7000000000001</v>
      </c>
      <c r="S181" s="347" t="n">
        <v>0</v>
      </c>
      <c r="T181" s="316" t="n">
        <f aca="false">R181+S181/100</f>
        <v>23.7000000000001</v>
      </c>
      <c r="U181" s="325" t="n">
        <f aca="false">R182*K181+R183*(1-K181)</f>
        <v>32.5173913043473</v>
      </c>
      <c r="V181" s="337" t="n">
        <f aca="false">T182*K181+T183*(1-K181)</f>
        <v>32.5173913043473</v>
      </c>
      <c r="W181" s="318" t="n">
        <v>0.147299999999998</v>
      </c>
      <c r="X181" s="319" t="str">
        <f aca="false">IF($I181-DateToday+1&gt;=$A$10,"",IF($I181-DateToday+1&lt;$A$5,1,MATCH($I181-DateToday+1,$A$5:$A$10)))</f>
        <v/>
      </c>
      <c r="Y181" s="348" t="n">
        <f aca="false">IF($X181="",Y180^2/Y179,INDEX(B$5:B$10,$X181)^((INDEX($A$5:$A$10,$X181+1)-($I181-DateToday+1))/(INDEX($A$5:$A$10,$X181+1)-INDEX($A$5:$A$10,$X181)))/INDEX(B$5:B$10,$X181+1)^((INDEX($A$5:$A$10,$X181)-($I181-DateToday+1))/(INDEX($A$5:$A$10,$X181+1)-INDEX($A$5:$A$10,$X181))))</f>
        <v>0.000347373373157072</v>
      </c>
      <c r="Z181" s="348" t="n">
        <f aca="false">IF($X181="",Z180^2/Z179,INDEX(C$5:C$10,$X181)^((INDEX($A$5:$A$10,$X181+1)-($I181-DateToday+1))/(INDEX($A$5:$A$10,$X181+1)-INDEX($A$5:$A$10,$X181)))/INDEX(C$5:C$10,$X181+1)^((INDEX($A$5:$A$10,$X181)-($I181-DateToday+1))/(INDEX($A$5:$A$10,$X181+1)-INDEX($A$5:$A$10,$X181))))</f>
        <v>8.35891116752511E-005</v>
      </c>
      <c r="AA181" s="348" t="n">
        <f aca="false">IF($X181="",AA180^2/AA179,INDEX(D$5:D$10,$X181)^((INDEX($A$5:$A$10,$X181+1)-($I181-DateToday+1))/(INDEX($A$5:$A$10,$X181+1)-INDEX($A$5:$A$10,$X181)))/INDEX(D$5:D$10,$X181+1)^((INDEX($A$5:$A$10,$X181)-($I181-DateToday+1))/(INDEX($A$5:$A$10,$X181+1)-INDEX($A$5:$A$10,$X181))))</f>
        <v>2.48934134841395E-005</v>
      </c>
      <c r="AB181" s="348" t="n">
        <f aca="false">IF($X181="",AB180^2/AB179,INDEX(E$5:E$10,$X181)^((INDEX($A$5:$A$10,$X181+1)-($I181-DateToday+1))/(INDEX($A$5:$A$10,$X181+1)-INDEX($A$5:$A$10,$X181)))/INDEX(E$5:E$10,$X181+1)^((INDEX($A$5:$A$10,$X181)-($I181-DateToday+1))/(INDEX($A$5:$A$10,$X181+1)-INDEX($A$5:$A$10,$X181))))</f>
        <v>5.60798818970756E-005</v>
      </c>
      <c r="AC181" s="348" t="n">
        <f aca="false">IF($X181="",AC180^2/AC179,INDEX(F$5:F$10,$X181)^((INDEX($A$5:$A$10,$X181+1)-($I181-DateToday+1))/(INDEX($A$5:$A$10,$X181+1)-INDEX($A$5:$A$10,$X181)))/INDEX(F$5:F$10,$X181+1)^((INDEX($A$5:$A$10,$X181)-($I181-DateToday+1))/(INDEX($A$5:$A$10,$X181+1)-INDEX($A$5:$A$10,$X181))))</f>
        <v>0.000188309550782004</v>
      </c>
      <c r="AD181" s="348" t="n">
        <f aca="false">IF($X181="",AD180^2/AD179,INDEX(G$5:G$10,$X181)^((INDEX($A$5:$A$10,$X181+1)-($I181-DateToday+1))/(INDEX($A$5:$A$10,$X181+1)-INDEX($A$5:$A$10,$X181)))/INDEX(G$5:G$10,$X181+1)^((INDEX($A$5:$A$10,$X181)-($I181-DateToday+1))/(INDEX($A$5:$A$10,$X181+1)-INDEX($A$5:$A$10,$X181))))</f>
        <v>0.000782562735048163</v>
      </c>
      <c r="AE181" s="321" t="n">
        <v>0.073562168909969</v>
      </c>
      <c r="AF181" s="316" t="n">
        <f aca="false">(1+AE181/2)^(-2*(I182-DateToday)/365.25)</f>
        <v>0.346271382977532</v>
      </c>
      <c r="AG181" s="316" t="n">
        <f aca="false">AG180*(1+IF(AND(M181=1,L181&gt;YearStart),Escalation,0))</f>
        <v>1</v>
      </c>
      <c r="AH181" s="322" t="n">
        <f aca="false">IF(OR(DateStart&gt;=I182,DateEnd&lt;I181),0,Volume*AG181)</f>
        <v>0</v>
      </c>
      <c r="AI181" s="322" t="n">
        <f aca="false">AH181*AF181</f>
        <v>0</v>
      </c>
      <c r="AJ181" s="322" t="n">
        <f aca="false">IF(OR(DateStart2&gt;=I182,DateEnd2&lt;I181),0,VolumeSwaption*AG181)</f>
        <v>0</v>
      </c>
      <c r="AK181" s="322" t="n">
        <f aca="false">AJ181*AF181</f>
        <v>0</v>
      </c>
      <c r="AL181" s="316" t="str">
        <f aca="true">IF(AH181,OFFSET(BY181,0,HorizontalPriceOffset)+PriceSpreadAsian,"")</f>
        <v/>
      </c>
      <c r="AM181" s="316" t="str">
        <f aca="false">IF(AH181,Strike1/AL181-1,"")</f>
        <v/>
      </c>
      <c r="AN181" s="316" t="str">
        <f aca="false">IF(AH181,Strike2/AL181-1,"")</f>
        <v/>
      </c>
      <c r="AO181" s="323" t="str">
        <f aca="false">IF(AH181,IF(VolOverrideAsian,VolOverrideAsian,IF(ProductGroup=1,IF(Product&lt;3,DA182,DE182),W182)+VolSpreadAsian),"")</f>
        <v/>
      </c>
      <c r="AP181" s="323" t="str">
        <f aca="false">IF($AH181,$AO181+IF(SkewFlag=1,IF(AM181&gt;0,$AA181*MIN(AM181/10%,1)+($Z181-$AA181)*MAX(0,MIN(AM181/10%-1,1))+($Y181-$Z181)*MAX(0,AM181/10%-2),$AB181*MIN(-AM181/10%,1)+($AC181-$AB181)*MAX(0,MIN(-AM181/10%-1,1))+($AD181-$AC181)*MAX(0,-AM181/10%-2)),0),"")</f>
        <v/>
      </c>
      <c r="AQ181" s="323" t="str">
        <f aca="false">IF($AH181,$AO181+IF(SkewFlag=1,IF(AN181&gt;0,$AA181*MIN(AN181/10%,1)+($Z181-$AA181)*MAX(0,MIN(AN181/10%-1,1))+($Y181-$Z181)*MAX(0,AN181/10%-2),$AB181*MIN(-AN181/10%,1)+($AC181-$AB181)*MAX(0,MIN(-AN181/10%-1,1))+($AD181-$AC181)*MAX(0,-AN181/10%-2)),0),"")</f>
        <v/>
      </c>
      <c r="AR181" s="324" t="n">
        <f aca="false">IF(AH181,xASN(AL181,Strike1,AE181,AP181,0,N181,0,P181,Q181,IF(OptControl=4,0,1),0),0)</f>
        <v>0</v>
      </c>
      <c r="AS181" s="324" t="n">
        <f aca="false">IF(AH181,xASN(AL181,Strike1,AE181,AP181,0,N181,0,P181,Q181,IF(OptControl=4,0,1),1),0)</f>
        <v>0</v>
      </c>
      <c r="AT181" s="324" t="n">
        <f aca="false">IF(AH181,xASN(AL181,Strike1,AE181,AP181,0,N181,0,P181,Q181,IF(OptControl=4,0,1),2),0)</f>
        <v>0</v>
      </c>
      <c r="AU181" s="324" t="n">
        <f aca="false">IF(AH181,xASN(AL181,Strike1,AE181,AP181,0,N181,0,P181,Q181,IF(OptControl=4,0,1),3)/100,0)</f>
        <v>0</v>
      </c>
      <c r="AV181" s="324" t="n">
        <f aca="false">IF(AH181,xASN(AL181,Strike1,AE181,AP181,0,N181,0,P181-DaysForThetaCalculation/365.25,Q181-DaysForThetaCalculation/365.25,IF(OptControl=4,0,1),0)-xASN(AL181,Strike1,AE181,AP181,0,N181,0,P181,Q181,IF(OptControl=4,0,1),0),0)</f>
        <v>0</v>
      </c>
      <c r="AW181" s="324" t="n">
        <f aca="false">IF(AH181,xASN(AL181,Strike2,AE181,AQ181,0,N181,0,P181,Q181,IF(OptControl=3,1,0),0),0)</f>
        <v>0</v>
      </c>
      <c r="AX181" s="324" t="n">
        <f aca="false">IF(AH181,xASN(AL181,Strike2,AE181,AQ181,0,N181,0,P181,Q181,IF(OptControl=3,1,0),1),0)</f>
        <v>0</v>
      </c>
      <c r="AY181" s="324" t="n">
        <f aca="false">IF(AH181,xASN(AL181,Strike2,AE181,AQ181,0,N181,0,P181,Q181,IF(OptControl=3,1,0),2),0)</f>
        <v>0</v>
      </c>
      <c r="AZ181" s="324" t="n">
        <f aca="false">IF(AH181,xASN(AL181,Strike2,AE181,AQ181,0,N181,0,P181,Q181,IF(OptControl=3,1,0),3)/100,0)</f>
        <v>0</v>
      </c>
      <c r="BA181" s="324" t="n">
        <f aca="false">IF(AH181,xASN(AL181,Strike2,AE181,AQ181,0,N181,0,P181-DaysForThetaCalculation/365.25,Q181-DaysForThetaCalculation/365.25,IF(OptControl=3,1,0),0)-xASN(AL181,Strike2,AE181,AQ181,0,N181,0,P181,Q181,IF(OptControl=3,1,0),0),0)</f>
        <v>0</v>
      </c>
      <c r="BB181" s="325" t="str">
        <f aca="false">IF(AH181,IF(ProductGroup=1,IF(Product=1,BX181+PriceSpreadEuro,IF(Product=3,CK181+PriceSpreadEuro,"N/A")),"N/A"),"")</f>
        <v/>
      </c>
      <c r="BC181" s="316" t="str">
        <f aca="false">IF(AH181,Strike1/BB181-1,"")</f>
        <v/>
      </c>
      <c r="BD181" s="316" t="str">
        <f aca="false">IF(AH181,Strike2/BB181-1,"")</f>
        <v/>
      </c>
      <c r="BE181" s="326" t="str">
        <f aca="false">IF(AH181,IF(VolOverrideEuro,VolOverrideEuro,IF(ProductGroup=1,IF(Product&lt;3,DA181,DE181)+VolSpreadEuro,"N/A")),"")</f>
        <v/>
      </c>
      <c r="BF181" s="323" t="str">
        <f aca="false">IF($AH181,$BE181+IF(SkewFlag=1,IF(BC181&gt;0,$AA181*MIN(BC181/10%,1)+($Z181-$AA181)*MAX(0,MIN(BC181/10%-1,1))+($Y181-$Z181)*MAX(0,BC181/10%-2),$AB181*MIN(-BC181/10%,1)+($AC181-$AB181)*MAX(0,MIN(-BC181/10%-1,1))+($AD181-$AC181)*MAX(0,-BC181/10%-2)),0),"")</f>
        <v/>
      </c>
      <c r="BG181" s="323" t="str">
        <f aca="false">IF($AH181,$BE181+IF(SkewFlag=1,IF(BD181&gt;0,$AA181*MIN(BD181/10%,1)+($Z181-$AA181)*MAX(0,MIN(BD181/10%-1,1))+($Y181-$Z181)*MAX(0,BD181/10%-2),$AB181*MIN(-BD181/10%,1)+($AC181-$AB181)*MAX(0,MIN(-BD181/10%-1,1))+($AD181-$AC181)*MAX(0,-BD181/10%-2)),0),"")</f>
        <v/>
      </c>
      <c r="BH181" s="324" t="n">
        <f aca="false">IF(AH181,xEURO(BB181,Strike1,AE181,AE181,BF181,O181,IF(OptControl=4,0,1),0),0)</f>
        <v>0</v>
      </c>
      <c r="BI181" s="324" t="n">
        <f aca="false">IF(AH181,xEURO(BB181,Strike1,AE181,AE181,BF181,O181,IF(OptControl=4,0,1),1),0)</f>
        <v>0</v>
      </c>
      <c r="BJ181" s="324" t="n">
        <f aca="false">IF(AH181,xEURO(BB181,Strike1,AE181,AE181,BF181,O181,IF(OptControl=4,0,1),2),0)</f>
        <v>0</v>
      </c>
      <c r="BK181" s="324" t="n">
        <f aca="false">IF(AH181,xEURO(BB181,Strike1,AE181,AE181,BF181,O181,IF(OptControl=4,0,1),3)/100,0)</f>
        <v>0</v>
      </c>
      <c r="BL181" s="324" t="n">
        <f aca="false">IF(AH181,xEURO(BB181,Strike1,AE181,AE181,BF181,O181-DaysForThetaCalculation,IF(OptControl=4,0,1),0)-xEURO(BB181,Strike1,AE181,AE181,BF181,O181,IF(OptControl=4,0,1),0),0)</f>
        <v>0</v>
      </c>
      <c r="BM181" s="324" t="n">
        <f aca="false">IF(AH181,xEURO(BB181,Strike2,AE181,AE181,BG181,O181,IF(OptControl=3,1,0),0),0)</f>
        <v>0</v>
      </c>
      <c r="BN181" s="324" t="n">
        <f aca="false">IF(AH181,xEURO(BB181,Strike2,AE181,AE181,BG181,O181,IF(OptControl=3,1,0),1),0)</f>
        <v>0</v>
      </c>
      <c r="BO181" s="324" t="n">
        <f aca="false">IF(AH181,xEURO(BB181,Strike2,AE181,AE181,BG181,O181,IF(OptControl=3,1,0),2),0)</f>
        <v>0</v>
      </c>
      <c r="BP181" s="324" t="n">
        <f aca="false">IF(AH181,xEURO(BB181,Strike2,AE181,AE181,BG181,O181,IF(OptControl=3,1,0),3)/100,0)</f>
        <v>0</v>
      </c>
      <c r="BQ181" s="327" t="n">
        <f aca="false">IF(AH181,xEURO(BB181,Strike2,AE181,AE181,BG181,O181-DaysForThetaCalculation,IF(OptControl=3,1,0),0)-xEURO(BB181,Strike2,AE181,AE181,BG181,O181,IF(OptControl=3,1,0),0),0)</f>
        <v>0</v>
      </c>
      <c r="BR181" s="343"/>
      <c r="BS181" s="314"/>
      <c r="BT181" s="329" t="n">
        <f aca="false">BS181*100/42</f>
        <v>0</v>
      </c>
      <c r="BU181" s="329" t="n">
        <f aca="false">BS182-$U181</f>
        <v>-32.5173913043473</v>
      </c>
      <c r="BV181" s="224"/>
      <c r="BW181" s="329" t="n">
        <f aca="false">BW169+VLOOKUP(1900+$L181,ProductSpreadTable,2)</f>
        <v>13.1970952380953</v>
      </c>
      <c r="BX181" s="329" t="n">
        <f aca="false">($V180+BW180)*100/42</f>
        <v>110.557276850134</v>
      </c>
      <c r="BY181" s="332" t="n">
        <f aca="false">BX182</f>
        <v>108.844015577244</v>
      </c>
      <c r="BZ181" s="314"/>
      <c r="CA181" s="329" t="n">
        <f aca="false">BZ181*100/42</f>
        <v>0</v>
      </c>
      <c r="CB181" s="329" t="n">
        <f aca="false">BZ181-$U181</f>
        <v>-32.5173913043473</v>
      </c>
      <c r="CC181" s="329" t="n">
        <f aca="false">CC169+VLOOKUP(1900+$L181,ProductSpreadTable,3)</f>
        <v>10.8870952380953</v>
      </c>
      <c r="CD181" s="329" t="n">
        <f aca="false">($V181+CC181)*100/42</f>
        <v>103.344015577244</v>
      </c>
      <c r="CE181" s="333" t="n">
        <f aca="false">CD181-BY181</f>
        <v>-5.5</v>
      </c>
      <c r="CF181" s="314"/>
      <c r="CG181" s="329" t="n">
        <f aca="false">CF181*100/42</f>
        <v>0</v>
      </c>
      <c r="CH181" s="329" t="n">
        <f aca="false">CF182-$U181</f>
        <v>-32.5173913043473</v>
      </c>
      <c r="CI181" s="224"/>
      <c r="CJ181" s="329" t="n">
        <f aca="false">CJ169+VLOOKUP(1900+$L181,ProductSpreadTable,4)</f>
        <v>12.7690952380953</v>
      </c>
      <c r="CK181" s="329" t="n">
        <f aca="false">($V180+CJ180)*100/42</f>
        <v>107.838229231087</v>
      </c>
      <c r="CL181" s="329" t="n">
        <f aca="false">CK182</f>
        <v>107.824967958197</v>
      </c>
      <c r="CM181" s="314"/>
      <c r="CN181" s="329" t="n">
        <f aca="false">CM181*100/42</f>
        <v>0</v>
      </c>
      <c r="CO181" s="329" t="n">
        <f aca="false">CM181-$U181</f>
        <v>-32.5173913043473</v>
      </c>
      <c r="CP181" s="329" t="n">
        <f aca="false">CP169+VLOOKUP(1900+$L181,ProductSpreadTable,5)</f>
        <v>11.5720952380953</v>
      </c>
      <c r="CQ181" s="329" t="n">
        <f aca="false">($V181+CP181)*100/42</f>
        <v>104.974967958197</v>
      </c>
      <c r="CR181" s="333" t="n">
        <f aca="false">CQ181-CL181</f>
        <v>-2.84999999999999</v>
      </c>
      <c r="CS181" s="314"/>
      <c r="CT181" s="329" t="n">
        <f aca="false">CS181*100/42</f>
        <v>0</v>
      </c>
      <c r="CU181" s="329" t="n">
        <f aca="false">CT181-CG182</f>
        <v>0</v>
      </c>
      <c r="CV181" s="329" t="n">
        <f aca="false">CV169+VLOOKUP(1900+$L181,ProductSpreadTable,6)</f>
        <v>2.70000000000001</v>
      </c>
      <c r="CW181" s="333" t="n">
        <f aca="false">CL181+CV181</f>
        <v>110.524967958197</v>
      </c>
      <c r="CX181" s="318"/>
      <c r="CY181" s="326" t="n">
        <f aca="false">CX181-$W181</f>
        <v>-0.147299999999998</v>
      </c>
      <c r="CZ181" s="326" t="n">
        <f aca="false">VLOOKUP(1900+$L181,ProductSpreadTable,7)</f>
        <v>-0.03</v>
      </c>
      <c r="DA181" s="365" t="n">
        <f aca="false">$W181+CZ181</f>
        <v>0.117299999999998</v>
      </c>
      <c r="DB181" s="318"/>
      <c r="DC181" s="326" t="n">
        <f aca="false">DB181-$W181</f>
        <v>-0.147299999999998</v>
      </c>
      <c r="DD181" s="326" t="n">
        <f aca="false">VLOOKUP(1900+$L181,ProductSpreadTable,8)</f>
        <v>0.03</v>
      </c>
      <c r="DE181" s="365" t="n">
        <f aca="false">$W181+DD181</f>
        <v>0.177299999999998</v>
      </c>
      <c r="DG181" s="336"/>
      <c r="DH181" s="314"/>
      <c r="DI181" s="325" t="n">
        <f aca="false">DH181-$U181</f>
        <v>-32.5173913043473</v>
      </c>
      <c r="DJ181" s="325" t="n">
        <f aca="false">VLOOKUP(1900+$L181,ResidSpreadTable,2)</f>
        <v>-2</v>
      </c>
      <c r="DK181" s="337" t="n">
        <f aca="false">$V181+DJ181</f>
        <v>30.5173913043473</v>
      </c>
      <c r="DL181" s="314"/>
      <c r="DM181" s="325" t="n">
        <f aca="false">DL181-$U181</f>
        <v>-32.5173913043473</v>
      </c>
      <c r="DN181" s="325" t="n">
        <f aca="false">VLOOKUP(1900+$L181,ResidSpreadTable,3)</f>
        <v>-3</v>
      </c>
      <c r="DO181" s="337" t="n">
        <f aca="false">$V181+DN181</f>
        <v>29.5173913043473</v>
      </c>
      <c r="DP181" s="314"/>
      <c r="DQ181" s="325" t="n">
        <f aca="false">DP181-$U181</f>
        <v>-32.5173913043473</v>
      </c>
      <c r="DR181" s="325" t="n">
        <f aca="false">VLOOKUP(1900+$L181,ResidSpreadTable,4)</f>
        <v>-6</v>
      </c>
      <c r="DS181" s="337" t="n">
        <f aca="false">$V181+DR181</f>
        <v>26.5173913043473</v>
      </c>
      <c r="DT181" s="314"/>
      <c r="DU181" s="325" t="n">
        <f aca="false">DT181-$U181</f>
        <v>-32.5173913043473</v>
      </c>
      <c r="DV181" s="325" t="n">
        <f aca="false">VLOOKUP(1900+$L181,ResidSpreadTable,5)</f>
        <v>-5</v>
      </c>
      <c r="DW181" s="337" t="n">
        <f aca="false">$V181+DV181</f>
        <v>27.5173913043473</v>
      </c>
    </row>
    <row r="182" customFormat="false" ht="12.75" hidden="false" customHeight="false" outlineLevel="0" collapsed="false">
      <c r="B182" s="371" t="n">
        <v>41091</v>
      </c>
      <c r="C182" s="391" t="n">
        <v>41080</v>
      </c>
      <c r="I182" s="338" t="n">
        <f aca="false">EOMONTH(I181,0)+1</f>
        <v>51288</v>
      </c>
      <c r="J182" s="389" t="n">
        <f aca="false">VLOOKUP(I182,$B$12:$C$332,2)</f>
        <v>45644</v>
      </c>
      <c r="K182" s="339" t="n">
        <f aca="false">NETWORKDAYS(I182,J183)/N182</f>
        <v>-192.047619047619</v>
      </c>
      <c r="L182" s="309" t="n">
        <f aca="false">YEAR(I182)-1900</f>
        <v>140</v>
      </c>
      <c r="M182" s="310" t="n">
        <f aca="false">MONTH(I182)</f>
        <v>6</v>
      </c>
      <c r="N182" s="340" t="n">
        <f aca="false">NETWORKDAYS(I182,I183-1)</f>
        <v>21</v>
      </c>
      <c r="O182" s="341" t="n">
        <f aca="false">I182-DateToday-IF(EuroExpDateToggle=1,3+IF(WEEKDAY(I182-1)=7,1,IF(WEEKDAY(I182-1)&lt;5,2,0)),1+IF(WEEKDAY(I182-1)=7,1,IF(WEEKDAY(I182-1)&lt;3,2,0)))</f>
        <v>5359</v>
      </c>
      <c r="P182" s="342" t="n">
        <f aca="false">(I182-DateToday+1)/365.25</f>
        <v>14.6830937713895</v>
      </c>
      <c r="Q182" s="342" t="n">
        <f aca="false">(I183-DateToday)/365.25</f>
        <v>14.7624914442163</v>
      </c>
      <c r="R182" s="314" t="n">
        <v>23.7500000000001</v>
      </c>
      <c r="S182" s="347" t="n">
        <v>0</v>
      </c>
      <c r="T182" s="316" t="n">
        <f aca="false">R182+S182/100</f>
        <v>23.7500000000001</v>
      </c>
      <c r="U182" s="325" t="n">
        <f aca="false">R183*K182+R184*(1-K182)</f>
        <v>33.4523809523816</v>
      </c>
      <c r="V182" s="337" t="n">
        <f aca="false">T183*K182+T184*(1-K182)</f>
        <v>33.4523809523816</v>
      </c>
      <c r="W182" s="318" t="n">
        <v>0.146899999999998</v>
      </c>
      <c r="X182" s="319" t="str">
        <f aca="false">IF($I182-DateToday+1&gt;=$A$10,"",IF($I182-DateToday+1&lt;$A$5,1,MATCH($I182-DateToday+1,$A$5:$A$10)))</f>
        <v/>
      </c>
      <c r="Y182" s="348" t="n">
        <f aca="false">IF($X182="",Y181^2/Y180,INDEX(B$5:B$10,$X182)^((INDEX($A$5:$A$10,$X182+1)-($I182-DateToday+1))/(INDEX($A$5:$A$10,$X182+1)-INDEX($A$5:$A$10,$X182)))/INDEX(B$5:B$10,$X182+1)^((INDEX($A$5:$A$10,$X182)-($I182-DateToday+1))/(INDEX($A$5:$A$10,$X182+1)-INDEX($A$5:$A$10,$X182))))</f>
        <v>0.000339936637567418</v>
      </c>
      <c r="Z182" s="348" t="n">
        <f aca="false">IF($X182="",Z181^2/Z180,INDEX(C$5:C$10,$X182)^((INDEX($A$5:$A$10,$X182+1)-($I182-DateToday+1))/(INDEX($A$5:$A$10,$X182+1)-INDEX($A$5:$A$10,$X182)))/INDEX(C$5:C$10,$X182+1)^((INDEX($A$5:$A$10,$X182)-($I182-DateToday+1))/(INDEX($A$5:$A$10,$X182+1)-INDEX($A$5:$A$10,$X182))))</f>
        <v>8.13616366418193E-005</v>
      </c>
      <c r="AA182" s="348" t="n">
        <f aca="false">IF($X182="",AA181^2/AA180,INDEX(D$5:D$10,$X182)^((INDEX($A$5:$A$10,$X182+1)-($I182-DateToday+1))/(INDEX($A$5:$A$10,$X182+1)-INDEX($A$5:$A$10,$X182)))/INDEX(D$5:D$10,$X182+1)^((INDEX($A$5:$A$10,$X182)-($I182-DateToday+1))/(INDEX($A$5:$A$10,$X182+1)-INDEX($A$5:$A$10,$X182))))</f>
        <v>2.41650808814158E-005</v>
      </c>
      <c r="AB182" s="348" t="n">
        <f aca="false">IF($X182="",AB181^2/AB180,INDEX(E$5:E$10,$X182)^((INDEX($A$5:$A$10,$X182+1)-($I182-DateToday+1))/(INDEX($A$5:$A$10,$X182+1)-INDEX($A$5:$A$10,$X182)))/INDEX(E$5:E$10,$X182+1)^((INDEX($A$5:$A$10,$X182)-($I182-DateToday+1))/(INDEX($A$5:$A$10,$X182+1)-INDEX($A$5:$A$10,$X182))))</f>
        <v>5.44390942096596E-005</v>
      </c>
      <c r="AC182" s="348" t="n">
        <f aca="false">IF($X182="",AC181^2/AC180,INDEX(F$5:F$10,$X182)^((INDEX($A$5:$A$10,$X182+1)-($I182-DateToday+1))/(INDEX($A$5:$A$10,$X182+1)-INDEX($A$5:$A$10,$X182)))/INDEX(F$5:F$10,$X182+1)^((INDEX($A$5:$A$10,$X182)-($I182-DateToday+1))/(INDEX($A$5:$A$10,$X182+1)-INDEX($A$5:$A$10,$X182))))</f>
        <v>0.000183291495026689</v>
      </c>
      <c r="AD182" s="348" t="n">
        <f aca="false">IF($X182="",AD181^2/AD180,INDEX(G$5:G$10,$X182)^((INDEX($A$5:$A$10,$X182+1)-($I182-DateToday+1))/(INDEX($A$5:$A$10,$X182+1)-INDEX($A$5:$A$10,$X182)))/INDEX(G$5:G$10,$X182+1)^((INDEX($A$5:$A$10,$X182)-($I182-DateToday+1))/(INDEX($A$5:$A$10,$X182+1)-INDEX($A$5:$A$10,$X182))))</f>
        <v>0.00076580925711179</v>
      </c>
      <c r="AE182" s="321" t="n">
        <v>0.07355833514368</v>
      </c>
      <c r="AF182" s="316" t="n">
        <f aca="false">(1+AE182/2)^(-2*(I183-DateToday)/365.25)</f>
        <v>0.344241621071009</v>
      </c>
      <c r="AG182" s="316" t="n">
        <f aca="false">AG181*(1+IF(AND(M182=1,L182&gt;YearStart),Escalation,0))</f>
        <v>1</v>
      </c>
      <c r="AH182" s="322" t="n">
        <f aca="false">IF(OR(DateStart&gt;=I183,DateEnd&lt;I182),0,Volume*AG182)</f>
        <v>0</v>
      </c>
      <c r="AI182" s="322" t="n">
        <f aca="false">AH182*AF182</f>
        <v>0</v>
      </c>
      <c r="AJ182" s="322" t="n">
        <f aca="false">IF(OR(DateStart2&gt;=I183,DateEnd2&lt;I182),0,VolumeSwaption*AG182)</f>
        <v>0</v>
      </c>
      <c r="AK182" s="322" t="n">
        <f aca="false">AJ182*AF182</f>
        <v>0</v>
      </c>
      <c r="AL182" s="316" t="str">
        <f aca="true">IF(AH182,OFFSET(BY182,0,HorizontalPriceOffset)+PriceSpreadAsian,"")</f>
        <v/>
      </c>
      <c r="AM182" s="316" t="str">
        <f aca="false">IF(AH182,Strike1/AL182-1,"")</f>
        <v/>
      </c>
      <c r="AN182" s="316" t="str">
        <f aca="false">IF(AH182,Strike2/AL182-1,"")</f>
        <v/>
      </c>
      <c r="AO182" s="323" t="str">
        <f aca="false">IF(AH182,IF(VolOverrideAsian,VolOverrideAsian,IF(ProductGroup=1,IF(Product&lt;3,DA183,DE183),W183)+VolSpreadAsian),"")</f>
        <v/>
      </c>
      <c r="AP182" s="323" t="str">
        <f aca="false">IF($AH182,$AO182+IF(SkewFlag=1,IF(AM182&gt;0,$AA182*MIN(AM182/10%,1)+($Z182-$AA182)*MAX(0,MIN(AM182/10%-1,1))+($Y182-$Z182)*MAX(0,AM182/10%-2),$AB182*MIN(-AM182/10%,1)+($AC182-$AB182)*MAX(0,MIN(-AM182/10%-1,1))+($AD182-$AC182)*MAX(0,-AM182/10%-2)),0),"")</f>
        <v/>
      </c>
      <c r="AQ182" s="323" t="str">
        <f aca="false">IF($AH182,$AO182+IF(SkewFlag=1,IF(AN182&gt;0,$AA182*MIN(AN182/10%,1)+($Z182-$AA182)*MAX(0,MIN(AN182/10%-1,1))+($Y182-$Z182)*MAX(0,AN182/10%-2),$AB182*MIN(-AN182/10%,1)+($AC182-$AB182)*MAX(0,MIN(-AN182/10%-1,1))+($AD182-$AC182)*MAX(0,-AN182/10%-2)),0),"")</f>
        <v/>
      </c>
      <c r="AR182" s="324" t="n">
        <f aca="false">IF(AH182,xASN(AL182,Strike1,AE182,AP182,0,N182,0,P182,Q182,IF(OptControl=4,0,1),0),0)</f>
        <v>0</v>
      </c>
      <c r="AS182" s="324" t="n">
        <f aca="false">IF(AH182,xASN(AL182,Strike1,AE182,AP182,0,N182,0,P182,Q182,IF(OptControl=4,0,1),1),0)</f>
        <v>0</v>
      </c>
      <c r="AT182" s="324" t="n">
        <f aca="false">IF(AH182,xASN(AL182,Strike1,AE182,AP182,0,N182,0,P182,Q182,IF(OptControl=4,0,1),2),0)</f>
        <v>0</v>
      </c>
      <c r="AU182" s="324" t="n">
        <f aca="false">IF(AH182,xASN(AL182,Strike1,AE182,AP182,0,N182,0,P182,Q182,IF(OptControl=4,0,1),3)/100,0)</f>
        <v>0</v>
      </c>
      <c r="AV182" s="324" t="n">
        <f aca="false">IF(AH182,xASN(AL182,Strike1,AE182,AP182,0,N182,0,P182-DaysForThetaCalculation/365.25,Q182-DaysForThetaCalculation/365.25,IF(OptControl=4,0,1),0)-xASN(AL182,Strike1,AE182,AP182,0,N182,0,P182,Q182,IF(OptControl=4,0,1),0),0)</f>
        <v>0</v>
      </c>
      <c r="AW182" s="324" t="n">
        <f aca="false">IF(AH182,xASN(AL182,Strike2,AE182,AQ182,0,N182,0,P182,Q182,IF(OptControl=3,1,0),0),0)</f>
        <v>0</v>
      </c>
      <c r="AX182" s="324" t="n">
        <f aca="false">IF(AH182,xASN(AL182,Strike2,AE182,AQ182,0,N182,0,P182,Q182,IF(OptControl=3,1,0),1),0)</f>
        <v>0</v>
      </c>
      <c r="AY182" s="324" t="n">
        <f aca="false">IF(AH182,xASN(AL182,Strike2,AE182,AQ182,0,N182,0,P182,Q182,IF(OptControl=3,1,0),2),0)</f>
        <v>0</v>
      </c>
      <c r="AZ182" s="324" t="n">
        <f aca="false">IF(AH182,xASN(AL182,Strike2,AE182,AQ182,0,N182,0,P182,Q182,IF(OptControl=3,1,0),3)/100,0)</f>
        <v>0</v>
      </c>
      <c r="BA182" s="324" t="n">
        <f aca="false">IF(AH182,xASN(AL182,Strike2,AE182,AQ182,0,N182,0,P182-DaysForThetaCalculation/365.25,Q182-DaysForThetaCalculation/365.25,IF(OptControl=3,1,0),0)-xASN(AL182,Strike2,AE182,AQ182,0,N182,0,P182,Q182,IF(OptControl=3,1,0),0),0)</f>
        <v>0</v>
      </c>
      <c r="BB182" s="325" t="str">
        <f aca="false">IF(AH182,IF(ProductGroup=1,IF(Product=1,BX182+PriceSpreadEuro,IF(Product=3,CK182+PriceSpreadEuro,"N/A")),"N/A"),"")</f>
        <v/>
      </c>
      <c r="BC182" s="316" t="str">
        <f aca="false">IF(AH182,Strike1/BB182-1,"")</f>
        <v/>
      </c>
      <c r="BD182" s="316" t="str">
        <f aca="false">IF(AH182,Strike2/BB182-1,"")</f>
        <v/>
      </c>
      <c r="BE182" s="326" t="str">
        <f aca="false">IF(AH182,IF(VolOverrideEuro,VolOverrideEuro,IF(ProductGroup=1,IF(Product&lt;3,DA182,DE182)+VolSpreadEuro,"N/A")),"")</f>
        <v/>
      </c>
      <c r="BF182" s="323" t="str">
        <f aca="false">IF($AH182,$BE182+IF(SkewFlag=1,IF(BC182&gt;0,$AA182*MIN(BC182/10%,1)+($Z182-$AA182)*MAX(0,MIN(BC182/10%-1,1))+($Y182-$Z182)*MAX(0,BC182/10%-2),$AB182*MIN(-BC182/10%,1)+($AC182-$AB182)*MAX(0,MIN(-BC182/10%-1,1))+($AD182-$AC182)*MAX(0,-BC182/10%-2)),0),"")</f>
        <v/>
      </c>
      <c r="BG182" s="323" t="str">
        <f aca="false">IF($AH182,$BE182+IF(SkewFlag=1,IF(BD182&gt;0,$AA182*MIN(BD182/10%,1)+($Z182-$AA182)*MAX(0,MIN(BD182/10%-1,1))+($Y182-$Z182)*MAX(0,BD182/10%-2),$AB182*MIN(-BD182/10%,1)+($AC182-$AB182)*MAX(0,MIN(-BD182/10%-1,1))+($AD182-$AC182)*MAX(0,-BD182/10%-2)),0),"")</f>
        <v/>
      </c>
      <c r="BH182" s="324" t="n">
        <f aca="false">IF(AH182,xEURO(BB182,Strike1,AE182,AE182,BF182,O182,IF(OptControl=4,0,1),0),0)</f>
        <v>0</v>
      </c>
      <c r="BI182" s="324" t="n">
        <f aca="false">IF(AH182,xEURO(BB182,Strike1,AE182,AE182,BF182,O182,IF(OptControl=4,0,1),1),0)</f>
        <v>0</v>
      </c>
      <c r="BJ182" s="324" t="n">
        <f aca="false">IF(AH182,xEURO(BB182,Strike1,AE182,AE182,BF182,O182,IF(OptControl=4,0,1),2),0)</f>
        <v>0</v>
      </c>
      <c r="BK182" s="324" t="n">
        <f aca="false">IF(AH182,xEURO(BB182,Strike1,AE182,AE182,BF182,O182,IF(OptControl=4,0,1),3)/100,0)</f>
        <v>0</v>
      </c>
      <c r="BL182" s="324" t="n">
        <f aca="false">IF(AH182,xEURO(BB182,Strike1,AE182,AE182,BF182,O182-DaysForThetaCalculation,IF(OptControl=4,0,1),0)-xEURO(BB182,Strike1,AE182,AE182,BF182,O182,IF(OptControl=4,0,1),0),0)</f>
        <v>0</v>
      </c>
      <c r="BM182" s="324" t="n">
        <f aca="false">IF(AH182,xEURO(BB182,Strike2,AE182,AE182,BG182,O182,IF(OptControl=3,1,0),0),0)</f>
        <v>0</v>
      </c>
      <c r="BN182" s="324" t="n">
        <f aca="false">IF(AH182,xEURO(BB182,Strike2,AE182,AE182,BG182,O182,IF(OptControl=3,1,0),1),0)</f>
        <v>0</v>
      </c>
      <c r="BO182" s="324" t="n">
        <f aca="false">IF(AH182,xEURO(BB182,Strike2,AE182,AE182,BG182,O182,IF(OptControl=3,1,0),2),0)</f>
        <v>0</v>
      </c>
      <c r="BP182" s="324" t="n">
        <f aca="false">IF(AH182,xEURO(BB182,Strike2,AE182,AE182,BG182,O182,IF(OptControl=3,1,0),3)/100,0)</f>
        <v>0</v>
      </c>
      <c r="BQ182" s="327" t="n">
        <f aca="false">IF(AH182,xEURO(BB182,Strike2,AE182,AE182,BG182,O182-DaysForThetaCalculation,IF(OptControl=3,1,0),0)-xEURO(BB182,Strike2,AE182,AE182,BG182,O182,IF(OptControl=3,1,0),0),0)</f>
        <v>0</v>
      </c>
      <c r="BR182" s="343"/>
      <c r="BS182" s="314"/>
      <c r="BT182" s="329" t="n">
        <f aca="false">BS182*100/42</f>
        <v>0</v>
      </c>
      <c r="BU182" s="329" t="n">
        <f aca="false">BS183-$U182</f>
        <v>-33.4523809523816</v>
      </c>
      <c r="BV182" s="224"/>
      <c r="BW182" s="329" t="n">
        <f aca="false">BW170+VLOOKUP(1900+$L182,ProductSpreadTable,2)</f>
        <v>13.0918181818182</v>
      </c>
      <c r="BX182" s="329" t="n">
        <f aca="false">($V181+BW181)*100/42</f>
        <v>108.844015577244</v>
      </c>
      <c r="BY182" s="332" t="n">
        <f aca="false">BX183</f>
        <v>110.819521748095</v>
      </c>
      <c r="BZ182" s="314"/>
      <c r="CA182" s="329" t="n">
        <f aca="false">BZ182*100/42</f>
        <v>0</v>
      </c>
      <c r="CB182" s="329" t="n">
        <f aca="false">BZ182-$U182</f>
        <v>-33.4523809523816</v>
      </c>
      <c r="CC182" s="329" t="n">
        <f aca="false">CC170+VLOOKUP(1900+$L182,ProductSpreadTable,3)</f>
        <v>10.7818181818182</v>
      </c>
      <c r="CD182" s="329" t="n">
        <f aca="false">($V182+CC182)*100/42</f>
        <v>105.319521748095</v>
      </c>
      <c r="CE182" s="333" t="n">
        <f aca="false">CD182-BY182</f>
        <v>-5.49999999999997</v>
      </c>
      <c r="CF182" s="314"/>
      <c r="CG182" s="329" t="n">
        <f aca="false">CF182*100/42</f>
        <v>0</v>
      </c>
      <c r="CH182" s="329" t="n">
        <f aca="false">CF183-$U182</f>
        <v>-33.4523809523816</v>
      </c>
      <c r="CI182" s="224"/>
      <c r="CJ182" s="329" t="n">
        <f aca="false">CJ170+VLOOKUP(1900+$L182,ProductSpreadTable,4)</f>
        <v>12.8528181818182</v>
      </c>
      <c r="CK182" s="329" t="n">
        <f aca="false">($V181+CJ181)*100/42</f>
        <v>107.824967958197</v>
      </c>
      <c r="CL182" s="329" t="n">
        <f aca="false">CK183</f>
        <v>110.250474129047</v>
      </c>
      <c r="CM182" s="314"/>
      <c r="CN182" s="329" t="n">
        <f aca="false">CM182*100/42</f>
        <v>0</v>
      </c>
      <c r="CO182" s="329" t="n">
        <f aca="false">CM182-$U182</f>
        <v>-33.4523809523816</v>
      </c>
      <c r="CP182" s="329" t="n">
        <f aca="false">CP170+VLOOKUP(1900+$L182,ProductSpreadTable,5)</f>
        <v>11.6558181818182</v>
      </c>
      <c r="CQ182" s="329" t="n">
        <f aca="false">($V182+CP182)*100/42</f>
        <v>107.400474129047</v>
      </c>
      <c r="CR182" s="333" t="n">
        <f aca="false">CQ182-CL182</f>
        <v>-2.84999999999999</v>
      </c>
      <c r="CS182" s="314"/>
      <c r="CT182" s="329" t="n">
        <f aca="false">CS182*100/42</f>
        <v>0</v>
      </c>
      <c r="CU182" s="329" t="n">
        <f aca="false">CT182-CG183</f>
        <v>0</v>
      </c>
      <c r="CV182" s="329" t="n">
        <f aca="false">CV170+VLOOKUP(1900+$L182,ProductSpreadTable,6)</f>
        <v>2.70000000000001</v>
      </c>
      <c r="CW182" s="333" t="n">
        <f aca="false">CL182+CV182</f>
        <v>112.950474129047</v>
      </c>
      <c r="CX182" s="318"/>
      <c r="CY182" s="326" t="n">
        <f aca="false">CX182-$W182</f>
        <v>-0.146899999999998</v>
      </c>
      <c r="CZ182" s="326" t="n">
        <f aca="false">VLOOKUP(1900+$L182,ProductSpreadTable,7)</f>
        <v>-0.03</v>
      </c>
      <c r="DA182" s="365" t="n">
        <f aca="false">$W182+CZ182</f>
        <v>0.116899999999998</v>
      </c>
      <c r="DB182" s="318"/>
      <c r="DC182" s="326" t="n">
        <f aca="false">DB182-$W182</f>
        <v>-0.146899999999998</v>
      </c>
      <c r="DD182" s="326" t="n">
        <f aca="false">VLOOKUP(1900+$L182,ProductSpreadTable,8)</f>
        <v>0.03</v>
      </c>
      <c r="DE182" s="365" t="n">
        <f aca="false">$W182+DD182</f>
        <v>0.176899999999998</v>
      </c>
      <c r="DG182" s="336"/>
      <c r="DH182" s="314"/>
      <c r="DI182" s="325" t="n">
        <f aca="false">DH182-$U182</f>
        <v>-33.4523809523816</v>
      </c>
      <c r="DJ182" s="325" t="n">
        <f aca="false">VLOOKUP(1900+$L182,ResidSpreadTable,2)</f>
        <v>-2</v>
      </c>
      <c r="DK182" s="337" t="n">
        <f aca="false">$V182+DJ182</f>
        <v>31.4523809523816</v>
      </c>
      <c r="DL182" s="314"/>
      <c r="DM182" s="325" t="n">
        <f aca="false">DL182-$U182</f>
        <v>-33.4523809523816</v>
      </c>
      <c r="DN182" s="325" t="n">
        <f aca="false">VLOOKUP(1900+$L182,ResidSpreadTable,3)</f>
        <v>-3</v>
      </c>
      <c r="DO182" s="337" t="n">
        <f aca="false">$V182+DN182</f>
        <v>30.4523809523816</v>
      </c>
      <c r="DP182" s="314"/>
      <c r="DQ182" s="325" t="n">
        <f aca="false">DP182-$U182</f>
        <v>-33.4523809523816</v>
      </c>
      <c r="DR182" s="325" t="n">
        <f aca="false">VLOOKUP(1900+$L182,ResidSpreadTable,4)</f>
        <v>-6</v>
      </c>
      <c r="DS182" s="337" t="n">
        <f aca="false">$V182+DR182</f>
        <v>27.4523809523816</v>
      </c>
      <c r="DT182" s="314"/>
      <c r="DU182" s="325" t="n">
        <f aca="false">DT182-$U182</f>
        <v>-33.4523809523816</v>
      </c>
      <c r="DV182" s="325" t="n">
        <f aca="false">VLOOKUP(1900+$L182,ResidSpreadTable,5)</f>
        <v>-5</v>
      </c>
      <c r="DW182" s="337" t="n">
        <f aca="false">$V182+DV182</f>
        <v>28.4523809523816</v>
      </c>
    </row>
    <row r="183" customFormat="false" ht="12.75" hidden="false" customHeight="false" outlineLevel="0" collapsed="false">
      <c r="B183" s="371" t="n">
        <v>41122</v>
      </c>
      <c r="C183" s="391" t="n">
        <v>41110</v>
      </c>
      <c r="I183" s="338" t="n">
        <f aca="false">EOMONTH(I182,0)+1</f>
        <v>51318</v>
      </c>
      <c r="J183" s="389" t="n">
        <f aca="false">VLOOKUP(I183,$B$12:$C$332,2)</f>
        <v>45644</v>
      </c>
      <c r="K183" s="339" t="n">
        <f aca="false">NETWORKDAYS(I183,J184)/N183</f>
        <v>-184.227272727273</v>
      </c>
      <c r="L183" s="309" t="n">
        <f aca="false">YEAR(I183)-1900</f>
        <v>140</v>
      </c>
      <c r="M183" s="310" t="n">
        <f aca="false">MONTH(I183)</f>
        <v>7</v>
      </c>
      <c r="N183" s="340" t="n">
        <f aca="false">NETWORKDAYS(I183,I184-1)</f>
        <v>22</v>
      </c>
      <c r="O183" s="341" t="n">
        <f aca="false">I183-DateToday-IF(EuroExpDateToggle=1,3+IF(WEEKDAY(I183-1)=7,1,IF(WEEKDAY(I183-1)&lt;5,2,0)),1+IF(WEEKDAY(I183-1)=7,1,IF(WEEKDAY(I183-1)&lt;3,2,0)))</f>
        <v>5388</v>
      </c>
      <c r="P183" s="342" t="n">
        <f aca="false">(I183-DateToday+1)/365.25</f>
        <v>14.7652292950034</v>
      </c>
      <c r="Q183" s="342" t="n">
        <f aca="false">(I184-DateToday)/365.25</f>
        <v>14.8473648186174</v>
      </c>
      <c r="R183" s="314" t="n">
        <v>23.8000000000001</v>
      </c>
      <c r="S183" s="347" t="n">
        <v>0</v>
      </c>
      <c r="T183" s="316" t="n">
        <f aca="false">R183+S183/100</f>
        <v>23.8000000000001</v>
      </c>
      <c r="U183" s="325" t="n">
        <f aca="false">R184*K183+R185*(1-K183)</f>
        <v>33.1113636363634</v>
      </c>
      <c r="V183" s="337" t="n">
        <f aca="false">T184*K183+T185*(1-K183)</f>
        <v>33.1113636363634</v>
      </c>
      <c r="W183" s="318" t="n">
        <v>0.146499999999998</v>
      </c>
      <c r="X183" s="319" t="str">
        <f aca="false">IF($I183-DateToday+1&gt;=$A$10,"",IF($I183-DateToday+1&lt;$A$5,1,MATCH($I183-DateToday+1,$A$5:$A$10)))</f>
        <v/>
      </c>
      <c r="Y183" s="348" t="n">
        <f aca="false">IF($X183="",Y182^2/Y181,INDEX(B$5:B$10,$X183)^((INDEX($A$5:$A$10,$X183+1)-($I183-DateToday+1))/(INDEX($A$5:$A$10,$X183+1)-INDEX($A$5:$A$10,$X183)))/INDEX(B$5:B$10,$X183+1)^((INDEX($A$5:$A$10,$X183)-($I183-DateToday+1))/(INDEX($A$5:$A$10,$X183+1)-INDEX($A$5:$A$10,$X183))))</f>
        <v>0.000332659111176003</v>
      </c>
      <c r="Z183" s="348" t="n">
        <f aca="false">IF($X183="",Z182^2/Z181,INDEX(C$5:C$10,$X183)^((INDEX($A$5:$A$10,$X183+1)-($I183-DateToday+1))/(INDEX($A$5:$A$10,$X183+1)-INDEX($A$5:$A$10,$X183)))/INDEX(C$5:C$10,$X183+1)^((INDEX($A$5:$A$10,$X183)-($I183-DateToday+1))/(INDEX($A$5:$A$10,$X183+1)-INDEX($A$5:$A$10,$X183))))</f>
        <v>7.91935191601682E-005</v>
      </c>
      <c r="AA183" s="348" t="n">
        <f aca="false">IF($X183="",AA182^2/AA181,INDEX(D$5:D$10,$X183)^((INDEX($A$5:$A$10,$X183+1)-($I183-DateToday+1))/(INDEX($A$5:$A$10,$X183+1)-INDEX($A$5:$A$10,$X183)))/INDEX(D$5:D$10,$X183+1)^((INDEX($A$5:$A$10,$X183)-($I183-DateToday+1))/(INDEX($A$5:$A$10,$X183+1)-INDEX($A$5:$A$10,$X183))))</f>
        <v>2.34580578664885E-005</v>
      </c>
      <c r="AB183" s="348" t="n">
        <f aca="false">IF($X183="",AB182^2/AB181,INDEX(E$5:E$10,$X183)^((INDEX($A$5:$A$10,$X183+1)-($I183-DateToday+1))/(INDEX($A$5:$A$10,$X183+1)-INDEX($A$5:$A$10,$X183)))/INDEX(E$5:E$10,$X183+1)^((INDEX($A$5:$A$10,$X183)-($I183-DateToday+1))/(INDEX($A$5:$A$10,$X183+1)-INDEX($A$5:$A$10,$X183))))</f>
        <v>5.2846312761631E-005</v>
      </c>
      <c r="AC183" s="348" t="n">
        <f aca="false">IF($X183="",AC182^2/AC181,INDEX(F$5:F$10,$X183)^((INDEX($A$5:$A$10,$X183+1)-($I183-DateToday+1))/(INDEX($A$5:$A$10,$X183+1)-INDEX($A$5:$A$10,$X183)))/INDEX(F$5:F$10,$X183+1)^((INDEX($A$5:$A$10,$X183)-($I183-DateToday+1))/(INDEX($A$5:$A$10,$X183+1)-INDEX($A$5:$A$10,$X183))))</f>
        <v>0.000178407159964025</v>
      </c>
      <c r="AD183" s="348" t="n">
        <f aca="false">IF($X183="",AD182^2/AD181,INDEX(G$5:G$10,$X183)^((INDEX($A$5:$A$10,$X183+1)-($I183-DateToday+1))/(INDEX($A$5:$A$10,$X183+1)-INDEX($A$5:$A$10,$X183)))/INDEX(G$5:G$10,$X183+1)^((INDEX($A$5:$A$10,$X183)-($I183-DateToday+1))/(INDEX($A$5:$A$10,$X183+1)-INDEX($A$5:$A$10,$X183))))</f>
        <v>0.000749414445657214</v>
      </c>
      <c r="AE183" s="321" t="n">
        <v>0.073554373585188</v>
      </c>
      <c r="AF183" s="316" t="n">
        <f aca="false">(1+AE183/2)^(-2*(I184-DateToday)/365.25)</f>
        <v>0.342156917500275</v>
      </c>
      <c r="AG183" s="316" t="n">
        <f aca="false">AG182*(1+IF(AND(M183=1,L183&gt;YearStart),Escalation,0))</f>
        <v>1</v>
      </c>
      <c r="AH183" s="322" t="n">
        <f aca="false">IF(OR(DateStart&gt;=I184,DateEnd&lt;I183),0,Volume*AG183)</f>
        <v>0</v>
      </c>
      <c r="AI183" s="322" t="n">
        <f aca="false">AH183*AF183</f>
        <v>0</v>
      </c>
      <c r="AJ183" s="322" t="n">
        <f aca="false">IF(OR(DateStart2&gt;=I184,DateEnd2&lt;I183),0,VolumeSwaption*AG183)</f>
        <v>0</v>
      </c>
      <c r="AK183" s="322" t="n">
        <f aca="false">AJ183*AF183</f>
        <v>0</v>
      </c>
      <c r="AL183" s="316" t="str">
        <f aca="true">IF(AH183,OFFSET(BY183,0,HorizontalPriceOffset)+PriceSpreadAsian,"")</f>
        <v/>
      </c>
      <c r="AM183" s="316" t="str">
        <f aca="false">IF(AH183,Strike1/AL183-1,"")</f>
        <v/>
      </c>
      <c r="AN183" s="316" t="str">
        <f aca="false">IF(AH183,Strike2/AL183-1,"")</f>
        <v/>
      </c>
      <c r="AO183" s="323" t="str">
        <f aca="false">IF(AH183,IF(VolOverrideAsian,VolOverrideAsian,IF(ProductGroup=1,IF(Product&lt;3,DA184,DE184),W184)+VolSpreadAsian),"")</f>
        <v/>
      </c>
      <c r="AP183" s="323" t="str">
        <f aca="false">IF($AH183,$AO183+IF(SkewFlag=1,IF(AM183&gt;0,$AA183*MIN(AM183/10%,1)+($Z183-$AA183)*MAX(0,MIN(AM183/10%-1,1))+($Y183-$Z183)*MAX(0,AM183/10%-2),$AB183*MIN(-AM183/10%,1)+($AC183-$AB183)*MAX(0,MIN(-AM183/10%-1,1))+($AD183-$AC183)*MAX(0,-AM183/10%-2)),0),"")</f>
        <v/>
      </c>
      <c r="AQ183" s="323" t="str">
        <f aca="false">IF($AH183,$AO183+IF(SkewFlag=1,IF(AN183&gt;0,$AA183*MIN(AN183/10%,1)+($Z183-$AA183)*MAX(0,MIN(AN183/10%-1,1))+($Y183-$Z183)*MAX(0,AN183/10%-2),$AB183*MIN(-AN183/10%,1)+($AC183-$AB183)*MAX(0,MIN(-AN183/10%-1,1))+($AD183-$AC183)*MAX(0,-AN183/10%-2)),0),"")</f>
        <v/>
      </c>
      <c r="AR183" s="324" t="n">
        <f aca="false">IF(AH183,xASN(AL183,Strike1,AE183,AP183,0,N183,0,P183,Q183,IF(OptControl=4,0,1),0),0)</f>
        <v>0</v>
      </c>
      <c r="AS183" s="324" t="n">
        <f aca="false">IF(AH183,xASN(AL183,Strike1,AE183,AP183,0,N183,0,P183,Q183,IF(OptControl=4,0,1),1),0)</f>
        <v>0</v>
      </c>
      <c r="AT183" s="324" t="n">
        <f aca="false">IF(AH183,xASN(AL183,Strike1,AE183,AP183,0,N183,0,P183,Q183,IF(OptControl=4,0,1),2),0)</f>
        <v>0</v>
      </c>
      <c r="AU183" s="324" t="n">
        <f aca="false">IF(AH183,xASN(AL183,Strike1,AE183,AP183,0,N183,0,P183,Q183,IF(OptControl=4,0,1),3)/100,0)</f>
        <v>0</v>
      </c>
      <c r="AV183" s="324" t="n">
        <f aca="false">IF(AH183,xASN(AL183,Strike1,AE183,AP183,0,N183,0,P183-DaysForThetaCalculation/365.25,Q183-DaysForThetaCalculation/365.25,IF(OptControl=4,0,1),0)-xASN(AL183,Strike1,AE183,AP183,0,N183,0,P183,Q183,IF(OptControl=4,0,1),0),0)</f>
        <v>0</v>
      </c>
      <c r="AW183" s="324" t="n">
        <f aca="false">IF(AH183,xASN(AL183,Strike2,AE183,AQ183,0,N183,0,P183,Q183,IF(OptControl=3,1,0),0),0)</f>
        <v>0</v>
      </c>
      <c r="AX183" s="324" t="n">
        <f aca="false">IF(AH183,xASN(AL183,Strike2,AE183,AQ183,0,N183,0,P183,Q183,IF(OptControl=3,1,0),1),0)</f>
        <v>0</v>
      </c>
      <c r="AY183" s="324" t="n">
        <f aca="false">IF(AH183,xASN(AL183,Strike2,AE183,AQ183,0,N183,0,P183,Q183,IF(OptControl=3,1,0),2),0)</f>
        <v>0</v>
      </c>
      <c r="AZ183" s="324" t="n">
        <f aca="false">IF(AH183,xASN(AL183,Strike2,AE183,AQ183,0,N183,0,P183,Q183,IF(OptControl=3,1,0),3)/100,0)</f>
        <v>0</v>
      </c>
      <c r="BA183" s="324" t="n">
        <f aca="false">IF(AH183,xASN(AL183,Strike2,AE183,AQ183,0,N183,0,P183-DaysForThetaCalculation/365.25,Q183-DaysForThetaCalculation/365.25,IF(OptControl=3,1,0),0)-xASN(AL183,Strike2,AE183,AQ183,0,N183,0,P183,Q183,IF(OptControl=3,1,0),0),0)</f>
        <v>0</v>
      </c>
      <c r="BB183" s="325" t="str">
        <f aca="false">IF(AH183,IF(ProductGroup=1,IF(Product=1,BX183+PriceSpreadEuro,IF(Product=3,CK183+PriceSpreadEuro,"N/A")),"N/A"),"")</f>
        <v/>
      </c>
      <c r="BC183" s="316" t="str">
        <f aca="false">IF(AH183,Strike1/BB183-1,"")</f>
        <v/>
      </c>
      <c r="BD183" s="316" t="str">
        <f aca="false">IF(AH183,Strike2/BB183-1,"")</f>
        <v/>
      </c>
      <c r="BE183" s="326" t="str">
        <f aca="false">IF(AH183,IF(VolOverrideEuro,VolOverrideEuro,IF(ProductGroup=1,IF(Product&lt;3,DA183,DE183)+VolSpreadEuro,"N/A")),"")</f>
        <v/>
      </c>
      <c r="BF183" s="323" t="str">
        <f aca="false">IF($AH183,$BE183+IF(SkewFlag=1,IF(BC183&gt;0,$AA183*MIN(BC183/10%,1)+($Z183-$AA183)*MAX(0,MIN(BC183/10%-1,1))+($Y183-$Z183)*MAX(0,BC183/10%-2),$AB183*MIN(-BC183/10%,1)+($AC183-$AB183)*MAX(0,MIN(-BC183/10%-1,1))+($AD183-$AC183)*MAX(0,-BC183/10%-2)),0),"")</f>
        <v/>
      </c>
      <c r="BG183" s="323" t="str">
        <f aca="false">IF($AH183,$BE183+IF(SkewFlag=1,IF(BD183&gt;0,$AA183*MIN(BD183/10%,1)+($Z183-$AA183)*MAX(0,MIN(BD183/10%-1,1))+($Y183-$Z183)*MAX(0,BD183/10%-2),$AB183*MIN(-BD183/10%,1)+($AC183-$AB183)*MAX(0,MIN(-BD183/10%-1,1))+($AD183-$AC183)*MAX(0,-BD183/10%-2)),0),"")</f>
        <v/>
      </c>
      <c r="BH183" s="324" t="n">
        <f aca="false">IF(AH183,xEURO(BB183,Strike1,AE183,AE183,BF183,O183,IF(OptControl=4,0,1),0),0)</f>
        <v>0</v>
      </c>
      <c r="BI183" s="324" t="n">
        <f aca="false">IF(AH183,xEURO(BB183,Strike1,AE183,AE183,BF183,O183,IF(OptControl=4,0,1),1),0)</f>
        <v>0</v>
      </c>
      <c r="BJ183" s="324" t="n">
        <f aca="false">IF(AH183,xEURO(BB183,Strike1,AE183,AE183,BF183,O183,IF(OptControl=4,0,1),2),0)</f>
        <v>0</v>
      </c>
      <c r="BK183" s="324" t="n">
        <f aca="false">IF(AH183,xEURO(BB183,Strike1,AE183,AE183,BF183,O183,IF(OptControl=4,0,1),3)/100,0)</f>
        <v>0</v>
      </c>
      <c r="BL183" s="324" t="n">
        <f aca="false">IF(AH183,xEURO(BB183,Strike1,AE183,AE183,BF183,O183-DaysForThetaCalculation,IF(OptControl=4,0,1),0)-xEURO(BB183,Strike1,AE183,AE183,BF183,O183,IF(OptControl=4,0,1),0),0)</f>
        <v>0</v>
      </c>
      <c r="BM183" s="324" t="n">
        <f aca="false">IF(AH183,xEURO(BB183,Strike2,AE183,AE183,BG183,O183,IF(OptControl=3,1,0),0),0)</f>
        <v>0</v>
      </c>
      <c r="BN183" s="324" t="n">
        <f aca="false">IF(AH183,xEURO(BB183,Strike2,AE183,AE183,BG183,O183,IF(OptControl=3,1,0),1),0)</f>
        <v>0</v>
      </c>
      <c r="BO183" s="324" t="n">
        <f aca="false">IF(AH183,xEURO(BB183,Strike2,AE183,AE183,BG183,O183,IF(OptControl=3,1,0),2),0)</f>
        <v>0</v>
      </c>
      <c r="BP183" s="324" t="n">
        <f aca="false">IF(AH183,xEURO(BB183,Strike2,AE183,AE183,BG183,O183,IF(OptControl=3,1,0),3)/100,0)</f>
        <v>0</v>
      </c>
      <c r="BQ183" s="327" t="n">
        <f aca="false">IF(AH183,xEURO(BB183,Strike2,AE183,AE183,BG183,O183-DaysForThetaCalculation,IF(OptControl=3,1,0),0)-xEURO(BB183,Strike2,AE183,AE183,BG183,O183,IF(OptControl=3,1,0),0),0)</f>
        <v>0</v>
      </c>
      <c r="BR183" s="343"/>
      <c r="BS183" s="314"/>
      <c r="BT183" s="329" t="n">
        <f aca="false">BS183*100/42</f>
        <v>0</v>
      </c>
      <c r="BU183" s="329" t="n">
        <f aca="false">BS184-$U183</f>
        <v>-33.1113636363634</v>
      </c>
      <c r="BV183" s="224"/>
      <c r="BW183" s="329" t="n">
        <f aca="false">BW171+VLOOKUP(1900+$L183,ProductSpreadTable,2)</f>
        <v>13.0738260869565</v>
      </c>
      <c r="BX183" s="329" t="n">
        <f aca="false">($V182+BW182)*100/42</f>
        <v>110.819521748095</v>
      </c>
      <c r="BY183" s="332" t="n">
        <f aca="false">BX184</f>
        <v>109.964737436476</v>
      </c>
      <c r="BZ183" s="314"/>
      <c r="CA183" s="329" t="n">
        <f aca="false">BZ183*100/42</f>
        <v>0</v>
      </c>
      <c r="CB183" s="329" t="n">
        <f aca="false">BZ183-$U183</f>
        <v>-33.1113636363634</v>
      </c>
      <c r="CC183" s="329" t="n">
        <f aca="false">CC171+VLOOKUP(1900+$L183,ProductSpreadTable,3)</f>
        <v>11.5618260869565</v>
      </c>
      <c r="CD183" s="329" t="n">
        <f aca="false">($V183+CC183)*100/42</f>
        <v>106.364737436476</v>
      </c>
      <c r="CE183" s="333" t="n">
        <f aca="false">CD183-BY183</f>
        <v>-3.59999999999999</v>
      </c>
      <c r="CF183" s="314"/>
      <c r="CG183" s="329" t="n">
        <f aca="false">CF183*100/42</f>
        <v>0</v>
      </c>
      <c r="CH183" s="329" t="n">
        <f aca="false">CF184-$U183</f>
        <v>-33.1113636363634</v>
      </c>
      <c r="CI183" s="224"/>
      <c r="CJ183" s="329" t="n">
        <f aca="false">CJ171+VLOOKUP(1900+$L183,ProductSpreadTable,4)</f>
        <v>12.3938260869565</v>
      </c>
      <c r="CK183" s="329" t="n">
        <f aca="false">($V182+CJ182)*100/42</f>
        <v>110.250474129047</v>
      </c>
      <c r="CL183" s="329" t="n">
        <f aca="false">CK184</f>
        <v>108.345689817428</v>
      </c>
      <c r="CM183" s="314"/>
      <c r="CN183" s="329" t="n">
        <f aca="false">CM183*100/42</f>
        <v>0</v>
      </c>
      <c r="CO183" s="329" t="n">
        <f aca="false">CM183-$U183</f>
        <v>-33.1113636363634</v>
      </c>
      <c r="CP183" s="329" t="n">
        <f aca="false">CP171+VLOOKUP(1900+$L183,ProductSpreadTable,5)</f>
        <v>11.2808260869565</v>
      </c>
      <c r="CQ183" s="329" t="n">
        <f aca="false">($V183+CP183)*100/42</f>
        <v>105.695689817428</v>
      </c>
      <c r="CR183" s="333" t="n">
        <f aca="false">CQ183-CL183</f>
        <v>-2.64999999999999</v>
      </c>
      <c r="CS183" s="314"/>
      <c r="CT183" s="329" t="n">
        <f aca="false">CS183*100/42</f>
        <v>0</v>
      </c>
      <c r="CU183" s="329" t="n">
        <f aca="false">CT183-CG184</f>
        <v>0</v>
      </c>
      <c r="CV183" s="329" t="n">
        <f aca="false">CV171+VLOOKUP(1900+$L183,ProductSpreadTable,6)</f>
        <v>2.70000000000001</v>
      </c>
      <c r="CW183" s="333" t="n">
        <f aca="false">CL183+CV183</f>
        <v>111.045689817428</v>
      </c>
      <c r="CX183" s="318"/>
      <c r="CY183" s="326" t="n">
        <f aca="false">CX183-$W183</f>
        <v>-0.146499999999998</v>
      </c>
      <c r="CZ183" s="326" t="n">
        <f aca="false">VLOOKUP(1900+$L183,ProductSpreadTable,7)</f>
        <v>-0.03</v>
      </c>
      <c r="DA183" s="365" t="n">
        <f aca="false">$W183+CZ183</f>
        <v>0.116499999999998</v>
      </c>
      <c r="DB183" s="318"/>
      <c r="DC183" s="326" t="n">
        <f aca="false">DB183-$W183</f>
        <v>-0.146499999999998</v>
      </c>
      <c r="DD183" s="326" t="n">
        <f aca="false">VLOOKUP(1900+$L183,ProductSpreadTable,8)</f>
        <v>0.03</v>
      </c>
      <c r="DE183" s="365" t="n">
        <f aca="false">$W183+DD183</f>
        <v>0.176499999999998</v>
      </c>
      <c r="DG183" s="336"/>
      <c r="DH183" s="314"/>
      <c r="DI183" s="325" t="n">
        <f aca="false">DH183-$U183</f>
        <v>-33.1113636363634</v>
      </c>
      <c r="DJ183" s="325" t="n">
        <f aca="false">VLOOKUP(1900+$L183,ResidSpreadTable,2)</f>
        <v>-2</v>
      </c>
      <c r="DK183" s="337" t="n">
        <f aca="false">$V183+DJ183</f>
        <v>31.1113636363634</v>
      </c>
      <c r="DL183" s="314"/>
      <c r="DM183" s="325" t="n">
        <f aca="false">DL183-$U183</f>
        <v>-33.1113636363634</v>
      </c>
      <c r="DN183" s="325" t="n">
        <f aca="false">VLOOKUP(1900+$L183,ResidSpreadTable,3)</f>
        <v>-3</v>
      </c>
      <c r="DO183" s="337" t="n">
        <f aca="false">$V183+DN183</f>
        <v>30.1113636363634</v>
      </c>
      <c r="DP183" s="314"/>
      <c r="DQ183" s="325" t="n">
        <f aca="false">DP183-$U183</f>
        <v>-33.1113636363634</v>
      </c>
      <c r="DR183" s="325" t="n">
        <f aca="false">VLOOKUP(1900+$L183,ResidSpreadTable,4)</f>
        <v>-6</v>
      </c>
      <c r="DS183" s="337" t="n">
        <f aca="false">$V183+DR183</f>
        <v>27.1113636363634</v>
      </c>
      <c r="DT183" s="314"/>
      <c r="DU183" s="325" t="n">
        <f aca="false">DT183-$U183</f>
        <v>-33.1113636363634</v>
      </c>
      <c r="DV183" s="325" t="n">
        <f aca="false">VLOOKUP(1900+$L183,ResidSpreadTable,5)</f>
        <v>-5</v>
      </c>
      <c r="DW183" s="337" t="n">
        <f aca="false">$V183+DV183</f>
        <v>28.1113636363634</v>
      </c>
    </row>
    <row r="184" customFormat="false" ht="13.5" hidden="false" customHeight="false" outlineLevel="0" collapsed="false">
      <c r="B184" s="371" t="n">
        <v>41153</v>
      </c>
      <c r="C184" s="391" t="n">
        <v>41142</v>
      </c>
      <c r="I184" s="338" t="n">
        <f aca="false">EOMONTH(I183,0)+1</f>
        <v>51349</v>
      </c>
      <c r="J184" s="389" t="n">
        <f aca="false">VLOOKUP(I184,$B$12:$C$332,2)</f>
        <v>45644</v>
      </c>
      <c r="K184" s="339" t="n">
        <f aca="false">NETWORKDAYS(I184,J185)/N184</f>
        <v>-177.217391304348</v>
      </c>
      <c r="L184" s="309" t="n">
        <f aca="false">YEAR(I184)-1900</f>
        <v>140</v>
      </c>
      <c r="M184" s="310" t="n">
        <f aca="false">MONTH(I184)</f>
        <v>8</v>
      </c>
      <c r="N184" s="340" t="n">
        <f aca="false">NETWORKDAYS(I184,I185-1)</f>
        <v>23</v>
      </c>
      <c r="O184" s="341" t="n">
        <f aca="false">I184-DateToday-IF(EuroExpDateToggle=1,3+IF(WEEKDAY(I184-1)=7,1,IF(WEEKDAY(I184-1)&lt;5,2,0)),1+IF(WEEKDAY(I184-1)=7,1,IF(WEEKDAY(I184-1)&lt;3,2,0)))</f>
        <v>5418</v>
      </c>
      <c r="P184" s="342" t="n">
        <f aca="false">(I184-DateToday+1)/365.25</f>
        <v>14.8501026694045</v>
      </c>
      <c r="Q184" s="342" t="n">
        <f aca="false">(I185-DateToday)/365.25</f>
        <v>14.9322381930185</v>
      </c>
      <c r="R184" s="314" t="n">
        <v>23.8500000000001</v>
      </c>
      <c r="S184" s="347" t="n">
        <v>0</v>
      </c>
      <c r="T184" s="316" t="n">
        <f aca="false">R184+S184/100</f>
        <v>23.8500000000001</v>
      </c>
      <c r="U184" s="325" t="n">
        <f aca="false">R185*K184+R186*(1-K184)</f>
        <v>32.8108695652172</v>
      </c>
      <c r="V184" s="337" t="n">
        <f aca="false">T185*K184+T186*(1-K184)</f>
        <v>32.8108695652172</v>
      </c>
      <c r="W184" s="318" t="n">
        <v>0.146099999999998</v>
      </c>
      <c r="X184" s="392" t="str">
        <f aca="false">IF($I184-DateToday+1&gt;=$A$10,"",IF($I184-DateToday+1&lt;$A$5,1,MATCH($I184-DateToday+1,$A$5:$A$10)))</f>
        <v/>
      </c>
      <c r="Y184" s="393" t="n">
        <f aca="false">IF($X184="",Y183^2/Y182,INDEX(B$5:B$10,$X184)^((INDEX($A$5:$A$10,$X184+1)-($I184-DateToday+1))/(INDEX($A$5:$A$10,$X184+1)-INDEX($A$5:$A$10,$X184)))/INDEX(B$5:B$10,$X184+1)^((INDEX($A$5:$A$10,$X184)-($I184-DateToday+1))/(INDEX($A$5:$A$10,$X184+1)-INDEX($A$5:$A$10,$X184))))</f>
        <v>0.000325537385556041</v>
      </c>
      <c r="Z184" s="393" t="n">
        <f aca="false">IF($X184="",Z183^2/Z182,INDEX(C$5:C$10,$X184)^((INDEX($A$5:$A$10,$X184+1)-($I184-DateToday+1))/(INDEX($A$5:$A$10,$X184+1)-INDEX($A$5:$A$10,$X184)))/INDEX(C$5:C$10,$X184+1)^((INDEX($A$5:$A$10,$X184)-($I184-DateToday+1))/(INDEX($A$5:$A$10,$X184+1)-INDEX($A$5:$A$10,$X184))))</f>
        <v>7.7083177475665E-005</v>
      </c>
      <c r="AA184" s="393" t="n">
        <f aca="false">IF($X184="",AA183^2/AA182,INDEX(D$5:D$10,$X184)^((INDEX($A$5:$A$10,$X184+1)-($I184-DateToday+1))/(INDEX($A$5:$A$10,$X184+1)-INDEX($A$5:$A$10,$X184)))/INDEX(D$5:D$10,$X184+1)^((INDEX($A$5:$A$10,$X184)-($I184-DateToday+1))/(INDEX($A$5:$A$10,$X184+1)-INDEX($A$5:$A$10,$X184))))</f>
        <v>2.27717209624866E-005</v>
      </c>
      <c r="AB184" s="393" t="n">
        <f aca="false">IF($X184="",AB183^2/AB182,INDEX(E$5:E$10,$X184)^((INDEX($A$5:$A$10,$X184+1)-($I184-DateToday+1))/(INDEX($A$5:$A$10,$X184+1)-INDEX($A$5:$A$10,$X184)))/INDEX(E$5:E$10,$X184+1)^((INDEX($A$5:$A$10,$X184)-($I184-DateToday+1))/(INDEX($A$5:$A$10,$X184+1)-INDEX($A$5:$A$10,$X184))))</f>
        <v>5.13001329842955E-005</v>
      </c>
      <c r="AC184" s="393" t="n">
        <f aca="false">IF($X184="",AC183^2/AC182,INDEX(F$5:F$10,$X184)^((INDEX($A$5:$A$10,$X184+1)-($I184-DateToday+1))/(INDEX($A$5:$A$10,$X184+1)-INDEX($A$5:$A$10,$X184)))/INDEX(F$5:F$10,$X184+1)^((INDEX($A$5:$A$10,$X184)-($I184-DateToday+1))/(INDEX($A$5:$A$10,$X184+1)-INDEX($A$5:$A$10,$X184))))</f>
        <v>0.000173652982217176</v>
      </c>
      <c r="AD184" s="393" t="n">
        <f aca="false">IF($X184="",AD183^2/AD182,INDEX(G$5:G$10,$X184)^((INDEX($A$5:$A$10,$X184+1)-($I184-DateToday+1))/(INDEX($A$5:$A$10,$X184+1)-INDEX($A$5:$A$10,$X184)))/INDEX(G$5:G$10,$X184+1)^((INDEX($A$5:$A$10,$X184)-($I184-DateToday+1))/(INDEX($A$5:$A$10,$X184+1)-INDEX($A$5:$A$10,$X184))))</f>
        <v>0.000733370622180564</v>
      </c>
      <c r="AE184" s="321" t="n">
        <v>0.073550412026699</v>
      </c>
      <c r="AF184" s="394" t="n">
        <f aca="false">(1+AE184/2)^(-2*(I185-DateToday)/365.25)</f>
        <v>0.340085059369488</v>
      </c>
      <c r="AG184" s="394" t="n">
        <f aca="false">AG183*(1+IF(AND(M184=1,L184&gt;YearStart),Escalation,0))</f>
        <v>1</v>
      </c>
      <c r="AH184" s="395" t="n">
        <f aca="false">IF(OR(DateStart&gt;=I185,DateEnd&lt;I184),0,Volume*AG184)</f>
        <v>0</v>
      </c>
      <c r="AI184" s="395" t="n">
        <f aca="false">AH184*AF184</f>
        <v>0</v>
      </c>
      <c r="AJ184" s="395" t="n">
        <f aca="false">IF(OR(DateStart2&gt;=I185,DateEnd2&lt;I184),0,VolumeSwaption*AG184)</f>
        <v>0</v>
      </c>
      <c r="AK184" s="395" t="n">
        <f aca="false">AJ184*AF184</f>
        <v>0</v>
      </c>
      <c r="AL184" s="394" t="str">
        <f aca="true">IF(AH184,OFFSET(BY184,0,HorizontalPriceOffset)+PriceSpreadAsian,"")</f>
        <v/>
      </c>
      <c r="AM184" s="394" t="str">
        <f aca="false">IF(AH184,Strike1/AL184-1,"")</f>
        <v/>
      </c>
      <c r="AN184" s="394" t="str">
        <f aca="false">IF(AH184,Strike2/AL184-1,"")</f>
        <v/>
      </c>
      <c r="AO184" s="396" t="str">
        <f aca="false">IF(AH184,IF(VolOverrideAsian,VolOverrideAsian,IF(ProductGroup=1,IF(Product&lt;3,DA185,DE185),W185)+VolSpreadAsian),"")</f>
        <v/>
      </c>
      <c r="AP184" s="396" t="str">
        <f aca="false">IF($AH184,$AO184+IF(SkewFlag=1,IF(AM184&gt;0,$AA184*MIN(AM184/10%,1)+($Z184-$AA184)*MAX(0,MIN(AM184/10%-1,1))+($Y184-$Z184)*MAX(0,AM184/10%-2),$AB184*MIN(-AM184/10%,1)+($AC184-$AB184)*MAX(0,MIN(-AM184/10%-1,1))+($AD184-$AC184)*MAX(0,-AM184/10%-2)),0),"")</f>
        <v/>
      </c>
      <c r="AQ184" s="396" t="str">
        <f aca="false">IF($AH184,$AO184+IF(SkewFlag=1,IF(AN184&gt;0,$AA184*MIN(AN184/10%,1)+($Z184-$AA184)*MAX(0,MIN(AN184/10%-1,1))+($Y184-$Z184)*MAX(0,AN184/10%-2),$AB184*MIN(-AN184/10%,1)+($AC184-$AB184)*MAX(0,MIN(-AN184/10%-1,1))+($AD184-$AC184)*MAX(0,-AN184/10%-2)),0),"")</f>
        <v/>
      </c>
      <c r="AR184" s="397" t="n">
        <f aca="false">IF(AH184,xASN(AL184,Strike1,AE184,AP184,0,N184,0,P184,Q184,IF(OptControl=4,0,1),0),0)</f>
        <v>0</v>
      </c>
      <c r="AS184" s="397" t="n">
        <f aca="false">IF(AH184,xASN(AL184,Strike1,AE184,AP184,0,N184,0,P184,Q184,IF(OptControl=4,0,1),1),0)</f>
        <v>0</v>
      </c>
      <c r="AT184" s="397" t="n">
        <f aca="false">IF(AH184,xASN(AL184,Strike1,AE184,AP184,0,N184,0,P184,Q184,IF(OptControl=4,0,1),2),0)</f>
        <v>0</v>
      </c>
      <c r="AU184" s="397" t="n">
        <f aca="false">IF(AH184,xASN(AL184,Strike1,AE184,AP184,0,N184,0,P184,Q184,IF(OptControl=4,0,1),3)/100,0)</f>
        <v>0</v>
      </c>
      <c r="AV184" s="397" t="n">
        <f aca="false">IF(AH184,xASN(AL184,Strike1,AE184,AP184,0,N184,0,P184-DaysForThetaCalculation/365.25,Q184-DaysForThetaCalculation/365.25,IF(OptControl=4,0,1),0)-xASN(AL184,Strike1,AE184,AP184,0,N184,0,P184,Q184,IF(OptControl=4,0,1),0),0)</f>
        <v>0</v>
      </c>
      <c r="AW184" s="397" t="n">
        <f aca="false">IF(AH184,xASN(AL184,Strike2,AE184,AQ184,0,N184,0,P184,Q184,IF(OptControl=3,1,0),0),0)</f>
        <v>0</v>
      </c>
      <c r="AX184" s="397" t="n">
        <f aca="false">IF(AH184,xASN(AL184,Strike2,AE184,AQ184,0,N184,0,P184,Q184,IF(OptControl=3,1,0),1),0)</f>
        <v>0</v>
      </c>
      <c r="AY184" s="397" t="n">
        <f aca="false">IF(AH184,xASN(AL184,Strike2,AE184,AQ184,0,N184,0,P184,Q184,IF(OptControl=3,1,0),2),0)</f>
        <v>0</v>
      </c>
      <c r="AZ184" s="397" t="n">
        <f aca="false">IF(AH184,xASN(AL184,Strike2,AE184,AQ184,0,N184,0,P184,Q184,IF(OptControl=3,1,0),3)/100,0)</f>
        <v>0</v>
      </c>
      <c r="BA184" s="397" t="n">
        <f aca="false">IF(AH184,xASN(AL184,Strike2,AE184,AQ184,0,N184,0,P184-DaysForThetaCalculation/365.25,Q184-DaysForThetaCalculation/365.25,IF(OptControl=3,1,0),0)-xASN(AL184,Strike2,AE184,AQ184,0,N184,0,P184,Q184,IF(OptControl=3,1,0),0),0)</f>
        <v>0</v>
      </c>
      <c r="BB184" s="398" t="str">
        <f aca="false">IF(AH184,IF(ProductGroup=1,IF(Product=1,BX184+PriceSpreadEuro,IF(Product=3,CK184+PriceSpreadEuro,"N/A")),"N/A"),"")</f>
        <v/>
      </c>
      <c r="BC184" s="394" t="str">
        <f aca="false">IF(AH184,Strike1/BB184-1,"")</f>
        <v/>
      </c>
      <c r="BD184" s="394" t="str">
        <f aca="false">IF(AH184,Strike2/BB184-1,"")</f>
        <v/>
      </c>
      <c r="BE184" s="399" t="str">
        <f aca="false">IF(AH184,IF(VolOverrideEuro,VolOverrideEuro,IF(ProductGroup=1,IF(Product&lt;3,DA184,DE184)+VolSpreadEuro,"N/A")),"")</f>
        <v/>
      </c>
      <c r="BF184" s="396" t="str">
        <f aca="false">IF($AH184,$BE184+IF(SkewFlag=1,IF(BC184&gt;0,$AA184*MIN(BC184/10%,1)+($Z184-$AA184)*MAX(0,MIN(BC184/10%-1,1))+($Y184-$Z184)*MAX(0,BC184/10%-2),$AB184*MIN(-BC184/10%,1)+($AC184-$AB184)*MAX(0,MIN(-BC184/10%-1,1))+($AD184-$AC184)*MAX(0,-BC184/10%-2)),0),"")</f>
        <v/>
      </c>
      <c r="BG184" s="396" t="str">
        <f aca="false">IF($AH184,$BE184+IF(SkewFlag=1,IF(BD184&gt;0,$AA184*MIN(BD184/10%,1)+($Z184-$AA184)*MAX(0,MIN(BD184/10%-1,1))+($Y184-$Z184)*MAX(0,BD184/10%-2),$AB184*MIN(-BD184/10%,1)+($AC184-$AB184)*MAX(0,MIN(-BD184/10%-1,1))+($AD184-$AC184)*MAX(0,-BD184/10%-2)),0),"")</f>
        <v/>
      </c>
      <c r="BH184" s="397" t="n">
        <f aca="false">IF(AH184,xEURO(BB184,Strike1,AE184,AE184,BF184,O184,IF(OptControl=4,0,1),0),0)</f>
        <v>0</v>
      </c>
      <c r="BI184" s="397" t="n">
        <f aca="false">IF(AH184,xEURO(BB184,Strike1,AE184,AE184,BF184,O184,IF(OptControl=4,0,1),1),0)</f>
        <v>0</v>
      </c>
      <c r="BJ184" s="397" t="n">
        <f aca="false">IF(AH184,xEURO(BB184,Strike1,AE184,AE184,BF184,O184,IF(OptControl=4,0,1),2),0)</f>
        <v>0</v>
      </c>
      <c r="BK184" s="397" t="n">
        <f aca="false">IF(AH184,xEURO(BB184,Strike1,AE184,AE184,BF184,O184,IF(OptControl=4,0,1),3)/100,0)</f>
        <v>0</v>
      </c>
      <c r="BL184" s="397" t="n">
        <f aca="false">IF(AH184,xEURO(BB184,Strike1,AE184,AE184,BF184,O184-DaysForThetaCalculation,IF(OptControl=4,0,1),0)-xEURO(BB184,Strike1,AE184,AE184,BF184,O184,IF(OptControl=4,0,1),0),0)</f>
        <v>0</v>
      </c>
      <c r="BM184" s="397" t="n">
        <f aca="false">IF(AH184,xEURO(BB184,Strike2,AE184,AE184,BG184,O184,IF(OptControl=3,1,0),0),0)</f>
        <v>0</v>
      </c>
      <c r="BN184" s="397" t="n">
        <f aca="false">IF(AH184,xEURO(BB184,Strike2,AE184,AE184,BG184,O184,IF(OptControl=3,1,0),1),0)</f>
        <v>0</v>
      </c>
      <c r="BO184" s="397" t="n">
        <f aca="false">IF(AH184,xEURO(BB184,Strike2,AE184,AE184,BG184,O184,IF(OptControl=3,1,0),2),0)</f>
        <v>0</v>
      </c>
      <c r="BP184" s="397" t="n">
        <f aca="false">IF(AH184,xEURO(BB184,Strike2,AE184,AE184,BG184,O184,IF(OptControl=3,1,0),3)/100,0)</f>
        <v>0</v>
      </c>
      <c r="BQ184" s="400" t="n">
        <f aca="false">IF(AH184,xEURO(BB184,Strike2,AE184,AE184,BG184,O184-DaysForThetaCalculation,IF(OptControl=3,1,0),0)-xEURO(BB184,Strike2,AE184,AE184,BG184,O184,IF(OptControl=3,1,0),0),0)</f>
        <v>0</v>
      </c>
      <c r="BR184" s="343"/>
      <c r="BS184" s="314"/>
      <c r="BT184" s="329" t="n">
        <f aca="false">BS184*100/42</f>
        <v>0</v>
      </c>
      <c r="BU184" s="329" t="n">
        <f aca="false">BS185-$U184</f>
        <v>-32.8108695652172</v>
      </c>
      <c r="BV184" s="224"/>
      <c r="BW184" s="329" t="n">
        <f aca="false">BW172+VLOOKUP(1900+$L184,ProductSpreadTable,2)</f>
        <v>14.3765714285714</v>
      </c>
      <c r="BX184" s="329" t="n">
        <f aca="false">($V183+BW183)*100/42</f>
        <v>109.964737436476</v>
      </c>
      <c r="BY184" s="332" t="n">
        <f aca="false">BX185</f>
        <v>112.351049985211</v>
      </c>
      <c r="BZ184" s="314"/>
      <c r="CA184" s="329" t="n">
        <f aca="false">BZ184*100/42</f>
        <v>0</v>
      </c>
      <c r="CB184" s="329" t="n">
        <f aca="false">BZ184-$U184</f>
        <v>-32.8108695652172</v>
      </c>
      <c r="CC184" s="329" t="n">
        <f aca="false">CC172+VLOOKUP(1900+$L184,ProductSpreadTable,3)</f>
        <v>12.8185714285714</v>
      </c>
      <c r="CD184" s="329" t="n">
        <f aca="false">($V184+CC184)*100/42</f>
        <v>108.641526175687</v>
      </c>
      <c r="CE184" s="333" t="n">
        <f aca="false">CD184-BY184</f>
        <v>-3.70952380952383</v>
      </c>
      <c r="CF184" s="314"/>
      <c r="CG184" s="329" t="n">
        <f aca="false">CF184*100/42</f>
        <v>0</v>
      </c>
      <c r="CH184" s="329" t="n">
        <f aca="false">CF185-$U184</f>
        <v>-32.8108695652172</v>
      </c>
      <c r="CI184" s="224"/>
      <c r="CJ184" s="329" t="n">
        <f aca="false">CJ172+VLOOKUP(1900+$L184,ProductSpreadTable,4)</f>
        <v>12.6045714285714</v>
      </c>
      <c r="CK184" s="329" t="n">
        <f aca="false">($V183+CJ183)*100/42</f>
        <v>108.345689817428</v>
      </c>
      <c r="CL184" s="329" t="n">
        <f aca="false">CK185</f>
        <v>108.132002366163</v>
      </c>
      <c r="CM184" s="314"/>
      <c r="CN184" s="329" t="n">
        <f aca="false">CM184*100/42</f>
        <v>0</v>
      </c>
      <c r="CO184" s="329" t="n">
        <f aca="false">CM184-$U184</f>
        <v>-32.8108695652172</v>
      </c>
      <c r="CP184" s="329" t="n">
        <f aca="false">CP172+VLOOKUP(1900+$L184,ProductSpreadTable,5)</f>
        <v>11.4915714285714</v>
      </c>
      <c r="CQ184" s="329" t="n">
        <f aca="false">($V184+CP184)*100/42</f>
        <v>105.482002366163</v>
      </c>
      <c r="CR184" s="333" t="n">
        <f aca="false">CQ184-CL184</f>
        <v>-2.65000000000001</v>
      </c>
      <c r="CS184" s="314"/>
      <c r="CT184" s="329" t="n">
        <f aca="false">CS184*100/42</f>
        <v>0</v>
      </c>
      <c r="CU184" s="329" t="n">
        <f aca="false">CT184-CG185</f>
        <v>0</v>
      </c>
      <c r="CV184" s="329" t="n">
        <f aca="false">CV172+VLOOKUP(1900+$L184,ProductSpreadTable,6)</f>
        <v>2.70000000000001</v>
      </c>
      <c r="CW184" s="333" t="n">
        <f aca="false">CL184+CV184</f>
        <v>110.832002366163</v>
      </c>
      <c r="CX184" s="318"/>
      <c r="CY184" s="326" t="n">
        <f aca="false">CX184-$W184</f>
        <v>-0.146099999999998</v>
      </c>
      <c r="CZ184" s="326" t="n">
        <f aca="false">VLOOKUP(1900+$L184,ProductSpreadTable,7)</f>
        <v>-0.03</v>
      </c>
      <c r="DA184" s="365" t="n">
        <f aca="false">$W184+CZ184</f>
        <v>0.116099999999998</v>
      </c>
      <c r="DB184" s="318"/>
      <c r="DC184" s="326" t="n">
        <f aca="false">DB184-$W184</f>
        <v>-0.146099999999998</v>
      </c>
      <c r="DD184" s="326" t="n">
        <f aca="false">VLOOKUP(1900+$L184,ProductSpreadTable,8)</f>
        <v>0.03</v>
      </c>
      <c r="DE184" s="365" t="n">
        <f aca="false">$W184+DD184</f>
        <v>0.176099999999998</v>
      </c>
      <c r="DG184" s="336"/>
      <c r="DH184" s="314"/>
      <c r="DI184" s="325" t="n">
        <f aca="false">DH184-$U184</f>
        <v>-32.8108695652172</v>
      </c>
      <c r="DJ184" s="325" t="n">
        <f aca="false">VLOOKUP(1900+$L184,ResidSpreadTable,2)</f>
        <v>-2</v>
      </c>
      <c r="DK184" s="337" t="n">
        <f aca="false">$V184+DJ184</f>
        <v>30.8108695652172</v>
      </c>
      <c r="DL184" s="314"/>
      <c r="DM184" s="325" t="n">
        <f aca="false">DL184-$U184</f>
        <v>-32.8108695652172</v>
      </c>
      <c r="DN184" s="325" t="n">
        <f aca="false">VLOOKUP(1900+$L184,ResidSpreadTable,3)</f>
        <v>-3</v>
      </c>
      <c r="DO184" s="337" t="n">
        <f aca="false">$V184+DN184</f>
        <v>29.8108695652172</v>
      </c>
      <c r="DP184" s="314"/>
      <c r="DQ184" s="325" t="n">
        <f aca="false">DP184-$U184</f>
        <v>-32.8108695652172</v>
      </c>
      <c r="DR184" s="325" t="n">
        <f aca="false">VLOOKUP(1900+$L184,ResidSpreadTable,4)</f>
        <v>-6</v>
      </c>
      <c r="DS184" s="337" t="n">
        <f aca="false">$V184+DR184</f>
        <v>26.8108695652172</v>
      </c>
      <c r="DT184" s="314"/>
      <c r="DU184" s="325" t="n">
        <f aca="false">DT184-$U184</f>
        <v>-32.8108695652172</v>
      </c>
      <c r="DV184" s="325" t="n">
        <f aca="false">VLOOKUP(1900+$L184,ResidSpreadTable,5)</f>
        <v>-5</v>
      </c>
      <c r="DW184" s="337" t="n">
        <f aca="false">$V184+DV184</f>
        <v>27.8108695652172</v>
      </c>
    </row>
    <row r="185" customFormat="false" ht="12.75" hidden="false" customHeight="false" outlineLevel="0" collapsed="false">
      <c r="B185" s="371" t="n">
        <v>41183</v>
      </c>
      <c r="C185" s="391" t="n">
        <v>41172</v>
      </c>
      <c r="I185" s="338" t="n">
        <f aca="false">EOMONTH(I184,0)+1</f>
        <v>51380</v>
      </c>
      <c r="J185" s="389" t="n">
        <f aca="false">VLOOKUP(I185,$B$12:$C$332,2)</f>
        <v>45644</v>
      </c>
      <c r="K185" s="339"/>
      <c r="L185" s="309" t="n">
        <f aca="false">YEAR(I185)-1900</f>
        <v>140</v>
      </c>
      <c r="M185" s="310" t="n">
        <f aca="false">MONTH(I185)</f>
        <v>9</v>
      </c>
      <c r="N185" s="340"/>
      <c r="O185" s="341"/>
      <c r="P185" s="342"/>
      <c r="Q185" s="342"/>
      <c r="R185" s="314" t="n">
        <v>23.9000000000001</v>
      </c>
      <c r="S185" s="347" t="n">
        <v>0</v>
      </c>
      <c r="T185" s="316" t="n">
        <f aca="false">R185+S185/100</f>
        <v>23.9000000000001</v>
      </c>
      <c r="U185" s="325"/>
      <c r="V185" s="337"/>
      <c r="W185" s="318" t="n">
        <v>0.145699999999998</v>
      </c>
      <c r="X185" s="319"/>
      <c r="Y185" s="348"/>
      <c r="Z185" s="348"/>
      <c r="AA185" s="348"/>
      <c r="AB185" s="348"/>
      <c r="AC185" s="348"/>
      <c r="AD185" s="348"/>
      <c r="AE185" s="321" t="n">
        <v>0.073546833844844</v>
      </c>
      <c r="AF185" s="316"/>
      <c r="AG185" s="316"/>
      <c r="AH185" s="322"/>
      <c r="AI185" s="322"/>
      <c r="AJ185" s="322"/>
      <c r="AK185" s="322"/>
      <c r="AL185" s="316"/>
      <c r="AM185" s="316"/>
      <c r="AN185" s="316"/>
      <c r="AO185" s="323"/>
      <c r="AP185" s="323"/>
      <c r="AQ185" s="323"/>
      <c r="AR185" s="324"/>
      <c r="AS185" s="324"/>
      <c r="AT185" s="324"/>
      <c r="AU185" s="324"/>
      <c r="AV185" s="324"/>
      <c r="AW185" s="324"/>
      <c r="AX185" s="324"/>
      <c r="AY185" s="324"/>
      <c r="AZ185" s="324"/>
      <c r="BA185" s="324"/>
      <c r="BB185" s="325"/>
      <c r="BC185" s="316"/>
      <c r="BD185" s="316"/>
      <c r="BE185" s="326"/>
      <c r="BF185" s="323"/>
      <c r="BG185" s="323"/>
      <c r="BH185" s="324"/>
      <c r="BI185" s="324"/>
      <c r="BJ185" s="324"/>
      <c r="BK185" s="324"/>
      <c r="BL185" s="324"/>
      <c r="BM185" s="324"/>
      <c r="BN185" s="324"/>
      <c r="BO185" s="324"/>
      <c r="BP185" s="324"/>
      <c r="BQ185" s="324"/>
      <c r="BR185" s="343"/>
      <c r="BS185" s="314"/>
      <c r="BT185" s="329" t="n">
        <f aca="false">BS185*100/42</f>
        <v>0</v>
      </c>
      <c r="BU185" s="329" t="n">
        <f aca="false">BS186-$U185</f>
        <v>0</v>
      </c>
      <c r="BV185" s="224"/>
      <c r="BW185" s="329" t="n">
        <f aca="false">BW173+VLOOKUP(1900+$L185,ProductSpreadTable,2)</f>
        <v>12.442</v>
      </c>
      <c r="BX185" s="329" t="n">
        <f aca="false">($V184+BW184)*100/42</f>
        <v>112.351049985211</v>
      </c>
      <c r="BY185" s="332" t="n">
        <f aca="false">BX186</f>
        <v>29.6238095238095</v>
      </c>
      <c r="BZ185" s="314"/>
      <c r="CA185" s="329" t="n">
        <f aca="false">BZ185*100/42</f>
        <v>0</v>
      </c>
      <c r="CB185" s="329" t="n">
        <f aca="false">BZ185-$U185</f>
        <v>0</v>
      </c>
      <c r="CC185" s="329" t="n">
        <f aca="false">CC173+VLOOKUP(1900+$L185,ProductSpreadTable,3)</f>
        <v>14.793</v>
      </c>
      <c r="CD185" s="329" t="n">
        <f aca="false">($V185+CC185)*100/42</f>
        <v>35.2214285714285</v>
      </c>
      <c r="CE185" s="333" t="n">
        <f aca="false">CD185-BY185</f>
        <v>5.59761904761896</v>
      </c>
      <c r="CF185" s="314"/>
      <c r="CG185" s="329" t="n">
        <f aca="false">CF185*100/42</f>
        <v>0</v>
      </c>
      <c r="CH185" s="329" t="n">
        <f aca="false">CF186-$U185</f>
        <v>0</v>
      </c>
      <c r="CI185" s="224"/>
      <c r="CJ185" s="329" t="n">
        <f aca="false">CJ173+VLOOKUP(1900+$L185,ProductSpreadTable,4)</f>
        <v>11.774</v>
      </c>
      <c r="CK185" s="329" t="n">
        <f aca="false">($V184+CJ184)*100/42</f>
        <v>108.132002366163</v>
      </c>
      <c r="CL185" s="329" t="n">
        <f aca="false">CK186</f>
        <v>28.0333333333333</v>
      </c>
      <c r="CM185" s="314"/>
      <c r="CN185" s="329" t="n">
        <f aca="false">CM185*100/42</f>
        <v>0</v>
      </c>
      <c r="CO185" s="329" t="n">
        <f aca="false">CM185-$U185</f>
        <v>0</v>
      </c>
      <c r="CP185" s="329" t="n">
        <f aca="false">CP173+VLOOKUP(1900+$L185,ProductSpreadTable,5)</f>
        <v>10.661</v>
      </c>
      <c r="CQ185" s="329" t="n">
        <f aca="false">($V185+CP185)*100/42</f>
        <v>25.3833333333333</v>
      </c>
      <c r="CR185" s="333" t="n">
        <f aca="false">CQ185-CL185</f>
        <v>-2.65</v>
      </c>
      <c r="CS185" s="314"/>
      <c r="CT185" s="329" t="n">
        <f aca="false">CS185*100/42</f>
        <v>0</v>
      </c>
      <c r="CU185" s="329" t="n">
        <f aca="false">CT185-CG186</f>
        <v>0</v>
      </c>
      <c r="CV185" s="329" t="n">
        <f aca="false">CV173+VLOOKUP(1900+$L185,ProductSpreadTable,6)</f>
        <v>2.69999999999999</v>
      </c>
      <c r="CW185" s="333" t="n">
        <f aca="false">CL185+CV185</f>
        <v>30.7333333333333</v>
      </c>
      <c r="CX185" s="318"/>
      <c r="CY185" s="326" t="n">
        <f aca="false">CX185-$W185</f>
        <v>-0.145699999999998</v>
      </c>
      <c r="CZ185" s="326" t="n">
        <f aca="false">VLOOKUP(1900+$L185,ProductSpreadTable,7)</f>
        <v>-0.03</v>
      </c>
      <c r="DA185" s="365" t="n">
        <f aca="false">$W185+CZ185</f>
        <v>0.115699999999998</v>
      </c>
      <c r="DB185" s="318"/>
      <c r="DC185" s="326" t="n">
        <f aca="false">DB185-$W185</f>
        <v>-0.145699999999998</v>
      </c>
      <c r="DD185" s="326" t="n">
        <f aca="false">VLOOKUP(1900+$L185,ProductSpreadTable,8)</f>
        <v>0.03</v>
      </c>
      <c r="DE185" s="365" t="n">
        <f aca="false">$W185+DD185</f>
        <v>0.175699999999998</v>
      </c>
      <c r="DG185" s="336"/>
      <c r="DH185" s="314"/>
      <c r="DI185" s="325" t="n">
        <f aca="false">DH185-$U185</f>
        <v>0</v>
      </c>
      <c r="DJ185" s="325" t="n">
        <f aca="false">VLOOKUP(1900+$L185,ResidSpreadTable,2)</f>
        <v>-2</v>
      </c>
      <c r="DK185" s="337" t="n">
        <f aca="false">$V185+DJ185</f>
        <v>-2</v>
      </c>
      <c r="DL185" s="314"/>
      <c r="DM185" s="325" t="n">
        <f aca="false">DL185-$U185</f>
        <v>0</v>
      </c>
      <c r="DN185" s="325" t="n">
        <f aca="false">VLOOKUP(1900+$L185,ResidSpreadTable,3)</f>
        <v>-3</v>
      </c>
      <c r="DO185" s="337" t="n">
        <f aca="false">$V185+DN185</f>
        <v>-3</v>
      </c>
      <c r="DP185" s="314"/>
      <c r="DQ185" s="325" t="n">
        <f aca="false">DP185-$U185</f>
        <v>0</v>
      </c>
      <c r="DR185" s="325" t="n">
        <f aca="false">VLOOKUP(1900+$L185,ResidSpreadTable,4)</f>
        <v>-6</v>
      </c>
      <c r="DS185" s="337" t="n">
        <f aca="false">$V185+DR185</f>
        <v>-6</v>
      </c>
      <c r="DT185" s="314"/>
      <c r="DU185" s="325" t="n">
        <f aca="false">DT185-$U185</f>
        <v>0</v>
      </c>
      <c r="DV185" s="325" t="n">
        <f aca="false">VLOOKUP(1900+$L185,ResidSpreadTable,5)</f>
        <v>-5</v>
      </c>
      <c r="DW185" s="337" t="n">
        <f aca="false">$V185+DV185</f>
        <v>-5</v>
      </c>
    </row>
    <row r="186" customFormat="false" ht="13.5" hidden="false" customHeight="false" outlineLevel="0" collapsed="false">
      <c r="B186" s="371" t="n">
        <v>41214</v>
      </c>
      <c r="C186" s="391" t="n">
        <v>41204</v>
      </c>
      <c r="I186" s="401" t="n">
        <f aca="false">EOMONTH(I185,0)+1</f>
        <v>51410</v>
      </c>
      <c r="J186" s="402" t="n">
        <f aca="false">VLOOKUP(I186,$B$12:$C$332,2)</f>
        <v>45644</v>
      </c>
      <c r="K186" s="403"/>
      <c r="L186" s="404" t="n">
        <f aca="false">YEAR(I186)-1900</f>
        <v>140</v>
      </c>
      <c r="M186" s="405" t="n">
        <f aca="false">MONTH(I186)</f>
        <v>10</v>
      </c>
      <c r="N186" s="406"/>
      <c r="O186" s="407"/>
      <c r="P186" s="408"/>
      <c r="Q186" s="408"/>
      <c r="R186" s="314" t="n">
        <v>23.9500000000001</v>
      </c>
      <c r="S186" s="409" t="n">
        <v>0</v>
      </c>
      <c r="T186" s="394" t="n">
        <f aca="false">R186+S186/100</f>
        <v>23.9500000000001</v>
      </c>
      <c r="U186" s="398"/>
      <c r="V186" s="410"/>
      <c r="W186" s="318" t="n">
        <v>0.145299999999998</v>
      </c>
      <c r="X186" s="319"/>
      <c r="Y186" s="348"/>
      <c r="Z186" s="348"/>
      <c r="AA186" s="348"/>
      <c r="AB186" s="348"/>
      <c r="AC186" s="348"/>
      <c r="AD186" s="348"/>
      <c r="AE186" s="321" t="n">
        <v>0.073542872286365</v>
      </c>
      <c r="AF186" s="316"/>
      <c r="AG186" s="316"/>
      <c r="AH186" s="322"/>
      <c r="AI186" s="322"/>
      <c r="AJ186" s="322"/>
      <c r="AK186" s="322"/>
      <c r="AL186" s="316"/>
      <c r="AM186" s="316"/>
      <c r="AN186" s="316"/>
      <c r="AO186" s="323"/>
      <c r="AP186" s="323"/>
      <c r="AQ186" s="323"/>
      <c r="AR186" s="324"/>
      <c r="AS186" s="324"/>
      <c r="AT186" s="324"/>
      <c r="AU186" s="324"/>
      <c r="AV186" s="324"/>
      <c r="AW186" s="324"/>
      <c r="AX186" s="324"/>
      <c r="AY186" s="324"/>
      <c r="AZ186" s="324"/>
      <c r="BA186" s="324"/>
      <c r="BB186" s="325"/>
      <c r="BC186" s="316"/>
      <c r="BD186" s="316"/>
      <c r="BE186" s="326"/>
      <c r="BF186" s="323"/>
      <c r="BG186" s="323"/>
      <c r="BH186" s="324"/>
      <c r="BI186" s="324"/>
      <c r="BJ186" s="324"/>
      <c r="BK186" s="324"/>
      <c r="BL186" s="324"/>
      <c r="BM186" s="324"/>
      <c r="BN186" s="324"/>
      <c r="BO186" s="324"/>
      <c r="BP186" s="324"/>
      <c r="BQ186" s="324"/>
      <c r="BR186" s="343"/>
      <c r="BS186" s="314"/>
      <c r="BT186" s="411" t="n">
        <f aca="false">BS186*100/42</f>
        <v>0</v>
      </c>
      <c r="BU186" s="411" t="n">
        <f aca="false">BS187-$U186</f>
        <v>0</v>
      </c>
      <c r="BV186" s="412"/>
      <c r="BW186" s="411" t="n">
        <f aca="false">BW174+VLOOKUP(1900+$L186,ProductSpreadTable,2)</f>
        <v>22.6743478260869</v>
      </c>
      <c r="BX186" s="411" t="n">
        <f aca="false">($V185+BW185)*100/42</f>
        <v>29.6238095238095</v>
      </c>
      <c r="BY186" s="413" t="n">
        <f aca="false">BX187</f>
        <v>0</v>
      </c>
      <c r="BZ186" s="314"/>
      <c r="CA186" s="411" t="n">
        <f aca="false">BZ186*100/42</f>
        <v>0</v>
      </c>
      <c r="CB186" s="411" t="n">
        <f aca="false">BZ186-$U186</f>
        <v>0</v>
      </c>
      <c r="CC186" s="411" t="n">
        <f aca="false">CC174+VLOOKUP(1900+$L186,ProductSpreadTable,3)</f>
        <v>20.0493478260869</v>
      </c>
      <c r="CD186" s="411" t="n">
        <f aca="false">($V186+CC186)*100/42</f>
        <v>47.7365424430642</v>
      </c>
      <c r="CE186" s="414" t="n">
        <f aca="false">CD186-BY186</f>
        <v>47.7365424430642</v>
      </c>
      <c r="CF186" s="314"/>
      <c r="CG186" s="411" t="n">
        <f aca="false">CF186*100/42</f>
        <v>0</v>
      </c>
      <c r="CH186" s="411" t="n">
        <f aca="false">CF187-$U186</f>
        <v>0</v>
      </c>
      <c r="CI186" s="412"/>
      <c r="CJ186" s="411" t="n">
        <f aca="false">CJ174+VLOOKUP(1900+$L186,ProductSpreadTable,4)</f>
        <v>10.4616363636363</v>
      </c>
      <c r="CK186" s="411" t="n">
        <f aca="false">($V185+CJ185)*100/42</f>
        <v>28.0333333333333</v>
      </c>
      <c r="CL186" s="411" t="n">
        <f aca="false">CK187</f>
        <v>0</v>
      </c>
      <c r="CM186" s="314"/>
      <c r="CN186" s="411" t="n">
        <f aca="false">CM186*100/42</f>
        <v>0</v>
      </c>
      <c r="CO186" s="411" t="n">
        <f aca="false">CM186-$U186</f>
        <v>0</v>
      </c>
      <c r="CP186" s="411" t="n">
        <f aca="false">CP174+VLOOKUP(1900+$L186,ProductSpreadTable,5)</f>
        <v>9.53763636363635</v>
      </c>
      <c r="CQ186" s="411" t="n">
        <f aca="false">($V186+CP186)*100/42</f>
        <v>22.708658008658</v>
      </c>
      <c r="CR186" s="414" t="n">
        <f aca="false">CQ186-CL186</f>
        <v>22.708658008658</v>
      </c>
      <c r="CS186" s="314"/>
      <c r="CT186" s="411" t="n">
        <f aca="false">CS186*100/42</f>
        <v>0</v>
      </c>
      <c r="CU186" s="411" t="n">
        <f aca="false">CT186-CG187</f>
        <v>0</v>
      </c>
      <c r="CV186" s="411" t="n">
        <f aca="false">CV174+VLOOKUP(1900+$L186,ProductSpreadTable,6)</f>
        <v>2.69999999999999</v>
      </c>
      <c r="CW186" s="414" t="n">
        <f aca="false">CL186+CV186</f>
        <v>2.69999999999999</v>
      </c>
      <c r="CX186" s="318"/>
      <c r="CY186" s="399" t="n">
        <f aca="false">CX186-$W186</f>
        <v>-0.145299999999998</v>
      </c>
      <c r="CZ186" s="399" t="n">
        <f aca="false">VLOOKUP(1900+$L186,ProductSpreadTable,7)</f>
        <v>-0.03</v>
      </c>
      <c r="DA186" s="415" t="n">
        <f aca="false">$W186+CZ186</f>
        <v>0.115299999999998</v>
      </c>
      <c r="DB186" s="318"/>
      <c r="DC186" s="399" t="n">
        <f aca="false">DB186-$W186</f>
        <v>-0.145299999999998</v>
      </c>
      <c r="DD186" s="399" t="n">
        <f aca="false">VLOOKUP(1900+$L186,ProductSpreadTable,8)</f>
        <v>0.03</v>
      </c>
      <c r="DE186" s="415" t="n">
        <f aca="false">$W186+DD186</f>
        <v>0.175299999999998</v>
      </c>
      <c r="DG186" s="336"/>
      <c r="DH186" s="314"/>
      <c r="DI186" s="398" t="n">
        <f aca="false">DH186-$U186</f>
        <v>0</v>
      </c>
      <c r="DJ186" s="398" t="n">
        <f aca="false">VLOOKUP(1900+$L186,ResidSpreadTable,2)</f>
        <v>-2</v>
      </c>
      <c r="DK186" s="410" t="n">
        <f aca="false">$V186+DJ186</f>
        <v>-2</v>
      </c>
      <c r="DL186" s="314"/>
      <c r="DM186" s="398" t="n">
        <f aca="false">DL186-$U186</f>
        <v>0</v>
      </c>
      <c r="DN186" s="398" t="n">
        <f aca="false">VLOOKUP(1900+$L186,ResidSpreadTable,3)</f>
        <v>-3</v>
      </c>
      <c r="DO186" s="410" t="n">
        <f aca="false">$V186+DN186</f>
        <v>-3</v>
      </c>
      <c r="DP186" s="314"/>
      <c r="DQ186" s="398" t="n">
        <f aca="false">DP186-$U186</f>
        <v>0</v>
      </c>
      <c r="DR186" s="398" t="n">
        <f aca="false">VLOOKUP(1900+$L186,ResidSpreadTable,4)</f>
        <v>-6</v>
      </c>
      <c r="DS186" s="410" t="n">
        <f aca="false">$V186+DR186</f>
        <v>-6</v>
      </c>
      <c r="DT186" s="314"/>
      <c r="DU186" s="398" t="n">
        <f aca="false">DT186-$U186</f>
        <v>0</v>
      </c>
      <c r="DV186" s="398" t="n">
        <f aca="false">VLOOKUP(1900+$L186,ResidSpreadTable,5)</f>
        <v>-5</v>
      </c>
      <c r="DW186" s="410" t="n">
        <f aca="false">$V186+DV186</f>
        <v>-5</v>
      </c>
    </row>
    <row r="187" customFormat="false" ht="13.5" hidden="false" customHeight="false" outlineLevel="0" collapsed="false">
      <c r="B187" s="371" t="n">
        <v>41244</v>
      </c>
      <c r="C187" s="391" t="n">
        <v>41232</v>
      </c>
      <c r="I187" s="416" t="n">
        <f aca="false">EOMONTH(I186,0)+1</f>
        <v>51441</v>
      </c>
      <c r="L187" s="310"/>
      <c r="M187" s="310"/>
      <c r="R187" s="314" t="n">
        <v>24.0000000000001</v>
      </c>
      <c r="W187" s="318" t="n">
        <v>0.144899999999998</v>
      </c>
      <c r="AE187" s="321" t="n">
        <v>0.073539038520102</v>
      </c>
      <c r="BS187" s="314"/>
      <c r="BT187" s="314"/>
      <c r="BZ187" s="314"/>
      <c r="CA187" s="314"/>
      <c r="CF187" s="314"/>
      <c r="CG187" s="314"/>
      <c r="CM187" s="314"/>
      <c r="CN187" s="314"/>
      <c r="CS187" s="314"/>
      <c r="CT187" s="314"/>
      <c r="CX187" s="318"/>
      <c r="CY187" s="314"/>
      <c r="CZ187" s="314"/>
      <c r="DA187" s="314"/>
      <c r="DB187" s="318"/>
      <c r="DC187" s="314"/>
      <c r="DD187" s="314"/>
      <c r="DE187" s="314"/>
      <c r="DH187" s="314"/>
      <c r="DI187" s="314"/>
      <c r="DJ187" s="314"/>
      <c r="DK187" s="314"/>
      <c r="DL187" s="314"/>
      <c r="DM187" s="314"/>
      <c r="DN187" s="314"/>
      <c r="DO187" s="314"/>
      <c r="DP187" s="314"/>
      <c r="DQ187" s="314"/>
      <c r="DR187" s="314"/>
      <c r="DS187" s="314"/>
      <c r="DT187" s="314"/>
      <c r="DU187" s="314"/>
      <c r="DV187" s="314"/>
      <c r="DW187" s="314"/>
    </row>
    <row r="188" customFormat="false" ht="12.75" hidden="false" customHeight="false" outlineLevel="0" collapsed="false">
      <c r="B188" s="371" t="n">
        <v>41275</v>
      </c>
      <c r="C188" s="391" t="n">
        <v>41262</v>
      </c>
      <c r="L188" s="310"/>
      <c r="M188" s="310"/>
      <c r="R188" s="314" t="n">
        <v>24.0500000000001</v>
      </c>
      <c r="W188" s="318" t="n">
        <v>0.144499999999998</v>
      </c>
      <c r="AE188" s="321" t="n">
        <v>0.073535076961634</v>
      </c>
      <c r="BS188" s="314"/>
      <c r="BT188" s="314"/>
      <c r="BZ188" s="314"/>
      <c r="CA188" s="314"/>
      <c r="CF188" s="314"/>
      <c r="CG188" s="314"/>
      <c r="CM188" s="314"/>
      <c r="CN188" s="314"/>
      <c r="CS188" s="314"/>
      <c r="CT188" s="314"/>
      <c r="CX188" s="318"/>
      <c r="CY188" s="314"/>
      <c r="CZ188" s="314"/>
      <c r="DA188" s="314"/>
      <c r="DB188" s="318"/>
      <c r="DC188" s="314"/>
      <c r="DD188" s="314"/>
      <c r="DE188" s="314"/>
      <c r="DH188" s="314"/>
      <c r="DI188" s="314"/>
      <c r="DJ188" s="314"/>
      <c r="DK188" s="314"/>
      <c r="DL188" s="314"/>
      <c r="DM188" s="314"/>
      <c r="DN188" s="314"/>
      <c r="DO188" s="314"/>
      <c r="DP188" s="314"/>
      <c r="DQ188" s="314"/>
      <c r="DR188" s="314"/>
      <c r="DS188" s="314"/>
      <c r="DT188" s="314"/>
      <c r="DU188" s="314"/>
      <c r="DV188" s="314"/>
      <c r="DW188" s="314"/>
    </row>
    <row r="189" customFormat="false" ht="12.75" hidden="false" customHeight="false" outlineLevel="0" collapsed="false">
      <c r="B189" s="371" t="n">
        <v>41306</v>
      </c>
      <c r="C189" s="391" t="n">
        <v>41296</v>
      </c>
      <c r="L189" s="310"/>
      <c r="M189" s="310"/>
      <c r="R189" s="314" t="n">
        <v>24.1000000000001</v>
      </c>
      <c r="W189" s="318" t="n">
        <v>0.144099999999998</v>
      </c>
      <c r="AE189" s="321" t="n">
        <v>0.073531243195379</v>
      </c>
      <c r="BS189" s="314"/>
      <c r="BT189" s="314"/>
      <c r="BZ189" s="314"/>
      <c r="CA189" s="314"/>
      <c r="CF189" s="314"/>
      <c r="CG189" s="314"/>
      <c r="CM189" s="314"/>
      <c r="CN189" s="314"/>
      <c r="CS189" s="314"/>
      <c r="CT189" s="314"/>
      <c r="CX189" s="318"/>
      <c r="CY189" s="314"/>
      <c r="CZ189" s="314"/>
      <c r="DA189" s="314"/>
      <c r="DB189" s="318"/>
      <c r="DC189" s="314"/>
      <c r="DD189" s="314"/>
      <c r="DE189" s="314"/>
      <c r="DH189" s="314"/>
      <c r="DI189" s="314"/>
      <c r="DJ189" s="314"/>
      <c r="DK189" s="314"/>
      <c r="DL189" s="314"/>
      <c r="DM189" s="314"/>
      <c r="DN189" s="314"/>
      <c r="DO189" s="314"/>
      <c r="DP189" s="314"/>
      <c r="DQ189" s="314"/>
      <c r="DR189" s="314"/>
      <c r="DS189" s="314"/>
      <c r="DT189" s="314"/>
      <c r="DU189" s="314"/>
      <c r="DV189" s="314"/>
      <c r="DW189" s="314"/>
    </row>
    <row r="190" customFormat="false" ht="12.75" hidden="false" customHeight="false" outlineLevel="0" collapsed="false">
      <c r="B190" s="371" t="n">
        <v>41334</v>
      </c>
      <c r="C190" s="391" t="n">
        <v>41325</v>
      </c>
      <c r="L190" s="310"/>
      <c r="M190" s="310"/>
      <c r="R190" s="314" t="n">
        <v>24.1500000000001</v>
      </c>
      <c r="W190" s="318" t="n">
        <v>0.143699999999998</v>
      </c>
      <c r="AE190" s="321" t="n">
        <v>0.073527281636922</v>
      </c>
      <c r="BS190" s="314"/>
      <c r="BT190" s="314"/>
      <c r="BZ190" s="314"/>
      <c r="CA190" s="314"/>
      <c r="CF190" s="314"/>
      <c r="CG190" s="314"/>
      <c r="CM190" s="314"/>
      <c r="CN190" s="314"/>
      <c r="CS190" s="314"/>
      <c r="CT190" s="314"/>
      <c r="CX190" s="318"/>
      <c r="CY190" s="314"/>
      <c r="CZ190" s="314"/>
      <c r="DA190" s="314"/>
      <c r="DB190" s="318"/>
      <c r="DC190" s="314"/>
      <c r="DD190" s="314"/>
      <c r="DE190" s="314"/>
      <c r="DH190" s="314"/>
      <c r="DI190" s="314"/>
      <c r="DJ190" s="314"/>
      <c r="DK190" s="314"/>
      <c r="DL190" s="314"/>
      <c r="DM190" s="314"/>
      <c r="DN190" s="314"/>
      <c r="DO190" s="314"/>
      <c r="DP190" s="314"/>
      <c r="DQ190" s="314"/>
      <c r="DR190" s="314"/>
      <c r="DS190" s="314"/>
      <c r="DT190" s="314"/>
      <c r="DU190" s="314"/>
      <c r="DV190" s="314"/>
      <c r="DW190" s="314"/>
    </row>
    <row r="191" customFormat="false" ht="12.75" hidden="false" customHeight="false" outlineLevel="0" collapsed="false">
      <c r="B191" s="371" t="n">
        <v>41365</v>
      </c>
      <c r="C191" s="391" t="n">
        <v>41353</v>
      </c>
      <c r="L191" s="310"/>
      <c r="M191" s="310"/>
      <c r="R191" s="314" t="n">
        <v>24.2000000000001</v>
      </c>
      <c r="W191" s="318" t="n">
        <v>0.143299999999998</v>
      </c>
      <c r="AE191" s="321" t="n">
        <v>0.073523320078469</v>
      </c>
      <c r="BS191" s="314"/>
      <c r="BT191" s="314"/>
      <c r="BZ191" s="314"/>
      <c r="CA191" s="314"/>
      <c r="CF191" s="314"/>
      <c r="CG191" s="314"/>
      <c r="CM191" s="314"/>
      <c r="CN191" s="314"/>
      <c r="CS191" s="314"/>
      <c r="CT191" s="314"/>
      <c r="CX191" s="318"/>
      <c r="CY191" s="314"/>
      <c r="CZ191" s="314"/>
      <c r="DA191" s="314"/>
      <c r="DB191" s="318"/>
      <c r="DC191" s="314"/>
      <c r="DD191" s="314"/>
      <c r="DE191" s="314"/>
      <c r="DH191" s="314"/>
      <c r="DI191" s="314"/>
      <c r="DJ191" s="314"/>
      <c r="DK191" s="314"/>
      <c r="DL191" s="314"/>
      <c r="DM191" s="314"/>
      <c r="DN191" s="314"/>
      <c r="DO191" s="314"/>
      <c r="DP191" s="314"/>
      <c r="DQ191" s="314"/>
      <c r="DR191" s="314"/>
      <c r="DS191" s="314"/>
      <c r="DT191" s="314"/>
      <c r="DU191" s="314"/>
      <c r="DV191" s="314"/>
      <c r="DW191" s="314"/>
    </row>
    <row r="192" customFormat="false" ht="12.75" hidden="false" customHeight="false" outlineLevel="0" collapsed="false">
      <c r="B192" s="371" t="n">
        <v>41395</v>
      </c>
      <c r="C192" s="391" t="n">
        <v>41384</v>
      </c>
      <c r="L192" s="310"/>
      <c r="M192" s="310"/>
      <c r="R192" s="314" t="n">
        <v>24.2500000000001</v>
      </c>
      <c r="W192" s="318" t="n">
        <v>0.142899999999998</v>
      </c>
      <c r="AE192" s="321" t="n">
        <v>0.073519486312229</v>
      </c>
      <c r="BS192" s="314"/>
      <c r="BT192" s="314"/>
      <c r="BZ192" s="314"/>
      <c r="CA192" s="314"/>
      <c r="CF192" s="314"/>
      <c r="CG192" s="314"/>
      <c r="CM192" s="314"/>
      <c r="CN192" s="314"/>
      <c r="CS192" s="314"/>
      <c r="CT192" s="314"/>
      <c r="CX192" s="318"/>
      <c r="CY192" s="314"/>
      <c r="CZ192" s="314"/>
      <c r="DA192" s="314"/>
      <c r="DB192" s="318"/>
      <c r="DC192" s="314"/>
      <c r="DD192" s="314"/>
      <c r="DE192" s="314"/>
      <c r="DH192" s="314"/>
      <c r="DI192" s="314"/>
      <c r="DJ192" s="314"/>
      <c r="DK192" s="314"/>
      <c r="DL192" s="314"/>
      <c r="DM192" s="314"/>
      <c r="DN192" s="314"/>
      <c r="DO192" s="314"/>
      <c r="DP192" s="314"/>
      <c r="DQ192" s="314"/>
      <c r="DR192" s="314"/>
      <c r="DS192" s="314"/>
      <c r="DT192" s="314"/>
      <c r="DU192" s="314"/>
      <c r="DV192" s="314"/>
      <c r="DW192" s="314"/>
    </row>
    <row r="193" customFormat="false" ht="12.75" hidden="false" customHeight="false" outlineLevel="0" collapsed="false">
      <c r="B193" s="371" t="n">
        <v>41426</v>
      </c>
      <c r="C193" s="391" t="n">
        <v>41416</v>
      </c>
      <c r="L193" s="310"/>
      <c r="M193" s="310"/>
      <c r="R193" s="314" t="n">
        <v>24.3000000000001</v>
      </c>
      <c r="W193" s="318" t="n">
        <v>0.142499999999998</v>
      </c>
      <c r="AE193" s="321" t="n">
        <v>0.073515524753788</v>
      </c>
      <c r="BS193" s="314"/>
      <c r="BT193" s="314"/>
      <c r="BZ193" s="314"/>
      <c r="CA193" s="314"/>
      <c r="CF193" s="314"/>
      <c r="CG193" s="314"/>
      <c r="CM193" s="314"/>
      <c r="CN193" s="314"/>
      <c r="CS193" s="314"/>
      <c r="CT193" s="314"/>
      <c r="CX193" s="318"/>
      <c r="CY193" s="314"/>
      <c r="CZ193" s="314"/>
      <c r="DA193" s="314"/>
      <c r="DB193" s="318"/>
      <c r="DC193" s="314"/>
      <c r="DD193" s="314"/>
      <c r="DE193" s="314"/>
      <c r="DH193" s="314"/>
      <c r="DI193" s="314"/>
      <c r="DJ193" s="314"/>
      <c r="DK193" s="314"/>
      <c r="DL193" s="314"/>
      <c r="DM193" s="314"/>
      <c r="DN193" s="314"/>
      <c r="DO193" s="314"/>
      <c r="DP193" s="314"/>
      <c r="DQ193" s="314"/>
      <c r="DR193" s="314"/>
      <c r="DS193" s="314"/>
      <c r="DT193" s="314"/>
      <c r="DU193" s="314"/>
      <c r="DV193" s="314"/>
      <c r="DW193" s="314"/>
    </row>
    <row r="194" customFormat="false" ht="12.75" hidden="false" customHeight="false" outlineLevel="0" collapsed="false">
      <c r="B194" s="371" t="n">
        <v>41456</v>
      </c>
      <c r="C194" s="391" t="n">
        <v>41445</v>
      </c>
      <c r="L194" s="310"/>
      <c r="M194" s="310"/>
      <c r="R194" s="314" t="n">
        <v>24.3500000000001</v>
      </c>
      <c r="W194" s="318" t="n">
        <v>0.142099999999998</v>
      </c>
      <c r="AE194" s="321" t="n">
        <v>0.073511690987558</v>
      </c>
      <c r="BS194" s="314"/>
      <c r="BT194" s="314"/>
      <c r="BZ194" s="314"/>
      <c r="CA194" s="314"/>
      <c r="CF194" s="314"/>
      <c r="CG194" s="314"/>
      <c r="CM194" s="314"/>
      <c r="CN194" s="314"/>
      <c r="CS194" s="314"/>
      <c r="CT194" s="314"/>
      <c r="CX194" s="318"/>
      <c r="CY194" s="314"/>
      <c r="CZ194" s="314"/>
      <c r="DA194" s="314"/>
      <c r="DB194" s="318"/>
      <c r="DC194" s="314"/>
      <c r="DD194" s="314"/>
      <c r="DE194" s="314"/>
      <c r="DH194" s="314"/>
      <c r="DI194" s="314"/>
      <c r="DJ194" s="314"/>
      <c r="DK194" s="314"/>
      <c r="DL194" s="314"/>
      <c r="DM194" s="314"/>
      <c r="DN194" s="314"/>
      <c r="DO194" s="314"/>
      <c r="DP194" s="314"/>
      <c r="DQ194" s="314"/>
      <c r="DR194" s="314"/>
      <c r="DS194" s="314"/>
      <c r="DT194" s="314"/>
      <c r="DU194" s="314"/>
      <c r="DV194" s="314"/>
      <c r="DW194" s="314"/>
    </row>
    <row r="195" customFormat="false" ht="12.75" hidden="false" customHeight="false" outlineLevel="0" collapsed="false">
      <c r="B195" s="371" t="n">
        <v>41487</v>
      </c>
      <c r="C195" s="391" t="n">
        <v>41475</v>
      </c>
      <c r="L195" s="310"/>
      <c r="M195" s="310"/>
      <c r="R195" s="314" t="n">
        <v>24.4000000000001</v>
      </c>
      <c r="W195" s="318" t="n">
        <v>0.141699999999998</v>
      </c>
      <c r="AE195" s="321" t="n">
        <v>0.073507729429125</v>
      </c>
      <c r="BS195" s="314"/>
      <c r="BT195" s="314"/>
      <c r="BZ195" s="314"/>
      <c r="CA195" s="314"/>
      <c r="CF195" s="314"/>
      <c r="CG195" s="314"/>
      <c r="CM195" s="314"/>
      <c r="CN195" s="314"/>
      <c r="CS195" s="314"/>
      <c r="CT195" s="314"/>
      <c r="CX195" s="318"/>
      <c r="CY195" s="314"/>
      <c r="CZ195" s="314"/>
      <c r="DA195" s="314"/>
      <c r="DB195" s="318"/>
      <c r="DC195" s="314"/>
      <c r="DD195" s="314"/>
      <c r="DE195" s="314"/>
      <c r="DH195" s="314"/>
      <c r="DI195" s="314"/>
      <c r="DJ195" s="314"/>
      <c r="DK195" s="314"/>
      <c r="DL195" s="314"/>
      <c r="DM195" s="314"/>
      <c r="DN195" s="314"/>
      <c r="DO195" s="314"/>
      <c r="DP195" s="314"/>
      <c r="DQ195" s="314"/>
      <c r="DR195" s="314"/>
      <c r="DS195" s="314"/>
      <c r="DT195" s="314"/>
      <c r="DU195" s="314"/>
      <c r="DV195" s="314"/>
      <c r="DW195" s="314"/>
    </row>
    <row r="196" customFormat="false" ht="12.75" hidden="false" customHeight="false" outlineLevel="0" collapsed="false">
      <c r="B196" s="371" t="n">
        <v>41518</v>
      </c>
      <c r="C196" s="391" t="n">
        <v>41507</v>
      </c>
      <c r="L196" s="310"/>
      <c r="M196" s="310"/>
      <c r="R196" s="314" t="n">
        <v>24.4500000000001</v>
      </c>
      <c r="W196" s="318" t="n">
        <v>0.141299999999998</v>
      </c>
      <c r="AE196" s="321" t="n">
        <v>0.073503767870699</v>
      </c>
      <c r="BS196" s="314"/>
      <c r="BT196" s="314"/>
      <c r="BZ196" s="314"/>
      <c r="CA196" s="314"/>
      <c r="CF196" s="314"/>
      <c r="CG196" s="314"/>
      <c r="CM196" s="314"/>
      <c r="CN196" s="314"/>
      <c r="CS196" s="314"/>
      <c r="CT196" s="314"/>
      <c r="CX196" s="318"/>
      <c r="CY196" s="314"/>
      <c r="CZ196" s="314"/>
      <c r="DA196" s="314"/>
      <c r="DB196" s="318"/>
      <c r="DC196" s="314"/>
      <c r="DD196" s="314"/>
      <c r="DE196" s="314"/>
      <c r="DH196" s="314"/>
      <c r="DI196" s="314"/>
      <c r="DJ196" s="314"/>
      <c r="DK196" s="314"/>
      <c r="DL196" s="314"/>
      <c r="DM196" s="314"/>
      <c r="DN196" s="314"/>
      <c r="DO196" s="314"/>
      <c r="DP196" s="314"/>
      <c r="DQ196" s="314"/>
      <c r="DR196" s="314"/>
      <c r="DS196" s="314"/>
      <c r="DT196" s="314"/>
      <c r="DU196" s="314"/>
      <c r="DV196" s="314"/>
      <c r="DW196" s="314"/>
    </row>
    <row r="197" customFormat="false" ht="12.75" hidden="false" customHeight="false" outlineLevel="0" collapsed="false">
      <c r="B197" s="371" t="n">
        <v>41548</v>
      </c>
      <c r="C197" s="391" t="n">
        <v>41537</v>
      </c>
      <c r="L197" s="310"/>
      <c r="M197" s="310"/>
      <c r="R197" s="314" t="n">
        <v>24.5000000000001</v>
      </c>
      <c r="W197" s="318" t="n">
        <v>0.140899999999998</v>
      </c>
      <c r="AE197" s="321" t="n">
        <v>0.073500061896691</v>
      </c>
      <c r="BS197" s="314"/>
      <c r="BT197" s="314"/>
      <c r="BZ197" s="314"/>
      <c r="CA197" s="314"/>
      <c r="CF197" s="314"/>
      <c r="CG197" s="314"/>
      <c r="CM197" s="314"/>
      <c r="CN197" s="314"/>
      <c r="CS197" s="314"/>
      <c r="CT197" s="314"/>
      <c r="CX197" s="318"/>
      <c r="CY197" s="314"/>
      <c r="CZ197" s="314"/>
      <c r="DA197" s="314"/>
      <c r="DB197" s="318"/>
      <c r="DC197" s="314"/>
      <c r="DD197" s="314"/>
      <c r="DE197" s="314"/>
      <c r="DH197" s="314"/>
      <c r="DI197" s="314"/>
      <c r="DJ197" s="314"/>
      <c r="DK197" s="314"/>
      <c r="DL197" s="314"/>
      <c r="DM197" s="314"/>
      <c r="DN197" s="314"/>
      <c r="DO197" s="314"/>
      <c r="DP197" s="314"/>
      <c r="DQ197" s="314"/>
      <c r="DR197" s="314"/>
      <c r="DS197" s="314"/>
      <c r="DT197" s="314"/>
      <c r="DU197" s="314"/>
      <c r="DV197" s="314"/>
      <c r="DW197" s="314"/>
    </row>
    <row r="198" customFormat="false" ht="12.75" hidden="false" customHeight="false" outlineLevel="0" collapsed="false">
      <c r="B198" s="371" t="n">
        <v>41579</v>
      </c>
      <c r="C198" s="391" t="n">
        <v>41569</v>
      </c>
      <c r="L198" s="310"/>
      <c r="M198" s="310"/>
      <c r="R198" s="314" t="n">
        <v>24.5500000000001</v>
      </c>
      <c r="W198" s="318" t="n">
        <v>0.140499999999998</v>
      </c>
      <c r="AE198" s="321" t="n">
        <v>0.073496100338274</v>
      </c>
      <c r="BS198" s="314"/>
      <c r="BT198" s="314"/>
      <c r="BZ198" s="314"/>
      <c r="CA198" s="314"/>
      <c r="CF198" s="314"/>
      <c r="CG198" s="314"/>
      <c r="CM198" s="314"/>
      <c r="CN198" s="314"/>
      <c r="CS198" s="314"/>
      <c r="CT198" s="314"/>
      <c r="CX198" s="318"/>
      <c r="CY198" s="314"/>
      <c r="CZ198" s="314"/>
      <c r="DA198" s="314"/>
      <c r="DB198" s="318"/>
      <c r="DC198" s="314"/>
      <c r="DD198" s="314"/>
      <c r="DE198" s="314"/>
      <c r="DH198" s="314"/>
      <c r="DI198" s="314"/>
      <c r="DJ198" s="314"/>
      <c r="DK198" s="314"/>
      <c r="DL198" s="314"/>
      <c r="DM198" s="314"/>
      <c r="DN198" s="314"/>
      <c r="DO198" s="314"/>
      <c r="DP198" s="314"/>
      <c r="DQ198" s="314"/>
      <c r="DR198" s="314"/>
      <c r="DS198" s="314"/>
      <c r="DT198" s="314"/>
      <c r="DU198" s="314"/>
      <c r="DV198" s="314"/>
      <c r="DW198" s="314"/>
    </row>
    <row r="199" customFormat="false" ht="12.75" hidden="false" customHeight="false" outlineLevel="0" collapsed="false">
      <c r="B199" s="371" t="n">
        <v>41609</v>
      </c>
      <c r="C199" s="391" t="n">
        <v>41597</v>
      </c>
      <c r="L199" s="310"/>
      <c r="M199" s="310"/>
      <c r="R199" s="314" t="n">
        <v>24.6000000000001</v>
      </c>
      <c r="W199" s="318" t="n">
        <v>0.140099999999998</v>
      </c>
      <c r="AE199" s="321" t="n">
        <v>0.073492266572069</v>
      </c>
      <c r="BS199" s="314"/>
      <c r="BT199" s="314"/>
      <c r="BZ199" s="314"/>
      <c r="CA199" s="314"/>
      <c r="CF199" s="314"/>
      <c r="CG199" s="314"/>
      <c r="CM199" s="314"/>
      <c r="CN199" s="314"/>
      <c r="CS199" s="314"/>
      <c r="CT199" s="314"/>
      <c r="CX199" s="318"/>
      <c r="CY199" s="314"/>
      <c r="CZ199" s="314"/>
      <c r="DA199" s="314"/>
      <c r="DB199" s="318"/>
      <c r="DC199" s="314"/>
      <c r="DD199" s="314"/>
      <c r="DE199" s="314"/>
      <c r="DH199" s="314"/>
      <c r="DI199" s="314"/>
      <c r="DJ199" s="314"/>
      <c r="DK199" s="314"/>
      <c r="DL199" s="314"/>
      <c r="DM199" s="314"/>
      <c r="DN199" s="314"/>
      <c r="DO199" s="314"/>
      <c r="DP199" s="314"/>
      <c r="DQ199" s="314"/>
      <c r="DR199" s="314"/>
      <c r="DS199" s="314"/>
      <c r="DT199" s="314"/>
      <c r="DU199" s="314"/>
      <c r="DV199" s="314"/>
      <c r="DW199" s="314"/>
    </row>
    <row r="200" customFormat="false" ht="12.75" hidden="false" customHeight="false" outlineLevel="0" collapsed="false">
      <c r="B200" s="371" t="n">
        <v>41640</v>
      </c>
      <c r="C200" s="391" t="n">
        <v>41627</v>
      </c>
      <c r="L200" s="310"/>
      <c r="M200" s="310"/>
      <c r="R200" s="314" t="n">
        <v>24.6500000000001</v>
      </c>
      <c r="W200" s="318" t="n">
        <v>0.139699999999998</v>
      </c>
      <c r="AE200" s="321" t="n">
        <v>0.073488305013662</v>
      </c>
      <c r="BS200" s="314"/>
      <c r="BT200" s="314"/>
      <c r="BZ200" s="314"/>
      <c r="CA200" s="314"/>
      <c r="CF200" s="314"/>
      <c r="CG200" s="314"/>
      <c r="CM200" s="314"/>
      <c r="CN200" s="314"/>
      <c r="CS200" s="314"/>
      <c r="CT200" s="314"/>
      <c r="CX200" s="318"/>
      <c r="CY200" s="314"/>
      <c r="CZ200" s="314"/>
      <c r="DA200" s="314"/>
      <c r="DB200" s="318"/>
      <c r="DC200" s="314"/>
      <c r="DD200" s="314"/>
      <c r="DE200" s="314"/>
      <c r="DH200" s="314"/>
      <c r="DI200" s="314"/>
      <c r="DJ200" s="314"/>
      <c r="DK200" s="314"/>
      <c r="DL200" s="314"/>
      <c r="DM200" s="314"/>
      <c r="DN200" s="314"/>
      <c r="DO200" s="314"/>
      <c r="DP200" s="314"/>
      <c r="DQ200" s="314"/>
      <c r="DR200" s="314"/>
      <c r="DS200" s="314"/>
      <c r="DT200" s="314"/>
      <c r="DU200" s="314"/>
      <c r="DV200" s="314"/>
      <c r="DW200" s="314"/>
    </row>
    <row r="201" customFormat="false" ht="12.75" hidden="false" customHeight="false" outlineLevel="0" collapsed="false">
      <c r="B201" s="371" t="n">
        <v>41671</v>
      </c>
      <c r="C201" s="391" t="n">
        <v>41661</v>
      </c>
      <c r="L201" s="310"/>
      <c r="M201" s="310"/>
      <c r="R201" s="314" t="n">
        <v>24.7000000000001</v>
      </c>
      <c r="W201" s="318" t="n">
        <v>0.139299999999998</v>
      </c>
      <c r="AE201" s="321" t="n">
        <v>0.073484471247467</v>
      </c>
      <c r="BS201" s="314"/>
      <c r="BT201" s="314"/>
      <c r="BZ201" s="314"/>
      <c r="CA201" s="314"/>
      <c r="CF201" s="314"/>
      <c r="CG201" s="314"/>
      <c r="CM201" s="314"/>
      <c r="CN201" s="314"/>
      <c r="CS201" s="314"/>
      <c r="CT201" s="314"/>
      <c r="CX201" s="318"/>
      <c r="CY201" s="314"/>
      <c r="CZ201" s="314"/>
      <c r="DA201" s="314"/>
      <c r="DB201" s="318"/>
      <c r="DC201" s="314"/>
      <c r="DD201" s="314"/>
      <c r="DE201" s="314"/>
      <c r="DH201" s="314"/>
      <c r="DI201" s="314"/>
      <c r="DJ201" s="314"/>
      <c r="DK201" s="314"/>
      <c r="DL201" s="314"/>
      <c r="DM201" s="314"/>
      <c r="DN201" s="314"/>
      <c r="DO201" s="314"/>
      <c r="DP201" s="314"/>
      <c r="DQ201" s="314"/>
      <c r="DR201" s="314"/>
      <c r="DS201" s="314"/>
      <c r="DT201" s="314"/>
      <c r="DU201" s="314"/>
      <c r="DV201" s="314"/>
      <c r="DW201" s="314"/>
    </row>
    <row r="202" customFormat="false" ht="12.75" hidden="false" customHeight="false" outlineLevel="0" collapsed="false">
      <c r="B202" s="371" t="n">
        <v>41699</v>
      </c>
      <c r="C202" s="391" t="n">
        <v>41690</v>
      </c>
      <c r="L202" s="310"/>
      <c r="M202" s="310"/>
      <c r="R202" s="314" t="n">
        <v>24.7500000000001</v>
      </c>
      <c r="W202" s="318" t="n">
        <v>0.138899999999998</v>
      </c>
      <c r="AE202" s="321" t="n">
        <v>0.07348050968907</v>
      </c>
      <c r="BS202" s="314"/>
      <c r="BT202" s="314"/>
      <c r="BZ202" s="314"/>
      <c r="CA202" s="314"/>
      <c r="CF202" s="314"/>
      <c r="CG202" s="314"/>
      <c r="CM202" s="314"/>
      <c r="CN202" s="314"/>
      <c r="CS202" s="314"/>
      <c r="CT202" s="314"/>
      <c r="CX202" s="318"/>
      <c r="CY202" s="314"/>
      <c r="CZ202" s="314"/>
      <c r="DA202" s="314"/>
      <c r="DB202" s="318"/>
      <c r="DC202" s="314"/>
      <c r="DD202" s="314"/>
      <c r="DE202" s="314"/>
      <c r="DH202" s="314"/>
      <c r="DI202" s="314"/>
      <c r="DJ202" s="314"/>
      <c r="DK202" s="314"/>
      <c r="DL202" s="314"/>
      <c r="DM202" s="314"/>
      <c r="DN202" s="314"/>
      <c r="DO202" s="314"/>
      <c r="DP202" s="314"/>
      <c r="DQ202" s="314"/>
      <c r="DR202" s="314"/>
      <c r="DS202" s="314"/>
      <c r="DT202" s="314"/>
      <c r="DU202" s="314"/>
      <c r="DV202" s="314"/>
      <c r="DW202" s="314"/>
    </row>
    <row r="203" customFormat="false" ht="12.75" hidden="false" customHeight="false" outlineLevel="0" collapsed="false">
      <c r="B203" s="371" t="n">
        <v>41730</v>
      </c>
      <c r="C203" s="391" t="n">
        <v>41718</v>
      </c>
      <c r="L203" s="310"/>
      <c r="M203" s="310"/>
      <c r="R203" s="314" t="n">
        <v>24.8000000000001</v>
      </c>
      <c r="W203" s="318" t="n">
        <v>0.138499999999998</v>
      </c>
      <c r="AE203" s="321" t="n">
        <v>0.073476548130679</v>
      </c>
      <c r="BS203" s="314"/>
      <c r="BT203" s="314"/>
      <c r="BZ203" s="314"/>
      <c r="CA203" s="314"/>
      <c r="CF203" s="314"/>
      <c r="CG203" s="314"/>
      <c r="CM203" s="314"/>
      <c r="CN203" s="314"/>
      <c r="CS203" s="314"/>
      <c r="CT203" s="314"/>
      <c r="CX203" s="318"/>
      <c r="CY203" s="314"/>
      <c r="CZ203" s="314"/>
      <c r="DA203" s="314"/>
      <c r="DB203" s="318"/>
      <c r="DC203" s="314"/>
      <c r="DD203" s="314"/>
      <c r="DE203" s="314"/>
      <c r="DH203" s="314"/>
      <c r="DI203" s="314"/>
      <c r="DJ203" s="314"/>
      <c r="DK203" s="314"/>
      <c r="DL203" s="314"/>
      <c r="DM203" s="314"/>
      <c r="DN203" s="314"/>
      <c r="DO203" s="314"/>
      <c r="DP203" s="314"/>
      <c r="DQ203" s="314"/>
      <c r="DR203" s="314"/>
      <c r="DS203" s="314"/>
      <c r="DT203" s="314"/>
      <c r="DU203" s="314"/>
      <c r="DV203" s="314"/>
      <c r="DW203" s="314"/>
    </row>
    <row r="204" customFormat="false" ht="12.75" hidden="false" customHeight="false" outlineLevel="0" collapsed="false">
      <c r="B204" s="371" t="n">
        <v>41760</v>
      </c>
      <c r="C204" s="391" t="n">
        <v>41749</v>
      </c>
      <c r="L204" s="310"/>
      <c r="M204" s="310"/>
      <c r="R204" s="314" t="n">
        <v>24.8500000000001</v>
      </c>
      <c r="W204" s="318" t="n">
        <v>0.138099999999998</v>
      </c>
      <c r="AE204" s="321" t="n">
        <v>0.073472714364499</v>
      </c>
      <c r="BS204" s="314"/>
      <c r="BT204" s="314"/>
      <c r="BZ204" s="314"/>
      <c r="CA204" s="314"/>
      <c r="CF204" s="314"/>
      <c r="CG204" s="314"/>
      <c r="CM204" s="314"/>
      <c r="CN204" s="314"/>
      <c r="CS204" s="314"/>
      <c r="CT204" s="314"/>
      <c r="CX204" s="318"/>
      <c r="CY204" s="314"/>
      <c r="CZ204" s="314"/>
      <c r="DA204" s="314"/>
      <c r="DB204" s="318"/>
      <c r="DC204" s="314"/>
      <c r="DD204" s="314"/>
      <c r="DE204" s="314"/>
      <c r="DH204" s="314"/>
      <c r="DI204" s="314"/>
      <c r="DJ204" s="314"/>
      <c r="DK204" s="314"/>
      <c r="DL204" s="314"/>
      <c r="DM204" s="314"/>
      <c r="DN204" s="314"/>
      <c r="DO204" s="314"/>
      <c r="DP204" s="314"/>
      <c r="DQ204" s="314"/>
      <c r="DR204" s="314"/>
      <c r="DS204" s="314"/>
      <c r="DT204" s="314"/>
      <c r="DU204" s="314"/>
      <c r="DV204" s="314"/>
      <c r="DW204" s="314"/>
    </row>
    <row r="205" customFormat="false" ht="12.75" hidden="false" customHeight="false" outlineLevel="0" collapsed="false">
      <c r="B205" s="371" t="n">
        <v>41791</v>
      </c>
      <c r="C205" s="391" t="n">
        <v>41781</v>
      </c>
      <c r="R205" s="314" t="n">
        <v>24.9000000000001</v>
      </c>
      <c r="W205" s="318" t="n">
        <v>0.137699999999998</v>
      </c>
      <c r="AE205" s="321" t="n">
        <v>0.073468752806118</v>
      </c>
      <c r="BS205" s="314"/>
      <c r="BT205" s="314"/>
      <c r="BZ205" s="314"/>
      <c r="CA205" s="314"/>
      <c r="CF205" s="314"/>
      <c r="CG205" s="314"/>
      <c r="CM205" s="314"/>
      <c r="CN205" s="314"/>
      <c r="CS205" s="314"/>
      <c r="CT205" s="314"/>
      <c r="CX205" s="318"/>
      <c r="CY205" s="314"/>
      <c r="CZ205" s="314"/>
      <c r="DA205" s="314"/>
      <c r="DB205" s="318"/>
      <c r="DC205" s="314"/>
      <c r="DD205" s="314"/>
      <c r="DE205" s="314"/>
      <c r="DH205" s="314"/>
      <c r="DI205" s="314"/>
      <c r="DJ205" s="314"/>
      <c r="DK205" s="314"/>
      <c r="DL205" s="314"/>
      <c r="DM205" s="314"/>
      <c r="DN205" s="314"/>
      <c r="DO205" s="314"/>
      <c r="DP205" s="314"/>
      <c r="DQ205" s="314"/>
      <c r="DR205" s="314"/>
      <c r="DS205" s="314"/>
      <c r="DT205" s="314"/>
      <c r="DU205" s="314"/>
      <c r="DV205" s="314"/>
      <c r="DW205" s="314"/>
    </row>
    <row r="206" customFormat="false" ht="12.75" hidden="false" customHeight="false" outlineLevel="0" collapsed="false">
      <c r="B206" s="371" t="n">
        <v>41821</v>
      </c>
      <c r="C206" s="391" t="n">
        <v>41810</v>
      </c>
      <c r="R206" s="314" t="n">
        <v>24.9500000000001</v>
      </c>
      <c r="W206" s="318" t="n">
        <v>0.137299999999998</v>
      </c>
      <c r="AE206" s="321" t="n">
        <v>0.073464919039947</v>
      </c>
      <c r="BS206" s="314"/>
      <c r="BT206" s="314"/>
      <c r="BZ206" s="314"/>
      <c r="CA206" s="314"/>
      <c r="CF206" s="314"/>
      <c r="CG206" s="314"/>
      <c r="CM206" s="314"/>
      <c r="CN206" s="314"/>
      <c r="CS206" s="314"/>
      <c r="CT206" s="314"/>
      <c r="CX206" s="318"/>
      <c r="CY206" s="314"/>
      <c r="CZ206" s="314"/>
      <c r="DA206" s="314"/>
      <c r="DB206" s="318"/>
      <c r="DC206" s="314"/>
      <c r="DD206" s="314"/>
      <c r="DE206" s="314"/>
      <c r="DH206" s="314"/>
      <c r="DI206" s="314"/>
      <c r="DJ206" s="314"/>
      <c r="DK206" s="314"/>
      <c r="DL206" s="314"/>
      <c r="DM206" s="314"/>
      <c r="DN206" s="314"/>
      <c r="DO206" s="314"/>
      <c r="DP206" s="314"/>
      <c r="DQ206" s="314"/>
      <c r="DR206" s="314"/>
      <c r="DS206" s="314"/>
      <c r="DT206" s="314"/>
      <c r="DU206" s="314"/>
      <c r="DV206" s="314"/>
      <c r="DW206" s="314"/>
    </row>
    <row r="207" customFormat="false" ht="12.75" hidden="false" customHeight="false" outlineLevel="0" collapsed="false">
      <c r="B207" s="371" t="n">
        <v>41852</v>
      </c>
      <c r="C207" s="391" t="n">
        <v>41840</v>
      </c>
      <c r="R207" s="314" t="n">
        <v>25.0000000000001</v>
      </c>
      <c r="W207" s="318" t="n">
        <v>0.136899999999998</v>
      </c>
      <c r="AE207" s="321" t="n">
        <v>0.073460957481576</v>
      </c>
      <c r="BS207" s="314"/>
      <c r="BT207" s="314"/>
      <c r="BZ207" s="314"/>
      <c r="CA207" s="314"/>
      <c r="CF207" s="314"/>
      <c r="CG207" s="314"/>
      <c r="CM207" s="314"/>
      <c r="CN207" s="314"/>
      <c r="CS207" s="314"/>
      <c r="CT207" s="314"/>
      <c r="CX207" s="318"/>
      <c r="CY207" s="314"/>
      <c r="CZ207" s="314"/>
      <c r="DA207" s="314"/>
      <c r="DB207" s="318"/>
      <c r="DC207" s="314"/>
      <c r="DD207" s="314"/>
      <c r="DE207" s="314"/>
      <c r="DH207" s="314"/>
      <c r="DI207" s="314"/>
      <c r="DJ207" s="314"/>
      <c r="DK207" s="314"/>
      <c r="DL207" s="314"/>
      <c r="DM207" s="314"/>
      <c r="DN207" s="314"/>
      <c r="DO207" s="314"/>
      <c r="DP207" s="314"/>
      <c r="DQ207" s="314"/>
      <c r="DR207" s="314"/>
      <c r="DS207" s="314"/>
      <c r="DT207" s="314"/>
      <c r="DU207" s="314"/>
      <c r="DV207" s="314"/>
      <c r="DW207" s="314"/>
    </row>
    <row r="208" customFormat="false" ht="12.75" hidden="false" customHeight="false" outlineLevel="0" collapsed="false">
      <c r="B208" s="371" t="n">
        <v>41883</v>
      </c>
      <c r="C208" s="391" t="n">
        <v>41872</v>
      </c>
      <c r="R208" s="314" t="n">
        <v>25.0500000000001</v>
      </c>
      <c r="W208" s="318" t="n">
        <v>0.136499999999998</v>
      </c>
      <c r="AE208" s="321" t="n">
        <v>0.07345699592321</v>
      </c>
      <c r="BS208" s="314"/>
      <c r="BT208" s="314"/>
      <c r="BZ208" s="314"/>
      <c r="CA208" s="314"/>
      <c r="CF208" s="314"/>
      <c r="CG208" s="314"/>
      <c r="CM208" s="314"/>
      <c r="CN208" s="314"/>
      <c r="CS208" s="314"/>
      <c r="CT208" s="314"/>
      <c r="CX208" s="318"/>
      <c r="CY208" s="314"/>
      <c r="CZ208" s="314"/>
      <c r="DA208" s="314"/>
      <c r="DB208" s="318"/>
      <c r="DC208" s="314"/>
      <c r="DD208" s="314"/>
      <c r="DE208" s="314"/>
      <c r="DH208" s="314"/>
      <c r="DI208" s="314"/>
      <c r="DJ208" s="314"/>
      <c r="DK208" s="314"/>
      <c r="DL208" s="314"/>
      <c r="DM208" s="314"/>
      <c r="DN208" s="314"/>
      <c r="DO208" s="314"/>
      <c r="DP208" s="314"/>
      <c r="DQ208" s="314"/>
      <c r="DR208" s="314"/>
      <c r="DS208" s="314"/>
      <c r="DT208" s="314"/>
      <c r="DU208" s="314"/>
      <c r="DV208" s="314"/>
      <c r="DW208" s="314"/>
    </row>
    <row r="209" customFormat="false" ht="12.75" hidden="false" customHeight="false" outlineLevel="0" collapsed="false">
      <c r="B209" s="371" t="n">
        <v>41913</v>
      </c>
      <c r="C209" s="391" t="n">
        <v>41902</v>
      </c>
      <c r="R209" s="314" t="n">
        <v>25.1000000000001</v>
      </c>
      <c r="W209" s="318" t="n">
        <v>0.136099999999998</v>
      </c>
      <c r="AE209" s="321" t="n">
        <v>0.073453417741465</v>
      </c>
      <c r="BS209" s="314"/>
      <c r="BT209" s="314"/>
      <c r="BZ209" s="314"/>
      <c r="CA209" s="314"/>
      <c r="CF209" s="314"/>
      <c r="CG209" s="314"/>
      <c r="CM209" s="314"/>
      <c r="CN209" s="314"/>
      <c r="CS209" s="314"/>
      <c r="CT209" s="314"/>
      <c r="CX209" s="318"/>
      <c r="CY209" s="314"/>
      <c r="CZ209" s="314"/>
      <c r="DA209" s="314"/>
      <c r="DB209" s="318"/>
      <c r="DC209" s="314"/>
      <c r="DD209" s="314"/>
      <c r="DE209" s="314"/>
      <c r="DH209" s="314"/>
      <c r="DI209" s="314"/>
      <c r="DJ209" s="314"/>
      <c r="DK209" s="314"/>
      <c r="DL209" s="314"/>
      <c r="DM209" s="314"/>
      <c r="DN209" s="314"/>
      <c r="DO209" s="314"/>
      <c r="DP209" s="314"/>
      <c r="DQ209" s="314"/>
      <c r="DR209" s="314"/>
      <c r="DS209" s="314"/>
      <c r="DT209" s="314"/>
      <c r="DU209" s="314"/>
      <c r="DV209" s="314"/>
      <c r="DW209" s="314"/>
    </row>
    <row r="210" customFormat="false" ht="12.75" hidden="false" customHeight="false" outlineLevel="0" collapsed="false">
      <c r="B210" s="371" t="n">
        <v>41944</v>
      </c>
      <c r="C210" s="391" t="n">
        <v>41934</v>
      </c>
      <c r="R210" s="314" t="n">
        <v>25.1500000000001</v>
      </c>
      <c r="W210" s="318" t="n">
        <v>0.135699999999998</v>
      </c>
      <c r="AE210" s="321" t="n">
        <v>0.073449456183109</v>
      </c>
      <c r="BS210" s="314"/>
      <c r="BT210" s="314"/>
      <c r="BZ210" s="314"/>
      <c r="CA210" s="314"/>
      <c r="CF210" s="314"/>
      <c r="CG210" s="314"/>
      <c r="CM210" s="314"/>
      <c r="CN210" s="314"/>
      <c r="CS210" s="314"/>
      <c r="CT210" s="314"/>
      <c r="CX210" s="318"/>
      <c r="CY210" s="314"/>
      <c r="CZ210" s="314"/>
      <c r="DA210" s="314"/>
      <c r="DB210" s="318"/>
      <c r="DC210" s="314"/>
      <c r="DD210" s="314"/>
      <c r="DE210" s="314"/>
      <c r="DH210" s="314"/>
      <c r="DI210" s="314"/>
      <c r="DJ210" s="314"/>
      <c r="DK210" s="314"/>
      <c r="DL210" s="314"/>
      <c r="DM210" s="314"/>
      <c r="DN210" s="314"/>
      <c r="DO210" s="314"/>
      <c r="DP210" s="314"/>
      <c r="DQ210" s="314"/>
      <c r="DR210" s="314"/>
      <c r="DS210" s="314"/>
      <c r="DT210" s="314"/>
      <c r="DU210" s="314"/>
      <c r="DV210" s="314"/>
      <c r="DW210" s="314"/>
    </row>
    <row r="211" customFormat="false" ht="12.75" hidden="false" customHeight="false" outlineLevel="0" collapsed="false">
      <c r="B211" s="371" t="n">
        <v>41974</v>
      </c>
      <c r="C211" s="391" t="n">
        <v>41962</v>
      </c>
      <c r="R211" s="314" t="n">
        <v>25.2000000000001</v>
      </c>
      <c r="W211" s="318" t="n">
        <v>0.135299999999998</v>
      </c>
      <c r="AE211" s="321" t="n">
        <v>0.073445622416963</v>
      </c>
      <c r="BS211" s="314"/>
      <c r="BT211" s="314"/>
      <c r="BZ211" s="314"/>
      <c r="CA211" s="314"/>
      <c r="CF211" s="314"/>
      <c r="CG211" s="314"/>
      <c r="CM211" s="314"/>
      <c r="CN211" s="314"/>
      <c r="CS211" s="314"/>
      <c r="CT211" s="314"/>
      <c r="CX211" s="318"/>
      <c r="CY211" s="314"/>
      <c r="CZ211" s="314"/>
      <c r="DA211" s="314"/>
      <c r="DB211" s="318"/>
      <c r="DC211" s="314"/>
      <c r="DD211" s="314"/>
      <c r="DE211" s="314"/>
      <c r="DH211" s="314"/>
      <c r="DI211" s="314"/>
      <c r="DJ211" s="314"/>
      <c r="DK211" s="314"/>
      <c r="DL211" s="314"/>
      <c r="DM211" s="314"/>
      <c r="DN211" s="314"/>
      <c r="DO211" s="314"/>
      <c r="DP211" s="314"/>
      <c r="DQ211" s="314"/>
      <c r="DR211" s="314"/>
      <c r="DS211" s="314"/>
      <c r="DT211" s="314"/>
      <c r="DU211" s="314"/>
      <c r="DV211" s="314"/>
      <c r="DW211" s="314"/>
    </row>
    <row r="212" customFormat="false" ht="12.75" hidden="false" customHeight="false" outlineLevel="0" collapsed="false">
      <c r="B212" s="371" t="n">
        <v>42005</v>
      </c>
      <c r="C212" s="391" t="n">
        <v>41992</v>
      </c>
      <c r="R212" s="314" t="n">
        <v>25.2500000000001</v>
      </c>
      <c r="W212" s="318" t="n">
        <v>0.134899999999998</v>
      </c>
      <c r="AE212" s="321" t="n">
        <v>0.073441660858617</v>
      </c>
      <c r="BS212" s="314"/>
      <c r="BT212" s="314"/>
      <c r="BZ212" s="314"/>
      <c r="CA212" s="314"/>
      <c r="CF212" s="314"/>
      <c r="CG212" s="314"/>
      <c r="CM212" s="314"/>
      <c r="CN212" s="314"/>
      <c r="CS212" s="314"/>
      <c r="CT212" s="314"/>
      <c r="CX212" s="318"/>
      <c r="CY212" s="314"/>
      <c r="CZ212" s="314"/>
      <c r="DA212" s="314"/>
      <c r="DB212" s="318"/>
      <c r="DC212" s="314"/>
      <c r="DD212" s="314"/>
      <c r="DE212" s="314"/>
      <c r="DH212" s="314"/>
      <c r="DI212" s="314"/>
      <c r="DJ212" s="314"/>
      <c r="DK212" s="314"/>
      <c r="DL212" s="314"/>
      <c r="DM212" s="314"/>
      <c r="DN212" s="314"/>
      <c r="DO212" s="314"/>
      <c r="DP212" s="314"/>
      <c r="DQ212" s="314"/>
      <c r="DR212" s="314"/>
      <c r="DS212" s="314"/>
      <c r="DT212" s="314"/>
      <c r="DU212" s="314"/>
      <c r="DV212" s="314"/>
      <c r="DW212" s="314"/>
    </row>
    <row r="213" customFormat="false" ht="12.75" hidden="false" customHeight="false" outlineLevel="0" collapsed="false">
      <c r="B213" s="371" t="n">
        <v>42036</v>
      </c>
      <c r="C213" s="391" t="n">
        <v>42026</v>
      </c>
      <c r="R213" s="314" t="n">
        <v>25.3000000000001</v>
      </c>
      <c r="W213" s="318" t="n">
        <v>0.134499999999998</v>
      </c>
      <c r="AE213" s="321" t="n">
        <v>0.073437827092481</v>
      </c>
      <c r="BS213" s="314"/>
      <c r="BT213" s="314"/>
      <c r="BZ213" s="314"/>
      <c r="CA213" s="314"/>
      <c r="CF213" s="314"/>
      <c r="CG213" s="314"/>
      <c r="CM213" s="314"/>
      <c r="CN213" s="314"/>
      <c r="CS213" s="314"/>
      <c r="CT213" s="314"/>
      <c r="CX213" s="318"/>
      <c r="CY213" s="314"/>
      <c r="CZ213" s="314"/>
      <c r="DA213" s="314"/>
      <c r="DB213" s="318"/>
      <c r="DC213" s="314"/>
      <c r="DD213" s="314"/>
      <c r="DE213" s="314"/>
      <c r="DH213" s="314"/>
      <c r="DI213" s="314"/>
      <c r="DJ213" s="314"/>
      <c r="DK213" s="314"/>
      <c r="DL213" s="314"/>
      <c r="DM213" s="314"/>
      <c r="DN213" s="314"/>
      <c r="DO213" s="314"/>
      <c r="DP213" s="314"/>
      <c r="DQ213" s="314"/>
      <c r="DR213" s="314"/>
      <c r="DS213" s="314"/>
      <c r="DT213" s="314"/>
      <c r="DU213" s="314"/>
      <c r="DV213" s="314"/>
      <c r="DW213" s="314"/>
    </row>
    <row r="214" customFormat="false" ht="12.75" hidden="false" customHeight="false" outlineLevel="0" collapsed="false">
      <c r="B214" s="371" t="n">
        <v>42064</v>
      </c>
      <c r="C214" s="391" t="n">
        <v>42055</v>
      </c>
      <c r="R214" s="314" t="n">
        <v>25.3500000000001</v>
      </c>
      <c r="W214" s="318" t="n">
        <v>0.134099999999998</v>
      </c>
      <c r="AE214" s="321" t="n">
        <v>0.073433865534146</v>
      </c>
      <c r="BS214" s="314"/>
      <c r="BT214" s="314"/>
      <c r="BZ214" s="314"/>
      <c r="CA214" s="314"/>
      <c r="CF214" s="314"/>
      <c r="CG214" s="314"/>
      <c r="CM214" s="314"/>
      <c r="CN214" s="314"/>
      <c r="CS214" s="314"/>
      <c r="CT214" s="314"/>
      <c r="CX214" s="318"/>
      <c r="CY214" s="314"/>
      <c r="CZ214" s="314"/>
      <c r="DA214" s="314"/>
      <c r="DB214" s="318"/>
      <c r="DC214" s="314"/>
      <c r="DD214" s="314"/>
      <c r="DE214" s="314"/>
      <c r="DH214" s="314"/>
      <c r="DI214" s="314"/>
      <c r="DJ214" s="314"/>
      <c r="DK214" s="314"/>
      <c r="DL214" s="314"/>
      <c r="DM214" s="314"/>
      <c r="DN214" s="314"/>
      <c r="DO214" s="314"/>
      <c r="DP214" s="314"/>
      <c r="DQ214" s="314"/>
      <c r="DR214" s="314"/>
      <c r="DS214" s="314"/>
      <c r="DT214" s="314"/>
      <c r="DU214" s="314"/>
      <c r="DV214" s="314"/>
      <c r="DW214" s="314"/>
    </row>
    <row r="215" customFormat="false" ht="12.75" hidden="false" customHeight="false" outlineLevel="0" collapsed="false">
      <c r="B215" s="371" t="n">
        <v>42095</v>
      </c>
      <c r="C215" s="391" t="n">
        <v>42083</v>
      </c>
      <c r="R215" s="314" t="n">
        <v>25.4000000000001</v>
      </c>
      <c r="W215" s="318" t="n">
        <v>0.133699999999998</v>
      </c>
      <c r="AE215" s="321" t="n">
        <v>0.073429903975815</v>
      </c>
      <c r="BS215" s="314"/>
      <c r="BT215" s="314"/>
      <c r="BZ215" s="314"/>
      <c r="CA215" s="314"/>
      <c r="CF215" s="314"/>
      <c r="CG215" s="314"/>
      <c r="CM215" s="314"/>
      <c r="CN215" s="314"/>
      <c r="CS215" s="314"/>
      <c r="CT215" s="314"/>
      <c r="CX215" s="318"/>
      <c r="CY215" s="314"/>
      <c r="CZ215" s="314"/>
      <c r="DA215" s="314"/>
      <c r="DB215" s="318"/>
      <c r="DC215" s="314"/>
      <c r="DD215" s="314"/>
      <c r="DE215" s="314"/>
      <c r="DH215" s="314"/>
      <c r="DI215" s="314"/>
      <c r="DJ215" s="314"/>
      <c r="DK215" s="314"/>
      <c r="DL215" s="314"/>
      <c r="DM215" s="314"/>
      <c r="DN215" s="314"/>
      <c r="DO215" s="314"/>
      <c r="DP215" s="314"/>
      <c r="DQ215" s="314"/>
      <c r="DR215" s="314"/>
      <c r="DS215" s="314"/>
      <c r="DT215" s="314"/>
      <c r="DU215" s="314"/>
      <c r="DV215" s="314"/>
      <c r="DW215" s="314"/>
    </row>
    <row r="216" customFormat="false" ht="12.75" hidden="false" customHeight="false" outlineLevel="0" collapsed="false">
      <c r="B216" s="371" t="n">
        <v>42125</v>
      </c>
      <c r="C216" s="391" t="n">
        <v>42114</v>
      </c>
      <c r="R216" s="314" t="n">
        <v>25.4500000000001</v>
      </c>
      <c r="W216" s="318" t="n">
        <v>0.133299999999998</v>
      </c>
      <c r="AE216" s="321" t="n">
        <v>0.073426070209694</v>
      </c>
      <c r="BS216" s="314"/>
      <c r="BT216" s="314"/>
      <c r="BZ216" s="314"/>
      <c r="CA216" s="314"/>
      <c r="CF216" s="314"/>
      <c r="CG216" s="314"/>
      <c r="CM216" s="314"/>
      <c r="CN216" s="314"/>
      <c r="CS216" s="314"/>
      <c r="CT216" s="314"/>
      <c r="CX216" s="318"/>
      <c r="CY216" s="314"/>
      <c r="CZ216" s="314"/>
      <c r="DA216" s="314"/>
      <c r="DB216" s="318"/>
      <c r="DC216" s="314"/>
      <c r="DD216" s="314"/>
      <c r="DE216" s="314"/>
      <c r="DH216" s="314"/>
      <c r="DI216" s="314"/>
      <c r="DJ216" s="314"/>
      <c r="DK216" s="314"/>
      <c r="DL216" s="314"/>
      <c r="DM216" s="314"/>
      <c r="DN216" s="314"/>
      <c r="DO216" s="314"/>
      <c r="DP216" s="314"/>
      <c r="DQ216" s="314"/>
      <c r="DR216" s="314"/>
      <c r="DS216" s="314"/>
      <c r="DT216" s="314"/>
      <c r="DU216" s="314"/>
      <c r="DV216" s="314"/>
      <c r="DW216" s="314"/>
    </row>
    <row r="217" customFormat="false" ht="12.75" hidden="false" customHeight="false" outlineLevel="0" collapsed="false">
      <c r="B217" s="371" t="n">
        <v>42156</v>
      </c>
      <c r="C217" s="391" t="n">
        <v>42146</v>
      </c>
      <c r="R217" s="314" t="n">
        <v>25.5000000000001</v>
      </c>
      <c r="W217" s="318" t="n">
        <v>0.132899999999998</v>
      </c>
      <c r="AE217" s="321" t="n">
        <v>0.073422108651373</v>
      </c>
      <c r="BS217" s="314"/>
      <c r="BT217" s="314"/>
      <c r="BZ217" s="314"/>
      <c r="CA217" s="314"/>
      <c r="CF217" s="314"/>
      <c r="CG217" s="314"/>
      <c r="CM217" s="314"/>
      <c r="CN217" s="314"/>
      <c r="CS217" s="314"/>
      <c r="CT217" s="314"/>
      <c r="CX217" s="318"/>
      <c r="CY217" s="314"/>
      <c r="CZ217" s="314"/>
      <c r="DA217" s="314"/>
      <c r="DB217" s="318"/>
      <c r="DC217" s="314"/>
      <c r="DD217" s="314"/>
      <c r="DE217" s="314"/>
      <c r="DH217" s="314"/>
      <c r="DI217" s="314"/>
      <c r="DJ217" s="314"/>
      <c r="DK217" s="314"/>
      <c r="DL217" s="314"/>
      <c r="DM217" s="314"/>
      <c r="DN217" s="314"/>
      <c r="DO217" s="314"/>
      <c r="DP217" s="314"/>
      <c r="DQ217" s="314"/>
      <c r="DR217" s="314"/>
      <c r="DS217" s="314"/>
      <c r="DT217" s="314"/>
      <c r="DU217" s="314"/>
      <c r="DV217" s="314"/>
      <c r="DW217" s="314"/>
    </row>
    <row r="218" customFormat="false" ht="12.75" hidden="false" customHeight="false" outlineLevel="0" collapsed="false">
      <c r="B218" s="371" t="n">
        <v>42186</v>
      </c>
      <c r="C218" s="391" t="n">
        <v>42175</v>
      </c>
      <c r="R218" s="314" t="n">
        <v>25.5500000000001</v>
      </c>
      <c r="W218" s="318" t="n">
        <v>0.132499999999998</v>
      </c>
      <c r="AE218" s="321" t="n">
        <v>0.073418274885262</v>
      </c>
      <c r="BS218" s="314"/>
      <c r="BT218" s="314"/>
      <c r="BZ218" s="314"/>
      <c r="CA218" s="314"/>
      <c r="CF218" s="314"/>
      <c r="CG218" s="314"/>
      <c r="CM218" s="314"/>
      <c r="CN218" s="314"/>
      <c r="CS218" s="314"/>
      <c r="CT218" s="314"/>
      <c r="CX218" s="318"/>
      <c r="CY218" s="314"/>
      <c r="CZ218" s="314"/>
      <c r="DA218" s="314"/>
      <c r="DB218" s="318"/>
      <c r="DC218" s="314"/>
      <c r="DD218" s="314"/>
      <c r="DE218" s="314"/>
      <c r="DH218" s="314"/>
      <c r="DI218" s="314"/>
      <c r="DJ218" s="314"/>
      <c r="DK218" s="314"/>
      <c r="DL218" s="314"/>
      <c r="DM218" s="314"/>
      <c r="DN218" s="314"/>
      <c r="DO218" s="314"/>
      <c r="DP218" s="314"/>
      <c r="DQ218" s="314"/>
      <c r="DR218" s="314"/>
      <c r="DS218" s="314"/>
      <c r="DT218" s="314"/>
      <c r="DU218" s="314"/>
      <c r="DV218" s="314"/>
      <c r="DW218" s="314"/>
    </row>
    <row r="219" customFormat="false" ht="12.75" hidden="false" customHeight="false" outlineLevel="0" collapsed="false">
      <c r="B219" s="371" t="n">
        <v>42217</v>
      </c>
      <c r="C219" s="391" t="n">
        <v>42205</v>
      </c>
      <c r="R219" s="314" t="n">
        <v>25.6000000000001</v>
      </c>
      <c r="W219" s="318" t="n">
        <v>0.132099999999998</v>
      </c>
      <c r="AE219" s="321" t="n">
        <v>0.073414313326952</v>
      </c>
      <c r="BS219" s="314"/>
      <c r="BT219" s="314"/>
      <c r="BZ219" s="314"/>
      <c r="CA219" s="314"/>
      <c r="CF219" s="314"/>
      <c r="CG219" s="314"/>
      <c r="CM219" s="314"/>
      <c r="CN219" s="314"/>
      <c r="CS219" s="314"/>
      <c r="CT219" s="314"/>
      <c r="CX219" s="318"/>
      <c r="CY219" s="314"/>
      <c r="CZ219" s="314"/>
      <c r="DA219" s="314"/>
      <c r="DB219" s="318"/>
      <c r="DC219" s="314"/>
      <c r="DD219" s="314"/>
      <c r="DE219" s="314"/>
      <c r="DH219" s="314"/>
      <c r="DI219" s="314"/>
      <c r="DJ219" s="314"/>
      <c r="DK219" s="314"/>
      <c r="DL219" s="314"/>
      <c r="DM219" s="314"/>
      <c r="DN219" s="314"/>
      <c r="DO219" s="314"/>
      <c r="DP219" s="314"/>
      <c r="DQ219" s="314"/>
      <c r="DR219" s="314"/>
      <c r="DS219" s="314"/>
      <c r="DT219" s="314"/>
      <c r="DU219" s="314"/>
      <c r="DV219" s="314"/>
      <c r="DW219" s="314"/>
    </row>
    <row r="220" customFormat="false" ht="12.75" hidden="false" customHeight="false" outlineLevel="0" collapsed="false">
      <c r="B220" s="371" t="n">
        <v>42248</v>
      </c>
      <c r="C220" s="391" t="n">
        <v>42237</v>
      </c>
      <c r="R220" s="314" t="n">
        <v>25.6500000000001</v>
      </c>
      <c r="W220" s="318" t="n">
        <v>0.131699999999998</v>
      </c>
      <c r="AE220" s="321" t="n">
        <v>0.073410351768648</v>
      </c>
      <c r="BS220" s="314"/>
      <c r="BT220" s="314"/>
      <c r="BZ220" s="314"/>
      <c r="CA220" s="314"/>
      <c r="CF220" s="314"/>
      <c r="CG220" s="314"/>
      <c r="CM220" s="314"/>
      <c r="CN220" s="314"/>
      <c r="CS220" s="314"/>
      <c r="CT220" s="314"/>
      <c r="CX220" s="318"/>
      <c r="CY220" s="314"/>
      <c r="CZ220" s="314"/>
      <c r="DA220" s="314"/>
      <c r="DB220" s="318"/>
      <c r="DC220" s="314"/>
      <c r="DD220" s="314"/>
      <c r="DE220" s="314"/>
      <c r="DH220" s="314"/>
      <c r="DI220" s="314"/>
      <c r="DJ220" s="314"/>
      <c r="DK220" s="314"/>
      <c r="DL220" s="314"/>
      <c r="DM220" s="314"/>
      <c r="DN220" s="314"/>
      <c r="DO220" s="314"/>
      <c r="DP220" s="314"/>
      <c r="DQ220" s="314"/>
      <c r="DR220" s="314"/>
      <c r="DS220" s="314"/>
      <c r="DT220" s="314"/>
      <c r="DU220" s="314"/>
      <c r="DV220" s="314"/>
      <c r="DW220" s="314"/>
    </row>
    <row r="221" customFormat="false" ht="12.75" hidden="false" customHeight="false" outlineLevel="0" collapsed="false">
      <c r="B221" s="371" t="n">
        <v>42278</v>
      </c>
      <c r="C221" s="391" t="n">
        <v>42267</v>
      </c>
      <c r="R221" s="314" t="n">
        <v>25.7000000000001</v>
      </c>
      <c r="W221" s="318" t="n">
        <v>0.131299999999998</v>
      </c>
      <c r="AE221" s="321" t="n">
        <v>0.073406773586957</v>
      </c>
      <c r="BS221" s="314"/>
      <c r="BT221" s="314"/>
      <c r="BZ221" s="314"/>
      <c r="CA221" s="314"/>
      <c r="CF221" s="314"/>
      <c r="CG221" s="314"/>
      <c r="CM221" s="314"/>
      <c r="CN221" s="314"/>
      <c r="CS221" s="314"/>
      <c r="CT221" s="314"/>
      <c r="CX221" s="318"/>
      <c r="CY221" s="314"/>
      <c r="CZ221" s="314"/>
      <c r="DA221" s="314"/>
      <c r="DB221" s="318"/>
      <c r="DC221" s="314"/>
      <c r="DD221" s="314"/>
      <c r="DE221" s="314"/>
      <c r="DH221" s="314"/>
      <c r="DI221" s="314"/>
      <c r="DJ221" s="314"/>
      <c r="DK221" s="314"/>
      <c r="DL221" s="314"/>
      <c r="DM221" s="314"/>
      <c r="DN221" s="314"/>
      <c r="DO221" s="314"/>
      <c r="DP221" s="314"/>
      <c r="DQ221" s="314"/>
      <c r="DR221" s="314"/>
      <c r="DS221" s="314"/>
      <c r="DT221" s="314"/>
      <c r="DU221" s="314"/>
      <c r="DV221" s="314"/>
      <c r="DW221" s="314"/>
    </row>
    <row r="222" customFormat="false" ht="12.75" hidden="false" customHeight="false" outlineLevel="0" collapsed="false">
      <c r="B222" s="371" t="n">
        <v>42309</v>
      </c>
      <c r="C222" s="391" t="n">
        <v>42299</v>
      </c>
      <c r="R222" s="314" t="n">
        <v>25.7500000000001</v>
      </c>
      <c r="W222" s="318" t="n">
        <v>0.130899999999997</v>
      </c>
      <c r="AE222" s="321" t="n">
        <v>0.073402812028663</v>
      </c>
      <c r="BS222" s="314"/>
      <c r="BT222" s="314"/>
      <c r="BZ222" s="314"/>
      <c r="CA222" s="314"/>
      <c r="CF222" s="314"/>
      <c r="CG222" s="314"/>
      <c r="CM222" s="314"/>
      <c r="CN222" s="314"/>
      <c r="CS222" s="314"/>
      <c r="CT222" s="314"/>
      <c r="CX222" s="318"/>
      <c r="CY222" s="314"/>
      <c r="CZ222" s="314"/>
      <c r="DA222" s="314"/>
      <c r="DB222" s="318"/>
      <c r="DC222" s="314"/>
      <c r="DD222" s="314"/>
      <c r="DE222" s="314"/>
      <c r="DH222" s="314"/>
      <c r="DI222" s="314"/>
      <c r="DJ222" s="314"/>
      <c r="DK222" s="314"/>
      <c r="DL222" s="314"/>
      <c r="DM222" s="314"/>
      <c r="DN222" s="314"/>
      <c r="DO222" s="314"/>
      <c r="DP222" s="314"/>
      <c r="DQ222" s="314"/>
      <c r="DR222" s="314"/>
      <c r="DS222" s="314"/>
      <c r="DT222" s="314"/>
      <c r="DU222" s="314"/>
      <c r="DV222" s="314"/>
      <c r="DW222" s="314"/>
    </row>
    <row r="223" customFormat="false" ht="12.75" hidden="false" customHeight="false" outlineLevel="0" collapsed="false">
      <c r="B223" s="371" t="n">
        <v>42339</v>
      </c>
      <c r="C223" s="391" t="n">
        <v>42327</v>
      </c>
      <c r="R223" s="314" t="n">
        <v>25.8000000000001</v>
      </c>
      <c r="W223" s="318" t="n">
        <v>0.130499999999997</v>
      </c>
      <c r="AE223" s="321" t="n">
        <v>0.073398978262575</v>
      </c>
      <c r="BS223" s="314"/>
      <c r="BT223" s="314"/>
      <c r="BZ223" s="314"/>
      <c r="CA223" s="314"/>
      <c r="CF223" s="314"/>
      <c r="CG223" s="314"/>
      <c r="CM223" s="314"/>
      <c r="CN223" s="314"/>
      <c r="CS223" s="314"/>
      <c r="CT223" s="314"/>
      <c r="CX223" s="318"/>
      <c r="CY223" s="314"/>
      <c r="CZ223" s="314"/>
      <c r="DA223" s="314"/>
      <c r="DB223" s="318"/>
      <c r="DC223" s="314"/>
      <c r="DD223" s="314"/>
      <c r="DE223" s="314"/>
      <c r="DH223" s="314"/>
      <c r="DI223" s="314"/>
      <c r="DJ223" s="314"/>
      <c r="DK223" s="314"/>
      <c r="DL223" s="314"/>
      <c r="DM223" s="314"/>
      <c r="DN223" s="314"/>
      <c r="DO223" s="314"/>
      <c r="DP223" s="314"/>
      <c r="DQ223" s="314"/>
      <c r="DR223" s="314"/>
      <c r="DS223" s="314"/>
      <c r="DT223" s="314"/>
      <c r="DU223" s="314"/>
      <c r="DV223" s="314"/>
      <c r="DW223" s="314"/>
    </row>
    <row r="224" customFormat="false" ht="12.75" hidden="false" customHeight="false" outlineLevel="0" collapsed="false">
      <c r="B224" s="371" t="n">
        <v>42370</v>
      </c>
      <c r="C224" s="391" t="n">
        <v>42357</v>
      </c>
      <c r="R224" s="314" t="n">
        <v>25.8500000000001</v>
      </c>
      <c r="W224" s="318" t="n">
        <v>0.130099999999997</v>
      </c>
      <c r="AE224" s="321" t="n">
        <v>0.07339501670429</v>
      </c>
      <c r="BS224" s="314"/>
      <c r="BT224" s="314"/>
      <c r="BZ224" s="314"/>
      <c r="CA224" s="314"/>
      <c r="CF224" s="314"/>
      <c r="CG224" s="314"/>
      <c r="CM224" s="314"/>
      <c r="CN224" s="314"/>
      <c r="CS224" s="314"/>
      <c r="CT224" s="314"/>
      <c r="CX224" s="318"/>
      <c r="CY224" s="314"/>
      <c r="CZ224" s="314"/>
      <c r="DA224" s="314"/>
      <c r="DB224" s="318"/>
      <c r="DC224" s="314"/>
      <c r="DD224" s="314"/>
      <c r="DE224" s="314"/>
      <c r="DH224" s="314"/>
      <c r="DI224" s="314"/>
      <c r="DJ224" s="314"/>
      <c r="DK224" s="314"/>
      <c r="DL224" s="314"/>
      <c r="DM224" s="314"/>
      <c r="DN224" s="314"/>
      <c r="DO224" s="314"/>
      <c r="DP224" s="314"/>
      <c r="DQ224" s="314"/>
      <c r="DR224" s="314"/>
      <c r="DS224" s="314"/>
      <c r="DT224" s="314"/>
      <c r="DU224" s="314"/>
      <c r="DV224" s="314"/>
      <c r="DW224" s="314"/>
    </row>
    <row r="225" customFormat="false" ht="12.75" hidden="false" customHeight="false" outlineLevel="0" collapsed="false">
      <c r="B225" s="371" t="n">
        <v>42401</v>
      </c>
      <c r="C225" s="391" t="n">
        <v>42391</v>
      </c>
      <c r="R225" s="314" t="n">
        <v>25.9000000000001</v>
      </c>
      <c r="W225" s="318" t="n">
        <v>0.129699999999997</v>
      </c>
      <c r="AE225" s="321" t="n">
        <v>0.073391182938213</v>
      </c>
      <c r="BS225" s="314"/>
      <c r="BT225" s="314"/>
      <c r="BZ225" s="314"/>
      <c r="CA225" s="314"/>
      <c r="CF225" s="314"/>
      <c r="CG225" s="314"/>
      <c r="CM225" s="314"/>
      <c r="CN225" s="314"/>
      <c r="CS225" s="314"/>
      <c r="CT225" s="314"/>
      <c r="CX225" s="318"/>
      <c r="CY225" s="314"/>
      <c r="CZ225" s="314"/>
      <c r="DA225" s="314"/>
      <c r="DB225" s="318"/>
      <c r="DC225" s="314"/>
      <c r="DD225" s="314"/>
      <c r="DE225" s="314"/>
      <c r="DH225" s="314"/>
      <c r="DI225" s="314"/>
      <c r="DJ225" s="314"/>
      <c r="DK225" s="314"/>
      <c r="DL225" s="314"/>
      <c r="DM225" s="314"/>
      <c r="DN225" s="314"/>
      <c r="DO225" s="314"/>
      <c r="DP225" s="314"/>
      <c r="DQ225" s="314"/>
      <c r="DR225" s="314"/>
      <c r="DS225" s="314"/>
      <c r="DT225" s="314"/>
      <c r="DU225" s="314"/>
      <c r="DV225" s="314"/>
      <c r="DW225" s="314"/>
    </row>
    <row r="226" customFormat="false" ht="12.75" hidden="false" customHeight="false" outlineLevel="0" collapsed="false">
      <c r="B226" s="371" t="n">
        <v>42430</v>
      </c>
      <c r="C226" s="391" t="n">
        <v>42420</v>
      </c>
      <c r="R226" s="314" t="n">
        <v>25.9500000000001</v>
      </c>
      <c r="W226" s="318" t="n">
        <v>0.129299999999997</v>
      </c>
      <c r="AE226" s="321" t="n">
        <v>0.073387221379939</v>
      </c>
      <c r="BS226" s="314"/>
      <c r="BT226" s="314"/>
      <c r="BZ226" s="314"/>
      <c r="CA226" s="314"/>
      <c r="CF226" s="314"/>
      <c r="CG226" s="314"/>
      <c r="CM226" s="314"/>
      <c r="CN226" s="314"/>
      <c r="CS226" s="314"/>
      <c r="CT226" s="314"/>
      <c r="CX226" s="318"/>
      <c r="CY226" s="314"/>
      <c r="CZ226" s="314"/>
      <c r="DA226" s="314"/>
      <c r="DB226" s="318"/>
      <c r="DC226" s="314"/>
      <c r="DD226" s="314"/>
      <c r="DE226" s="314"/>
      <c r="DH226" s="314"/>
      <c r="DI226" s="314"/>
      <c r="DJ226" s="314"/>
      <c r="DK226" s="314"/>
      <c r="DL226" s="314"/>
      <c r="DM226" s="314"/>
      <c r="DN226" s="314"/>
      <c r="DO226" s="314"/>
      <c r="DP226" s="314"/>
      <c r="DQ226" s="314"/>
      <c r="DR226" s="314"/>
      <c r="DS226" s="314"/>
      <c r="DT226" s="314"/>
      <c r="DU226" s="314"/>
      <c r="DV226" s="314"/>
      <c r="DW226" s="314"/>
    </row>
    <row r="227" customFormat="false" ht="12.75" hidden="false" customHeight="false" outlineLevel="0" collapsed="false">
      <c r="B227" s="371" t="n">
        <v>42461</v>
      </c>
      <c r="C227" s="391" t="n">
        <v>42449</v>
      </c>
      <c r="R227" s="314" t="n">
        <v>26.0000000000001</v>
      </c>
      <c r="W227" s="318" t="n">
        <v>0.128899999999997</v>
      </c>
      <c r="AE227" s="321" t="n">
        <v>0.07338325982167</v>
      </c>
      <c r="BS227" s="314"/>
      <c r="BT227" s="314"/>
      <c r="BZ227" s="314"/>
      <c r="CA227" s="314"/>
      <c r="CF227" s="314"/>
      <c r="CG227" s="314"/>
      <c r="CM227" s="314"/>
      <c r="CN227" s="314"/>
      <c r="CS227" s="314"/>
      <c r="CT227" s="314"/>
      <c r="CX227" s="318"/>
      <c r="CY227" s="314"/>
      <c r="CZ227" s="314"/>
      <c r="DA227" s="314"/>
      <c r="DB227" s="318"/>
      <c r="DC227" s="314"/>
      <c r="DD227" s="314"/>
      <c r="DE227" s="314"/>
      <c r="DH227" s="314"/>
      <c r="DI227" s="314"/>
      <c r="DJ227" s="314"/>
      <c r="DK227" s="314"/>
      <c r="DL227" s="314"/>
      <c r="DM227" s="314"/>
      <c r="DN227" s="314"/>
      <c r="DO227" s="314"/>
      <c r="DP227" s="314"/>
      <c r="DQ227" s="314"/>
      <c r="DR227" s="314"/>
      <c r="DS227" s="314"/>
      <c r="DT227" s="314"/>
      <c r="DU227" s="314"/>
      <c r="DV227" s="314"/>
      <c r="DW227" s="314"/>
    </row>
    <row r="228" customFormat="false" ht="12.75" hidden="false" customHeight="false" outlineLevel="0" collapsed="false">
      <c r="B228" s="371" t="n">
        <v>42491</v>
      </c>
      <c r="C228" s="391" t="n">
        <v>42480</v>
      </c>
      <c r="R228" s="314" t="n">
        <v>26.0500000000001</v>
      </c>
      <c r="W228" s="318" t="n">
        <v>0.128499999999997</v>
      </c>
      <c r="AE228" s="321" t="n">
        <v>0.073379426055607</v>
      </c>
      <c r="BS228" s="314"/>
      <c r="BT228" s="314"/>
      <c r="BZ228" s="314"/>
      <c r="CA228" s="314"/>
      <c r="CF228" s="314"/>
      <c r="CG228" s="314"/>
      <c r="CM228" s="314"/>
      <c r="CN228" s="314"/>
      <c r="CS228" s="314"/>
      <c r="CT228" s="314"/>
      <c r="CX228" s="318"/>
      <c r="CY228" s="314"/>
      <c r="CZ228" s="314"/>
      <c r="DA228" s="314"/>
      <c r="DB228" s="318"/>
      <c r="DC228" s="314"/>
      <c r="DD228" s="314"/>
      <c r="DE228" s="314"/>
      <c r="DH228" s="314"/>
      <c r="DI228" s="314"/>
      <c r="DJ228" s="314"/>
      <c r="DK228" s="314"/>
      <c r="DL228" s="314"/>
      <c r="DM228" s="314"/>
      <c r="DN228" s="314"/>
      <c r="DO228" s="314"/>
      <c r="DP228" s="314"/>
      <c r="DQ228" s="314"/>
      <c r="DR228" s="314"/>
      <c r="DS228" s="314"/>
      <c r="DT228" s="314"/>
      <c r="DU228" s="314"/>
      <c r="DV228" s="314"/>
      <c r="DW228" s="314"/>
    </row>
    <row r="229" customFormat="false" ht="12.75" hidden="false" customHeight="false" outlineLevel="0" collapsed="false">
      <c r="B229" s="371" t="n">
        <v>42522</v>
      </c>
      <c r="C229" s="391" t="n">
        <v>42512</v>
      </c>
      <c r="R229" s="314" t="n">
        <v>26.1000000000001</v>
      </c>
      <c r="W229" s="318" t="n">
        <v>0.128099999999997</v>
      </c>
      <c r="AE229" s="321" t="n">
        <v>0.073375464497348</v>
      </c>
      <c r="BS229" s="314"/>
      <c r="BT229" s="314"/>
      <c r="BZ229" s="314"/>
      <c r="CA229" s="314"/>
      <c r="CF229" s="314"/>
      <c r="CG229" s="314"/>
      <c r="CM229" s="314"/>
      <c r="CN229" s="314"/>
      <c r="CS229" s="314"/>
      <c r="CT229" s="314"/>
      <c r="CX229" s="318"/>
      <c r="CY229" s="314"/>
      <c r="CZ229" s="314"/>
      <c r="DA229" s="314"/>
      <c r="DB229" s="318"/>
      <c r="DC229" s="314"/>
      <c r="DD229" s="314"/>
      <c r="DE229" s="314"/>
      <c r="DH229" s="314"/>
      <c r="DI229" s="314"/>
      <c r="DJ229" s="314"/>
      <c r="DK229" s="314"/>
      <c r="DL229" s="314"/>
      <c r="DM229" s="314"/>
      <c r="DN229" s="314"/>
      <c r="DO229" s="314"/>
      <c r="DP229" s="314"/>
      <c r="DQ229" s="314"/>
      <c r="DR229" s="314"/>
      <c r="DS229" s="314"/>
      <c r="DT229" s="314"/>
      <c r="DU229" s="314"/>
      <c r="DV229" s="314"/>
      <c r="DW229" s="314"/>
    </row>
    <row r="230" customFormat="false" ht="12.75" hidden="false" customHeight="false" outlineLevel="0" collapsed="false">
      <c r="B230" s="371" t="n">
        <v>42552</v>
      </c>
      <c r="C230" s="391" t="n">
        <v>42541</v>
      </c>
      <c r="R230" s="314" t="n">
        <v>26.1500000000001</v>
      </c>
      <c r="W230" s="318" t="n">
        <v>0.127699999999997</v>
      </c>
      <c r="AE230" s="321" t="n">
        <v>0.073371630731296</v>
      </c>
      <c r="BS230" s="314"/>
      <c r="BT230" s="314"/>
      <c r="BZ230" s="314"/>
      <c r="CA230" s="314"/>
      <c r="CF230" s="314"/>
      <c r="CG230" s="314"/>
      <c r="CM230" s="314"/>
      <c r="CN230" s="314"/>
      <c r="CS230" s="314"/>
      <c r="CT230" s="314"/>
      <c r="CX230" s="318"/>
      <c r="CY230" s="314"/>
      <c r="CZ230" s="314"/>
      <c r="DA230" s="314"/>
      <c r="DB230" s="318"/>
      <c r="DC230" s="314"/>
      <c r="DD230" s="314"/>
      <c r="DE230" s="314"/>
      <c r="DH230" s="314"/>
      <c r="DI230" s="314"/>
      <c r="DJ230" s="314"/>
      <c r="DK230" s="314"/>
      <c r="DL230" s="314"/>
      <c r="DM230" s="314"/>
      <c r="DN230" s="314"/>
      <c r="DO230" s="314"/>
      <c r="DP230" s="314"/>
      <c r="DQ230" s="314"/>
      <c r="DR230" s="314"/>
      <c r="DS230" s="314"/>
      <c r="DT230" s="314"/>
      <c r="DU230" s="314"/>
      <c r="DV230" s="314"/>
      <c r="DW230" s="314"/>
    </row>
    <row r="231" customFormat="false" ht="12.75" hidden="false" customHeight="false" outlineLevel="0" collapsed="false">
      <c r="B231" s="371" t="n">
        <v>42583</v>
      </c>
      <c r="C231" s="391" t="n">
        <v>42571</v>
      </c>
      <c r="R231" s="314" t="n">
        <v>26.2000000000001</v>
      </c>
      <c r="W231" s="318" t="n">
        <v>0.127299999999997</v>
      </c>
      <c r="AE231" s="321" t="n">
        <v>0.073367669173047</v>
      </c>
      <c r="BS231" s="314"/>
      <c r="BT231" s="314"/>
      <c r="BZ231" s="314"/>
      <c r="CA231" s="314"/>
      <c r="CF231" s="314"/>
      <c r="CG231" s="314"/>
      <c r="CM231" s="314"/>
      <c r="CN231" s="314"/>
      <c r="CS231" s="314"/>
      <c r="CT231" s="314"/>
      <c r="CX231" s="318"/>
      <c r="CY231" s="314"/>
      <c r="CZ231" s="314"/>
      <c r="DA231" s="314"/>
      <c r="DB231" s="318"/>
      <c r="DC231" s="314"/>
      <c r="DD231" s="314"/>
      <c r="DE231" s="314"/>
      <c r="DH231" s="314"/>
      <c r="DI231" s="314"/>
      <c r="DJ231" s="314"/>
      <c r="DK231" s="314"/>
      <c r="DL231" s="314"/>
      <c r="DM231" s="314"/>
      <c r="DN231" s="314"/>
      <c r="DO231" s="314"/>
      <c r="DP231" s="314"/>
      <c r="DQ231" s="314"/>
      <c r="DR231" s="314"/>
      <c r="DS231" s="314"/>
      <c r="DT231" s="314"/>
      <c r="DU231" s="314"/>
      <c r="DV231" s="314"/>
      <c r="DW231" s="314"/>
    </row>
    <row r="232" customFormat="false" ht="12.75" hidden="false" customHeight="false" outlineLevel="0" collapsed="false">
      <c r="B232" s="371" t="n">
        <v>42614</v>
      </c>
      <c r="C232" s="391" t="n">
        <v>42603</v>
      </c>
      <c r="R232" s="314" t="n">
        <v>26.2500000000001</v>
      </c>
      <c r="W232" s="318" t="n">
        <v>0.126899999999997</v>
      </c>
      <c r="AE232" s="321" t="n">
        <v>0.073363707614803</v>
      </c>
      <c r="BS232" s="314"/>
      <c r="BT232" s="314"/>
      <c r="BZ232" s="314"/>
      <c r="CA232" s="314"/>
      <c r="CF232" s="314"/>
      <c r="CG232" s="314"/>
      <c r="CM232" s="314"/>
      <c r="CN232" s="314"/>
      <c r="CS232" s="314"/>
      <c r="CT232" s="314"/>
      <c r="CX232" s="318"/>
      <c r="CY232" s="314"/>
      <c r="CZ232" s="314"/>
      <c r="DA232" s="314"/>
      <c r="DB232" s="318"/>
      <c r="DC232" s="314"/>
      <c r="DD232" s="314"/>
      <c r="DE232" s="314"/>
      <c r="DH232" s="314"/>
      <c r="DI232" s="314"/>
      <c r="DJ232" s="314"/>
      <c r="DK232" s="314"/>
      <c r="DL232" s="314"/>
      <c r="DM232" s="314"/>
      <c r="DN232" s="314"/>
      <c r="DO232" s="314"/>
      <c r="DP232" s="314"/>
      <c r="DQ232" s="314"/>
      <c r="DR232" s="314"/>
      <c r="DS232" s="314"/>
      <c r="DT232" s="314"/>
      <c r="DU232" s="314"/>
      <c r="DV232" s="314"/>
      <c r="DW232" s="314"/>
    </row>
    <row r="233" customFormat="false" ht="12.75" hidden="false" customHeight="false" outlineLevel="0" collapsed="false">
      <c r="B233" s="371" t="n">
        <v>42644</v>
      </c>
      <c r="C233" s="391" t="n">
        <v>42633</v>
      </c>
      <c r="R233" s="314" t="n">
        <v>26.3000000000001</v>
      </c>
      <c r="W233" s="318" t="n">
        <v>0.126499999999997</v>
      </c>
      <c r="AE233" s="321" t="n">
        <v>0.073360129433168</v>
      </c>
      <c r="BS233" s="314"/>
      <c r="BT233" s="314"/>
      <c r="BZ233" s="314"/>
      <c r="CA233" s="314"/>
      <c r="CF233" s="314"/>
      <c r="CG233" s="314"/>
      <c r="CM233" s="314"/>
      <c r="CN233" s="314"/>
      <c r="CS233" s="314"/>
      <c r="CT233" s="314"/>
      <c r="CX233" s="318"/>
      <c r="CY233" s="314"/>
      <c r="CZ233" s="314"/>
      <c r="DA233" s="314"/>
      <c r="DB233" s="318"/>
      <c r="DC233" s="314"/>
      <c r="DD233" s="314"/>
      <c r="DE233" s="314"/>
      <c r="DH233" s="314"/>
      <c r="DI233" s="314"/>
      <c r="DJ233" s="314"/>
      <c r="DK233" s="314"/>
      <c r="DL233" s="314"/>
      <c r="DM233" s="314"/>
      <c r="DN233" s="314"/>
      <c r="DO233" s="314"/>
      <c r="DP233" s="314"/>
      <c r="DQ233" s="314"/>
      <c r="DR233" s="314"/>
      <c r="DS233" s="314"/>
      <c r="DT233" s="314"/>
      <c r="DU233" s="314"/>
      <c r="DV233" s="314"/>
      <c r="DW233" s="314"/>
    </row>
    <row r="234" customFormat="false" ht="12.75" hidden="false" customHeight="false" outlineLevel="0" collapsed="false">
      <c r="B234" s="371" t="n">
        <v>42675</v>
      </c>
      <c r="C234" s="391" t="n">
        <v>42665</v>
      </c>
      <c r="R234" s="314" t="n">
        <v>26.3500000000001</v>
      </c>
      <c r="W234" s="318" t="n">
        <v>0.126099999999997</v>
      </c>
      <c r="AE234" s="321" t="n">
        <v>0.073356167874934</v>
      </c>
      <c r="BS234" s="314"/>
      <c r="BT234" s="314"/>
      <c r="BZ234" s="314"/>
      <c r="CA234" s="314"/>
      <c r="CF234" s="314"/>
      <c r="CG234" s="314"/>
      <c r="CM234" s="314"/>
      <c r="CN234" s="314"/>
      <c r="CS234" s="314"/>
      <c r="CT234" s="314"/>
      <c r="CX234" s="318"/>
      <c r="CY234" s="314"/>
      <c r="CZ234" s="314"/>
      <c r="DA234" s="314"/>
      <c r="DB234" s="318"/>
      <c r="DC234" s="314"/>
      <c r="DD234" s="314"/>
      <c r="DE234" s="314"/>
      <c r="DH234" s="314"/>
      <c r="DI234" s="314"/>
      <c r="DJ234" s="314"/>
      <c r="DK234" s="314"/>
      <c r="DL234" s="314"/>
      <c r="DM234" s="314"/>
      <c r="DN234" s="314"/>
      <c r="DO234" s="314"/>
      <c r="DP234" s="314"/>
      <c r="DQ234" s="314"/>
      <c r="DR234" s="314"/>
      <c r="DS234" s="314"/>
      <c r="DT234" s="314"/>
      <c r="DU234" s="314"/>
      <c r="DV234" s="314"/>
      <c r="DW234" s="314"/>
    </row>
    <row r="235" customFormat="false" ht="12.75" hidden="false" customHeight="false" outlineLevel="0" collapsed="false">
      <c r="B235" s="371" t="n">
        <v>42705</v>
      </c>
      <c r="C235" s="391" t="n">
        <v>42693</v>
      </c>
      <c r="R235" s="314" t="n">
        <v>26.4000000000001</v>
      </c>
      <c r="W235" s="318" t="n">
        <v>0.125699999999997</v>
      </c>
      <c r="AE235" s="321" t="n">
        <v>0.073352334108906</v>
      </c>
      <c r="BS235" s="314"/>
      <c r="BT235" s="314"/>
      <c r="BZ235" s="314"/>
      <c r="CA235" s="314"/>
      <c r="CF235" s="314"/>
      <c r="CG235" s="314"/>
      <c r="CM235" s="314"/>
      <c r="CN235" s="314"/>
      <c r="CS235" s="314"/>
      <c r="CT235" s="314"/>
      <c r="CX235" s="318"/>
      <c r="CY235" s="314"/>
      <c r="CZ235" s="314"/>
      <c r="DA235" s="314"/>
      <c r="DB235" s="318"/>
      <c r="DC235" s="314"/>
      <c r="DD235" s="314"/>
      <c r="DE235" s="314"/>
      <c r="DH235" s="314"/>
      <c r="DI235" s="314"/>
      <c r="DJ235" s="314"/>
      <c r="DK235" s="314"/>
      <c r="DL235" s="314"/>
      <c r="DM235" s="314"/>
      <c r="DN235" s="314"/>
      <c r="DO235" s="314"/>
      <c r="DP235" s="314"/>
      <c r="DQ235" s="314"/>
      <c r="DR235" s="314"/>
      <c r="DS235" s="314"/>
      <c r="DT235" s="314"/>
      <c r="DU235" s="314"/>
      <c r="DV235" s="314"/>
      <c r="DW235" s="314"/>
    </row>
    <row r="236" customFormat="false" ht="12.75" hidden="false" customHeight="false" outlineLevel="0" collapsed="false">
      <c r="B236" s="371" t="n">
        <v>42736</v>
      </c>
      <c r="C236" s="391" t="n">
        <v>42723</v>
      </c>
      <c r="R236" s="314" t="n">
        <v>26.4500000000001</v>
      </c>
      <c r="W236" s="318" t="n">
        <v>0.125299999999997</v>
      </c>
      <c r="AE236" s="321" t="n">
        <v>0.073348372550682</v>
      </c>
      <c r="BS236" s="314"/>
      <c r="BT236" s="314"/>
      <c r="BZ236" s="314"/>
      <c r="CA236" s="314"/>
      <c r="CF236" s="314"/>
      <c r="CG236" s="314"/>
      <c r="CM236" s="314"/>
      <c r="CN236" s="314"/>
      <c r="CS236" s="314"/>
      <c r="CT236" s="314"/>
      <c r="CX236" s="318"/>
      <c r="CY236" s="314"/>
      <c r="CZ236" s="314"/>
      <c r="DA236" s="314"/>
      <c r="DB236" s="318"/>
      <c r="DC236" s="314"/>
      <c r="DD236" s="314"/>
      <c r="DE236" s="314"/>
      <c r="DH236" s="314"/>
      <c r="DI236" s="314"/>
      <c r="DJ236" s="314"/>
      <c r="DK236" s="314"/>
      <c r="DL236" s="314"/>
      <c r="DM236" s="314"/>
      <c r="DN236" s="314"/>
      <c r="DO236" s="314"/>
      <c r="DP236" s="314"/>
      <c r="DQ236" s="314"/>
      <c r="DR236" s="314"/>
      <c r="DS236" s="314"/>
      <c r="DT236" s="314"/>
      <c r="DU236" s="314"/>
      <c r="DV236" s="314"/>
      <c r="DW236" s="314"/>
    </row>
    <row r="237" customFormat="false" ht="12.75" hidden="false" customHeight="false" outlineLevel="0" collapsed="false">
      <c r="B237" s="371" t="n">
        <v>42767</v>
      </c>
      <c r="C237" s="391" t="n">
        <v>42757</v>
      </c>
      <c r="R237" s="314" t="n">
        <v>26.5000000000001</v>
      </c>
      <c r="W237" s="318" t="n">
        <v>0.124899999999997</v>
      </c>
      <c r="AE237" s="321" t="n">
        <v>0.073344538784665</v>
      </c>
      <c r="BS237" s="314"/>
      <c r="BT237" s="314"/>
      <c r="BZ237" s="314"/>
      <c r="CA237" s="314"/>
      <c r="CF237" s="314"/>
      <c r="CG237" s="314"/>
      <c r="CM237" s="314"/>
      <c r="CN237" s="314"/>
      <c r="CS237" s="314"/>
      <c r="CT237" s="314"/>
      <c r="CX237" s="318"/>
      <c r="CY237" s="314"/>
      <c r="CZ237" s="314"/>
      <c r="DA237" s="314"/>
      <c r="DB237" s="318"/>
      <c r="DC237" s="314"/>
      <c r="DD237" s="314"/>
      <c r="DE237" s="314"/>
      <c r="DH237" s="314"/>
      <c r="DI237" s="314"/>
      <c r="DJ237" s="314"/>
      <c r="DK237" s="314"/>
      <c r="DL237" s="314"/>
      <c r="DM237" s="314"/>
      <c r="DN237" s="314"/>
      <c r="DO237" s="314"/>
      <c r="DP237" s="314"/>
      <c r="DQ237" s="314"/>
      <c r="DR237" s="314"/>
      <c r="DS237" s="314"/>
      <c r="DT237" s="314"/>
      <c r="DU237" s="314"/>
      <c r="DV237" s="314"/>
      <c r="DW237" s="314"/>
    </row>
    <row r="238" customFormat="false" ht="12.75" hidden="false" customHeight="false" outlineLevel="0" collapsed="false">
      <c r="B238" s="371" t="n">
        <v>42795</v>
      </c>
      <c r="C238" s="391" t="n">
        <v>42786</v>
      </c>
      <c r="R238" s="314" t="n">
        <v>26.5500000000001</v>
      </c>
      <c r="W238" s="318" t="n">
        <v>0.124499999999997</v>
      </c>
      <c r="AE238" s="321" t="n">
        <v>0.073340577226451</v>
      </c>
      <c r="BS238" s="314"/>
      <c r="BT238" s="314"/>
      <c r="BZ238" s="314"/>
      <c r="CA238" s="314"/>
      <c r="CF238" s="314"/>
      <c r="CG238" s="314"/>
      <c r="CM238" s="314"/>
      <c r="CN238" s="314"/>
      <c r="CS238" s="314"/>
      <c r="CT238" s="314"/>
      <c r="CX238" s="318"/>
      <c r="CY238" s="314"/>
      <c r="CZ238" s="314"/>
      <c r="DA238" s="314"/>
      <c r="DB238" s="318"/>
      <c r="DC238" s="314"/>
      <c r="DD238" s="314"/>
      <c r="DE238" s="314"/>
      <c r="DH238" s="314"/>
      <c r="DI238" s="314"/>
      <c r="DJ238" s="314"/>
      <c r="DK238" s="314"/>
      <c r="DL238" s="314"/>
      <c r="DM238" s="314"/>
      <c r="DN238" s="314"/>
      <c r="DO238" s="314"/>
      <c r="DP238" s="314"/>
      <c r="DQ238" s="314"/>
      <c r="DR238" s="314"/>
      <c r="DS238" s="314"/>
      <c r="DT238" s="314"/>
      <c r="DU238" s="314"/>
      <c r="DV238" s="314"/>
      <c r="DW238" s="314"/>
    </row>
    <row r="239" customFormat="false" ht="12.75" hidden="false" customHeight="false" outlineLevel="0" collapsed="false">
      <c r="B239" s="371" t="n">
        <v>42826</v>
      </c>
      <c r="C239" s="391" t="n">
        <v>42814</v>
      </c>
      <c r="R239" s="314" t="n">
        <v>26.6000000000001</v>
      </c>
      <c r="W239" s="318" t="n">
        <v>0.124099999999997</v>
      </c>
      <c r="AE239" s="321" t="n">
        <v>0.073336615668242</v>
      </c>
      <c r="BS239" s="314"/>
      <c r="BT239" s="314"/>
      <c r="BZ239" s="314"/>
      <c r="CA239" s="314"/>
      <c r="CF239" s="314"/>
      <c r="CG239" s="314"/>
      <c r="CM239" s="314"/>
      <c r="CN239" s="314"/>
      <c r="CS239" s="314"/>
      <c r="CT239" s="314"/>
      <c r="CX239" s="318"/>
      <c r="CY239" s="314"/>
      <c r="CZ239" s="314"/>
      <c r="DA239" s="314"/>
      <c r="DB239" s="318"/>
      <c r="DC239" s="314"/>
      <c r="DD239" s="314"/>
      <c r="DE239" s="314"/>
      <c r="DH239" s="314"/>
      <c r="DI239" s="314"/>
      <c r="DJ239" s="314"/>
      <c r="DK239" s="314"/>
      <c r="DL239" s="314"/>
      <c r="DM239" s="314"/>
      <c r="DN239" s="314"/>
      <c r="DO239" s="314"/>
      <c r="DP239" s="314"/>
      <c r="DQ239" s="314"/>
      <c r="DR239" s="314"/>
      <c r="DS239" s="314"/>
      <c r="DT239" s="314"/>
      <c r="DU239" s="314"/>
      <c r="DV239" s="314"/>
      <c r="DW239" s="314"/>
    </row>
    <row r="240" customFormat="false" ht="12.75" hidden="false" customHeight="false" outlineLevel="0" collapsed="false">
      <c r="B240" s="371" t="n">
        <v>42856</v>
      </c>
      <c r="C240" s="391" t="n">
        <v>42845</v>
      </c>
      <c r="R240" s="314" t="n">
        <v>26.6500000000001</v>
      </c>
      <c r="W240" s="318" t="n">
        <v>0.123699999999997</v>
      </c>
      <c r="AE240" s="321" t="n">
        <v>0.073332781902239</v>
      </c>
      <c r="BS240" s="314"/>
      <c r="BT240" s="314"/>
      <c r="BZ240" s="314"/>
      <c r="CA240" s="314"/>
      <c r="CF240" s="314"/>
      <c r="CG240" s="314"/>
      <c r="CM240" s="314"/>
      <c r="CN240" s="314"/>
      <c r="CS240" s="314"/>
      <c r="CT240" s="314"/>
      <c r="CX240" s="318"/>
      <c r="CY240" s="314"/>
      <c r="CZ240" s="314"/>
      <c r="DA240" s="314"/>
      <c r="DB240" s="318"/>
      <c r="DC240" s="314"/>
      <c r="DD240" s="314"/>
      <c r="DE240" s="314"/>
      <c r="DH240" s="314"/>
      <c r="DI240" s="314"/>
      <c r="DJ240" s="314"/>
      <c r="DK240" s="314"/>
      <c r="DL240" s="314"/>
      <c r="DM240" s="314"/>
      <c r="DN240" s="314"/>
      <c r="DO240" s="314"/>
      <c r="DP240" s="314"/>
      <c r="DQ240" s="314"/>
      <c r="DR240" s="314"/>
      <c r="DS240" s="314"/>
      <c r="DT240" s="314"/>
      <c r="DU240" s="314"/>
      <c r="DV240" s="314"/>
      <c r="DW240" s="314"/>
    </row>
    <row r="241" customFormat="false" ht="12.75" hidden="false" customHeight="false" outlineLevel="0" collapsed="false">
      <c r="B241" s="371" t="n">
        <v>42887</v>
      </c>
      <c r="C241" s="391" t="n">
        <v>42877</v>
      </c>
      <c r="R241" s="314" t="n">
        <v>26.7000000000001</v>
      </c>
      <c r="W241" s="318" t="n">
        <v>0.123299999999997</v>
      </c>
      <c r="AE241" s="321" t="n">
        <v>0.073328820344041</v>
      </c>
      <c r="BS241" s="314"/>
      <c r="BT241" s="314"/>
      <c r="BZ241" s="314"/>
      <c r="CA241" s="314"/>
      <c r="CF241" s="314"/>
      <c r="CG241" s="314"/>
      <c r="CM241" s="314"/>
      <c r="CN241" s="314"/>
      <c r="CS241" s="314"/>
      <c r="CT241" s="314"/>
      <c r="CX241" s="318"/>
      <c r="CY241" s="314"/>
      <c r="CZ241" s="314"/>
      <c r="DA241" s="314"/>
      <c r="DB241" s="318"/>
      <c r="DC241" s="314"/>
      <c r="DD241" s="314"/>
      <c r="DE241" s="314"/>
      <c r="DH241" s="314"/>
      <c r="DI241" s="314"/>
      <c r="DJ241" s="314"/>
      <c r="DK241" s="314"/>
      <c r="DL241" s="314"/>
      <c r="DM241" s="314"/>
      <c r="DN241" s="314"/>
      <c r="DO241" s="314"/>
      <c r="DP241" s="314"/>
      <c r="DQ241" s="314"/>
      <c r="DR241" s="314"/>
      <c r="DS241" s="314"/>
      <c r="DT241" s="314"/>
      <c r="DU241" s="314"/>
      <c r="DV241" s="314"/>
      <c r="DW241" s="314"/>
    </row>
    <row r="242" customFormat="false" ht="12.75" hidden="false" customHeight="false" outlineLevel="0" collapsed="false">
      <c r="B242" s="371" t="n">
        <v>42917</v>
      </c>
      <c r="C242" s="391" t="n">
        <v>42906</v>
      </c>
      <c r="R242" s="314" t="n">
        <v>26.7500000000001</v>
      </c>
      <c r="W242" s="318" t="n">
        <v>0.122899999999997</v>
      </c>
      <c r="AE242" s="321" t="n">
        <v>0.073324986578048</v>
      </c>
      <c r="BS242" s="314"/>
      <c r="BT242" s="314"/>
      <c r="BZ242" s="314"/>
      <c r="CA242" s="314"/>
      <c r="CF242" s="314"/>
      <c r="CG242" s="314"/>
      <c r="CM242" s="314"/>
      <c r="CN242" s="314"/>
      <c r="CS242" s="314"/>
      <c r="CT242" s="314"/>
      <c r="CX242" s="318"/>
      <c r="CY242" s="314"/>
      <c r="CZ242" s="314"/>
      <c r="DA242" s="314"/>
      <c r="DB242" s="318"/>
      <c r="DC242" s="314"/>
      <c r="DD242" s="314"/>
      <c r="DE242" s="314"/>
      <c r="DH242" s="314"/>
      <c r="DI242" s="314"/>
      <c r="DJ242" s="314"/>
      <c r="DK242" s="314"/>
      <c r="DL242" s="314"/>
      <c r="DM242" s="314"/>
      <c r="DN242" s="314"/>
      <c r="DO242" s="314"/>
      <c r="DP242" s="314"/>
      <c r="DQ242" s="314"/>
      <c r="DR242" s="314"/>
      <c r="DS242" s="314"/>
      <c r="DT242" s="314"/>
      <c r="DU242" s="314"/>
      <c r="DV242" s="314"/>
      <c r="DW242" s="314"/>
    </row>
    <row r="243" customFormat="false" ht="12.75" hidden="false" customHeight="false" outlineLevel="0" collapsed="false">
      <c r="B243" s="371" t="n">
        <v>42948</v>
      </c>
      <c r="C243" s="391" t="n">
        <v>42936</v>
      </c>
      <c r="R243" s="314" t="n">
        <v>26.8000000000001</v>
      </c>
      <c r="W243" s="318" t="n">
        <v>0.122499999999997</v>
      </c>
      <c r="AE243" s="321" t="n">
        <v>0.073321025019859</v>
      </c>
      <c r="BS243" s="314"/>
      <c r="BT243" s="314"/>
      <c r="BZ243" s="314"/>
      <c r="CA243" s="314"/>
      <c r="CF243" s="314"/>
      <c r="CG243" s="314"/>
      <c r="CM243" s="314"/>
      <c r="CN243" s="314"/>
      <c r="CS243" s="314"/>
      <c r="CT243" s="314"/>
      <c r="CX243" s="318"/>
      <c r="CY243" s="314"/>
      <c r="CZ243" s="314"/>
      <c r="DA243" s="314"/>
      <c r="DB243" s="318"/>
      <c r="DC243" s="314"/>
      <c r="DD243" s="314"/>
      <c r="DE243" s="314"/>
      <c r="DH243" s="314"/>
      <c r="DI243" s="314"/>
      <c r="DJ243" s="314"/>
      <c r="DK243" s="314"/>
      <c r="DL243" s="314"/>
      <c r="DM243" s="314"/>
      <c r="DN243" s="314"/>
      <c r="DO243" s="314"/>
      <c r="DP243" s="314"/>
      <c r="DQ243" s="314"/>
      <c r="DR243" s="314"/>
      <c r="DS243" s="314"/>
      <c r="DT243" s="314"/>
      <c r="DU243" s="314"/>
      <c r="DV243" s="314"/>
      <c r="DW243" s="314"/>
    </row>
    <row r="244" customFormat="false" ht="12.75" hidden="false" customHeight="false" outlineLevel="0" collapsed="false">
      <c r="B244" s="371" t="n">
        <v>42979</v>
      </c>
      <c r="C244" s="391" t="n">
        <v>42968</v>
      </c>
      <c r="R244" s="314" t="n">
        <v>26.8500000000001</v>
      </c>
      <c r="W244" s="318" t="n">
        <v>0.122699999999997</v>
      </c>
      <c r="AE244" s="321" t="n">
        <v>0.073317063461677</v>
      </c>
      <c r="BS244" s="314"/>
      <c r="BT244" s="314"/>
      <c r="BZ244" s="314"/>
      <c r="CA244" s="314"/>
      <c r="CF244" s="314"/>
      <c r="CG244" s="314"/>
      <c r="CM244" s="314"/>
      <c r="CN244" s="314"/>
      <c r="CS244" s="314"/>
      <c r="CT244" s="314"/>
      <c r="CX244" s="318"/>
      <c r="CY244" s="314"/>
      <c r="CZ244" s="314"/>
      <c r="DA244" s="314"/>
      <c r="DB244" s="318"/>
      <c r="DC244" s="314"/>
      <c r="DD244" s="314"/>
      <c r="DE244" s="314"/>
      <c r="DH244" s="314"/>
      <c r="DI244" s="314"/>
      <c r="DJ244" s="314"/>
      <c r="DK244" s="314"/>
      <c r="DL244" s="314"/>
      <c r="DM244" s="314"/>
      <c r="DN244" s="314"/>
      <c r="DO244" s="314"/>
      <c r="DP244" s="314"/>
      <c r="DQ244" s="314"/>
      <c r="DR244" s="314"/>
      <c r="DS244" s="314"/>
      <c r="DT244" s="314"/>
      <c r="DU244" s="314"/>
      <c r="DV244" s="314"/>
      <c r="DW244" s="314"/>
    </row>
    <row r="245" customFormat="false" ht="12.75" hidden="false" customHeight="false" outlineLevel="0" collapsed="false">
      <c r="B245" s="371" t="n">
        <v>43009</v>
      </c>
      <c r="C245" s="391" t="n">
        <v>42998</v>
      </c>
      <c r="R245" s="314"/>
      <c r="W245" s="318"/>
      <c r="AE245" s="321" t="n">
        <v>0.073313357487898</v>
      </c>
      <c r="BS245" s="314"/>
      <c r="BT245" s="314"/>
      <c r="BZ245" s="314"/>
      <c r="CA245" s="314"/>
      <c r="CF245" s="314"/>
      <c r="CG245" s="314"/>
      <c r="CM245" s="314"/>
      <c r="CN245" s="314"/>
      <c r="CS245" s="314"/>
      <c r="CT245" s="314"/>
      <c r="CX245" s="318"/>
      <c r="CY245" s="314"/>
      <c r="CZ245" s="314"/>
      <c r="DA245" s="314"/>
      <c r="DB245" s="318"/>
      <c r="DC245" s="314"/>
      <c r="DD245" s="314"/>
      <c r="DE245" s="314"/>
      <c r="DH245" s="314"/>
      <c r="DI245" s="314"/>
      <c r="DJ245" s="314"/>
      <c r="DK245" s="314"/>
      <c r="DL245" s="314"/>
      <c r="DM245" s="314"/>
      <c r="DN245" s="314"/>
      <c r="DO245" s="314"/>
      <c r="DP245" s="314"/>
      <c r="DQ245" s="314"/>
      <c r="DR245" s="314"/>
      <c r="DS245" s="314"/>
      <c r="DT245" s="314"/>
      <c r="DU245" s="314"/>
      <c r="DV245" s="314"/>
      <c r="DW245" s="314"/>
    </row>
    <row r="246" customFormat="false" ht="12.75" hidden="false" customHeight="false" outlineLevel="0" collapsed="false">
      <c r="B246" s="371" t="n">
        <v>43040</v>
      </c>
      <c r="C246" s="391" t="n">
        <v>43030</v>
      </c>
      <c r="R246" s="314"/>
      <c r="W246" s="318"/>
      <c r="AE246" s="321" t="n">
        <v>0.073307430571668</v>
      </c>
      <c r="BS246" s="314"/>
      <c r="BT246" s="314"/>
      <c r="BZ246" s="314"/>
      <c r="CA246" s="314"/>
      <c r="CF246" s="314"/>
      <c r="CG246" s="314"/>
      <c r="CM246" s="314"/>
      <c r="CN246" s="314"/>
      <c r="CS246" s="314"/>
      <c r="CT246" s="314"/>
      <c r="CX246" s="318"/>
      <c r="CY246" s="314"/>
      <c r="CZ246" s="314"/>
      <c r="DA246" s="314"/>
      <c r="DB246" s="318"/>
      <c r="DC246" s="314"/>
      <c r="DD246" s="314"/>
      <c r="DE246" s="314"/>
      <c r="DH246" s="314"/>
      <c r="DI246" s="314"/>
      <c r="DJ246" s="314"/>
      <c r="DK246" s="314"/>
      <c r="DL246" s="314"/>
      <c r="DM246" s="314"/>
      <c r="DN246" s="314"/>
      <c r="DO246" s="314"/>
      <c r="DP246" s="314"/>
      <c r="DQ246" s="314"/>
      <c r="DR246" s="314"/>
      <c r="DS246" s="314"/>
      <c r="DT246" s="314"/>
      <c r="DU246" s="314"/>
      <c r="DV246" s="314"/>
      <c r="DW246" s="314"/>
    </row>
    <row r="247" customFormat="false" ht="12.75" hidden="false" customHeight="false" outlineLevel="0" collapsed="false">
      <c r="B247" s="371" t="n">
        <v>43070</v>
      </c>
      <c r="C247" s="391" t="n">
        <v>43058</v>
      </c>
      <c r="R247" s="314"/>
      <c r="W247" s="318"/>
      <c r="AE247" s="321" t="n">
        <v>0.073298683410572</v>
      </c>
      <c r="BS247" s="314"/>
      <c r="BT247" s="314"/>
      <c r="BZ247" s="314"/>
      <c r="CA247" s="314"/>
      <c r="CF247" s="314"/>
      <c r="CG247" s="314"/>
      <c r="CM247" s="314"/>
      <c r="CN247" s="314"/>
      <c r="CS247" s="314"/>
      <c r="CT247" s="314"/>
      <c r="CX247" s="318"/>
      <c r="CY247" s="314"/>
      <c r="CZ247" s="314"/>
      <c r="DA247" s="314"/>
      <c r="DB247" s="318"/>
      <c r="DC247" s="314"/>
      <c r="DD247" s="314"/>
      <c r="DE247" s="314"/>
      <c r="DH247" s="314"/>
      <c r="DI247" s="314"/>
      <c r="DJ247" s="314"/>
      <c r="DK247" s="314"/>
      <c r="DL247" s="314"/>
      <c r="DM247" s="314"/>
      <c r="DN247" s="314"/>
      <c r="DO247" s="314"/>
      <c r="DP247" s="314"/>
      <c r="DQ247" s="314"/>
      <c r="DR247" s="314"/>
      <c r="DS247" s="314"/>
      <c r="DT247" s="314"/>
      <c r="DU247" s="314"/>
      <c r="DV247" s="314"/>
      <c r="DW247" s="314"/>
    </row>
    <row r="248" customFormat="false" ht="12.75" hidden="false" customHeight="false" outlineLevel="0" collapsed="false">
      <c r="B248" s="371" t="n">
        <v>43101</v>
      </c>
      <c r="C248" s="391" t="n">
        <v>43088</v>
      </c>
      <c r="R248" s="314"/>
      <c r="W248" s="318"/>
      <c r="AE248" s="321" t="n">
        <v>0.073289644677466</v>
      </c>
      <c r="BS248" s="314"/>
      <c r="BT248" s="314"/>
      <c r="BZ248" s="314"/>
      <c r="CA248" s="314"/>
      <c r="CF248" s="314"/>
      <c r="CG248" s="314"/>
      <c r="CM248" s="314"/>
      <c r="CN248" s="314"/>
      <c r="CS248" s="314"/>
      <c r="CT248" s="314"/>
      <c r="CX248" s="318"/>
      <c r="CY248" s="314"/>
      <c r="CZ248" s="314"/>
      <c r="DA248" s="314"/>
      <c r="DB248" s="318"/>
      <c r="DC248" s="314"/>
      <c r="DD248" s="314"/>
      <c r="DE248" s="314"/>
      <c r="DH248" s="314"/>
      <c r="DI248" s="314"/>
      <c r="DJ248" s="314"/>
      <c r="DK248" s="314"/>
      <c r="DL248" s="314"/>
      <c r="DM248" s="314"/>
      <c r="DN248" s="314"/>
      <c r="DO248" s="314"/>
      <c r="DP248" s="314"/>
      <c r="DQ248" s="314"/>
      <c r="DR248" s="314"/>
      <c r="DS248" s="314"/>
      <c r="DT248" s="314"/>
      <c r="DU248" s="314"/>
      <c r="DV248" s="314"/>
      <c r="DW248" s="314"/>
    </row>
    <row r="249" customFormat="false" ht="12.75" hidden="false" customHeight="false" outlineLevel="0" collapsed="false">
      <c r="B249" s="371" t="n">
        <v>43132</v>
      </c>
      <c r="C249" s="391" t="n">
        <v>43122</v>
      </c>
      <c r="R249" s="314"/>
      <c r="W249" s="318"/>
      <c r="AE249" s="321" t="n">
        <v>0.073280897516422</v>
      </c>
      <c r="BS249" s="314"/>
      <c r="BT249" s="314"/>
      <c r="BZ249" s="314"/>
      <c r="CA249" s="314"/>
      <c r="CF249" s="314"/>
      <c r="CG249" s="314"/>
      <c r="CM249" s="314"/>
      <c r="CN249" s="314"/>
      <c r="CS249" s="314"/>
      <c r="CT249" s="314"/>
      <c r="CX249" s="318"/>
      <c r="CY249" s="314"/>
      <c r="CZ249" s="314"/>
      <c r="DA249" s="314"/>
      <c r="DB249" s="318"/>
      <c r="DC249" s="314"/>
      <c r="DD249" s="314"/>
      <c r="DE249" s="314"/>
      <c r="DH249" s="314"/>
      <c r="DI249" s="314"/>
      <c r="DJ249" s="314"/>
      <c r="DK249" s="314"/>
      <c r="DL249" s="314"/>
      <c r="DM249" s="314"/>
      <c r="DN249" s="314"/>
      <c r="DO249" s="314"/>
      <c r="DP249" s="314"/>
      <c r="DQ249" s="314"/>
      <c r="DR249" s="314"/>
      <c r="DS249" s="314"/>
      <c r="DT249" s="314"/>
      <c r="DU249" s="314"/>
      <c r="DV249" s="314"/>
      <c r="DW249" s="314"/>
    </row>
    <row r="250" customFormat="false" ht="12.75" hidden="false" customHeight="false" outlineLevel="0" collapsed="false">
      <c r="B250" s="371" t="n">
        <v>43160</v>
      </c>
      <c r="C250" s="391" t="n">
        <v>43151</v>
      </c>
      <c r="R250" s="314"/>
      <c r="W250" s="318"/>
      <c r="AE250" s="321" t="n">
        <v>0.073271858783369</v>
      </c>
      <c r="BS250" s="314"/>
      <c r="BT250" s="314"/>
      <c r="BZ250" s="314"/>
      <c r="CA250" s="314"/>
      <c r="CF250" s="314"/>
      <c r="CG250" s="314"/>
      <c r="CM250" s="314"/>
      <c r="CN250" s="314"/>
      <c r="CS250" s="314"/>
      <c r="CT250" s="314"/>
      <c r="CX250" s="318"/>
      <c r="CY250" s="314"/>
      <c r="CZ250" s="314"/>
      <c r="DA250" s="314"/>
      <c r="DB250" s="318"/>
      <c r="DC250" s="314"/>
      <c r="DD250" s="314"/>
      <c r="DE250" s="314"/>
      <c r="DH250" s="314"/>
      <c r="DI250" s="314"/>
      <c r="DJ250" s="314"/>
      <c r="DK250" s="314"/>
      <c r="DL250" s="314"/>
      <c r="DM250" s="314"/>
      <c r="DN250" s="314"/>
      <c r="DO250" s="314"/>
      <c r="DP250" s="314"/>
      <c r="DQ250" s="314"/>
      <c r="DR250" s="314"/>
      <c r="DS250" s="314"/>
      <c r="DT250" s="314"/>
      <c r="DU250" s="314"/>
      <c r="DV250" s="314"/>
      <c r="DW250" s="314"/>
    </row>
    <row r="251" customFormat="false" ht="12.75" hidden="false" customHeight="false" outlineLevel="0" collapsed="false">
      <c r="B251" s="371" t="n">
        <v>43191</v>
      </c>
      <c r="C251" s="391" t="n">
        <v>43179</v>
      </c>
      <c r="R251" s="314"/>
      <c r="W251" s="318"/>
      <c r="AE251" s="321" t="n">
        <v>0.073262820050343</v>
      </c>
      <c r="BS251" s="314"/>
      <c r="BT251" s="314"/>
      <c r="BZ251" s="314"/>
      <c r="CA251" s="314"/>
      <c r="CF251" s="314"/>
      <c r="CG251" s="314"/>
      <c r="CM251" s="314"/>
      <c r="CN251" s="314"/>
      <c r="CS251" s="314"/>
      <c r="CT251" s="314"/>
      <c r="CX251" s="318"/>
      <c r="CY251" s="314"/>
      <c r="CZ251" s="314"/>
      <c r="DA251" s="314"/>
      <c r="DB251" s="318"/>
      <c r="DC251" s="314"/>
      <c r="DD251" s="314"/>
      <c r="DE251" s="314"/>
      <c r="DH251" s="314"/>
      <c r="DI251" s="314"/>
      <c r="DJ251" s="314"/>
      <c r="DK251" s="314"/>
      <c r="DL251" s="314"/>
      <c r="DM251" s="314"/>
      <c r="DN251" s="314"/>
      <c r="DO251" s="314"/>
      <c r="DP251" s="314"/>
      <c r="DQ251" s="314"/>
      <c r="DR251" s="314"/>
      <c r="DS251" s="314"/>
      <c r="DT251" s="314"/>
      <c r="DU251" s="314"/>
      <c r="DV251" s="314"/>
      <c r="DW251" s="314"/>
    </row>
    <row r="252" customFormat="false" ht="12.75" hidden="false" customHeight="false" outlineLevel="0" collapsed="false">
      <c r="B252" s="371" t="n">
        <v>43221</v>
      </c>
      <c r="C252" s="391" t="n">
        <v>43210</v>
      </c>
      <c r="R252" s="314"/>
      <c r="W252" s="318"/>
      <c r="AE252" s="321" t="n">
        <v>0.073254072889376</v>
      </c>
      <c r="BS252" s="314"/>
      <c r="BT252" s="314"/>
      <c r="BZ252" s="314"/>
      <c r="CA252" s="314"/>
      <c r="CF252" s="314"/>
      <c r="CG252" s="314"/>
      <c r="CM252" s="314"/>
      <c r="CN252" s="314"/>
      <c r="CS252" s="314"/>
      <c r="CT252" s="314"/>
      <c r="CX252" s="318"/>
      <c r="CY252" s="314"/>
      <c r="CZ252" s="314"/>
      <c r="DA252" s="314"/>
      <c r="DB252" s="318"/>
      <c r="DC252" s="314"/>
      <c r="DD252" s="314"/>
      <c r="DE252" s="314"/>
      <c r="DH252" s="314"/>
      <c r="DI252" s="314"/>
      <c r="DJ252" s="314"/>
      <c r="DK252" s="314"/>
      <c r="DL252" s="314"/>
      <c r="DM252" s="314"/>
      <c r="DN252" s="314"/>
      <c r="DO252" s="314"/>
      <c r="DP252" s="314"/>
      <c r="DQ252" s="314"/>
      <c r="DR252" s="314"/>
      <c r="DS252" s="314"/>
      <c r="DT252" s="314"/>
      <c r="DU252" s="314"/>
      <c r="DV252" s="314"/>
      <c r="DW252" s="314"/>
    </row>
    <row r="253" customFormat="false" ht="12.75" hidden="false" customHeight="false" outlineLevel="0" collapsed="false">
      <c r="B253" s="371" t="n">
        <v>43252</v>
      </c>
      <c r="C253" s="391" t="n">
        <v>43242</v>
      </c>
      <c r="R253" s="314"/>
      <c r="W253" s="318"/>
      <c r="AE253" s="321" t="n">
        <v>0.073245034156403</v>
      </c>
      <c r="BS253" s="314"/>
      <c r="BT253" s="314"/>
      <c r="BZ253" s="314"/>
      <c r="CA253" s="314"/>
      <c r="CF253" s="314"/>
      <c r="CG253" s="314"/>
      <c r="CM253" s="314"/>
      <c r="CN253" s="314"/>
      <c r="CS253" s="314"/>
      <c r="CT253" s="314"/>
      <c r="CX253" s="318"/>
      <c r="CY253" s="314"/>
      <c r="CZ253" s="314"/>
      <c r="DA253" s="314"/>
      <c r="DB253" s="318"/>
      <c r="DC253" s="314"/>
      <c r="DD253" s="314"/>
      <c r="DE253" s="314"/>
      <c r="DH253" s="314"/>
      <c r="DI253" s="314"/>
      <c r="DJ253" s="314"/>
      <c r="DK253" s="314"/>
      <c r="DL253" s="314"/>
      <c r="DM253" s="314"/>
      <c r="DN253" s="314"/>
      <c r="DO253" s="314"/>
      <c r="DP253" s="314"/>
      <c r="DQ253" s="314"/>
      <c r="DR253" s="314"/>
      <c r="DS253" s="314"/>
      <c r="DT253" s="314"/>
      <c r="DU253" s="314"/>
      <c r="DV253" s="314"/>
      <c r="DW253" s="314"/>
    </row>
    <row r="254" customFormat="false" ht="12.75" hidden="false" customHeight="false" outlineLevel="0" collapsed="false">
      <c r="B254" s="371" t="n">
        <v>43282</v>
      </c>
      <c r="C254" s="391" t="n">
        <v>43271</v>
      </c>
      <c r="R254" s="314"/>
      <c r="W254" s="318"/>
      <c r="AE254" s="321" t="n">
        <v>0.073236286995488</v>
      </c>
      <c r="BS254" s="314"/>
      <c r="BT254" s="314"/>
      <c r="BZ254" s="314"/>
      <c r="CA254" s="314"/>
      <c r="CF254" s="314"/>
      <c r="CG254" s="314"/>
      <c r="CM254" s="314"/>
      <c r="CN254" s="314"/>
      <c r="CS254" s="314"/>
      <c r="CT254" s="314"/>
      <c r="CX254" s="318"/>
      <c r="CY254" s="314"/>
      <c r="CZ254" s="314"/>
      <c r="DA254" s="314"/>
      <c r="DB254" s="318"/>
      <c r="DC254" s="314"/>
      <c r="DD254" s="314"/>
      <c r="DE254" s="314"/>
      <c r="DH254" s="314"/>
      <c r="DI254" s="314"/>
      <c r="DJ254" s="314"/>
      <c r="DK254" s="314"/>
      <c r="DL254" s="314"/>
      <c r="DM254" s="314"/>
      <c r="DN254" s="314"/>
      <c r="DO254" s="314"/>
      <c r="DP254" s="314"/>
      <c r="DQ254" s="314"/>
      <c r="DR254" s="314"/>
      <c r="DS254" s="314"/>
      <c r="DT254" s="314"/>
      <c r="DU254" s="314"/>
      <c r="DV254" s="314"/>
      <c r="DW254" s="314"/>
    </row>
    <row r="255" customFormat="false" ht="12.75" hidden="false" customHeight="false" outlineLevel="0" collapsed="false">
      <c r="B255" s="371" t="n">
        <v>43313</v>
      </c>
      <c r="C255" s="391" t="n">
        <v>43301</v>
      </c>
      <c r="R255" s="314"/>
      <c r="W255" s="318"/>
      <c r="AE255" s="321" t="n">
        <v>0.073227248262568</v>
      </c>
      <c r="BS255" s="314"/>
      <c r="BT255" s="314"/>
      <c r="BZ255" s="314"/>
      <c r="CA255" s="314"/>
      <c r="CF255" s="314"/>
      <c r="CG255" s="314"/>
      <c r="CM255" s="314"/>
      <c r="CN255" s="314"/>
      <c r="CS255" s="314"/>
      <c r="CT255" s="314"/>
      <c r="CX255" s="318"/>
      <c r="CY255" s="314"/>
      <c r="CZ255" s="314"/>
      <c r="DA255" s="314"/>
      <c r="DB255" s="318"/>
      <c r="DC255" s="314"/>
      <c r="DD255" s="314"/>
      <c r="DE255" s="314"/>
      <c r="DH255" s="314"/>
      <c r="DI255" s="314"/>
      <c r="DJ255" s="314"/>
      <c r="DK255" s="314"/>
      <c r="DL255" s="314"/>
      <c r="DM255" s="314"/>
      <c r="DN255" s="314"/>
      <c r="DO255" s="314"/>
      <c r="DP255" s="314"/>
      <c r="DQ255" s="314"/>
      <c r="DR255" s="314"/>
      <c r="DS255" s="314"/>
      <c r="DT255" s="314"/>
      <c r="DU255" s="314"/>
      <c r="DV255" s="314"/>
      <c r="DW255" s="314"/>
    </row>
    <row r="256" customFormat="false" ht="12.75" hidden="false" customHeight="false" outlineLevel="0" collapsed="false">
      <c r="B256" s="371" t="n">
        <v>43344</v>
      </c>
      <c r="C256" s="391" t="n">
        <v>43333</v>
      </c>
      <c r="R256" s="314"/>
      <c r="W256" s="318"/>
      <c r="AE256" s="321" t="n">
        <v>0.073218209529676</v>
      </c>
      <c r="BS256" s="314"/>
      <c r="BT256" s="314"/>
      <c r="BZ256" s="314"/>
      <c r="CA256" s="314"/>
      <c r="CF256" s="314"/>
      <c r="CG256" s="314"/>
      <c r="CM256" s="314"/>
      <c r="CN256" s="314"/>
      <c r="CS256" s="314"/>
      <c r="CT256" s="314"/>
      <c r="CX256" s="318"/>
      <c r="CY256" s="314"/>
      <c r="CZ256" s="314"/>
      <c r="DA256" s="314"/>
      <c r="DB256" s="318"/>
      <c r="DC256" s="314"/>
      <c r="DD256" s="314"/>
      <c r="DE256" s="314"/>
      <c r="DH256" s="314"/>
      <c r="DI256" s="314"/>
      <c r="DJ256" s="314"/>
      <c r="DK256" s="314"/>
      <c r="DL256" s="314"/>
      <c r="DM256" s="314"/>
      <c r="DN256" s="314"/>
      <c r="DO256" s="314"/>
      <c r="DP256" s="314"/>
      <c r="DQ256" s="314"/>
      <c r="DR256" s="314"/>
      <c r="DS256" s="314"/>
      <c r="DT256" s="314"/>
      <c r="DU256" s="314"/>
      <c r="DV256" s="314"/>
      <c r="DW256" s="314"/>
    </row>
    <row r="257" customFormat="false" ht="12.75" hidden="false" customHeight="false" outlineLevel="0" collapsed="false">
      <c r="B257" s="371" t="n">
        <v>43374</v>
      </c>
      <c r="C257" s="391" t="n">
        <v>43363</v>
      </c>
      <c r="R257" s="314"/>
      <c r="W257" s="318"/>
      <c r="AE257" s="321" t="n">
        <v>0.073210045512892</v>
      </c>
      <c r="BS257" s="314"/>
      <c r="BT257" s="314"/>
      <c r="BZ257" s="314"/>
      <c r="CA257" s="314"/>
      <c r="CF257" s="314"/>
      <c r="CG257" s="314"/>
      <c r="CM257" s="314"/>
      <c r="CN257" s="314"/>
      <c r="CS257" s="314"/>
      <c r="CT257" s="314"/>
      <c r="CX257" s="318"/>
      <c r="CY257" s="314"/>
      <c r="CZ257" s="314"/>
      <c r="DA257" s="314"/>
      <c r="DB257" s="318"/>
      <c r="DC257" s="314"/>
      <c r="DD257" s="314"/>
      <c r="DE257" s="314"/>
      <c r="DH257" s="314"/>
      <c r="DI257" s="314"/>
      <c r="DJ257" s="314"/>
      <c r="DK257" s="314"/>
      <c r="DL257" s="314"/>
      <c r="DM257" s="314"/>
      <c r="DN257" s="314"/>
      <c r="DO257" s="314"/>
      <c r="DP257" s="314"/>
      <c r="DQ257" s="314"/>
      <c r="DR257" s="314"/>
      <c r="DS257" s="314"/>
      <c r="DT257" s="314"/>
      <c r="DU257" s="314"/>
      <c r="DV257" s="314"/>
      <c r="DW257" s="314"/>
    </row>
    <row r="258" customFormat="false" ht="12.75" hidden="false" customHeight="false" outlineLevel="0" collapsed="false">
      <c r="B258" s="371" t="n">
        <v>43405</v>
      </c>
      <c r="C258" s="391" t="n">
        <v>43395</v>
      </c>
      <c r="R258" s="314"/>
      <c r="W258" s="318"/>
      <c r="AE258" s="321" t="n">
        <v>0.073201006780051</v>
      </c>
      <c r="BS258" s="314"/>
      <c r="BT258" s="314"/>
      <c r="BZ258" s="314"/>
      <c r="CA258" s="314"/>
      <c r="CF258" s="314"/>
      <c r="CG258" s="314"/>
      <c r="CM258" s="314"/>
      <c r="CN258" s="314"/>
      <c r="CS258" s="314"/>
      <c r="CT258" s="314"/>
      <c r="CX258" s="318"/>
      <c r="CY258" s="314"/>
      <c r="CZ258" s="314"/>
      <c r="DA258" s="314"/>
      <c r="DB258" s="318"/>
      <c r="DC258" s="314"/>
      <c r="DD258" s="314"/>
      <c r="DE258" s="314"/>
      <c r="DH258" s="314"/>
      <c r="DI258" s="314"/>
      <c r="DJ258" s="314"/>
      <c r="DK258" s="314"/>
      <c r="DL258" s="314"/>
      <c r="DM258" s="314"/>
      <c r="DN258" s="314"/>
      <c r="DO258" s="314"/>
      <c r="DP258" s="314"/>
      <c r="DQ258" s="314"/>
      <c r="DR258" s="314"/>
      <c r="DS258" s="314"/>
      <c r="DT258" s="314"/>
      <c r="DU258" s="314"/>
      <c r="DV258" s="314"/>
      <c r="DW258" s="314"/>
    </row>
    <row r="259" customFormat="false" ht="12.75" hidden="false" customHeight="false" outlineLevel="0" collapsed="false">
      <c r="B259" s="371" t="n">
        <v>43435</v>
      </c>
      <c r="C259" s="391" t="n">
        <v>43423</v>
      </c>
      <c r="R259" s="314"/>
      <c r="W259" s="318"/>
      <c r="AE259" s="321" t="n">
        <v>0.073192259619263</v>
      </c>
      <c r="BS259" s="314"/>
      <c r="BT259" s="314"/>
      <c r="BZ259" s="314"/>
      <c r="CA259" s="314"/>
      <c r="CF259" s="314"/>
      <c r="CG259" s="314"/>
      <c r="CM259" s="314"/>
      <c r="CN259" s="314"/>
      <c r="CS259" s="314"/>
      <c r="CT259" s="314"/>
      <c r="CX259" s="318"/>
      <c r="CY259" s="314"/>
      <c r="CZ259" s="314"/>
      <c r="DA259" s="314"/>
      <c r="DB259" s="318"/>
      <c r="DC259" s="314"/>
      <c r="DD259" s="314"/>
      <c r="DE259" s="314"/>
      <c r="DH259" s="314"/>
      <c r="DI259" s="314"/>
      <c r="DJ259" s="314"/>
      <c r="DK259" s="314"/>
      <c r="DL259" s="314"/>
      <c r="DM259" s="314"/>
      <c r="DN259" s="314"/>
      <c r="DO259" s="314"/>
      <c r="DP259" s="314"/>
      <c r="DQ259" s="314"/>
      <c r="DR259" s="314"/>
      <c r="DS259" s="314"/>
      <c r="DT259" s="314"/>
      <c r="DU259" s="314"/>
      <c r="DV259" s="314"/>
      <c r="DW259" s="314"/>
    </row>
    <row r="260" customFormat="false" ht="12.75" hidden="false" customHeight="false" outlineLevel="0" collapsed="false">
      <c r="B260" s="371" t="n">
        <v>43466</v>
      </c>
      <c r="C260" s="391" t="n">
        <v>43453</v>
      </c>
      <c r="R260" s="314"/>
      <c r="W260" s="318"/>
      <c r="AE260" s="321" t="n">
        <v>0.073183220886474</v>
      </c>
      <c r="BS260" s="314"/>
      <c r="BT260" s="314"/>
      <c r="BZ260" s="314"/>
      <c r="CA260" s="314"/>
      <c r="CF260" s="314"/>
      <c r="CG260" s="314"/>
      <c r="CM260" s="314"/>
      <c r="CN260" s="314"/>
      <c r="CS260" s="314"/>
      <c r="CT260" s="314"/>
      <c r="CX260" s="318"/>
      <c r="CY260" s="314"/>
      <c r="CZ260" s="314"/>
      <c r="DA260" s="314"/>
      <c r="DB260" s="318"/>
      <c r="DC260" s="314"/>
      <c r="DD260" s="314"/>
      <c r="DE260" s="314"/>
      <c r="DH260" s="314"/>
      <c r="DI260" s="314"/>
      <c r="DJ260" s="314"/>
      <c r="DK260" s="314"/>
      <c r="DL260" s="314"/>
      <c r="DM260" s="314"/>
      <c r="DN260" s="314"/>
      <c r="DO260" s="314"/>
      <c r="DP260" s="314"/>
      <c r="DQ260" s="314"/>
      <c r="DR260" s="314"/>
      <c r="DS260" s="314"/>
      <c r="DT260" s="314"/>
      <c r="DU260" s="314"/>
      <c r="DV260" s="314"/>
      <c r="DW260" s="314"/>
    </row>
    <row r="261" customFormat="false" ht="12.75" hidden="false" customHeight="false" outlineLevel="0" collapsed="false">
      <c r="B261" s="371" t="n">
        <v>43497</v>
      </c>
      <c r="C261" s="391" t="n">
        <v>43487</v>
      </c>
      <c r="R261" s="314"/>
      <c r="W261" s="318"/>
      <c r="AE261" s="321" t="n">
        <v>0.073174473725737</v>
      </c>
      <c r="BS261" s="314"/>
      <c r="BT261" s="314"/>
      <c r="BZ261" s="314"/>
      <c r="CA261" s="314"/>
      <c r="CF261" s="314"/>
      <c r="CG261" s="314"/>
      <c r="CM261" s="314"/>
      <c r="CN261" s="314"/>
      <c r="CS261" s="314"/>
      <c r="CT261" s="314"/>
      <c r="CX261" s="318"/>
      <c r="CY261" s="314"/>
      <c r="CZ261" s="314"/>
      <c r="DA261" s="314"/>
      <c r="DB261" s="318"/>
      <c r="DC261" s="314"/>
      <c r="DD261" s="314"/>
      <c r="DE261" s="314"/>
      <c r="DH261" s="314"/>
      <c r="DI261" s="314"/>
      <c r="DJ261" s="314"/>
      <c r="DK261" s="314"/>
      <c r="DL261" s="314"/>
      <c r="DM261" s="314"/>
      <c r="DN261" s="314"/>
      <c r="DO261" s="314"/>
      <c r="DP261" s="314"/>
      <c r="DQ261" s="314"/>
      <c r="DR261" s="314"/>
      <c r="DS261" s="314"/>
      <c r="DT261" s="314"/>
      <c r="DU261" s="314"/>
      <c r="DV261" s="314"/>
      <c r="DW261" s="314"/>
    </row>
    <row r="262" customFormat="false" ht="12.75" hidden="false" customHeight="false" outlineLevel="0" collapsed="false">
      <c r="B262" s="371" t="n">
        <v>43525</v>
      </c>
      <c r="C262" s="391" t="n">
        <v>43516</v>
      </c>
      <c r="R262" s="314"/>
      <c r="W262" s="318"/>
      <c r="AE262" s="321" t="n">
        <v>0.073165434993002</v>
      </c>
      <c r="BS262" s="314"/>
      <c r="BT262" s="314"/>
      <c r="BZ262" s="314"/>
      <c r="CA262" s="314"/>
      <c r="CF262" s="314"/>
      <c r="CG262" s="314"/>
      <c r="CM262" s="314"/>
      <c r="CN262" s="314"/>
      <c r="CS262" s="314"/>
      <c r="CT262" s="314"/>
      <c r="CX262" s="318"/>
      <c r="CY262" s="314"/>
      <c r="CZ262" s="314"/>
      <c r="DA262" s="314"/>
      <c r="DB262" s="318"/>
      <c r="DC262" s="314"/>
      <c r="DD262" s="314"/>
      <c r="DE262" s="314"/>
      <c r="DH262" s="314"/>
      <c r="DI262" s="314"/>
      <c r="DJ262" s="314"/>
      <c r="DK262" s="314"/>
      <c r="DL262" s="314"/>
      <c r="DM262" s="314"/>
      <c r="DN262" s="314"/>
      <c r="DO262" s="314"/>
      <c r="DP262" s="314"/>
      <c r="DQ262" s="314"/>
      <c r="DR262" s="314"/>
      <c r="DS262" s="314"/>
      <c r="DT262" s="314"/>
      <c r="DU262" s="314"/>
      <c r="DV262" s="314"/>
      <c r="DW262" s="314"/>
    </row>
    <row r="263" customFormat="false" ht="12.75" hidden="false" customHeight="false" outlineLevel="0" collapsed="false">
      <c r="B263" s="371" t="n">
        <v>43556</v>
      </c>
      <c r="C263" s="391" t="n">
        <v>43544</v>
      </c>
      <c r="R263" s="314"/>
      <c r="W263" s="318"/>
      <c r="AE263" s="321" t="n">
        <v>0.073156396260293</v>
      </c>
      <c r="BS263" s="314"/>
      <c r="BT263" s="314"/>
      <c r="BZ263" s="314"/>
      <c r="CA263" s="314"/>
      <c r="CF263" s="314"/>
      <c r="CG263" s="314"/>
      <c r="CM263" s="314"/>
      <c r="CN263" s="314"/>
      <c r="CS263" s="314"/>
      <c r="CT263" s="314"/>
      <c r="CX263" s="318"/>
      <c r="CY263" s="314"/>
      <c r="CZ263" s="314"/>
      <c r="DA263" s="314"/>
      <c r="DB263" s="318"/>
      <c r="DC263" s="314"/>
      <c r="DD263" s="314"/>
      <c r="DE263" s="314"/>
      <c r="DH263" s="314"/>
      <c r="DI263" s="314"/>
      <c r="DJ263" s="314"/>
      <c r="DK263" s="314"/>
      <c r="DL263" s="314"/>
      <c r="DM263" s="314"/>
      <c r="DN263" s="314"/>
      <c r="DO263" s="314"/>
      <c r="DP263" s="314"/>
      <c r="DQ263" s="314"/>
      <c r="DR263" s="314"/>
      <c r="DS263" s="314"/>
      <c r="DT263" s="314"/>
      <c r="DU263" s="314"/>
      <c r="DV263" s="314"/>
      <c r="DW263" s="314"/>
    </row>
    <row r="264" customFormat="false" ht="12.75" hidden="false" customHeight="false" outlineLevel="0" collapsed="false">
      <c r="B264" s="371" t="n">
        <v>43586</v>
      </c>
      <c r="C264" s="391" t="n">
        <v>43575</v>
      </c>
      <c r="R264" s="314"/>
      <c r="W264" s="318"/>
      <c r="AE264" s="321" t="n">
        <v>0.073147649099634</v>
      </c>
      <c r="BS264" s="314"/>
      <c r="BT264" s="314"/>
      <c r="BZ264" s="314"/>
      <c r="CA264" s="314"/>
      <c r="CF264" s="314"/>
      <c r="CG264" s="314"/>
      <c r="CM264" s="314"/>
      <c r="CN264" s="314"/>
      <c r="CS264" s="314"/>
      <c r="CT264" s="314"/>
      <c r="CX264" s="318"/>
      <c r="CY264" s="314"/>
      <c r="CZ264" s="314"/>
      <c r="DA264" s="314"/>
      <c r="DB264" s="318"/>
      <c r="DC264" s="314"/>
      <c r="DD264" s="314"/>
      <c r="DE264" s="314"/>
      <c r="DH264" s="314"/>
      <c r="DI264" s="314"/>
      <c r="DJ264" s="314"/>
      <c r="DK264" s="314"/>
      <c r="DL264" s="314"/>
      <c r="DM264" s="314"/>
      <c r="DN264" s="314"/>
      <c r="DO264" s="314"/>
      <c r="DP264" s="314"/>
      <c r="DQ264" s="314"/>
      <c r="DR264" s="314"/>
      <c r="DS264" s="314"/>
      <c r="DT264" s="314"/>
      <c r="DU264" s="314"/>
      <c r="DV264" s="314"/>
      <c r="DW264" s="314"/>
    </row>
    <row r="265" customFormat="false" ht="12.75" hidden="false" customHeight="false" outlineLevel="0" collapsed="false">
      <c r="B265" s="371" t="n">
        <v>43617</v>
      </c>
      <c r="C265" s="391" t="n">
        <v>43607</v>
      </c>
      <c r="R265" s="314"/>
      <c r="W265" s="318"/>
      <c r="AE265" s="321" t="n">
        <v>0.073138610366979</v>
      </c>
      <c r="BS265" s="314"/>
      <c r="BT265" s="314"/>
      <c r="BZ265" s="314"/>
      <c r="CA265" s="314"/>
      <c r="CF265" s="314"/>
      <c r="CG265" s="314"/>
      <c r="CM265" s="314"/>
      <c r="CN265" s="314"/>
      <c r="CS265" s="314"/>
      <c r="CT265" s="314"/>
      <c r="CX265" s="318"/>
      <c r="CY265" s="314"/>
      <c r="CZ265" s="314"/>
      <c r="DA265" s="314"/>
      <c r="DB265" s="318"/>
      <c r="DC265" s="314"/>
      <c r="DD265" s="314"/>
      <c r="DE265" s="314"/>
      <c r="DH265" s="314"/>
      <c r="DI265" s="314"/>
      <c r="DJ265" s="314"/>
      <c r="DK265" s="314"/>
      <c r="DL265" s="314"/>
      <c r="DM265" s="314"/>
      <c r="DN265" s="314"/>
      <c r="DO265" s="314"/>
      <c r="DP265" s="314"/>
      <c r="DQ265" s="314"/>
      <c r="DR265" s="314"/>
      <c r="DS265" s="314"/>
      <c r="DT265" s="314"/>
      <c r="DU265" s="314"/>
      <c r="DV265" s="314"/>
      <c r="DW265" s="314"/>
    </row>
    <row r="266" customFormat="false" ht="12.75" hidden="false" customHeight="false" outlineLevel="0" collapsed="false">
      <c r="B266" s="371" t="n">
        <v>43647</v>
      </c>
      <c r="C266" s="391" t="n">
        <v>43636</v>
      </c>
      <c r="R266" s="314"/>
      <c r="W266" s="318"/>
      <c r="AE266" s="321" t="n">
        <v>0.07312986320637</v>
      </c>
      <c r="BS266" s="314"/>
      <c r="BT266" s="314"/>
      <c r="BZ266" s="314"/>
      <c r="CA266" s="314"/>
      <c r="CF266" s="314"/>
      <c r="CG266" s="314"/>
      <c r="CM266" s="314"/>
      <c r="CN266" s="314"/>
      <c r="CS266" s="314"/>
      <c r="CT266" s="314"/>
      <c r="CX266" s="318"/>
      <c r="CY266" s="314"/>
      <c r="CZ266" s="314"/>
      <c r="DA266" s="314"/>
      <c r="DB266" s="318"/>
      <c r="DC266" s="314"/>
      <c r="DD266" s="314"/>
      <c r="DE266" s="314"/>
      <c r="DH266" s="314"/>
      <c r="DI266" s="314"/>
      <c r="DJ266" s="314"/>
      <c r="DK266" s="314"/>
      <c r="DL266" s="314"/>
      <c r="DM266" s="314"/>
      <c r="DN266" s="314"/>
      <c r="DO266" s="314"/>
      <c r="DP266" s="314"/>
      <c r="DQ266" s="314"/>
      <c r="DR266" s="314"/>
      <c r="DS266" s="314"/>
      <c r="DT266" s="314"/>
      <c r="DU266" s="314"/>
      <c r="DV266" s="314"/>
      <c r="DW266" s="314"/>
    </row>
    <row r="267" customFormat="false" ht="12.75" hidden="false" customHeight="false" outlineLevel="0" collapsed="false">
      <c r="B267" s="371" t="n">
        <v>43678</v>
      </c>
      <c r="C267" s="391" t="n">
        <v>43666</v>
      </c>
      <c r="R267" s="314"/>
      <c r="W267" s="318"/>
      <c r="AE267" s="321" t="n">
        <v>0.073120824473768</v>
      </c>
      <c r="BS267" s="314"/>
      <c r="BT267" s="314"/>
      <c r="BZ267" s="314"/>
      <c r="CA267" s="314"/>
      <c r="CF267" s="314"/>
      <c r="CG267" s="314"/>
      <c r="CM267" s="314"/>
      <c r="CN267" s="314"/>
      <c r="CS267" s="314"/>
      <c r="CT267" s="314"/>
      <c r="CX267" s="318"/>
      <c r="CY267" s="314"/>
      <c r="CZ267" s="314"/>
      <c r="DA267" s="314"/>
      <c r="DB267" s="318"/>
      <c r="DC267" s="314"/>
      <c r="DD267" s="314"/>
      <c r="DE267" s="314"/>
      <c r="DH267" s="314"/>
      <c r="DI267" s="314"/>
      <c r="DJ267" s="314"/>
      <c r="DK267" s="314"/>
      <c r="DL267" s="314"/>
      <c r="DM267" s="314"/>
      <c r="DN267" s="314"/>
      <c r="DO267" s="314"/>
      <c r="DP267" s="314"/>
      <c r="DQ267" s="314"/>
      <c r="DR267" s="314"/>
      <c r="DS267" s="314"/>
      <c r="DT267" s="314"/>
      <c r="DU267" s="314"/>
      <c r="DV267" s="314"/>
      <c r="DW267" s="314"/>
    </row>
    <row r="268" customFormat="false" ht="12.75" hidden="false" customHeight="false" outlineLevel="0" collapsed="false">
      <c r="B268" s="371" t="n">
        <v>43709</v>
      </c>
      <c r="C268" s="391" t="n">
        <v>43698</v>
      </c>
      <c r="R268" s="314"/>
      <c r="W268" s="318"/>
      <c r="AE268" s="321" t="n">
        <v>0.073111785741193</v>
      </c>
      <c r="BS268" s="314"/>
      <c r="BT268" s="314"/>
      <c r="BZ268" s="314"/>
      <c r="CA268" s="314"/>
      <c r="CF268" s="314"/>
      <c r="CG268" s="314"/>
      <c r="CM268" s="314"/>
      <c r="CN268" s="314"/>
      <c r="CS268" s="314"/>
      <c r="CT268" s="314"/>
      <c r="CX268" s="318"/>
      <c r="CY268" s="314"/>
      <c r="CZ268" s="314"/>
      <c r="DA268" s="314"/>
      <c r="DB268" s="318"/>
      <c r="DC268" s="314"/>
      <c r="DD268" s="314"/>
      <c r="DE268" s="314"/>
      <c r="DH268" s="314"/>
      <c r="DI268" s="314"/>
      <c r="DJ268" s="314"/>
      <c r="DK268" s="314"/>
      <c r="DL268" s="314"/>
      <c r="DM268" s="314"/>
      <c r="DN268" s="314"/>
      <c r="DO268" s="314"/>
      <c r="DP268" s="314"/>
      <c r="DQ268" s="314"/>
      <c r="DR268" s="314"/>
      <c r="DS268" s="314"/>
      <c r="DT268" s="314"/>
      <c r="DU268" s="314"/>
      <c r="DV268" s="314"/>
      <c r="DW268" s="314"/>
    </row>
    <row r="269" customFormat="false" ht="12.75" hidden="false" customHeight="false" outlineLevel="0" collapsed="false">
      <c r="B269" s="371" t="n">
        <v>43739</v>
      </c>
      <c r="C269" s="391" t="n">
        <v>43728</v>
      </c>
      <c r="R269" s="314"/>
      <c r="W269" s="318"/>
      <c r="AE269" s="321" t="n">
        <v>0.073103621724697</v>
      </c>
      <c r="BS269" s="314"/>
      <c r="BT269" s="314"/>
      <c r="BZ269" s="314"/>
      <c r="CA269" s="314"/>
      <c r="CF269" s="314"/>
      <c r="CG269" s="314"/>
      <c r="CM269" s="314"/>
      <c r="CN269" s="314"/>
      <c r="CS269" s="314"/>
      <c r="CT269" s="314"/>
      <c r="CX269" s="318"/>
      <c r="CY269" s="314"/>
      <c r="CZ269" s="314"/>
      <c r="DA269" s="314"/>
      <c r="DB269" s="318"/>
      <c r="DC269" s="314"/>
      <c r="DD269" s="314"/>
      <c r="DE269" s="314"/>
      <c r="DH269" s="314"/>
      <c r="DI269" s="314"/>
      <c r="DJ269" s="314"/>
      <c r="DK269" s="314"/>
      <c r="DL269" s="314"/>
      <c r="DM269" s="314"/>
      <c r="DN269" s="314"/>
      <c r="DO269" s="314"/>
      <c r="DP269" s="314"/>
      <c r="DQ269" s="314"/>
      <c r="DR269" s="314"/>
      <c r="DS269" s="314"/>
      <c r="DT269" s="314"/>
      <c r="DU269" s="314"/>
      <c r="DV269" s="314"/>
      <c r="DW269" s="314"/>
    </row>
    <row r="270" customFormat="false" ht="12.75" hidden="false" customHeight="false" outlineLevel="0" collapsed="false">
      <c r="B270" s="371" t="n">
        <v>43770</v>
      </c>
      <c r="C270" s="391" t="n">
        <v>43760</v>
      </c>
      <c r="R270" s="314"/>
      <c r="W270" s="318"/>
      <c r="AE270" s="321" t="n">
        <v>0.073094582992173</v>
      </c>
      <c r="BS270" s="314"/>
      <c r="BT270" s="314"/>
      <c r="BZ270" s="314"/>
      <c r="CA270" s="314"/>
      <c r="CF270" s="314"/>
      <c r="CG270" s="314"/>
      <c r="CM270" s="314"/>
      <c r="CN270" s="314"/>
      <c r="CS270" s="314"/>
      <c r="CT270" s="314"/>
      <c r="CX270" s="318"/>
      <c r="CY270" s="314"/>
      <c r="CZ270" s="314"/>
      <c r="DA270" s="314"/>
      <c r="DB270" s="318"/>
      <c r="DC270" s="314"/>
      <c r="DD270" s="314"/>
      <c r="DE270" s="314"/>
      <c r="DH270" s="314"/>
      <c r="DI270" s="314"/>
      <c r="DJ270" s="314"/>
      <c r="DK270" s="314"/>
      <c r="DL270" s="314"/>
      <c r="DM270" s="314"/>
      <c r="DN270" s="314"/>
      <c r="DO270" s="314"/>
      <c r="DP270" s="314"/>
      <c r="DQ270" s="314"/>
      <c r="DR270" s="314"/>
      <c r="DS270" s="314"/>
      <c r="DT270" s="314"/>
      <c r="DU270" s="314"/>
      <c r="DV270" s="314"/>
      <c r="DW270" s="314"/>
    </row>
    <row r="271" customFormat="false" ht="12.75" hidden="false" customHeight="false" outlineLevel="0" collapsed="false">
      <c r="B271" s="371" t="n">
        <v>43800</v>
      </c>
      <c r="C271" s="391" t="n">
        <v>43788</v>
      </c>
      <c r="R271" s="314"/>
      <c r="W271" s="318"/>
      <c r="AE271" s="321" t="n">
        <v>0.073085835831692</v>
      </c>
      <c r="BS271" s="314"/>
      <c r="BT271" s="314"/>
      <c r="BZ271" s="314"/>
      <c r="CA271" s="314"/>
      <c r="CF271" s="314"/>
      <c r="CG271" s="314"/>
      <c r="CM271" s="314"/>
      <c r="CN271" s="314"/>
      <c r="CS271" s="314"/>
      <c r="CT271" s="314"/>
      <c r="CX271" s="318"/>
      <c r="CY271" s="314"/>
      <c r="CZ271" s="314"/>
      <c r="DA271" s="314"/>
      <c r="DB271" s="318"/>
      <c r="DC271" s="314"/>
      <c r="DD271" s="314"/>
      <c r="DE271" s="314"/>
      <c r="DH271" s="314"/>
      <c r="DI271" s="314"/>
      <c r="DJ271" s="314"/>
      <c r="DK271" s="314"/>
      <c r="DL271" s="314"/>
      <c r="DM271" s="314"/>
      <c r="DN271" s="314"/>
      <c r="DO271" s="314"/>
      <c r="DP271" s="314"/>
      <c r="DQ271" s="314"/>
      <c r="DR271" s="314"/>
      <c r="DS271" s="314"/>
      <c r="DT271" s="314"/>
      <c r="DU271" s="314"/>
      <c r="DV271" s="314"/>
      <c r="DW271" s="314"/>
    </row>
    <row r="272" customFormat="false" ht="12.75" hidden="false" customHeight="false" outlineLevel="0" collapsed="false">
      <c r="B272" s="371" t="n">
        <v>43831</v>
      </c>
      <c r="C272" s="391" t="n">
        <v>43818</v>
      </c>
      <c r="R272" s="314"/>
      <c r="W272" s="318"/>
      <c r="AE272" s="321" t="n">
        <v>0.073076797099221</v>
      </c>
      <c r="BS272" s="314"/>
      <c r="BT272" s="314"/>
      <c r="BZ272" s="314"/>
      <c r="CA272" s="314"/>
      <c r="CF272" s="314"/>
      <c r="CG272" s="314"/>
      <c r="CM272" s="314"/>
      <c r="CN272" s="314"/>
      <c r="CS272" s="314"/>
      <c r="CT272" s="314"/>
      <c r="CX272" s="318"/>
      <c r="CY272" s="314"/>
      <c r="CZ272" s="314"/>
      <c r="DA272" s="314"/>
      <c r="DB272" s="318"/>
      <c r="DC272" s="314"/>
      <c r="DD272" s="314"/>
      <c r="DE272" s="314"/>
      <c r="DH272" s="314"/>
      <c r="DI272" s="314"/>
      <c r="DJ272" s="314"/>
      <c r="DK272" s="314"/>
      <c r="DL272" s="314"/>
      <c r="DM272" s="314"/>
      <c r="DN272" s="314"/>
      <c r="DO272" s="314"/>
      <c r="DP272" s="314"/>
      <c r="DQ272" s="314"/>
      <c r="DR272" s="314"/>
      <c r="DS272" s="314"/>
      <c r="DT272" s="314"/>
      <c r="DU272" s="314"/>
      <c r="DV272" s="314"/>
      <c r="DW272" s="314"/>
    </row>
    <row r="273" customFormat="false" ht="12.75" hidden="false" customHeight="false" outlineLevel="0" collapsed="false">
      <c r="B273" s="371" t="n">
        <v>43862</v>
      </c>
      <c r="C273" s="391" t="n">
        <v>43852</v>
      </c>
      <c r="R273" s="314"/>
      <c r="W273" s="318"/>
      <c r="AE273" s="321" t="n">
        <v>0.073068049938791</v>
      </c>
      <c r="BS273" s="314"/>
      <c r="BT273" s="314"/>
      <c r="BZ273" s="314"/>
      <c r="CA273" s="314"/>
      <c r="CF273" s="314"/>
      <c r="CG273" s="314"/>
      <c r="CM273" s="314"/>
      <c r="CN273" s="314"/>
      <c r="CS273" s="314"/>
      <c r="CT273" s="314"/>
      <c r="CX273" s="318"/>
      <c r="CY273" s="314"/>
      <c r="CZ273" s="314"/>
      <c r="DA273" s="314"/>
      <c r="DB273" s="318"/>
      <c r="DC273" s="314"/>
      <c r="DD273" s="314"/>
      <c r="DE273" s="314"/>
      <c r="DH273" s="314"/>
      <c r="DI273" s="314"/>
      <c r="DJ273" s="314"/>
      <c r="DK273" s="314"/>
      <c r="DL273" s="314"/>
      <c r="DM273" s="314"/>
      <c r="DN273" s="314"/>
      <c r="DO273" s="314"/>
      <c r="DP273" s="314"/>
      <c r="DQ273" s="314"/>
      <c r="DR273" s="314"/>
      <c r="DS273" s="314"/>
      <c r="DT273" s="314"/>
      <c r="DU273" s="314"/>
      <c r="DV273" s="314"/>
      <c r="DW273" s="314"/>
    </row>
    <row r="274" customFormat="false" ht="12.75" hidden="false" customHeight="false" outlineLevel="0" collapsed="false">
      <c r="B274" s="371" t="n">
        <v>43891</v>
      </c>
      <c r="C274" s="391" t="n">
        <v>43881</v>
      </c>
      <c r="R274" s="314"/>
      <c r="W274" s="318"/>
      <c r="AE274" s="321" t="n">
        <v>0.073059011206373</v>
      </c>
      <c r="BS274" s="314"/>
      <c r="BT274" s="314"/>
      <c r="BZ274" s="314"/>
      <c r="CA274" s="314"/>
      <c r="CF274" s="314"/>
      <c r="CG274" s="314"/>
      <c r="CM274" s="314"/>
      <c r="CN274" s="314"/>
      <c r="CS274" s="314"/>
      <c r="CT274" s="314"/>
      <c r="CX274" s="318"/>
      <c r="CY274" s="314"/>
      <c r="CZ274" s="314"/>
      <c r="DA274" s="314"/>
      <c r="DB274" s="318"/>
      <c r="DC274" s="314"/>
      <c r="DD274" s="314"/>
      <c r="DE274" s="314"/>
      <c r="DH274" s="314"/>
      <c r="DI274" s="314"/>
      <c r="DJ274" s="314"/>
      <c r="DK274" s="314"/>
      <c r="DL274" s="314"/>
      <c r="DM274" s="314"/>
      <c r="DN274" s="314"/>
      <c r="DO274" s="314"/>
      <c r="DP274" s="314"/>
      <c r="DQ274" s="314"/>
      <c r="DR274" s="314"/>
      <c r="DS274" s="314"/>
      <c r="DT274" s="314"/>
      <c r="DU274" s="314"/>
      <c r="DV274" s="314"/>
      <c r="DW274" s="314"/>
    </row>
    <row r="275" customFormat="false" ht="12.75" hidden="false" customHeight="false" outlineLevel="0" collapsed="false">
      <c r="B275" s="371" t="n">
        <v>43922</v>
      </c>
      <c r="C275" s="391" t="n">
        <v>43910</v>
      </c>
      <c r="R275" s="314"/>
      <c r="W275" s="318"/>
      <c r="AE275" s="321" t="n">
        <v>0.073049972473983</v>
      </c>
      <c r="BS275" s="314"/>
      <c r="BT275" s="314"/>
      <c r="BZ275" s="314"/>
      <c r="CA275" s="314"/>
      <c r="CF275" s="314"/>
      <c r="CG275" s="314"/>
      <c r="CM275" s="314"/>
      <c r="CN275" s="314"/>
      <c r="CS275" s="314"/>
      <c r="CT275" s="314"/>
      <c r="CX275" s="318"/>
      <c r="CY275" s="314"/>
      <c r="CZ275" s="314"/>
      <c r="DA275" s="314"/>
      <c r="DB275" s="318"/>
      <c r="DC275" s="314"/>
      <c r="DD275" s="314"/>
      <c r="DE275" s="314"/>
      <c r="DH275" s="314"/>
      <c r="DI275" s="314"/>
      <c r="DJ275" s="314"/>
      <c r="DK275" s="314"/>
      <c r="DL275" s="314"/>
      <c r="DM275" s="314"/>
      <c r="DN275" s="314"/>
      <c r="DO275" s="314"/>
      <c r="DP275" s="314"/>
      <c r="DQ275" s="314"/>
      <c r="DR275" s="314"/>
      <c r="DS275" s="314"/>
      <c r="DT275" s="314"/>
      <c r="DU275" s="314"/>
      <c r="DV275" s="314"/>
      <c r="DW275" s="314"/>
    </row>
    <row r="276" customFormat="false" ht="12.75" hidden="false" customHeight="false" outlineLevel="0" collapsed="false">
      <c r="B276" s="371" t="n">
        <v>43952</v>
      </c>
      <c r="C276" s="391" t="n">
        <v>43941</v>
      </c>
      <c r="R276" s="314"/>
      <c r="W276" s="318"/>
      <c r="AE276" s="321" t="n">
        <v>0.07304122531363</v>
      </c>
      <c r="BS276" s="314"/>
      <c r="BT276" s="314"/>
      <c r="BZ276" s="314"/>
      <c r="CA276" s="314"/>
      <c r="CF276" s="314"/>
      <c r="CG276" s="314"/>
      <c r="CM276" s="314"/>
      <c r="CN276" s="314"/>
      <c r="CS276" s="314"/>
      <c r="CT276" s="314"/>
      <c r="CX276" s="318"/>
      <c r="CY276" s="314"/>
      <c r="CZ276" s="314"/>
      <c r="DA276" s="314"/>
      <c r="DB276" s="318"/>
      <c r="DC276" s="314"/>
      <c r="DD276" s="314"/>
      <c r="DE276" s="314"/>
      <c r="DH276" s="314"/>
      <c r="DI276" s="314"/>
      <c r="DJ276" s="314"/>
      <c r="DK276" s="314"/>
      <c r="DL276" s="314"/>
      <c r="DM276" s="314"/>
      <c r="DN276" s="314"/>
      <c r="DO276" s="314"/>
      <c r="DP276" s="314"/>
      <c r="DQ276" s="314"/>
      <c r="DR276" s="314"/>
      <c r="DS276" s="314"/>
      <c r="DT276" s="314"/>
      <c r="DU276" s="314"/>
      <c r="DV276" s="314"/>
      <c r="DW276" s="314"/>
    </row>
    <row r="277" customFormat="false" ht="12.75" hidden="false" customHeight="false" outlineLevel="0" collapsed="false">
      <c r="B277" s="371" t="n">
        <v>43983</v>
      </c>
      <c r="C277" s="391" t="n">
        <v>43973</v>
      </c>
      <c r="R277" s="314"/>
      <c r="W277" s="318"/>
      <c r="AE277" s="321" t="n">
        <v>0.073032186581293</v>
      </c>
      <c r="BS277" s="314"/>
      <c r="BT277" s="314"/>
      <c r="BZ277" s="314"/>
      <c r="CA277" s="314"/>
      <c r="CF277" s="314"/>
      <c r="CG277" s="314"/>
      <c r="CM277" s="314"/>
      <c r="CN277" s="314"/>
      <c r="CS277" s="314"/>
      <c r="CT277" s="314"/>
      <c r="CX277" s="318"/>
      <c r="CY277" s="314"/>
      <c r="CZ277" s="314"/>
      <c r="DA277" s="314"/>
      <c r="DB277" s="318"/>
      <c r="DC277" s="314"/>
      <c r="DD277" s="314"/>
      <c r="DE277" s="314"/>
      <c r="DH277" s="314"/>
      <c r="DI277" s="314"/>
      <c r="DJ277" s="314"/>
      <c r="DK277" s="314"/>
      <c r="DL277" s="314"/>
      <c r="DM277" s="314"/>
      <c r="DN277" s="314"/>
      <c r="DO277" s="314"/>
      <c r="DP277" s="314"/>
      <c r="DQ277" s="314"/>
      <c r="DR277" s="314"/>
      <c r="DS277" s="314"/>
      <c r="DT277" s="314"/>
      <c r="DU277" s="314"/>
      <c r="DV277" s="314"/>
      <c r="DW277" s="314"/>
    </row>
    <row r="278" customFormat="false" ht="12.75" hidden="false" customHeight="false" outlineLevel="0" collapsed="false">
      <c r="B278" s="371" t="n">
        <v>44013</v>
      </c>
      <c r="C278" s="391" t="n">
        <v>44002</v>
      </c>
      <c r="R278" s="314"/>
      <c r="W278" s="318"/>
      <c r="AE278" s="321" t="n">
        <v>0.073023439421</v>
      </c>
      <c r="BS278" s="314"/>
      <c r="BT278" s="314"/>
      <c r="BZ278" s="314"/>
      <c r="CA278" s="314"/>
      <c r="CF278" s="314"/>
      <c r="CG278" s="314"/>
      <c r="CM278" s="314"/>
      <c r="CN278" s="314"/>
      <c r="CS278" s="314"/>
      <c r="CT278" s="314"/>
      <c r="CX278" s="318"/>
      <c r="CY278" s="314"/>
      <c r="CZ278" s="314"/>
      <c r="DA278" s="314"/>
      <c r="DB278" s="318"/>
      <c r="DC278" s="314"/>
      <c r="DD278" s="314"/>
      <c r="DE278" s="314"/>
      <c r="DH278" s="314"/>
      <c r="DI278" s="314"/>
      <c r="DJ278" s="314"/>
      <c r="DK278" s="314"/>
      <c r="DL278" s="314"/>
      <c r="DM278" s="314"/>
      <c r="DN278" s="314"/>
      <c r="DO278" s="314"/>
      <c r="DP278" s="314"/>
      <c r="DQ278" s="314"/>
      <c r="DR278" s="314"/>
      <c r="DS278" s="314"/>
      <c r="DT278" s="314"/>
      <c r="DU278" s="314"/>
      <c r="DV278" s="314"/>
      <c r="DW278" s="314"/>
    </row>
    <row r="279" customFormat="false" ht="12.75" hidden="false" customHeight="false" outlineLevel="0" collapsed="false">
      <c r="B279" s="371" t="n">
        <v>44044</v>
      </c>
      <c r="C279" s="391" t="n">
        <v>44032</v>
      </c>
      <c r="R279" s="314"/>
      <c r="W279" s="318"/>
      <c r="AE279" s="321" t="n">
        <v>0.073014400688708</v>
      </c>
      <c r="BS279" s="314"/>
      <c r="BT279" s="314"/>
      <c r="BZ279" s="314"/>
      <c r="CA279" s="314"/>
      <c r="CF279" s="314"/>
      <c r="CG279" s="314"/>
      <c r="CM279" s="314"/>
      <c r="CN279" s="314"/>
      <c r="CS279" s="314"/>
      <c r="CT279" s="314"/>
      <c r="CX279" s="318"/>
      <c r="CY279" s="314"/>
      <c r="CZ279" s="314"/>
      <c r="DA279" s="314"/>
      <c r="DB279" s="318"/>
      <c r="DC279" s="314"/>
      <c r="DD279" s="314"/>
      <c r="DE279" s="314"/>
      <c r="DH279" s="314"/>
      <c r="DI279" s="314"/>
      <c r="DJ279" s="314"/>
      <c r="DK279" s="314"/>
      <c r="DL279" s="314"/>
      <c r="DM279" s="314"/>
      <c r="DN279" s="314"/>
      <c r="DO279" s="314"/>
      <c r="DP279" s="314"/>
      <c r="DQ279" s="314"/>
      <c r="DR279" s="314"/>
      <c r="DS279" s="314"/>
      <c r="DT279" s="314"/>
      <c r="DU279" s="314"/>
      <c r="DV279" s="314"/>
      <c r="DW279" s="314"/>
    </row>
    <row r="280" customFormat="false" ht="12.75" hidden="false" customHeight="false" outlineLevel="0" collapsed="false">
      <c r="B280" s="371" t="n">
        <v>44075</v>
      </c>
      <c r="C280" s="391" t="n">
        <v>44064</v>
      </c>
      <c r="R280" s="314"/>
      <c r="W280" s="318"/>
      <c r="AE280" s="321" t="n">
        <v>0.07300536195645</v>
      </c>
      <c r="BS280" s="314"/>
      <c r="BT280" s="314"/>
      <c r="BZ280" s="314"/>
      <c r="CA280" s="314"/>
      <c r="CF280" s="314"/>
      <c r="CG280" s="314"/>
      <c r="CM280" s="314"/>
      <c r="CN280" s="314"/>
      <c r="CS280" s="314"/>
      <c r="CT280" s="314"/>
      <c r="CX280" s="318"/>
      <c r="CY280" s="314"/>
      <c r="CZ280" s="314"/>
      <c r="DA280" s="314"/>
      <c r="DB280" s="318"/>
      <c r="DC280" s="314"/>
      <c r="DD280" s="314"/>
      <c r="DE280" s="314"/>
      <c r="DH280" s="314"/>
      <c r="DI280" s="314"/>
      <c r="DJ280" s="314"/>
      <c r="DK280" s="314"/>
      <c r="DL280" s="314"/>
      <c r="DM280" s="314"/>
      <c r="DN280" s="314"/>
      <c r="DO280" s="314"/>
      <c r="DP280" s="314"/>
      <c r="DQ280" s="314"/>
      <c r="DR280" s="314"/>
      <c r="DS280" s="314"/>
      <c r="DT280" s="314"/>
      <c r="DU280" s="314"/>
      <c r="DV280" s="314"/>
      <c r="DW280" s="314"/>
    </row>
    <row r="281" customFormat="false" ht="12.75" hidden="false" customHeight="false" outlineLevel="0" collapsed="false">
      <c r="B281" s="371" t="n">
        <v>44105</v>
      </c>
      <c r="C281" s="391" t="n">
        <v>44094</v>
      </c>
      <c r="R281" s="314"/>
      <c r="W281" s="318"/>
      <c r="AE281" s="321" t="n">
        <v>0.072997197940241</v>
      </c>
      <c r="BS281" s="314"/>
      <c r="BT281" s="314"/>
      <c r="BZ281" s="314"/>
      <c r="CA281" s="314"/>
      <c r="CF281" s="314"/>
      <c r="CG281" s="314"/>
      <c r="CM281" s="314"/>
      <c r="CN281" s="314"/>
      <c r="CS281" s="314"/>
      <c r="CT281" s="314"/>
      <c r="CX281" s="318"/>
      <c r="CY281" s="314"/>
      <c r="CZ281" s="314"/>
      <c r="DA281" s="314"/>
      <c r="DB281" s="318"/>
      <c r="DC281" s="314"/>
      <c r="DD281" s="314"/>
      <c r="DE281" s="314"/>
      <c r="DH281" s="314"/>
      <c r="DI281" s="314"/>
      <c r="DJ281" s="314"/>
      <c r="DK281" s="314"/>
      <c r="DL281" s="314"/>
      <c r="DM281" s="314"/>
      <c r="DN281" s="314"/>
      <c r="DO281" s="314"/>
      <c r="DP281" s="314"/>
      <c r="DQ281" s="314"/>
      <c r="DR281" s="314"/>
      <c r="DS281" s="314"/>
      <c r="DT281" s="314"/>
      <c r="DU281" s="314"/>
      <c r="DV281" s="314"/>
      <c r="DW281" s="314"/>
    </row>
    <row r="282" customFormat="false" ht="12.75" hidden="false" customHeight="false" outlineLevel="0" collapsed="false">
      <c r="B282" s="371" t="n">
        <v>44136</v>
      </c>
      <c r="C282" s="391" t="n">
        <v>44126</v>
      </c>
      <c r="R282" s="314"/>
      <c r="W282" s="318"/>
      <c r="AE282" s="321" t="n">
        <v>0.072988159208034</v>
      </c>
      <c r="BS282" s="314"/>
      <c r="BT282" s="314"/>
      <c r="BZ282" s="314"/>
      <c r="CA282" s="314"/>
      <c r="CF282" s="314"/>
      <c r="CG282" s="314"/>
      <c r="CM282" s="314"/>
      <c r="CN282" s="314"/>
      <c r="CS282" s="314"/>
      <c r="CT282" s="314"/>
      <c r="CX282" s="318"/>
      <c r="CY282" s="314"/>
      <c r="CZ282" s="314"/>
      <c r="DA282" s="314"/>
      <c r="DB282" s="318"/>
      <c r="DC282" s="314"/>
      <c r="DD282" s="314"/>
      <c r="DE282" s="314"/>
      <c r="DH282" s="314"/>
      <c r="DI282" s="314"/>
      <c r="DJ282" s="314"/>
      <c r="DK282" s="314"/>
      <c r="DL282" s="314"/>
      <c r="DM282" s="314"/>
      <c r="DN282" s="314"/>
      <c r="DO282" s="314"/>
      <c r="DP282" s="314"/>
      <c r="DQ282" s="314"/>
      <c r="DR282" s="314"/>
      <c r="DS282" s="314"/>
      <c r="DT282" s="314"/>
      <c r="DU282" s="314"/>
      <c r="DV282" s="314"/>
      <c r="DW282" s="314"/>
    </row>
    <row r="283" customFormat="false" ht="12.75" hidden="false" customHeight="false" outlineLevel="0" collapsed="false">
      <c r="B283" s="371" t="n">
        <v>44166</v>
      </c>
      <c r="C283" s="391" t="n">
        <v>44154</v>
      </c>
      <c r="R283" s="314"/>
      <c r="W283" s="318"/>
      <c r="AE283" s="321" t="n">
        <v>0.072979412047861</v>
      </c>
      <c r="BS283" s="314"/>
      <c r="BT283" s="314"/>
      <c r="BZ283" s="314"/>
      <c r="CA283" s="314"/>
      <c r="CF283" s="314"/>
      <c r="CG283" s="314"/>
      <c r="CM283" s="314"/>
      <c r="CN283" s="314"/>
      <c r="CS283" s="314"/>
      <c r="CT283" s="314"/>
      <c r="CX283" s="318"/>
      <c r="CY283" s="314"/>
      <c r="CZ283" s="314"/>
      <c r="DA283" s="314"/>
      <c r="DB283" s="318"/>
      <c r="DC283" s="314"/>
      <c r="DD283" s="314"/>
      <c r="DE283" s="314"/>
      <c r="DH283" s="314"/>
      <c r="DI283" s="314"/>
      <c r="DJ283" s="314"/>
      <c r="DK283" s="314"/>
      <c r="DL283" s="314"/>
      <c r="DM283" s="314"/>
      <c r="DN283" s="314"/>
      <c r="DO283" s="314"/>
      <c r="DP283" s="314"/>
      <c r="DQ283" s="314"/>
      <c r="DR283" s="314"/>
      <c r="DS283" s="314"/>
      <c r="DT283" s="314"/>
      <c r="DU283" s="314"/>
      <c r="DV283" s="314"/>
      <c r="DW283" s="314"/>
    </row>
    <row r="284" customFormat="false" ht="12.75" hidden="false" customHeight="false" outlineLevel="0" collapsed="false">
      <c r="B284" s="371" t="n">
        <v>44197</v>
      </c>
      <c r="C284" s="391" t="n">
        <v>44184</v>
      </c>
      <c r="R284" s="314"/>
      <c r="W284" s="318"/>
      <c r="AE284" s="321" t="n">
        <v>0.072970373315707</v>
      </c>
      <c r="BS284" s="314"/>
      <c r="BT284" s="314"/>
      <c r="BZ284" s="314"/>
      <c r="CA284" s="314"/>
      <c r="CF284" s="314"/>
      <c r="CG284" s="314"/>
      <c r="CM284" s="314"/>
      <c r="CN284" s="314"/>
      <c r="CS284" s="314"/>
      <c r="CT284" s="314"/>
      <c r="CX284" s="318"/>
      <c r="CY284" s="314"/>
      <c r="CZ284" s="314"/>
      <c r="DA284" s="314"/>
      <c r="DB284" s="318"/>
      <c r="DC284" s="314"/>
      <c r="DD284" s="314"/>
      <c r="DE284" s="314"/>
      <c r="DH284" s="314"/>
      <c r="DI284" s="314"/>
      <c r="DJ284" s="314"/>
      <c r="DK284" s="314"/>
      <c r="DL284" s="314"/>
      <c r="DM284" s="314"/>
      <c r="DN284" s="314"/>
      <c r="DO284" s="314"/>
      <c r="DP284" s="314"/>
      <c r="DQ284" s="314"/>
      <c r="DR284" s="314"/>
      <c r="DS284" s="314"/>
      <c r="DT284" s="314"/>
      <c r="DU284" s="314"/>
      <c r="DV284" s="314"/>
      <c r="DW284" s="314"/>
    </row>
    <row r="285" customFormat="false" ht="12.75" hidden="false" customHeight="false" outlineLevel="0" collapsed="false">
      <c r="B285" s="371" t="n">
        <v>44228</v>
      </c>
      <c r="C285" s="391" t="n">
        <v>44218</v>
      </c>
      <c r="R285" s="314"/>
      <c r="W285" s="318"/>
      <c r="AE285" s="321" t="n">
        <v>0.072961626155585</v>
      </c>
      <c r="BS285" s="314"/>
      <c r="BT285" s="314"/>
      <c r="BZ285" s="314"/>
      <c r="CA285" s="314"/>
      <c r="CF285" s="314"/>
      <c r="CG285" s="314"/>
      <c r="CM285" s="314"/>
      <c r="CN285" s="314"/>
      <c r="CS285" s="314"/>
      <c r="CT285" s="314"/>
      <c r="CX285" s="318"/>
      <c r="CY285" s="314"/>
      <c r="CZ285" s="314"/>
      <c r="DA285" s="314"/>
      <c r="DB285" s="318"/>
      <c r="DC285" s="314"/>
      <c r="DD285" s="314"/>
      <c r="DE285" s="314"/>
      <c r="DH285" s="314"/>
      <c r="DI285" s="314"/>
      <c r="DJ285" s="314"/>
      <c r="DK285" s="314"/>
      <c r="DL285" s="314"/>
      <c r="DM285" s="314"/>
      <c r="DN285" s="314"/>
      <c r="DO285" s="314"/>
      <c r="DP285" s="314"/>
      <c r="DQ285" s="314"/>
      <c r="DR285" s="314"/>
      <c r="DS285" s="314"/>
      <c r="DT285" s="314"/>
      <c r="DU285" s="314"/>
      <c r="DV285" s="314"/>
      <c r="DW285" s="314"/>
    </row>
    <row r="286" customFormat="false" ht="12.75" hidden="false" customHeight="false" outlineLevel="0" collapsed="false">
      <c r="B286" s="371" t="n">
        <v>44256</v>
      </c>
      <c r="C286" s="391" t="n">
        <v>44247</v>
      </c>
      <c r="R286" s="314"/>
      <c r="W286" s="318"/>
      <c r="AE286" s="321" t="n">
        <v>0.072952587423485</v>
      </c>
      <c r="BS286" s="314"/>
      <c r="BT286" s="314"/>
      <c r="BZ286" s="314"/>
      <c r="CA286" s="314"/>
      <c r="CF286" s="314"/>
      <c r="CG286" s="314"/>
      <c r="CM286" s="314"/>
      <c r="CN286" s="314"/>
      <c r="CS286" s="314"/>
      <c r="CT286" s="314"/>
      <c r="CX286" s="318"/>
      <c r="CY286" s="314"/>
      <c r="CZ286" s="314"/>
      <c r="DA286" s="314"/>
      <c r="DB286" s="318"/>
      <c r="DC286" s="314"/>
      <c r="DD286" s="314"/>
      <c r="DE286" s="314"/>
      <c r="DH286" s="314"/>
      <c r="DI286" s="314"/>
      <c r="DJ286" s="314"/>
      <c r="DK286" s="314"/>
      <c r="DL286" s="314"/>
      <c r="DM286" s="314"/>
      <c r="DN286" s="314"/>
      <c r="DO286" s="314"/>
      <c r="DP286" s="314"/>
      <c r="DQ286" s="314"/>
      <c r="DR286" s="314"/>
      <c r="DS286" s="314"/>
      <c r="DT286" s="314"/>
      <c r="DU286" s="314"/>
      <c r="DV286" s="314"/>
      <c r="DW286" s="314"/>
    </row>
    <row r="287" customFormat="false" ht="12.75" hidden="false" customHeight="false" outlineLevel="0" collapsed="false">
      <c r="B287" s="371" t="n">
        <v>44287</v>
      </c>
      <c r="C287" s="391" t="n">
        <v>44275</v>
      </c>
      <c r="R287" s="314"/>
      <c r="W287" s="318"/>
      <c r="AE287" s="321" t="n">
        <v>0.072943548691412</v>
      </c>
      <c r="BS287" s="314"/>
      <c r="BT287" s="314"/>
      <c r="BZ287" s="314"/>
      <c r="CA287" s="314"/>
      <c r="CF287" s="314"/>
      <c r="CG287" s="314"/>
      <c r="CM287" s="314"/>
      <c r="CN287" s="314"/>
      <c r="CS287" s="314"/>
      <c r="CT287" s="314"/>
      <c r="CX287" s="318"/>
      <c r="CY287" s="314"/>
      <c r="CZ287" s="314"/>
      <c r="DA287" s="314"/>
      <c r="DB287" s="318"/>
      <c r="DC287" s="314"/>
      <c r="DD287" s="314"/>
      <c r="DE287" s="314"/>
      <c r="DH287" s="314"/>
      <c r="DI287" s="314"/>
      <c r="DJ287" s="314"/>
      <c r="DK287" s="314"/>
      <c r="DL287" s="314"/>
      <c r="DM287" s="314"/>
      <c r="DN287" s="314"/>
      <c r="DO287" s="314"/>
      <c r="DP287" s="314"/>
      <c r="DQ287" s="314"/>
      <c r="DR287" s="314"/>
      <c r="DS287" s="314"/>
      <c r="DT287" s="314"/>
      <c r="DU287" s="314"/>
      <c r="DV287" s="314"/>
      <c r="DW287" s="314"/>
    </row>
    <row r="288" customFormat="false" ht="12.75" hidden="false" customHeight="false" outlineLevel="0" collapsed="false">
      <c r="B288" s="371" t="n">
        <v>44317</v>
      </c>
      <c r="C288" s="391" t="n">
        <v>44306</v>
      </c>
      <c r="R288" s="314"/>
      <c r="W288" s="318"/>
      <c r="AE288" s="321" t="n">
        <v>0.072934801531367</v>
      </c>
      <c r="BS288" s="314"/>
      <c r="BT288" s="314"/>
      <c r="BZ288" s="314"/>
      <c r="CA288" s="314"/>
      <c r="CF288" s="314"/>
      <c r="CG288" s="314"/>
      <c r="CM288" s="314"/>
      <c r="CN288" s="314"/>
      <c r="CS288" s="314"/>
      <c r="CT288" s="314"/>
      <c r="CX288" s="318"/>
      <c r="CY288" s="314"/>
      <c r="CZ288" s="314"/>
      <c r="DA288" s="314"/>
      <c r="DB288" s="318"/>
      <c r="DC288" s="314"/>
      <c r="DD288" s="314"/>
      <c r="DE288" s="314"/>
      <c r="DH288" s="314"/>
      <c r="DI288" s="314"/>
      <c r="DJ288" s="314"/>
      <c r="DK288" s="314"/>
      <c r="DL288" s="314"/>
      <c r="DM288" s="314"/>
      <c r="DN288" s="314"/>
      <c r="DO288" s="314"/>
      <c r="DP288" s="314"/>
      <c r="DQ288" s="314"/>
      <c r="DR288" s="314"/>
      <c r="DS288" s="314"/>
      <c r="DT288" s="314"/>
      <c r="DU288" s="314"/>
      <c r="DV288" s="314"/>
      <c r="DW288" s="314"/>
    </row>
    <row r="289" customFormat="false" ht="12.75" hidden="false" customHeight="false" outlineLevel="0" collapsed="false">
      <c r="B289" s="371" t="n">
        <v>44348</v>
      </c>
      <c r="C289" s="391" t="n">
        <v>44338</v>
      </c>
      <c r="R289" s="314"/>
      <c r="W289" s="318"/>
      <c r="AE289" s="321" t="n">
        <v>0.072925762799347</v>
      </c>
      <c r="BS289" s="314"/>
      <c r="BT289" s="314"/>
      <c r="BZ289" s="314"/>
      <c r="CA289" s="314"/>
      <c r="CF289" s="314"/>
      <c r="CG289" s="314"/>
      <c r="CM289" s="314"/>
      <c r="CN289" s="314"/>
      <c r="CS289" s="314"/>
      <c r="CT289" s="314"/>
      <c r="CX289" s="318"/>
      <c r="CY289" s="314"/>
      <c r="CZ289" s="314"/>
      <c r="DA289" s="314"/>
      <c r="DB289" s="318"/>
      <c r="DC289" s="314"/>
      <c r="DD289" s="314"/>
      <c r="DE289" s="314"/>
      <c r="DH289" s="314"/>
      <c r="DI289" s="314"/>
      <c r="DJ289" s="314"/>
      <c r="DK289" s="314"/>
      <c r="DL289" s="314"/>
      <c r="DM289" s="314"/>
      <c r="DN289" s="314"/>
      <c r="DO289" s="314"/>
      <c r="DP289" s="314"/>
      <c r="DQ289" s="314"/>
      <c r="DR289" s="314"/>
      <c r="DS289" s="314"/>
      <c r="DT289" s="314"/>
      <c r="DU289" s="314"/>
      <c r="DV289" s="314"/>
      <c r="DW289" s="314"/>
    </row>
    <row r="290" customFormat="false" ht="12.75" hidden="false" customHeight="false" outlineLevel="0" collapsed="false">
      <c r="B290" s="371" t="n">
        <v>44378</v>
      </c>
      <c r="C290" s="391" t="n">
        <v>44367</v>
      </c>
      <c r="R290" s="314"/>
      <c r="W290" s="318"/>
      <c r="AE290" s="321" t="n">
        <v>0.072917015639353</v>
      </c>
      <c r="BS290" s="314"/>
      <c r="BT290" s="314"/>
      <c r="BZ290" s="314"/>
      <c r="CA290" s="314"/>
      <c r="CF290" s="314"/>
      <c r="CG290" s="314"/>
      <c r="CM290" s="314"/>
      <c r="CN290" s="314"/>
      <c r="CS290" s="314"/>
      <c r="CT290" s="314"/>
      <c r="CX290" s="318"/>
      <c r="CY290" s="314"/>
      <c r="CZ290" s="314"/>
      <c r="DA290" s="314"/>
      <c r="DB290" s="318"/>
      <c r="DC290" s="314"/>
      <c r="DD290" s="314"/>
      <c r="DE290" s="314"/>
      <c r="DH290" s="314"/>
      <c r="DI290" s="314"/>
      <c r="DJ290" s="314"/>
      <c r="DK290" s="314"/>
      <c r="DL290" s="314"/>
      <c r="DM290" s="314"/>
      <c r="DN290" s="314"/>
      <c r="DO290" s="314"/>
      <c r="DP290" s="314"/>
      <c r="DQ290" s="314"/>
      <c r="DR290" s="314"/>
      <c r="DS290" s="314"/>
      <c r="DT290" s="314"/>
      <c r="DU290" s="314"/>
      <c r="DV290" s="314"/>
      <c r="DW290" s="314"/>
    </row>
    <row r="291" customFormat="false" ht="12.75" hidden="false" customHeight="false" outlineLevel="0" collapsed="false">
      <c r="B291" s="371" t="n">
        <v>44409</v>
      </c>
      <c r="C291" s="391" t="n">
        <v>44397</v>
      </c>
      <c r="R291" s="314"/>
      <c r="W291" s="318"/>
      <c r="AE291" s="321" t="n">
        <v>0.072907976907386</v>
      </c>
      <c r="BS291" s="314"/>
      <c r="BT291" s="314"/>
      <c r="BZ291" s="314"/>
      <c r="CA291" s="314"/>
      <c r="CF291" s="314"/>
      <c r="CG291" s="314"/>
      <c r="CM291" s="314"/>
      <c r="CN291" s="314"/>
      <c r="CS291" s="314"/>
      <c r="CT291" s="314"/>
      <c r="CX291" s="318"/>
      <c r="CY291" s="314"/>
      <c r="CZ291" s="314"/>
      <c r="DA291" s="314"/>
      <c r="DB291" s="318"/>
      <c r="DC291" s="314"/>
      <c r="DD291" s="314"/>
      <c r="DE291" s="314"/>
      <c r="DH291" s="314"/>
      <c r="DI291" s="314"/>
      <c r="DJ291" s="314"/>
      <c r="DK291" s="314"/>
      <c r="DL291" s="314"/>
      <c r="DM291" s="314"/>
      <c r="DN291" s="314"/>
      <c r="DO291" s="314"/>
      <c r="DP291" s="314"/>
      <c r="DQ291" s="314"/>
      <c r="DR291" s="314"/>
      <c r="DS291" s="314"/>
      <c r="DT291" s="314"/>
      <c r="DU291" s="314"/>
      <c r="DV291" s="314"/>
      <c r="DW291" s="314"/>
    </row>
    <row r="292" customFormat="false" ht="12.75" hidden="false" customHeight="false" outlineLevel="0" collapsed="false">
      <c r="B292" s="371" t="n">
        <v>44440</v>
      </c>
      <c r="C292" s="391" t="n">
        <v>44429</v>
      </c>
      <c r="R292" s="314"/>
      <c r="W292" s="318"/>
      <c r="AE292" s="321" t="n">
        <v>0.072898938175446</v>
      </c>
      <c r="BS292" s="314"/>
      <c r="BT292" s="314"/>
      <c r="BZ292" s="314"/>
      <c r="CA292" s="314"/>
      <c r="CF292" s="314"/>
      <c r="CG292" s="314"/>
      <c r="CM292" s="314"/>
      <c r="CN292" s="314"/>
      <c r="CS292" s="314"/>
      <c r="CT292" s="314"/>
      <c r="CX292" s="318"/>
      <c r="CY292" s="314"/>
      <c r="CZ292" s="314"/>
      <c r="DA292" s="314"/>
      <c r="DB292" s="318"/>
      <c r="DC292" s="314"/>
      <c r="DD292" s="314"/>
      <c r="DE292" s="314"/>
      <c r="DH292" s="314"/>
      <c r="DI292" s="314"/>
      <c r="DJ292" s="314"/>
      <c r="DK292" s="314"/>
      <c r="DL292" s="314"/>
      <c r="DM292" s="314"/>
      <c r="DN292" s="314"/>
      <c r="DO292" s="314"/>
      <c r="DP292" s="314"/>
      <c r="DQ292" s="314"/>
      <c r="DR292" s="314"/>
      <c r="DS292" s="314"/>
      <c r="DT292" s="314"/>
      <c r="DU292" s="314"/>
      <c r="DV292" s="314"/>
      <c r="DW292" s="314"/>
    </row>
    <row r="293" customFormat="false" ht="12.75" hidden="false" customHeight="false" outlineLevel="0" collapsed="false">
      <c r="B293" s="371" t="n">
        <v>44470</v>
      </c>
      <c r="C293" s="391" t="n">
        <v>44459</v>
      </c>
      <c r="R293" s="314"/>
      <c r="W293" s="318"/>
      <c r="AE293" s="321" t="n">
        <v>0.072890482587527</v>
      </c>
      <c r="BS293" s="314"/>
      <c r="BT293" s="314"/>
      <c r="BZ293" s="314"/>
      <c r="CA293" s="314"/>
      <c r="CF293" s="314"/>
      <c r="CG293" s="314"/>
      <c r="CM293" s="314"/>
      <c r="CN293" s="314"/>
      <c r="CS293" s="314"/>
      <c r="CT293" s="314"/>
      <c r="CX293" s="318"/>
      <c r="CY293" s="314"/>
      <c r="CZ293" s="314"/>
      <c r="DA293" s="314"/>
      <c r="DB293" s="318"/>
      <c r="DC293" s="314"/>
      <c r="DD293" s="314"/>
      <c r="DE293" s="314"/>
      <c r="DH293" s="314"/>
      <c r="DI293" s="314"/>
      <c r="DJ293" s="314"/>
      <c r="DK293" s="314"/>
      <c r="DL293" s="314"/>
      <c r="DM293" s="314"/>
      <c r="DN293" s="314"/>
      <c r="DO293" s="314"/>
      <c r="DP293" s="314"/>
      <c r="DQ293" s="314"/>
      <c r="DR293" s="314"/>
      <c r="DS293" s="314"/>
      <c r="DT293" s="314"/>
      <c r="DU293" s="314"/>
      <c r="DV293" s="314"/>
      <c r="DW293" s="314"/>
    </row>
    <row r="294" customFormat="false" ht="12.75" hidden="false" customHeight="false" outlineLevel="0" collapsed="false">
      <c r="B294" s="371" t="n">
        <v>44501</v>
      </c>
      <c r="C294" s="391" t="n">
        <v>44491</v>
      </c>
      <c r="R294" s="314"/>
      <c r="W294" s="318"/>
      <c r="AE294" s="321" t="n">
        <v>0.072881443855639</v>
      </c>
      <c r="BS294" s="314"/>
      <c r="BT294" s="314"/>
      <c r="BZ294" s="314"/>
      <c r="CA294" s="314"/>
      <c r="CF294" s="314"/>
      <c r="CG294" s="314"/>
      <c r="CM294" s="314"/>
      <c r="CN294" s="314"/>
      <c r="CS294" s="314"/>
      <c r="CT294" s="314"/>
      <c r="CX294" s="318"/>
      <c r="CY294" s="314"/>
      <c r="CZ294" s="314"/>
      <c r="DA294" s="314"/>
      <c r="DB294" s="318"/>
      <c r="DC294" s="314"/>
      <c r="DD294" s="314"/>
      <c r="DE294" s="314"/>
      <c r="DH294" s="314"/>
      <c r="DI294" s="314"/>
      <c r="DJ294" s="314"/>
      <c r="DK294" s="314"/>
      <c r="DL294" s="314"/>
      <c r="DM294" s="314"/>
      <c r="DN294" s="314"/>
      <c r="DO294" s="314"/>
      <c r="DP294" s="314"/>
      <c r="DQ294" s="314"/>
      <c r="DR294" s="314"/>
      <c r="DS294" s="314"/>
      <c r="DT294" s="314"/>
      <c r="DU294" s="314"/>
      <c r="DV294" s="314"/>
      <c r="DW294" s="314"/>
    </row>
    <row r="295" customFormat="false" ht="12.75" hidden="false" customHeight="false" outlineLevel="0" collapsed="false">
      <c r="B295" s="371" t="n">
        <v>44531</v>
      </c>
      <c r="C295" s="391" t="n">
        <v>44519</v>
      </c>
      <c r="R295" s="314"/>
      <c r="W295" s="318"/>
      <c r="AE295" s="321" t="n">
        <v>0.072872696695774</v>
      </c>
      <c r="BS295" s="314"/>
      <c r="BT295" s="314"/>
      <c r="BZ295" s="314"/>
      <c r="CA295" s="314"/>
      <c r="CF295" s="314"/>
      <c r="CG295" s="314"/>
      <c r="CM295" s="314"/>
      <c r="CN295" s="314"/>
      <c r="CS295" s="314"/>
      <c r="CT295" s="314"/>
      <c r="CX295" s="318"/>
      <c r="CY295" s="314"/>
      <c r="CZ295" s="314"/>
      <c r="DA295" s="314"/>
      <c r="DB295" s="318"/>
      <c r="DC295" s="314"/>
      <c r="DD295" s="314"/>
      <c r="DE295" s="314"/>
      <c r="DH295" s="314"/>
      <c r="DI295" s="314"/>
      <c r="DJ295" s="314"/>
      <c r="DK295" s="314"/>
      <c r="DL295" s="314"/>
      <c r="DM295" s="314"/>
      <c r="DN295" s="314"/>
      <c r="DO295" s="314"/>
      <c r="DP295" s="314"/>
      <c r="DQ295" s="314"/>
      <c r="DR295" s="314"/>
      <c r="DS295" s="314"/>
      <c r="DT295" s="314"/>
      <c r="DU295" s="314"/>
      <c r="DV295" s="314"/>
      <c r="DW295" s="314"/>
    </row>
    <row r="296" customFormat="false" ht="12.75" hidden="false" customHeight="false" outlineLevel="0" collapsed="false">
      <c r="B296" s="371" t="n">
        <v>44562</v>
      </c>
      <c r="C296" s="391" t="n">
        <v>44549</v>
      </c>
      <c r="R296" s="314"/>
      <c r="W296" s="318"/>
      <c r="AE296" s="321" t="n">
        <v>0.072863657963939</v>
      </c>
      <c r="BS296" s="314"/>
      <c r="BT296" s="314"/>
      <c r="BZ296" s="314"/>
      <c r="CA296" s="314"/>
      <c r="CF296" s="314"/>
      <c r="CG296" s="314"/>
      <c r="CM296" s="314"/>
      <c r="CN296" s="314"/>
      <c r="CS296" s="314"/>
      <c r="CT296" s="314"/>
      <c r="CX296" s="318"/>
      <c r="CY296" s="314"/>
      <c r="CZ296" s="314"/>
      <c r="DA296" s="314"/>
      <c r="DB296" s="318"/>
      <c r="DC296" s="314"/>
      <c r="DD296" s="314"/>
      <c r="DE296" s="314"/>
      <c r="DH296" s="314"/>
      <c r="DI296" s="314"/>
      <c r="DJ296" s="314"/>
      <c r="DK296" s="314"/>
      <c r="DL296" s="314"/>
      <c r="DM296" s="314"/>
      <c r="DN296" s="314"/>
      <c r="DO296" s="314"/>
      <c r="DP296" s="314"/>
      <c r="DQ296" s="314"/>
      <c r="DR296" s="314"/>
      <c r="DS296" s="314"/>
      <c r="DT296" s="314"/>
      <c r="DU296" s="314"/>
      <c r="DV296" s="314"/>
      <c r="DW296" s="314"/>
    </row>
    <row r="297" customFormat="false" ht="12.75" hidden="false" customHeight="false" outlineLevel="0" collapsed="false">
      <c r="B297" s="371" t="n">
        <v>44593</v>
      </c>
      <c r="C297" s="391" t="n">
        <v>44583</v>
      </c>
      <c r="R297" s="314"/>
      <c r="W297" s="318"/>
      <c r="AE297" s="321" t="n">
        <v>0.072854910804125</v>
      </c>
      <c r="BS297" s="314"/>
      <c r="BT297" s="314"/>
      <c r="BZ297" s="314"/>
      <c r="CA297" s="314"/>
      <c r="CF297" s="314"/>
      <c r="CG297" s="314"/>
      <c r="CM297" s="314"/>
      <c r="CN297" s="314"/>
      <c r="CS297" s="314"/>
      <c r="CT297" s="314"/>
      <c r="CX297" s="318"/>
      <c r="CY297" s="314"/>
      <c r="CZ297" s="314"/>
      <c r="DA297" s="314"/>
      <c r="DB297" s="318"/>
      <c r="DC297" s="314"/>
      <c r="DD297" s="314"/>
      <c r="DE297" s="314"/>
      <c r="DH297" s="314"/>
      <c r="DI297" s="314"/>
      <c r="DJ297" s="314"/>
      <c r="DK297" s="314"/>
      <c r="DL297" s="314"/>
      <c r="DM297" s="314"/>
      <c r="DN297" s="314"/>
      <c r="DO297" s="314"/>
      <c r="DP297" s="314"/>
      <c r="DQ297" s="314"/>
      <c r="DR297" s="314"/>
      <c r="DS297" s="314"/>
      <c r="DT297" s="314"/>
      <c r="DU297" s="314"/>
      <c r="DV297" s="314"/>
      <c r="DW297" s="314"/>
    </row>
    <row r="298" customFormat="false" ht="12.75" hidden="false" customHeight="false" outlineLevel="0" collapsed="false">
      <c r="B298" s="371" t="n">
        <v>44621</v>
      </c>
      <c r="C298" s="391" t="n">
        <v>44612</v>
      </c>
      <c r="R298" s="314"/>
      <c r="W298" s="318"/>
      <c r="AE298" s="321" t="n">
        <v>0.072845872072344</v>
      </c>
      <c r="BS298" s="314"/>
      <c r="BT298" s="314"/>
      <c r="BZ298" s="314"/>
      <c r="CA298" s="314"/>
      <c r="CF298" s="314"/>
      <c r="CG298" s="314"/>
      <c r="CM298" s="314"/>
      <c r="CN298" s="314"/>
      <c r="CS298" s="314"/>
      <c r="CT298" s="314"/>
      <c r="CX298" s="318"/>
      <c r="CY298" s="314"/>
      <c r="CZ298" s="314"/>
      <c r="DA298" s="314"/>
      <c r="DB298" s="318"/>
      <c r="DC298" s="314"/>
      <c r="DD298" s="314"/>
      <c r="DE298" s="314"/>
      <c r="DH298" s="314"/>
      <c r="DI298" s="314"/>
      <c r="DJ298" s="314"/>
      <c r="DK298" s="314"/>
      <c r="DL298" s="314"/>
      <c r="DM298" s="314"/>
      <c r="DN298" s="314"/>
      <c r="DO298" s="314"/>
      <c r="DP298" s="314"/>
      <c r="DQ298" s="314"/>
      <c r="DR298" s="314"/>
      <c r="DS298" s="314"/>
      <c r="DT298" s="314"/>
      <c r="DU298" s="314"/>
      <c r="DV298" s="314"/>
      <c r="DW298" s="314"/>
    </row>
    <row r="299" customFormat="false" ht="12.75" hidden="false" customHeight="false" outlineLevel="0" collapsed="false">
      <c r="B299" s="371" t="n">
        <v>44652</v>
      </c>
      <c r="C299" s="391" t="n">
        <v>44640</v>
      </c>
      <c r="R299" s="314"/>
      <c r="W299" s="318"/>
      <c r="AE299" s="321" t="n">
        <v>0.072836833340589</v>
      </c>
      <c r="BS299" s="314"/>
      <c r="BT299" s="314"/>
      <c r="BZ299" s="314"/>
      <c r="CA299" s="314"/>
      <c r="CF299" s="314"/>
      <c r="CG299" s="314"/>
      <c r="CM299" s="314"/>
      <c r="CN299" s="314"/>
      <c r="CS299" s="314"/>
      <c r="CT299" s="314"/>
      <c r="CX299" s="318"/>
      <c r="CY299" s="314"/>
      <c r="CZ299" s="314"/>
      <c r="DA299" s="314"/>
      <c r="DB299" s="318"/>
      <c r="DC299" s="314"/>
      <c r="DD299" s="314"/>
      <c r="DE299" s="314"/>
      <c r="DH299" s="314"/>
      <c r="DI299" s="314"/>
      <c r="DJ299" s="314"/>
      <c r="DK299" s="314"/>
      <c r="DL299" s="314"/>
      <c r="DM299" s="314"/>
      <c r="DN299" s="314"/>
      <c r="DO299" s="314"/>
      <c r="DP299" s="314"/>
      <c r="DQ299" s="314"/>
      <c r="DR299" s="314"/>
      <c r="DS299" s="314"/>
      <c r="DT299" s="314"/>
      <c r="DU299" s="314"/>
      <c r="DV299" s="314"/>
      <c r="DW299" s="314"/>
    </row>
    <row r="300" customFormat="false" ht="12.75" hidden="false" customHeight="false" outlineLevel="0" collapsed="false">
      <c r="B300" s="371" t="n">
        <v>44682</v>
      </c>
      <c r="C300" s="391" t="n">
        <v>44671</v>
      </c>
      <c r="R300" s="314"/>
      <c r="W300" s="318"/>
      <c r="AE300" s="321" t="n">
        <v>0.072828086180852</v>
      </c>
      <c r="BS300" s="314"/>
      <c r="BT300" s="314"/>
      <c r="BZ300" s="314"/>
      <c r="CA300" s="314"/>
      <c r="CF300" s="314"/>
      <c r="CG300" s="314"/>
      <c r="CM300" s="314"/>
      <c r="CN300" s="314"/>
      <c r="CS300" s="314"/>
      <c r="CT300" s="314"/>
      <c r="CX300" s="318"/>
      <c r="CY300" s="314"/>
      <c r="CZ300" s="314"/>
      <c r="DA300" s="314"/>
      <c r="DB300" s="318"/>
      <c r="DC300" s="314"/>
      <c r="DD300" s="314"/>
      <c r="DE300" s="314"/>
      <c r="DH300" s="314"/>
      <c r="DI300" s="314"/>
      <c r="DJ300" s="314"/>
      <c r="DK300" s="314"/>
      <c r="DL300" s="314"/>
      <c r="DM300" s="314"/>
      <c r="DN300" s="314"/>
      <c r="DO300" s="314"/>
      <c r="DP300" s="314"/>
      <c r="DQ300" s="314"/>
      <c r="DR300" s="314"/>
      <c r="DS300" s="314"/>
      <c r="DT300" s="314"/>
      <c r="DU300" s="314"/>
      <c r="DV300" s="314"/>
      <c r="DW300" s="314"/>
    </row>
    <row r="301" customFormat="false" ht="12.75" hidden="false" customHeight="false" outlineLevel="0" collapsed="false">
      <c r="B301" s="371" t="n">
        <v>44713</v>
      </c>
      <c r="C301" s="391" t="n">
        <v>44703</v>
      </c>
      <c r="R301" s="314"/>
      <c r="W301" s="318"/>
      <c r="AE301" s="321" t="n">
        <v>0.072819047449151</v>
      </c>
      <c r="BS301" s="314"/>
      <c r="BT301" s="314"/>
      <c r="BZ301" s="314"/>
      <c r="CA301" s="314"/>
      <c r="CF301" s="314"/>
      <c r="CG301" s="314"/>
      <c r="CM301" s="314"/>
      <c r="CN301" s="314"/>
      <c r="CS301" s="314"/>
      <c r="CT301" s="314"/>
      <c r="CX301" s="318"/>
      <c r="CY301" s="314"/>
      <c r="CZ301" s="314"/>
      <c r="DA301" s="314"/>
      <c r="DB301" s="318"/>
      <c r="DC301" s="314"/>
      <c r="DD301" s="314"/>
      <c r="DE301" s="314"/>
      <c r="DH301" s="314"/>
      <c r="DI301" s="314"/>
      <c r="DJ301" s="314"/>
      <c r="DK301" s="314"/>
      <c r="DL301" s="314"/>
      <c r="DM301" s="314"/>
      <c r="DN301" s="314"/>
      <c r="DO301" s="314"/>
      <c r="DP301" s="314"/>
      <c r="DQ301" s="314"/>
      <c r="DR301" s="314"/>
      <c r="DS301" s="314"/>
      <c r="DT301" s="314"/>
      <c r="DU301" s="314"/>
      <c r="DV301" s="314"/>
      <c r="DW301" s="314"/>
    </row>
    <row r="302" customFormat="false" ht="12.75" hidden="false" customHeight="false" outlineLevel="0" collapsed="false">
      <c r="B302" s="371" t="n">
        <v>44743</v>
      </c>
      <c r="C302" s="391" t="n">
        <v>44732</v>
      </c>
      <c r="R302" s="314"/>
      <c r="W302" s="318"/>
      <c r="AE302" s="321" t="n">
        <v>0.072810300289465</v>
      </c>
      <c r="BS302" s="314"/>
      <c r="BT302" s="314"/>
      <c r="BZ302" s="314"/>
      <c r="CA302" s="314"/>
      <c r="CF302" s="314"/>
      <c r="CG302" s="314"/>
      <c r="CM302" s="314"/>
      <c r="CN302" s="314"/>
      <c r="CS302" s="314"/>
      <c r="CT302" s="314"/>
      <c r="CX302" s="318"/>
      <c r="CY302" s="314"/>
      <c r="CZ302" s="314"/>
      <c r="DA302" s="314"/>
      <c r="DB302" s="318"/>
      <c r="DC302" s="314"/>
      <c r="DD302" s="314"/>
      <c r="DE302" s="314"/>
      <c r="DH302" s="314"/>
      <c r="DI302" s="314"/>
      <c r="DJ302" s="314"/>
      <c r="DK302" s="314"/>
      <c r="DL302" s="314"/>
      <c r="DM302" s="314"/>
      <c r="DN302" s="314"/>
      <c r="DO302" s="314"/>
      <c r="DP302" s="314"/>
      <c r="DQ302" s="314"/>
      <c r="DR302" s="314"/>
      <c r="DS302" s="314"/>
      <c r="DT302" s="314"/>
      <c r="DU302" s="314"/>
      <c r="DV302" s="314"/>
      <c r="DW302" s="314"/>
    </row>
    <row r="303" customFormat="false" ht="12.75" hidden="false" customHeight="false" outlineLevel="0" collapsed="false">
      <c r="B303" s="371" t="n">
        <v>44774</v>
      </c>
      <c r="C303" s="391" t="n">
        <v>44762</v>
      </c>
      <c r="R303" s="314"/>
      <c r="W303" s="318"/>
      <c r="AE303" s="321" t="n">
        <v>0.072801261557817</v>
      </c>
      <c r="BS303" s="314"/>
      <c r="BT303" s="314"/>
      <c r="BZ303" s="314"/>
      <c r="CA303" s="314"/>
      <c r="CF303" s="314"/>
      <c r="CG303" s="314"/>
      <c r="CM303" s="314"/>
      <c r="CN303" s="314"/>
      <c r="CS303" s="314"/>
      <c r="CT303" s="314"/>
      <c r="CX303" s="318"/>
      <c r="CY303" s="314"/>
      <c r="CZ303" s="314"/>
      <c r="DA303" s="314"/>
      <c r="DB303" s="318"/>
      <c r="DC303" s="314"/>
      <c r="DD303" s="314"/>
      <c r="DE303" s="314"/>
      <c r="DH303" s="314"/>
      <c r="DI303" s="314"/>
      <c r="DJ303" s="314"/>
      <c r="DK303" s="314"/>
      <c r="DL303" s="314"/>
      <c r="DM303" s="314"/>
      <c r="DN303" s="314"/>
      <c r="DO303" s="314"/>
      <c r="DP303" s="314"/>
      <c r="DQ303" s="314"/>
      <c r="DR303" s="314"/>
      <c r="DS303" s="314"/>
      <c r="DT303" s="314"/>
      <c r="DU303" s="314"/>
      <c r="DV303" s="314"/>
      <c r="DW303" s="314"/>
    </row>
    <row r="304" customFormat="false" ht="12.75" hidden="false" customHeight="false" outlineLevel="0" collapsed="false">
      <c r="B304" s="371" t="n">
        <v>44805</v>
      </c>
      <c r="C304" s="391" t="n">
        <v>44794</v>
      </c>
      <c r="R304" s="314"/>
      <c r="W304" s="318"/>
      <c r="AE304" s="321" t="n">
        <v>0.072792222826195</v>
      </c>
      <c r="BS304" s="314"/>
      <c r="BT304" s="314"/>
      <c r="BZ304" s="314"/>
      <c r="CA304" s="314"/>
      <c r="CF304" s="314"/>
      <c r="CG304" s="314"/>
      <c r="CM304" s="314"/>
      <c r="CN304" s="314"/>
      <c r="CS304" s="314"/>
      <c r="CT304" s="314"/>
      <c r="CX304" s="318"/>
      <c r="CY304" s="314"/>
      <c r="CZ304" s="314"/>
      <c r="DA304" s="314"/>
      <c r="DB304" s="318"/>
      <c r="DC304" s="314"/>
      <c r="DD304" s="314"/>
      <c r="DE304" s="314"/>
      <c r="DH304" s="314"/>
      <c r="DI304" s="314"/>
      <c r="DJ304" s="314"/>
      <c r="DK304" s="314"/>
      <c r="DL304" s="314"/>
      <c r="DM304" s="314"/>
      <c r="DN304" s="314"/>
      <c r="DO304" s="314"/>
      <c r="DP304" s="314"/>
      <c r="DQ304" s="314"/>
      <c r="DR304" s="314"/>
      <c r="DS304" s="314"/>
      <c r="DT304" s="314"/>
      <c r="DU304" s="314"/>
      <c r="DV304" s="314"/>
      <c r="DW304" s="314"/>
    </row>
    <row r="305" customFormat="false" ht="12.75" hidden="false" customHeight="false" outlineLevel="0" collapsed="false">
      <c r="B305" s="371" t="n">
        <v>44835</v>
      </c>
      <c r="C305" s="391" t="n">
        <v>44824</v>
      </c>
      <c r="R305" s="314"/>
      <c r="W305" s="318"/>
      <c r="AE305" s="321" t="n">
        <v>0.072784058810561</v>
      </c>
      <c r="BS305" s="314"/>
      <c r="BT305" s="314"/>
      <c r="BZ305" s="314"/>
      <c r="CA305" s="314"/>
      <c r="CF305" s="314"/>
      <c r="CG305" s="314"/>
      <c r="CM305" s="314"/>
      <c r="CN305" s="314"/>
      <c r="CS305" s="314"/>
      <c r="CT305" s="314"/>
      <c r="CX305" s="318"/>
      <c r="CY305" s="314"/>
      <c r="CZ305" s="314"/>
      <c r="DA305" s="314"/>
      <c r="DB305" s="318"/>
      <c r="DC305" s="314"/>
      <c r="DD305" s="314"/>
      <c r="DE305" s="314"/>
      <c r="DH305" s="314"/>
      <c r="DI305" s="314"/>
      <c r="DJ305" s="314"/>
      <c r="DK305" s="314"/>
      <c r="DL305" s="314"/>
      <c r="DM305" s="314"/>
      <c r="DN305" s="314"/>
      <c r="DO305" s="314"/>
      <c r="DP305" s="314"/>
      <c r="DQ305" s="314"/>
      <c r="DR305" s="314"/>
      <c r="DS305" s="314"/>
      <c r="DT305" s="314"/>
      <c r="DU305" s="314"/>
      <c r="DV305" s="314"/>
      <c r="DW305" s="314"/>
    </row>
    <row r="306" customFormat="false" ht="12.75" hidden="false" customHeight="false" outlineLevel="0" collapsed="false">
      <c r="B306" s="371" t="n">
        <v>44866</v>
      </c>
      <c r="C306" s="391" t="n">
        <v>44856</v>
      </c>
      <c r="R306" s="314"/>
      <c r="W306" s="318"/>
      <c r="AE306" s="321" t="n">
        <v>0.072775020079</v>
      </c>
      <c r="BS306" s="314"/>
      <c r="BT306" s="314"/>
      <c r="BZ306" s="314"/>
      <c r="CA306" s="314"/>
      <c r="CF306" s="314"/>
      <c r="CG306" s="314"/>
      <c r="CM306" s="314"/>
      <c r="CN306" s="314"/>
      <c r="CS306" s="314"/>
      <c r="CT306" s="314"/>
      <c r="CX306" s="318"/>
      <c r="CY306" s="314"/>
      <c r="CZ306" s="314"/>
      <c r="DA306" s="314"/>
      <c r="DB306" s="318"/>
      <c r="DC306" s="314"/>
      <c r="DD306" s="314"/>
      <c r="DE306" s="314"/>
      <c r="DH306" s="314"/>
      <c r="DI306" s="314"/>
      <c r="DJ306" s="314"/>
      <c r="DK306" s="314"/>
      <c r="DL306" s="314"/>
      <c r="DM306" s="314"/>
      <c r="DN306" s="314"/>
      <c r="DO306" s="314"/>
      <c r="DP306" s="314"/>
      <c r="DQ306" s="314"/>
      <c r="DR306" s="314"/>
      <c r="DS306" s="314"/>
      <c r="DT306" s="314"/>
      <c r="DU306" s="314"/>
      <c r="DV306" s="314"/>
      <c r="DW306" s="314"/>
    </row>
    <row r="307" customFormat="false" ht="12.75" hidden="false" customHeight="false" outlineLevel="0" collapsed="false">
      <c r="B307" s="371" t="n">
        <v>44896</v>
      </c>
      <c r="C307" s="391" t="n">
        <v>44884</v>
      </c>
      <c r="R307" s="314"/>
      <c r="W307" s="318"/>
      <c r="AE307" s="321" t="n">
        <v>0.072766272919432</v>
      </c>
      <c r="BS307" s="314"/>
      <c r="BT307" s="314"/>
      <c r="BZ307" s="314"/>
      <c r="CA307" s="314"/>
      <c r="CF307" s="314"/>
      <c r="CG307" s="314"/>
      <c r="CM307" s="314"/>
      <c r="CN307" s="314"/>
      <c r="CS307" s="314"/>
      <c r="CT307" s="314"/>
      <c r="CX307" s="318"/>
      <c r="CY307" s="314"/>
      <c r="CZ307" s="314"/>
      <c r="DA307" s="314"/>
      <c r="DB307" s="318"/>
      <c r="DC307" s="314"/>
      <c r="DD307" s="314"/>
      <c r="DE307" s="314"/>
      <c r="DH307" s="314"/>
      <c r="DI307" s="314"/>
      <c r="DJ307" s="314"/>
      <c r="DK307" s="314"/>
      <c r="DL307" s="314"/>
      <c r="DM307" s="314"/>
      <c r="DN307" s="314"/>
      <c r="DO307" s="314"/>
      <c r="DP307" s="314"/>
      <c r="DQ307" s="314"/>
      <c r="DR307" s="314"/>
      <c r="DS307" s="314"/>
      <c r="DT307" s="314"/>
      <c r="DU307" s="314"/>
      <c r="DV307" s="314"/>
      <c r="DW307" s="314"/>
    </row>
    <row r="308" customFormat="false" ht="12.75" hidden="false" customHeight="false" outlineLevel="0" collapsed="false">
      <c r="B308" s="371" t="n">
        <v>44927</v>
      </c>
      <c r="C308" s="391" t="n">
        <v>44914</v>
      </c>
      <c r="R308" s="314"/>
      <c r="W308" s="318"/>
      <c r="AE308" s="321" t="n">
        <v>0.072757234187915</v>
      </c>
      <c r="BS308" s="314"/>
      <c r="BT308" s="314"/>
      <c r="BZ308" s="314"/>
      <c r="CA308" s="314"/>
      <c r="CF308" s="314"/>
      <c r="CG308" s="314"/>
      <c r="CM308" s="314"/>
      <c r="CN308" s="314"/>
      <c r="CS308" s="314"/>
      <c r="CT308" s="314"/>
      <c r="CX308" s="318"/>
      <c r="CY308" s="314"/>
      <c r="CZ308" s="314"/>
      <c r="DA308" s="314"/>
      <c r="DB308" s="318"/>
      <c r="DC308" s="314"/>
      <c r="DD308" s="314"/>
      <c r="DE308" s="314"/>
      <c r="DH308" s="314"/>
      <c r="DI308" s="314"/>
      <c r="DJ308" s="314"/>
      <c r="DK308" s="314"/>
      <c r="DL308" s="314"/>
      <c r="DM308" s="314"/>
      <c r="DN308" s="314"/>
      <c r="DO308" s="314"/>
      <c r="DP308" s="314"/>
      <c r="DQ308" s="314"/>
      <c r="DR308" s="314"/>
      <c r="DS308" s="314"/>
      <c r="DT308" s="314"/>
      <c r="DU308" s="314"/>
      <c r="DV308" s="314"/>
      <c r="DW308" s="314"/>
    </row>
    <row r="309" customFormat="false" ht="12.75" hidden="false" customHeight="false" outlineLevel="0" collapsed="false">
      <c r="B309" s="371" t="n">
        <v>44958</v>
      </c>
      <c r="C309" s="391" t="n">
        <v>44948</v>
      </c>
      <c r="R309" s="314"/>
      <c r="W309" s="318"/>
      <c r="AE309" s="321" t="n">
        <v>0.072748487028408</v>
      </c>
      <c r="BS309" s="314"/>
      <c r="BT309" s="314"/>
      <c r="BZ309" s="314"/>
      <c r="CA309" s="314"/>
      <c r="CF309" s="314"/>
      <c r="CG309" s="314"/>
      <c r="CM309" s="314"/>
      <c r="CN309" s="314"/>
      <c r="CS309" s="314"/>
      <c r="CT309" s="314"/>
      <c r="CX309" s="318"/>
      <c r="CY309" s="314"/>
      <c r="CZ309" s="314"/>
      <c r="DA309" s="314"/>
      <c r="DB309" s="318"/>
      <c r="DC309" s="314"/>
      <c r="DD309" s="314"/>
      <c r="DE309" s="314"/>
      <c r="DH309" s="314"/>
      <c r="DI309" s="314"/>
      <c r="DJ309" s="314"/>
      <c r="DK309" s="314"/>
      <c r="DL309" s="314"/>
      <c r="DM309" s="314"/>
      <c r="DN309" s="314"/>
      <c r="DO309" s="314"/>
      <c r="DP309" s="314"/>
      <c r="DQ309" s="314"/>
      <c r="DR309" s="314"/>
      <c r="DS309" s="314"/>
      <c r="DT309" s="314"/>
      <c r="DU309" s="314"/>
      <c r="DV309" s="314"/>
      <c r="DW309" s="314"/>
    </row>
    <row r="310" customFormat="false" ht="12.75" hidden="false" customHeight="false" outlineLevel="0" collapsed="false">
      <c r="B310" s="371" t="n">
        <v>44986</v>
      </c>
      <c r="C310" s="391" t="n">
        <v>44977</v>
      </c>
      <c r="R310" s="314"/>
      <c r="W310" s="318"/>
      <c r="AE310" s="321" t="n">
        <v>0.072739448296945</v>
      </c>
      <c r="BS310" s="314"/>
      <c r="BT310" s="314"/>
      <c r="BZ310" s="314"/>
      <c r="CA310" s="314"/>
      <c r="CF310" s="314"/>
      <c r="CG310" s="314"/>
      <c r="CM310" s="314"/>
      <c r="CN310" s="314"/>
      <c r="CS310" s="314"/>
      <c r="CT310" s="314"/>
      <c r="CX310" s="318"/>
      <c r="CY310" s="314"/>
      <c r="CZ310" s="314"/>
      <c r="DA310" s="314"/>
      <c r="DB310" s="318"/>
      <c r="DC310" s="314"/>
      <c r="DD310" s="314"/>
      <c r="DE310" s="314"/>
      <c r="DH310" s="314"/>
      <c r="DI310" s="314"/>
      <c r="DJ310" s="314"/>
      <c r="DK310" s="314"/>
      <c r="DL310" s="314"/>
      <c r="DM310" s="314"/>
      <c r="DN310" s="314"/>
      <c r="DO310" s="314"/>
      <c r="DP310" s="314"/>
      <c r="DQ310" s="314"/>
      <c r="DR310" s="314"/>
      <c r="DS310" s="314"/>
      <c r="DT310" s="314"/>
      <c r="DU310" s="314"/>
      <c r="DV310" s="314"/>
      <c r="DW310" s="314"/>
    </row>
    <row r="311" customFormat="false" ht="12.75" hidden="false" customHeight="false" outlineLevel="0" collapsed="false">
      <c r="B311" s="371" t="n">
        <v>45017</v>
      </c>
      <c r="C311" s="391" t="n">
        <v>45005</v>
      </c>
      <c r="R311" s="314"/>
      <c r="W311" s="318"/>
      <c r="AE311" s="321" t="n">
        <v>0.072730409565508</v>
      </c>
      <c r="BS311" s="314"/>
      <c r="BT311" s="314"/>
      <c r="BZ311" s="314"/>
      <c r="CA311" s="314"/>
      <c r="CF311" s="314"/>
      <c r="CG311" s="314"/>
      <c r="CM311" s="314"/>
      <c r="CN311" s="314"/>
      <c r="CS311" s="314"/>
      <c r="CT311" s="314"/>
      <c r="CX311" s="318"/>
      <c r="CY311" s="314"/>
      <c r="CZ311" s="314"/>
      <c r="DA311" s="314"/>
      <c r="DB311" s="318"/>
      <c r="DC311" s="314"/>
      <c r="DD311" s="314"/>
      <c r="DE311" s="314"/>
      <c r="DH311" s="314"/>
      <c r="DI311" s="314"/>
      <c r="DJ311" s="314"/>
      <c r="DK311" s="314"/>
      <c r="DL311" s="314"/>
      <c r="DM311" s="314"/>
      <c r="DN311" s="314"/>
      <c r="DO311" s="314"/>
      <c r="DP311" s="314"/>
      <c r="DQ311" s="314"/>
      <c r="DR311" s="314"/>
      <c r="DS311" s="314"/>
      <c r="DT311" s="314"/>
      <c r="DU311" s="314"/>
      <c r="DV311" s="314"/>
      <c r="DW311" s="314"/>
    </row>
    <row r="312" customFormat="false" ht="12.75" hidden="false" customHeight="false" outlineLevel="0" collapsed="false">
      <c r="B312" s="371" t="n">
        <v>45047</v>
      </c>
      <c r="C312" s="391" t="n">
        <v>45036</v>
      </c>
      <c r="R312" s="314"/>
      <c r="W312" s="318"/>
      <c r="AE312" s="321" t="n">
        <v>0.072721662406078</v>
      </c>
      <c r="BS312" s="314"/>
      <c r="BT312" s="314"/>
      <c r="BZ312" s="314"/>
      <c r="CA312" s="314"/>
      <c r="CF312" s="314"/>
      <c r="CG312" s="314"/>
      <c r="CM312" s="314"/>
      <c r="CN312" s="314"/>
      <c r="CS312" s="314"/>
      <c r="CT312" s="314"/>
      <c r="CX312" s="318"/>
      <c r="CY312" s="314"/>
      <c r="CZ312" s="314"/>
      <c r="DA312" s="314"/>
      <c r="DB312" s="318"/>
      <c r="DC312" s="314"/>
      <c r="DD312" s="314"/>
      <c r="DE312" s="314"/>
      <c r="DH312" s="314"/>
      <c r="DI312" s="314"/>
      <c r="DJ312" s="314"/>
      <c r="DK312" s="314"/>
      <c r="DL312" s="314"/>
      <c r="DM312" s="314"/>
      <c r="DN312" s="314"/>
      <c r="DO312" s="314"/>
      <c r="DP312" s="314"/>
      <c r="DQ312" s="314"/>
      <c r="DR312" s="314"/>
      <c r="DS312" s="314"/>
      <c r="DT312" s="314"/>
      <c r="DU312" s="314"/>
      <c r="DV312" s="314"/>
      <c r="DW312" s="314"/>
    </row>
    <row r="313" customFormat="false" ht="12.75" hidden="false" customHeight="false" outlineLevel="0" collapsed="false">
      <c r="B313" s="371" t="n">
        <v>45078</v>
      </c>
      <c r="C313" s="391" t="n">
        <v>45068</v>
      </c>
      <c r="R313" s="314"/>
      <c r="W313" s="318"/>
      <c r="AE313" s="321" t="n">
        <v>0.072712623674695</v>
      </c>
      <c r="BS313" s="314"/>
      <c r="BT313" s="314"/>
      <c r="BZ313" s="314"/>
      <c r="CA313" s="314"/>
      <c r="CF313" s="314"/>
      <c r="CG313" s="314"/>
      <c r="CM313" s="314"/>
      <c r="CN313" s="314"/>
      <c r="CS313" s="314"/>
      <c r="CT313" s="314"/>
      <c r="CX313" s="318"/>
      <c r="CY313" s="314"/>
      <c r="CZ313" s="314"/>
      <c r="DA313" s="314"/>
      <c r="DB313" s="318"/>
      <c r="DC313" s="314"/>
      <c r="DD313" s="314"/>
      <c r="DE313" s="314"/>
      <c r="DH313" s="314"/>
      <c r="DI313" s="314"/>
      <c r="DJ313" s="314"/>
      <c r="DK313" s="314"/>
      <c r="DL313" s="314"/>
      <c r="DM313" s="314"/>
      <c r="DN313" s="314"/>
      <c r="DO313" s="314"/>
      <c r="DP313" s="314"/>
      <c r="DQ313" s="314"/>
      <c r="DR313" s="314"/>
      <c r="DS313" s="314"/>
      <c r="DT313" s="314"/>
      <c r="DU313" s="314"/>
      <c r="DV313" s="314"/>
      <c r="DW313" s="314"/>
    </row>
    <row r="314" customFormat="false" ht="12.75" hidden="false" customHeight="false" outlineLevel="0" collapsed="false">
      <c r="B314" s="371" t="n">
        <v>45108</v>
      </c>
      <c r="C314" s="391" t="n">
        <v>45097</v>
      </c>
      <c r="R314" s="314"/>
      <c r="W314" s="318"/>
      <c r="AE314" s="321" t="n">
        <v>0.072703876515317</v>
      </c>
      <c r="BS314" s="314"/>
      <c r="BT314" s="314"/>
      <c r="BZ314" s="314"/>
      <c r="CA314" s="314"/>
      <c r="CF314" s="314"/>
      <c r="CG314" s="314"/>
      <c r="CM314" s="314"/>
      <c r="CN314" s="314"/>
      <c r="CS314" s="314"/>
      <c r="CT314" s="314"/>
      <c r="CX314" s="318"/>
      <c r="CY314" s="314"/>
      <c r="CZ314" s="314"/>
      <c r="DA314" s="314"/>
      <c r="DB314" s="318"/>
      <c r="DC314" s="314"/>
      <c r="DD314" s="314"/>
      <c r="DE314" s="314"/>
      <c r="DH314" s="314"/>
      <c r="DI314" s="314"/>
      <c r="DJ314" s="314"/>
      <c r="DK314" s="314"/>
      <c r="DL314" s="314"/>
      <c r="DM314" s="314"/>
      <c r="DN314" s="314"/>
      <c r="DO314" s="314"/>
      <c r="DP314" s="314"/>
      <c r="DQ314" s="314"/>
      <c r="DR314" s="314"/>
      <c r="DS314" s="314"/>
      <c r="DT314" s="314"/>
      <c r="DU314" s="314"/>
      <c r="DV314" s="314"/>
      <c r="DW314" s="314"/>
    </row>
    <row r="315" customFormat="false" ht="12.75" hidden="false" customHeight="false" outlineLevel="0" collapsed="false">
      <c r="B315" s="371" t="n">
        <v>45139</v>
      </c>
      <c r="C315" s="391" t="n">
        <v>45127</v>
      </c>
      <c r="R315" s="314"/>
      <c r="W315" s="318"/>
      <c r="AE315" s="321" t="n">
        <v>0.072694837783986</v>
      </c>
      <c r="BS315" s="314"/>
      <c r="BT315" s="314"/>
      <c r="BZ315" s="314"/>
      <c r="CA315" s="314"/>
      <c r="CF315" s="314"/>
      <c r="CG315" s="314"/>
      <c r="CM315" s="314"/>
      <c r="CN315" s="314"/>
      <c r="CS315" s="314"/>
      <c r="CT315" s="314"/>
      <c r="CX315" s="318"/>
      <c r="CY315" s="314"/>
      <c r="CZ315" s="314"/>
      <c r="DA315" s="314"/>
      <c r="DB315" s="318"/>
      <c r="DC315" s="314"/>
      <c r="DD315" s="314"/>
      <c r="DE315" s="314"/>
      <c r="DH315" s="314"/>
      <c r="DI315" s="314"/>
      <c r="DJ315" s="314"/>
      <c r="DK315" s="314"/>
      <c r="DL315" s="314"/>
      <c r="DM315" s="314"/>
      <c r="DN315" s="314"/>
      <c r="DO315" s="314"/>
      <c r="DP315" s="314"/>
      <c r="DQ315" s="314"/>
      <c r="DR315" s="314"/>
      <c r="DS315" s="314"/>
      <c r="DT315" s="314"/>
      <c r="DU315" s="314"/>
      <c r="DV315" s="314"/>
      <c r="DW315" s="314"/>
    </row>
    <row r="316" customFormat="false" ht="12.75" hidden="false" customHeight="false" outlineLevel="0" collapsed="false">
      <c r="B316" s="371" t="n">
        <v>45170</v>
      </c>
      <c r="C316" s="391" t="n">
        <v>45159</v>
      </c>
      <c r="R316" s="314"/>
      <c r="W316" s="318"/>
      <c r="AE316" s="321" t="n">
        <v>0.072685799052682</v>
      </c>
      <c r="BS316" s="314"/>
      <c r="BT316" s="314"/>
      <c r="BZ316" s="314"/>
      <c r="CA316" s="314"/>
      <c r="CF316" s="314"/>
      <c r="CG316" s="314"/>
      <c r="CM316" s="314"/>
      <c r="CN316" s="314"/>
      <c r="CS316" s="314"/>
      <c r="CT316" s="314"/>
      <c r="CX316" s="318"/>
      <c r="CY316" s="314"/>
      <c r="CZ316" s="314"/>
      <c r="DA316" s="314"/>
      <c r="DB316" s="318"/>
      <c r="DC316" s="314"/>
      <c r="DD316" s="314"/>
      <c r="DE316" s="314"/>
      <c r="DH316" s="314"/>
      <c r="DI316" s="314"/>
      <c r="DJ316" s="314"/>
      <c r="DK316" s="314"/>
      <c r="DL316" s="314"/>
      <c r="DM316" s="314"/>
      <c r="DN316" s="314"/>
      <c r="DO316" s="314"/>
      <c r="DP316" s="314"/>
      <c r="DQ316" s="314"/>
      <c r="DR316" s="314"/>
      <c r="DS316" s="314"/>
      <c r="DT316" s="314"/>
      <c r="DU316" s="314"/>
      <c r="DV316" s="314"/>
      <c r="DW316" s="314"/>
    </row>
    <row r="317" customFormat="false" ht="12.75" hidden="false" customHeight="false" outlineLevel="0" collapsed="false">
      <c r="B317" s="371" t="n">
        <v>45200</v>
      </c>
      <c r="C317" s="391" t="n">
        <v>45189</v>
      </c>
      <c r="R317" s="314"/>
      <c r="W317" s="318"/>
      <c r="AE317" s="321" t="n">
        <v>0.072677635037334</v>
      </c>
      <c r="BS317" s="314"/>
      <c r="BT317" s="314"/>
      <c r="BZ317" s="314"/>
      <c r="CA317" s="314"/>
      <c r="CF317" s="314"/>
      <c r="CG317" s="314"/>
      <c r="CM317" s="314"/>
      <c r="CN317" s="314"/>
      <c r="CS317" s="314"/>
      <c r="CT317" s="314"/>
      <c r="CX317" s="318"/>
      <c r="CY317" s="314"/>
      <c r="CZ317" s="314"/>
      <c r="DA317" s="314"/>
      <c r="DB317" s="318"/>
      <c r="DC317" s="314"/>
      <c r="DD317" s="314"/>
      <c r="DE317" s="314"/>
      <c r="DH317" s="314"/>
      <c r="DI317" s="314"/>
      <c r="DJ317" s="314"/>
      <c r="DK317" s="314"/>
      <c r="DL317" s="314"/>
      <c r="DM317" s="314"/>
      <c r="DN317" s="314"/>
      <c r="DO317" s="314"/>
      <c r="DP317" s="314"/>
      <c r="DQ317" s="314"/>
      <c r="DR317" s="314"/>
      <c r="DS317" s="314"/>
      <c r="DT317" s="314"/>
      <c r="DU317" s="314"/>
      <c r="DV317" s="314"/>
      <c r="DW317" s="314"/>
    </row>
    <row r="318" customFormat="false" ht="12.75" hidden="false" customHeight="false" outlineLevel="0" collapsed="false">
      <c r="B318" s="371" t="n">
        <v>45231</v>
      </c>
      <c r="C318" s="391" t="n">
        <v>45221</v>
      </c>
      <c r="R318" s="314"/>
      <c r="W318" s="318"/>
      <c r="AE318" s="321" t="n">
        <v>0.072668596306082</v>
      </c>
      <c r="BS318" s="314"/>
      <c r="BT318" s="314"/>
      <c r="BZ318" s="314"/>
      <c r="CA318" s="314"/>
      <c r="CF318" s="314"/>
      <c r="CG318" s="314"/>
      <c r="CM318" s="314"/>
      <c r="CN318" s="314"/>
      <c r="CS318" s="314"/>
      <c r="CT318" s="314"/>
      <c r="CX318" s="318"/>
      <c r="CY318" s="314"/>
      <c r="CZ318" s="314"/>
      <c r="DA318" s="314"/>
      <c r="DB318" s="318"/>
      <c r="DC318" s="314"/>
      <c r="DD318" s="314"/>
      <c r="DE318" s="314"/>
      <c r="DH318" s="314"/>
      <c r="DI318" s="314"/>
      <c r="DJ318" s="314"/>
      <c r="DK318" s="314"/>
      <c r="DL318" s="314"/>
      <c r="DM318" s="314"/>
      <c r="DN318" s="314"/>
      <c r="DO318" s="314"/>
      <c r="DP318" s="314"/>
      <c r="DQ318" s="314"/>
      <c r="DR318" s="314"/>
      <c r="DS318" s="314"/>
      <c r="DT318" s="314"/>
      <c r="DU318" s="314"/>
      <c r="DV318" s="314"/>
      <c r="DW318" s="314"/>
    </row>
    <row r="319" customFormat="false" ht="12.75" hidden="false" customHeight="false" outlineLevel="0" collapsed="false">
      <c r="B319" s="371" t="n">
        <v>45261</v>
      </c>
      <c r="C319" s="391" t="n">
        <v>45249</v>
      </c>
      <c r="R319" s="314"/>
      <c r="W319" s="318"/>
      <c r="AE319" s="321" t="n">
        <v>0.072659849146831</v>
      </c>
      <c r="BS319" s="314"/>
      <c r="BT319" s="314"/>
      <c r="BZ319" s="314"/>
      <c r="CA319" s="314"/>
      <c r="CF319" s="314"/>
      <c r="CG319" s="314"/>
      <c r="CM319" s="314"/>
      <c r="CN319" s="314"/>
      <c r="CS319" s="314"/>
      <c r="CT319" s="314"/>
      <c r="CX319" s="318"/>
      <c r="CY319" s="314"/>
      <c r="CZ319" s="314"/>
      <c r="DA319" s="314"/>
      <c r="DB319" s="318"/>
      <c r="DC319" s="314"/>
      <c r="DD319" s="314"/>
      <c r="DE319" s="314"/>
      <c r="DH319" s="314"/>
      <c r="DI319" s="314"/>
      <c r="DJ319" s="314"/>
      <c r="DK319" s="314"/>
      <c r="DL319" s="314"/>
      <c r="DM319" s="314"/>
      <c r="DN319" s="314"/>
      <c r="DO319" s="314"/>
      <c r="DP319" s="314"/>
      <c r="DQ319" s="314"/>
      <c r="DR319" s="314"/>
      <c r="DS319" s="314"/>
      <c r="DT319" s="314"/>
      <c r="DU319" s="314"/>
      <c r="DV319" s="314"/>
      <c r="DW319" s="314"/>
    </row>
    <row r="320" customFormat="false" ht="12.75" hidden="false" customHeight="false" outlineLevel="0" collapsed="false">
      <c r="B320" s="371" t="n">
        <v>45292</v>
      </c>
      <c r="C320" s="391" t="n">
        <v>45279</v>
      </c>
      <c r="R320" s="314"/>
      <c r="W320" s="318"/>
      <c r="AE320" s="321" t="n">
        <v>0.072650810415632</v>
      </c>
      <c r="BS320" s="314"/>
      <c r="BT320" s="314"/>
      <c r="BZ320" s="314"/>
      <c r="CA320" s="314"/>
      <c r="CF320" s="314"/>
      <c r="CG320" s="314"/>
      <c r="CM320" s="314"/>
      <c r="CN320" s="314"/>
      <c r="CS320" s="314"/>
      <c r="CT320" s="314"/>
      <c r="CX320" s="318"/>
      <c r="CY320" s="314"/>
      <c r="CZ320" s="314"/>
      <c r="DA320" s="314"/>
      <c r="DB320" s="318"/>
      <c r="DC320" s="314"/>
      <c r="DD320" s="314"/>
      <c r="DE320" s="314"/>
      <c r="DH320" s="314"/>
      <c r="DI320" s="314"/>
      <c r="DJ320" s="314"/>
      <c r="DK320" s="314"/>
      <c r="DL320" s="314"/>
      <c r="DM320" s="314"/>
      <c r="DN320" s="314"/>
      <c r="DO320" s="314"/>
      <c r="DP320" s="314"/>
      <c r="DQ320" s="314"/>
      <c r="DR320" s="314"/>
      <c r="DS320" s="314"/>
      <c r="DT320" s="314"/>
      <c r="DU320" s="314"/>
      <c r="DV320" s="314"/>
      <c r="DW320" s="314"/>
    </row>
    <row r="321" customFormat="false" ht="12.75" hidden="false" customHeight="false" outlineLevel="0" collapsed="false">
      <c r="B321" s="371" t="n">
        <v>45323</v>
      </c>
      <c r="C321" s="391" t="n">
        <v>45313</v>
      </c>
      <c r="R321" s="314"/>
      <c r="W321" s="318"/>
      <c r="AE321" s="321" t="n">
        <v>0.072642063256432</v>
      </c>
      <c r="BS321" s="314"/>
      <c r="BT321" s="314"/>
      <c r="BZ321" s="314"/>
      <c r="CA321" s="314"/>
      <c r="CF321" s="314"/>
      <c r="CG321" s="314"/>
      <c r="CM321" s="314"/>
      <c r="CN321" s="314"/>
      <c r="CS321" s="314"/>
      <c r="CT321" s="314"/>
      <c r="CX321" s="318"/>
      <c r="CY321" s="314"/>
      <c r="CZ321" s="314"/>
      <c r="DA321" s="314"/>
      <c r="DB321" s="318"/>
      <c r="DC321" s="314"/>
      <c r="DD321" s="314"/>
      <c r="DE321" s="314"/>
      <c r="DH321" s="314"/>
      <c r="DI321" s="314"/>
      <c r="DJ321" s="314"/>
      <c r="DK321" s="314"/>
      <c r="DL321" s="314"/>
      <c r="DM321" s="314"/>
      <c r="DN321" s="314"/>
      <c r="DO321" s="314"/>
      <c r="DP321" s="314"/>
      <c r="DQ321" s="314"/>
      <c r="DR321" s="314"/>
      <c r="DS321" s="314"/>
      <c r="DT321" s="314"/>
      <c r="DU321" s="314"/>
      <c r="DV321" s="314"/>
      <c r="DW321" s="314"/>
    </row>
    <row r="322" customFormat="false" ht="12.75" hidden="false" customHeight="false" outlineLevel="0" collapsed="false">
      <c r="B322" s="371" t="n">
        <v>45352</v>
      </c>
      <c r="C322" s="391" t="n">
        <v>45342</v>
      </c>
      <c r="R322" s="314"/>
      <c r="W322" s="318"/>
      <c r="AE322" s="321" t="n">
        <v>0.072633024525286</v>
      </c>
      <c r="BS322" s="314"/>
      <c r="BT322" s="314"/>
      <c r="BZ322" s="314"/>
      <c r="CA322" s="314"/>
      <c r="CF322" s="314"/>
      <c r="CG322" s="314"/>
      <c r="CM322" s="314"/>
      <c r="CN322" s="314"/>
      <c r="CS322" s="314"/>
      <c r="CT322" s="314"/>
      <c r="CX322" s="318"/>
      <c r="CY322" s="314"/>
      <c r="CZ322" s="314"/>
      <c r="DA322" s="314"/>
      <c r="DB322" s="318"/>
      <c r="DC322" s="314"/>
      <c r="DD322" s="314"/>
      <c r="DE322" s="314"/>
      <c r="DH322" s="314"/>
      <c r="DI322" s="314"/>
      <c r="DJ322" s="314"/>
      <c r="DK322" s="314"/>
      <c r="DL322" s="314"/>
      <c r="DM322" s="314"/>
      <c r="DN322" s="314"/>
      <c r="DO322" s="314"/>
      <c r="DP322" s="314"/>
      <c r="DQ322" s="314"/>
      <c r="DR322" s="314"/>
      <c r="DS322" s="314"/>
      <c r="DT322" s="314"/>
      <c r="DU322" s="314"/>
      <c r="DV322" s="314"/>
      <c r="DW322" s="314"/>
    </row>
    <row r="323" customFormat="false" ht="12.75" hidden="false" customHeight="false" outlineLevel="0" collapsed="false">
      <c r="B323" s="371" t="n">
        <v>45383</v>
      </c>
      <c r="C323" s="391" t="n">
        <v>45370</v>
      </c>
      <c r="R323" s="314"/>
      <c r="W323" s="318"/>
      <c r="AE323" s="321" t="n">
        <v>0.072623985794167</v>
      </c>
      <c r="BS323" s="314"/>
      <c r="BT323" s="314"/>
      <c r="BZ323" s="314"/>
      <c r="CA323" s="314"/>
      <c r="CF323" s="314"/>
      <c r="CG323" s="314"/>
      <c r="CM323" s="314"/>
      <c r="CN323" s="314"/>
      <c r="CS323" s="314"/>
      <c r="CT323" s="314"/>
      <c r="CX323" s="318"/>
      <c r="CY323" s="314"/>
      <c r="CZ323" s="314"/>
      <c r="DA323" s="314"/>
      <c r="DB323" s="318"/>
      <c r="DC323" s="314"/>
      <c r="DD323" s="314"/>
      <c r="DE323" s="314"/>
      <c r="DH323" s="314"/>
      <c r="DI323" s="314"/>
      <c r="DJ323" s="314"/>
      <c r="DK323" s="314"/>
      <c r="DL323" s="314"/>
      <c r="DM323" s="314"/>
      <c r="DN323" s="314"/>
      <c r="DO323" s="314"/>
      <c r="DP323" s="314"/>
      <c r="DQ323" s="314"/>
      <c r="DR323" s="314"/>
      <c r="DS323" s="314"/>
      <c r="DT323" s="314"/>
      <c r="DU323" s="314"/>
      <c r="DV323" s="314"/>
      <c r="DW323" s="314"/>
    </row>
    <row r="324" customFormat="false" ht="12.75" hidden="false" customHeight="false" outlineLevel="0" collapsed="false">
      <c r="B324" s="371" t="n">
        <v>45413</v>
      </c>
      <c r="C324" s="391" t="n">
        <v>45401</v>
      </c>
      <c r="R324" s="314"/>
      <c r="W324" s="318"/>
      <c r="AE324" s="321" t="n">
        <v>0.072615238635045</v>
      </c>
      <c r="BS324" s="314"/>
      <c r="BT324" s="314"/>
      <c r="BZ324" s="314"/>
      <c r="CA324" s="314"/>
      <c r="CF324" s="314"/>
      <c r="CG324" s="314"/>
      <c r="CM324" s="314"/>
      <c r="CN324" s="314"/>
      <c r="CS324" s="314"/>
      <c r="CT324" s="314"/>
      <c r="CX324" s="318"/>
      <c r="CY324" s="314"/>
      <c r="CZ324" s="314"/>
      <c r="DA324" s="314"/>
      <c r="DB324" s="318"/>
      <c r="DC324" s="314"/>
      <c r="DD324" s="314"/>
      <c r="DE324" s="314"/>
      <c r="DH324" s="314"/>
      <c r="DI324" s="314"/>
      <c r="DJ324" s="314"/>
      <c r="DK324" s="314"/>
      <c r="DL324" s="314"/>
      <c r="DM324" s="314"/>
      <c r="DN324" s="314"/>
      <c r="DO324" s="314"/>
      <c r="DP324" s="314"/>
      <c r="DQ324" s="314"/>
      <c r="DR324" s="314"/>
      <c r="DS324" s="314"/>
      <c r="DT324" s="314"/>
      <c r="DU324" s="314"/>
      <c r="DV324" s="314"/>
      <c r="DW324" s="314"/>
    </row>
    <row r="325" customFormat="false" ht="12.75" hidden="false" customHeight="false" outlineLevel="0" collapsed="false">
      <c r="B325" s="371" t="n">
        <v>45444</v>
      </c>
      <c r="C325" s="391" t="n">
        <v>45433</v>
      </c>
      <c r="R325" s="314"/>
      <c r="W325" s="318"/>
      <c r="AE325" s="321" t="n">
        <v>0.072606199903979</v>
      </c>
      <c r="BS325" s="314"/>
      <c r="BT325" s="314"/>
      <c r="BZ325" s="314"/>
      <c r="CA325" s="314"/>
      <c r="CF325" s="314"/>
      <c r="CG325" s="314"/>
      <c r="CM325" s="314"/>
      <c r="CN325" s="314"/>
      <c r="CS325" s="314"/>
      <c r="CT325" s="314"/>
      <c r="CX325" s="318"/>
      <c r="CY325" s="314"/>
      <c r="CZ325" s="314"/>
      <c r="DA325" s="314"/>
      <c r="DB325" s="318"/>
      <c r="DC325" s="314"/>
      <c r="DD325" s="314"/>
      <c r="DE325" s="314"/>
      <c r="DH325" s="314"/>
      <c r="DI325" s="314"/>
      <c r="DJ325" s="314"/>
      <c r="DK325" s="314"/>
      <c r="DL325" s="314"/>
      <c r="DM325" s="314"/>
      <c r="DN325" s="314"/>
      <c r="DO325" s="314"/>
      <c r="DP325" s="314"/>
      <c r="DQ325" s="314"/>
      <c r="DR325" s="314"/>
      <c r="DS325" s="314"/>
      <c r="DT325" s="314"/>
      <c r="DU325" s="314"/>
      <c r="DV325" s="314"/>
      <c r="DW325" s="314"/>
    </row>
    <row r="326" customFormat="false" ht="12.75" hidden="false" customHeight="false" outlineLevel="0" collapsed="false">
      <c r="B326" s="371" t="n">
        <v>45474</v>
      </c>
      <c r="C326" s="391" t="n">
        <v>45462</v>
      </c>
      <c r="R326" s="314"/>
      <c r="W326" s="318"/>
      <c r="AE326" s="321" t="n">
        <v>0.072597452744908</v>
      </c>
      <c r="BS326" s="314"/>
      <c r="BT326" s="314"/>
      <c r="BZ326" s="314"/>
      <c r="CA326" s="314"/>
      <c r="CF326" s="314"/>
      <c r="CG326" s="314"/>
      <c r="CM326" s="314"/>
      <c r="CN326" s="314"/>
      <c r="CS326" s="314"/>
      <c r="CT326" s="314"/>
      <c r="CX326" s="318"/>
      <c r="CY326" s="314"/>
      <c r="CZ326" s="314"/>
      <c r="DA326" s="314"/>
      <c r="DB326" s="318"/>
      <c r="DC326" s="314"/>
      <c r="DD326" s="314"/>
      <c r="DE326" s="314"/>
      <c r="DH326" s="314"/>
      <c r="DI326" s="314"/>
      <c r="DJ326" s="314"/>
      <c r="DK326" s="314"/>
      <c r="DL326" s="314"/>
      <c r="DM326" s="314"/>
      <c r="DN326" s="314"/>
      <c r="DO326" s="314"/>
      <c r="DP326" s="314"/>
      <c r="DQ326" s="314"/>
      <c r="DR326" s="314"/>
      <c r="DS326" s="314"/>
      <c r="DT326" s="314"/>
      <c r="DU326" s="314"/>
      <c r="DV326" s="314"/>
      <c r="DW326" s="314"/>
    </row>
    <row r="327" customFormat="false" ht="12.75" hidden="false" customHeight="false" outlineLevel="0" collapsed="false">
      <c r="B327" s="371" t="n">
        <v>45505</v>
      </c>
      <c r="C327" s="391" t="n">
        <v>45492</v>
      </c>
      <c r="R327" s="314"/>
      <c r="W327" s="318"/>
      <c r="AE327" s="321" t="n">
        <v>0.072588414013895</v>
      </c>
      <c r="BS327" s="314"/>
      <c r="BT327" s="314"/>
      <c r="BZ327" s="314"/>
      <c r="CA327" s="314"/>
      <c r="CF327" s="314"/>
      <c r="CG327" s="314"/>
      <c r="CM327" s="314"/>
      <c r="CN327" s="314"/>
      <c r="CS327" s="314"/>
      <c r="CT327" s="314"/>
      <c r="CX327" s="318"/>
      <c r="CY327" s="314"/>
      <c r="CZ327" s="314"/>
      <c r="DA327" s="314"/>
      <c r="DB327" s="318"/>
      <c r="DC327" s="314"/>
      <c r="DD327" s="314"/>
      <c r="DE327" s="314"/>
      <c r="DH327" s="314"/>
      <c r="DI327" s="314"/>
      <c r="DJ327" s="314"/>
      <c r="DK327" s="314"/>
      <c r="DL327" s="314"/>
      <c r="DM327" s="314"/>
      <c r="DN327" s="314"/>
      <c r="DO327" s="314"/>
      <c r="DP327" s="314"/>
      <c r="DQ327" s="314"/>
      <c r="DR327" s="314"/>
      <c r="DS327" s="314"/>
      <c r="DT327" s="314"/>
      <c r="DU327" s="314"/>
      <c r="DV327" s="314"/>
      <c r="DW327" s="314"/>
    </row>
    <row r="328" customFormat="false" ht="12.75" hidden="false" customHeight="false" outlineLevel="0" collapsed="false">
      <c r="B328" s="371" t="n">
        <v>45536</v>
      </c>
      <c r="C328" s="391" t="n">
        <v>45524</v>
      </c>
      <c r="R328" s="314"/>
      <c r="W328" s="318"/>
      <c r="AE328" s="321" t="n">
        <v>0.072579375282909</v>
      </c>
      <c r="BS328" s="314"/>
      <c r="BT328" s="314"/>
      <c r="BZ328" s="314"/>
      <c r="CA328" s="314"/>
      <c r="CF328" s="314"/>
      <c r="CG328" s="314"/>
      <c r="CM328" s="314"/>
      <c r="CN328" s="314"/>
      <c r="CS328" s="314"/>
      <c r="CT328" s="314"/>
      <c r="CX328" s="318"/>
      <c r="CY328" s="314"/>
      <c r="CZ328" s="314"/>
      <c r="DA328" s="314"/>
      <c r="DB328" s="318"/>
      <c r="DC328" s="314"/>
      <c r="DD328" s="314"/>
      <c r="DE328" s="314"/>
      <c r="DH328" s="314"/>
      <c r="DI328" s="314"/>
      <c r="DJ328" s="314"/>
      <c r="DK328" s="314"/>
      <c r="DL328" s="314"/>
      <c r="DM328" s="314"/>
      <c r="DN328" s="314"/>
      <c r="DO328" s="314"/>
      <c r="DP328" s="314"/>
      <c r="DQ328" s="314"/>
      <c r="DR328" s="314"/>
      <c r="DS328" s="314"/>
      <c r="DT328" s="314"/>
      <c r="DU328" s="314"/>
      <c r="DV328" s="314"/>
      <c r="DW328" s="314"/>
    </row>
    <row r="329" customFormat="false" ht="12.75" hidden="false" customHeight="false" outlineLevel="0" collapsed="false">
      <c r="B329" s="371" t="n">
        <v>45566</v>
      </c>
      <c r="C329" s="391" t="n">
        <v>45554</v>
      </c>
      <c r="R329" s="314"/>
      <c r="W329" s="318"/>
      <c r="AE329" s="321" t="n">
        <v>0.072571211267848</v>
      </c>
      <c r="BS329" s="314"/>
      <c r="BT329" s="314"/>
      <c r="BZ329" s="314"/>
      <c r="CA329" s="314"/>
      <c r="CF329" s="314"/>
      <c r="CG329" s="314"/>
      <c r="CM329" s="314"/>
      <c r="CN329" s="314"/>
      <c r="CS329" s="314"/>
      <c r="CT329" s="314"/>
      <c r="CX329" s="318"/>
      <c r="CY329" s="314"/>
      <c r="CZ329" s="314"/>
      <c r="DA329" s="314"/>
      <c r="DB329" s="318"/>
      <c r="DC329" s="314"/>
      <c r="DD329" s="314"/>
      <c r="DE329" s="314"/>
      <c r="DH329" s="314"/>
      <c r="DI329" s="314"/>
      <c r="DJ329" s="314"/>
      <c r="DK329" s="314"/>
      <c r="DL329" s="314"/>
      <c r="DM329" s="314"/>
      <c r="DN329" s="314"/>
      <c r="DO329" s="314"/>
      <c r="DP329" s="314"/>
      <c r="DQ329" s="314"/>
      <c r="DR329" s="314"/>
      <c r="DS329" s="314"/>
      <c r="DT329" s="314"/>
      <c r="DU329" s="314"/>
      <c r="DV329" s="314"/>
      <c r="DW329" s="314"/>
    </row>
    <row r="330" customFormat="false" ht="12.75" hidden="false" customHeight="false" outlineLevel="0" collapsed="false">
      <c r="B330" s="371" t="n">
        <v>45597</v>
      </c>
      <c r="C330" s="391" t="n">
        <v>45586</v>
      </c>
      <c r="R330" s="314"/>
      <c r="W330" s="318"/>
      <c r="AE330" s="321" t="n">
        <v>0.072562172536913</v>
      </c>
      <c r="BS330" s="314"/>
      <c r="BT330" s="314"/>
      <c r="BZ330" s="314"/>
      <c r="CA330" s="314"/>
      <c r="CF330" s="314"/>
      <c r="CG330" s="314"/>
      <c r="CM330" s="314"/>
      <c r="CN330" s="314"/>
      <c r="CS330" s="314"/>
      <c r="CT330" s="314"/>
      <c r="CX330" s="318"/>
      <c r="CY330" s="314"/>
      <c r="CZ330" s="314"/>
      <c r="DA330" s="314"/>
      <c r="DB330" s="318"/>
      <c r="DC330" s="314"/>
      <c r="DD330" s="314"/>
      <c r="DE330" s="314"/>
      <c r="DH330" s="314"/>
      <c r="DI330" s="314"/>
      <c r="DJ330" s="314"/>
      <c r="DK330" s="314"/>
      <c r="DL330" s="314"/>
      <c r="DM330" s="314"/>
      <c r="DN330" s="314"/>
      <c r="DO330" s="314"/>
      <c r="DP330" s="314"/>
      <c r="DQ330" s="314"/>
      <c r="DR330" s="314"/>
      <c r="DS330" s="314"/>
      <c r="DT330" s="314"/>
      <c r="DU330" s="314"/>
      <c r="DV330" s="314"/>
      <c r="DW330" s="314"/>
    </row>
    <row r="331" customFormat="false" ht="12.75" hidden="false" customHeight="false" outlineLevel="0" collapsed="false">
      <c r="B331" s="371" t="n">
        <v>45627</v>
      </c>
      <c r="C331" s="391" t="n">
        <v>45614</v>
      </c>
      <c r="R331" s="314"/>
      <c r="W331" s="318"/>
      <c r="AE331" s="321" t="n">
        <v>0.07255342537797</v>
      </c>
      <c r="BS331" s="314"/>
      <c r="BT331" s="314"/>
      <c r="BZ331" s="314"/>
      <c r="CA331" s="314"/>
      <c r="CF331" s="314"/>
      <c r="CG331" s="314"/>
      <c r="CM331" s="314"/>
      <c r="CN331" s="314"/>
      <c r="CS331" s="314"/>
      <c r="CT331" s="314"/>
      <c r="CX331" s="318"/>
      <c r="CY331" s="314"/>
      <c r="CZ331" s="314"/>
      <c r="DA331" s="314"/>
      <c r="DB331" s="318"/>
      <c r="DC331" s="314"/>
      <c r="DD331" s="314"/>
      <c r="DE331" s="314"/>
      <c r="DH331" s="314"/>
      <c r="DI331" s="314"/>
      <c r="DJ331" s="314"/>
      <c r="DK331" s="314"/>
      <c r="DL331" s="314"/>
      <c r="DM331" s="314"/>
      <c r="DN331" s="314"/>
      <c r="DO331" s="314"/>
      <c r="DP331" s="314"/>
      <c r="DQ331" s="314"/>
      <c r="DR331" s="314"/>
      <c r="DS331" s="314"/>
      <c r="DT331" s="314"/>
      <c r="DU331" s="314"/>
      <c r="DV331" s="314"/>
      <c r="DW331" s="314"/>
    </row>
    <row r="332" customFormat="false" ht="13.5" hidden="false" customHeight="false" outlineLevel="0" collapsed="false">
      <c r="B332" s="417" t="n">
        <v>45658</v>
      </c>
      <c r="C332" s="418" t="n">
        <v>45644</v>
      </c>
      <c r="R332" s="314"/>
      <c r="W332" s="318"/>
      <c r="AE332" s="321" t="n">
        <v>0.072544386647088</v>
      </c>
      <c r="BS332" s="314"/>
      <c r="BT332" s="314"/>
      <c r="BZ332" s="314"/>
      <c r="CA332" s="314"/>
      <c r="CF332" s="314"/>
      <c r="CG332" s="314"/>
      <c r="CM332" s="314"/>
      <c r="CN332" s="314"/>
      <c r="CS332" s="314"/>
      <c r="CT332" s="314"/>
      <c r="CX332" s="318"/>
      <c r="CY332" s="314"/>
      <c r="CZ332" s="314"/>
      <c r="DA332" s="314"/>
      <c r="DB332" s="318"/>
      <c r="DC332" s="314"/>
      <c r="DD332" s="314"/>
      <c r="DE332" s="314"/>
      <c r="DH332" s="314"/>
      <c r="DI332" s="314"/>
      <c r="DJ332" s="314"/>
      <c r="DK332" s="314"/>
      <c r="DL332" s="314"/>
      <c r="DM332" s="314"/>
      <c r="DN332" s="314"/>
      <c r="DO332" s="314"/>
      <c r="DP332" s="314"/>
      <c r="DQ332" s="314"/>
      <c r="DR332" s="314"/>
      <c r="DS332" s="314"/>
      <c r="DT332" s="314"/>
      <c r="DU332" s="314"/>
      <c r="DV332" s="314"/>
      <c r="DW332" s="314"/>
    </row>
    <row r="333" customFormat="false" ht="12.75" hidden="false" customHeight="false" outlineLevel="0" collapsed="false">
      <c r="R333" s="314"/>
      <c r="W333" s="318"/>
      <c r="AE333" s="321" t="n">
        <v>0.072535639488196</v>
      </c>
      <c r="BS333" s="314"/>
      <c r="BT333" s="314"/>
      <c r="BZ333" s="314"/>
      <c r="CA333" s="314"/>
      <c r="CF333" s="314"/>
      <c r="CG333" s="314"/>
      <c r="CM333" s="314"/>
      <c r="CN333" s="314"/>
      <c r="CS333" s="314"/>
      <c r="CT333" s="314"/>
      <c r="CX333" s="318"/>
      <c r="CY333" s="314"/>
      <c r="CZ333" s="314"/>
      <c r="DA333" s="314"/>
      <c r="DB333" s="318"/>
      <c r="DC333" s="314"/>
      <c r="DD333" s="314"/>
      <c r="DE333" s="314"/>
      <c r="DH333" s="314"/>
      <c r="DI333" s="314"/>
      <c r="DJ333" s="314"/>
      <c r="DK333" s="314"/>
      <c r="DL333" s="314"/>
      <c r="DM333" s="314"/>
      <c r="DN333" s="314"/>
      <c r="DO333" s="314"/>
      <c r="DP333" s="314"/>
      <c r="DQ333" s="314"/>
      <c r="DR333" s="314"/>
      <c r="DS333" s="314"/>
      <c r="DT333" s="314"/>
      <c r="DU333" s="314"/>
      <c r="DV333" s="314"/>
      <c r="DW333" s="314"/>
    </row>
    <row r="334" customFormat="false" ht="12.75" hidden="false" customHeight="false" outlineLevel="0" collapsed="false">
      <c r="R334" s="314"/>
      <c r="W334" s="318"/>
      <c r="AE334" s="321" t="n">
        <v>0.072526600757368</v>
      </c>
      <c r="BS334" s="314"/>
      <c r="BT334" s="314"/>
      <c r="BZ334" s="314"/>
      <c r="CA334" s="314"/>
      <c r="CF334" s="314"/>
      <c r="CG334" s="314"/>
      <c r="CM334" s="314"/>
      <c r="CN334" s="314"/>
      <c r="CS334" s="314"/>
      <c r="CT334" s="314"/>
      <c r="CX334" s="318"/>
      <c r="CY334" s="314"/>
      <c r="CZ334" s="314"/>
      <c r="DA334" s="314"/>
      <c r="DB334" s="318"/>
      <c r="DC334" s="314"/>
      <c r="DD334" s="314"/>
      <c r="DE334" s="314"/>
      <c r="DH334" s="314"/>
      <c r="DI334" s="314"/>
      <c r="DJ334" s="314"/>
      <c r="DK334" s="314"/>
      <c r="DL334" s="314"/>
      <c r="DM334" s="314"/>
      <c r="DN334" s="314"/>
      <c r="DO334" s="314"/>
      <c r="DP334" s="314"/>
      <c r="DQ334" s="314"/>
      <c r="DR334" s="314"/>
      <c r="DS334" s="314"/>
      <c r="DT334" s="314"/>
      <c r="DU334" s="314"/>
      <c r="DV334" s="314"/>
      <c r="DW334" s="314"/>
    </row>
    <row r="335" customFormat="false" ht="12.75" hidden="false" customHeight="false" outlineLevel="0" collapsed="false">
      <c r="R335" s="314"/>
      <c r="W335" s="318"/>
      <c r="AE335" s="321" t="n">
        <v>0.072517562026567</v>
      </c>
      <c r="BS335" s="314"/>
      <c r="BT335" s="314"/>
      <c r="BZ335" s="314"/>
      <c r="CA335" s="314"/>
      <c r="CF335" s="314"/>
      <c r="CG335" s="314"/>
      <c r="CM335" s="314"/>
      <c r="CN335" s="314"/>
      <c r="CS335" s="314"/>
      <c r="CT335" s="314"/>
      <c r="CX335" s="318"/>
      <c r="CY335" s="314"/>
      <c r="CZ335" s="314"/>
      <c r="DA335" s="314"/>
      <c r="DB335" s="318"/>
      <c r="DC335" s="314"/>
      <c r="DD335" s="314"/>
      <c r="DE335" s="314"/>
      <c r="DH335" s="314"/>
      <c r="DI335" s="314"/>
      <c r="DJ335" s="314"/>
      <c r="DK335" s="314"/>
      <c r="DL335" s="314"/>
      <c r="DM335" s="314"/>
      <c r="DN335" s="314"/>
      <c r="DO335" s="314"/>
      <c r="DP335" s="314"/>
      <c r="DQ335" s="314"/>
      <c r="DR335" s="314"/>
      <c r="DS335" s="314"/>
      <c r="DT335" s="314"/>
      <c r="DU335" s="314"/>
      <c r="DV335" s="314"/>
      <c r="DW335" s="314"/>
    </row>
    <row r="336" customFormat="false" ht="12.75" hidden="false" customHeight="false" outlineLevel="0" collapsed="false">
      <c r="R336" s="314"/>
      <c r="W336" s="318"/>
      <c r="AE336" s="321" t="n">
        <v>0.072508814867752</v>
      </c>
      <c r="BS336" s="314"/>
      <c r="BT336" s="314"/>
      <c r="BZ336" s="314"/>
      <c r="CA336" s="314"/>
      <c r="CF336" s="314"/>
      <c r="CG336" s="314"/>
      <c r="CM336" s="314"/>
      <c r="CN336" s="314"/>
      <c r="CS336" s="314"/>
      <c r="CT336" s="314"/>
      <c r="CX336" s="318"/>
      <c r="CY336" s="314"/>
      <c r="CZ336" s="314"/>
      <c r="DA336" s="314"/>
      <c r="DB336" s="318"/>
      <c r="DC336" s="314"/>
      <c r="DD336" s="314"/>
      <c r="DE336" s="314"/>
      <c r="DH336" s="314"/>
      <c r="DI336" s="314"/>
      <c r="DJ336" s="314"/>
      <c r="DK336" s="314"/>
      <c r="DL336" s="314"/>
      <c r="DM336" s="314"/>
      <c r="DN336" s="314"/>
      <c r="DO336" s="314"/>
      <c r="DP336" s="314"/>
      <c r="DQ336" s="314"/>
      <c r="DR336" s="314"/>
      <c r="DS336" s="314"/>
      <c r="DT336" s="314"/>
      <c r="DU336" s="314"/>
      <c r="DV336" s="314"/>
      <c r="DW336" s="314"/>
    </row>
    <row r="337" customFormat="false" ht="12.75" hidden="false" customHeight="false" outlineLevel="0" collapsed="false">
      <c r="R337" s="314"/>
      <c r="W337" s="318"/>
      <c r="AE337" s="321" t="n">
        <v>0.072499776137003</v>
      </c>
      <c r="BS337" s="314"/>
      <c r="BT337" s="314"/>
      <c r="BZ337" s="314"/>
      <c r="CA337" s="314"/>
      <c r="CF337" s="314"/>
      <c r="CG337" s="314"/>
      <c r="CM337" s="314"/>
      <c r="CN337" s="314"/>
      <c r="CS337" s="314"/>
      <c r="CT337" s="314"/>
      <c r="CX337" s="318"/>
      <c r="CY337" s="314"/>
      <c r="CZ337" s="314"/>
      <c r="DA337" s="314"/>
      <c r="DB337" s="318"/>
      <c r="DC337" s="314"/>
      <c r="DD337" s="314"/>
      <c r="DE337" s="314"/>
      <c r="DH337" s="314"/>
      <c r="DI337" s="314"/>
      <c r="DJ337" s="314"/>
      <c r="DK337" s="314"/>
      <c r="DL337" s="314"/>
      <c r="DM337" s="314"/>
      <c r="DN337" s="314"/>
      <c r="DO337" s="314"/>
      <c r="DP337" s="314"/>
      <c r="DQ337" s="314"/>
      <c r="DR337" s="314"/>
      <c r="DS337" s="314"/>
      <c r="DT337" s="314"/>
      <c r="DU337" s="314"/>
      <c r="DV337" s="314"/>
      <c r="DW337" s="314"/>
    </row>
    <row r="338" customFormat="false" ht="12.75" hidden="false" customHeight="false" outlineLevel="0" collapsed="false">
      <c r="R338" s="314"/>
      <c r="W338" s="318"/>
      <c r="AE338" s="321" t="n">
        <v>0.07249102897824</v>
      </c>
      <c r="BS338" s="314"/>
      <c r="BT338" s="314"/>
      <c r="BZ338" s="314"/>
      <c r="CA338" s="314"/>
      <c r="CF338" s="314"/>
      <c r="CG338" s="314"/>
      <c r="CM338" s="314"/>
      <c r="CN338" s="314"/>
      <c r="CS338" s="314"/>
      <c r="CT338" s="314"/>
      <c r="CX338" s="318"/>
      <c r="CY338" s="314"/>
      <c r="CZ338" s="314"/>
      <c r="DA338" s="314"/>
      <c r="DB338" s="318"/>
      <c r="DC338" s="314"/>
      <c r="DD338" s="314"/>
      <c r="DE338" s="314"/>
      <c r="DH338" s="314"/>
      <c r="DI338" s="314"/>
      <c r="DJ338" s="314"/>
      <c r="DK338" s="314"/>
      <c r="DL338" s="314"/>
      <c r="DM338" s="314"/>
      <c r="DN338" s="314"/>
      <c r="DO338" s="314"/>
      <c r="DP338" s="314"/>
      <c r="DQ338" s="314"/>
      <c r="DR338" s="314"/>
      <c r="DS338" s="314"/>
      <c r="DT338" s="314"/>
      <c r="DU338" s="314"/>
      <c r="DV338" s="314"/>
      <c r="DW338" s="314"/>
    </row>
    <row r="339" customFormat="false" ht="12.75" hidden="false" customHeight="false" outlineLevel="0" collapsed="false">
      <c r="R339" s="314"/>
      <c r="W339" s="318"/>
      <c r="AE339" s="321" t="n">
        <v>0.072481990247545</v>
      </c>
      <c r="BS339" s="314"/>
      <c r="BT339" s="314"/>
      <c r="BZ339" s="314"/>
      <c r="CA339" s="314"/>
      <c r="CF339" s="314"/>
      <c r="CG339" s="314"/>
      <c r="CM339" s="314"/>
      <c r="CN339" s="314"/>
      <c r="CS339" s="314"/>
      <c r="CT339" s="314"/>
      <c r="CX339" s="318"/>
      <c r="CY339" s="314"/>
      <c r="CZ339" s="314"/>
      <c r="DA339" s="314"/>
      <c r="DB339" s="318"/>
      <c r="DC339" s="314"/>
      <c r="DD339" s="314"/>
      <c r="DE339" s="314"/>
      <c r="DH339" s="314"/>
      <c r="DI339" s="314"/>
      <c r="DJ339" s="314"/>
      <c r="DK339" s="314"/>
      <c r="DL339" s="314"/>
      <c r="DM339" s="314"/>
      <c r="DN339" s="314"/>
      <c r="DO339" s="314"/>
      <c r="DP339" s="314"/>
      <c r="DQ339" s="314"/>
      <c r="DR339" s="314"/>
      <c r="DS339" s="314"/>
      <c r="DT339" s="314"/>
      <c r="DU339" s="314"/>
      <c r="DV339" s="314"/>
      <c r="DW339" s="314"/>
    </row>
    <row r="340" customFormat="false" ht="12.75" hidden="false" customHeight="false" outlineLevel="0" collapsed="false">
      <c r="R340" s="314"/>
      <c r="W340" s="318"/>
      <c r="AE340" s="321" t="n">
        <v>0.072472951516876</v>
      </c>
      <c r="BS340" s="314"/>
      <c r="BT340" s="314"/>
      <c r="BZ340" s="314"/>
      <c r="CA340" s="314"/>
      <c r="CF340" s="314"/>
      <c r="CG340" s="314"/>
      <c r="CM340" s="314"/>
      <c r="CN340" s="314"/>
      <c r="CS340" s="314"/>
      <c r="CT340" s="314"/>
      <c r="CX340" s="318"/>
      <c r="CY340" s="314"/>
      <c r="CZ340" s="314"/>
      <c r="DA340" s="314"/>
      <c r="DB340" s="318"/>
      <c r="DC340" s="314"/>
      <c r="DD340" s="314"/>
      <c r="DE340" s="314"/>
      <c r="DH340" s="314"/>
      <c r="DI340" s="314"/>
      <c r="DJ340" s="314"/>
      <c r="DK340" s="314"/>
      <c r="DL340" s="314"/>
      <c r="DM340" s="314"/>
      <c r="DN340" s="314"/>
      <c r="DO340" s="314"/>
      <c r="DP340" s="314"/>
      <c r="DQ340" s="314"/>
      <c r="DR340" s="314"/>
      <c r="DS340" s="314"/>
      <c r="DT340" s="314"/>
      <c r="DU340" s="314"/>
      <c r="DV340" s="314"/>
      <c r="DW340" s="314"/>
    </row>
    <row r="341" customFormat="false" ht="12.75" hidden="false" customHeight="false" outlineLevel="0" collapsed="false">
      <c r="R341" s="314"/>
      <c r="W341" s="318"/>
      <c r="AE341" s="321" t="n">
        <v>0.072464495930146</v>
      </c>
      <c r="BS341" s="314"/>
      <c r="BT341" s="314"/>
      <c r="BZ341" s="314"/>
      <c r="CA341" s="314"/>
      <c r="CF341" s="314"/>
      <c r="CG341" s="314"/>
      <c r="CM341" s="314"/>
      <c r="CN341" s="314"/>
      <c r="CS341" s="314"/>
      <c r="CT341" s="314"/>
      <c r="CX341" s="318"/>
      <c r="CY341" s="314"/>
      <c r="CZ341" s="314"/>
      <c r="DA341" s="314"/>
      <c r="DB341" s="318"/>
      <c r="DC341" s="314"/>
      <c r="DD341" s="314"/>
      <c r="DE341" s="314"/>
      <c r="DH341" s="314"/>
      <c r="DI341" s="314"/>
      <c r="DJ341" s="314"/>
      <c r="DK341" s="314"/>
      <c r="DL341" s="314"/>
      <c r="DM341" s="314"/>
      <c r="DN341" s="314"/>
      <c r="DO341" s="314"/>
      <c r="DP341" s="314"/>
      <c r="DQ341" s="314"/>
      <c r="DR341" s="314"/>
      <c r="DS341" s="314"/>
      <c r="DT341" s="314"/>
      <c r="DU341" s="314"/>
      <c r="DV341" s="314"/>
      <c r="DW341" s="314"/>
    </row>
    <row r="342" customFormat="false" ht="12.75" hidden="false" customHeight="false" outlineLevel="0" collapsed="false">
      <c r="R342" s="314"/>
      <c r="W342" s="318"/>
      <c r="AE342" s="321" t="n">
        <v>0.07245545719953</v>
      </c>
      <c r="BS342" s="314"/>
      <c r="BT342" s="314"/>
      <c r="BZ342" s="314"/>
      <c r="CA342" s="314"/>
      <c r="CF342" s="314"/>
      <c r="CG342" s="314"/>
      <c r="CM342" s="314"/>
      <c r="CN342" s="314"/>
      <c r="CS342" s="314"/>
      <c r="CT342" s="314"/>
      <c r="CX342" s="318"/>
      <c r="CY342" s="314"/>
      <c r="CZ342" s="314"/>
      <c r="DA342" s="314"/>
      <c r="DB342" s="318"/>
      <c r="DC342" s="314"/>
      <c r="DD342" s="314"/>
      <c r="DE342" s="314"/>
      <c r="DH342" s="314"/>
      <c r="DI342" s="314"/>
      <c r="DJ342" s="314"/>
      <c r="DK342" s="314"/>
      <c r="DL342" s="314"/>
      <c r="DM342" s="314"/>
      <c r="DN342" s="314"/>
      <c r="DO342" s="314"/>
      <c r="DP342" s="314"/>
      <c r="DQ342" s="314"/>
      <c r="DR342" s="314"/>
      <c r="DS342" s="314"/>
      <c r="DT342" s="314"/>
      <c r="DU342" s="314"/>
      <c r="DV342" s="314"/>
      <c r="DW342" s="314"/>
    </row>
    <row r="343" customFormat="false" ht="12.75" hidden="false" customHeight="false" outlineLevel="0" collapsed="false">
      <c r="R343" s="314"/>
      <c r="W343" s="318"/>
      <c r="AE343" s="321" t="n">
        <v>0.072446710040895</v>
      </c>
      <c r="BS343" s="314"/>
      <c r="BT343" s="314"/>
      <c r="BZ343" s="314"/>
      <c r="CA343" s="314"/>
      <c r="CF343" s="314"/>
      <c r="CG343" s="314"/>
      <c r="CM343" s="314"/>
      <c r="CN343" s="314"/>
      <c r="CS343" s="314"/>
      <c r="CT343" s="314"/>
      <c r="CX343" s="318"/>
      <c r="CY343" s="314"/>
      <c r="CZ343" s="314"/>
      <c r="DA343" s="314"/>
      <c r="DB343" s="318"/>
      <c r="DC343" s="314"/>
      <c r="DD343" s="314"/>
      <c r="DE343" s="314"/>
      <c r="DH343" s="314"/>
      <c r="DI343" s="314"/>
      <c r="DJ343" s="314"/>
      <c r="DK343" s="314"/>
      <c r="DL343" s="314"/>
      <c r="DM343" s="314"/>
      <c r="DN343" s="314"/>
      <c r="DO343" s="314"/>
      <c r="DP343" s="314"/>
      <c r="DQ343" s="314"/>
      <c r="DR343" s="314"/>
      <c r="DS343" s="314"/>
      <c r="DT343" s="314"/>
      <c r="DU343" s="314"/>
      <c r="DV343" s="314"/>
      <c r="DW343" s="314"/>
    </row>
    <row r="344" customFormat="false" ht="12.75" hidden="false" customHeight="false" outlineLevel="0" collapsed="false">
      <c r="R344" s="314"/>
      <c r="W344" s="318"/>
      <c r="AE344" s="321" t="n">
        <v>0.072437671310332</v>
      </c>
      <c r="BS344" s="314"/>
      <c r="BT344" s="314"/>
      <c r="BZ344" s="314"/>
      <c r="CA344" s="314"/>
      <c r="CF344" s="314"/>
      <c r="CG344" s="314"/>
      <c r="CM344" s="314"/>
      <c r="CN344" s="314"/>
      <c r="CS344" s="314"/>
      <c r="CT344" s="314"/>
      <c r="CX344" s="318"/>
      <c r="CY344" s="314"/>
      <c r="CZ344" s="314"/>
      <c r="DA344" s="314"/>
      <c r="DB344" s="318"/>
      <c r="DC344" s="314"/>
      <c r="DD344" s="314"/>
      <c r="DE344" s="314"/>
      <c r="DH344" s="314"/>
      <c r="DI344" s="314"/>
      <c r="DJ344" s="314"/>
      <c r="DK344" s="314"/>
      <c r="DL344" s="314"/>
      <c r="DM344" s="314"/>
      <c r="DN344" s="314"/>
      <c r="DO344" s="314"/>
      <c r="DP344" s="314"/>
      <c r="DQ344" s="314"/>
      <c r="DR344" s="314"/>
      <c r="DS344" s="314"/>
      <c r="DT344" s="314"/>
      <c r="DU344" s="314"/>
      <c r="DV344" s="314"/>
      <c r="DW344" s="314"/>
    </row>
    <row r="345" customFormat="false" ht="12.75" hidden="false" customHeight="false" outlineLevel="0" collapsed="false">
      <c r="R345" s="314"/>
      <c r="W345" s="318"/>
      <c r="AE345" s="321" t="n">
        <v>0.072428924151748</v>
      </c>
      <c r="BS345" s="314"/>
      <c r="BT345" s="314"/>
      <c r="BZ345" s="314"/>
      <c r="CA345" s="314"/>
      <c r="CF345" s="314"/>
      <c r="CG345" s="314"/>
      <c r="CM345" s="314"/>
      <c r="CN345" s="314"/>
      <c r="CS345" s="314"/>
      <c r="CT345" s="314"/>
      <c r="CX345" s="318"/>
      <c r="CY345" s="314"/>
      <c r="CZ345" s="314"/>
      <c r="DA345" s="314"/>
      <c r="DB345" s="318"/>
      <c r="DC345" s="314"/>
      <c r="DD345" s="314"/>
      <c r="DE345" s="314"/>
      <c r="DH345" s="314"/>
      <c r="DI345" s="314"/>
      <c r="DJ345" s="314"/>
      <c r="DK345" s="314"/>
      <c r="DL345" s="314"/>
      <c r="DM345" s="314"/>
      <c r="DN345" s="314"/>
      <c r="DO345" s="314"/>
      <c r="DP345" s="314"/>
      <c r="DQ345" s="314"/>
      <c r="DR345" s="314"/>
      <c r="DS345" s="314"/>
      <c r="DT345" s="314"/>
      <c r="DU345" s="314"/>
      <c r="DV345" s="314"/>
      <c r="DW345" s="314"/>
    </row>
    <row r="346" customFormat="false" ht="12.75" hidden="false" customHeight="false" outlineLevel="0" collapsed="false">
      <c r="R346" s="314"/>
      <c r="W346" s="318"/>
      <c r="AE346" s="321" t="n">
        <v>0.072419885421238</v>
      </c>
      <c r="BS346" s="314"/>
      <c r="BT346" s="314"/>
      <c r="BZ346" s="314"/>
      <c r="CA346" s="314"/>
      <c r="CF346" s="314"/>
      <c r="CG346" s="314"/>
      <c r="CM346" s="314"/>
      <c r="CN346" s="314"/>
      <c r="CS346" s="314"/>
      <c r="CT346" s="314"/>
      <c r="CX346" s="318"/>
      <c r="CY346" s="314"/>
      <c r="CZ346" s="314"/>
      <c r="DA346" s="314"/>
      <c r="DB346" s="318"/>
      <c r="DC346" s="314"/>
      <c r="DD346" s="314"/>
      <c r="DE346" s="314"/>
      <c r="DH346" s="314"/>
      <c r="DI346" s="314"/>
      <c r="DJ346" s="314"/>
      <c r="DK346" s="314"/>
      <c r="DL346" s="314"/>
      <c r="DM346" s="314"/>
      <c r="DN346" s="314"/>
      <c r="DO346" s="314"/>
      <c r="DP346" s="314"/>
      <c r="DQ346" s="314"/>
      <c r="DR346" s="314"/>
      <c r="DS346" s="314"/>
      <c r="DT346" s="314"/>
      <c r="DU346" s="314"/>
      <c r="DV346" s="314"/>
      <c r="DW346" s="314"/>
    </row>
    <row r="347" customFormat="false" ht="12.75" hidden="false" customHeight="false" outlineLevel="0" collapsed="false">
      <c r="R347" s="314"/>
      <c r="W347" s="318"/>
      <c r="AE347" s="321" t="n">
        <v>0.072410846690755</v>
      </c>
      <c r="BS347" s="314"/>
      <c r="BT347" s="314"/>
      <c r="BZ347" s="314"/>
      <c r="CA347" s="314"/>
      <c r="CF347" s="314"/>
      <c r="CG347" s="314"/>
      <c r="CM347" s="314"/>
      <c r="CN347" s="314"/>
      <c r="CS347" s="314"/>
      <c r="CT347" s="314"/>
      <c r="CX347" s="318"/>
      <c r="CY347" s="314"/>
      <c r="CZ347" s="314"/>
      <c r="DA347" s="314"/>
      <c r="DB347" s="318"/>
      <c r="DC347" s="314"/>
      <c r="DD347" s="314"/>
      <c r="DE347" s="314"/>
      <c r="DH347" s="314"/>
      <c r="DI347" s="314"/>
      <c r="DJ347" s="314"/>
      <c r="DK347" s="314"/>
      <c r="DL347" s="314"/>
      <c r="DM347" s="314"/>
      <c r="DN347" s="314"/>
      <c r="DO347" s="314"/>
      <c r="DP347" s="314"/>
      <c r="DQ347" s="314"/>
      <c r="DR347" s="314"/>
      <c r="DS347" s="314"/>
      <c r="DT347" s="314"/>
      <c r="DU347" s="314"/>
      <c r="DV347" s="314"/>
      <c r="DW347" s="314"/>
    </row>
    <row r="348" customFormat="false" ht="12.75" hidden="false" customHeight="false" outlineLevel="0" collapsed="false">
      <c r="R348" s="314"/>
      <c r="W348" s="318"/>
      <c r="AE348" s="321" t="n">
        <v>0.072402099532249</v>
      </c>
      <c r="BS348" s="314"/>
      <c r="BT348" s="314"/>
      <c r="BZ348" s="314"/>
      <c r="CA348" s="314"/>
      <c r="CF348" s="314"/>
      <c r="CG348" s="314"/>
      <c r="CM348" s="314"/>
      <c r="CN348" s="314"/>
      <c r="CS348" s="314"/>
      <c r="CT348" s="314"/>
      <c r="CX348" s="318"/>
      <c r="CY348" s="314"/>
      <c r="CZ348" s="314"/>
      <c r="DA348" s="314"/>
      <c r="DB348" s="318"/>
      <c r="DC348" s="314"/>
      <c r="DD348" s="314"/>
      <c r="DE348" s="314"/>
      <c r="DH348" s="314"/>
      <c r="DI348" s="314"/>
      <c r="DJ348" s="314"/>
      <c r="DK348" s="314"/>
      <c r="DL348" s="314"/>
      <c r="DM348" s="314"/>
      <c r="DN348" s="314"/>
      <c r="DO348" s="314"/>
      <c r="DP348" s="314"/>
      <c r="DQ348" s="314"/>
      <c r="DR348" s="314"/>
      <c r="DS348" s="314"/>
      <c r="DT348" s="314"/>
      <c r="DU348" s="314"/>
      <c r="DV348" s="314"/>
      <c r="DW348" s="314"/>
    </row>
    <row r="349" customFormat="false" ht="12.75" hidden="false" customHeight="false" outlineLevel="0" collapsed="false">
      <c r="R349" s="314"/>
      <c r="W349" s="318"/>
      <c r="AE349" s="321" t="n">
        <v>0.072393060801819</v>
      </c>
      <c r="BS349" s="314"/>
      <c r="BT349" s="314"/>
      <c r="BZ349" s="314"/>
      <c r="CA349" s="314"/>
      <c r="CF349" s="314"/>
      <c r="CG349" s="314"/>
      <c r="CM349" s="314"/>
      <c r="CN349" s="314"/>
      <c r="CS349" s="314"/>
      <c r="CT349" s="314"/>
      <c r="CX349" s="318"/>
      <c r="CY349" s="314"/>
      <c r="CZ349" s="314"/>
      <c r="DA349" s="314"/>
      <c r="DB349" s="318"/>
      <c r="DC349" s="314"/>
      <c r="DD349" s="314"/>
      <c r="DE349" s="314"/>
      <c r="DH349" s="314"/>
      <c r="DI349" s="314"/>
      <c r="DJ349" s="314"/>
      <c r="DK349" s="314"/>
      <c r="DL349" s="314"/>
      <c r="DM349" s="314"/>
      <c r="DN349" s="314"/>
      <c r="DO349" s="314"/>
      <c r="DP349" s="314"/>
      <c r="DQ349" s="314"/>
      <c r="DR349" s="314"/>
      <c r="DS349" s="314"/>
      <c r="DT349" s="314"/>
      <c r="DU349" s="314"/>
      <c r="DV349" s="314"/>
      <c r="DW349" s="314"/>
    </row>
    <row r="350" customFormat="false" ht="12.75" hidden="false" customHeight="false" outlineLevel="0" collapsed="false">
      <c r="R350" s="314"/>
      <c r="W350" s="318"/>
      <c r="AE350" s="321" t="n">
        <v>0.072384313643364</v>
      </c>
      <c r="BS350" s="314"/>
      <c r="BT350" s="314"/>
      <c r="BZ350" s="314"/>
      <c r="CA350" s="314"/>
      <c r="CF350" s="314"/>
      <c r="CG350" s="314"/>
      <c r="CM350" s="314"/>
      <c r="CN350" s="314"/>
      <c r="CS350" s="314"/>
      <c r="CT350" s="314"/>
      <c r="CX350" s="318"/>
      <c r="CY350" s="314"/>
      <c r="CZ350" s="314"/>
      <c r="DA350" s="314"/>
      <c r="DB350" s="318"/>
      <c r="DC350" s="314"/>
      <c r="DD350" s="314"/>
      <c r="DE350" s="314"/>
      <c r="DH350" s="314"/>
      <c r="DI350" s="314"/>
      <c r="DJ350" s="314"/>
      <c r="DK350" s="314"/>
      <c r="DL350" s="314"/>
      <c r="DM350" s="314"/>
      <c r="DN350" s="314"/>
      <c r="DO350" s="314"/>
      <c r="DP350" s="314"/>
      <c r="DQ350" s="314"/>
      <c r="DR350" s="314"/>
      <c r="DS350" s="314"/>
      <c r="DT350" s="314"/>
      <c r="DU350" s="314"/>
      <c r="DV350" s="314"/>
      <c r="DW350" s="314"/>
    </row>
    <row r="351" customFormat="false" ht="12.75" hidden="false" customHeight="false" outlineLevel="0" collapsed="false">
      <c r="R351" s="314"/>
      <c r="W351" s="318"/>
      <c r="AE351" s="321" t="n">
        <v>0.072375274912987</v>
      </c>
      <c r="BS351" s="314"/>
      <c r="BT351" s="314"/>
      <c r="BZ351" s="314"/>
      <c r="CA351" s="314"/>
      <c r="CF351" s="314"/>
      <c r="CG351" s="314"/>
      <c r="CM351" s="314"/>
      <c r="CN351" s="314"/>
      <c r="CS351" s="314"/>
      <c r="CT351" s="314"/>
      <c r="CX351" s="318"/>
      <c r="CY351" s="314"/>
      <c r="CZ351" s="314"/>
      <c r="DA351" s="314"/>
      <c r="DB351" s="318"/>
      <c r="DC351" s="314"/>
      <c r="DD351" s="314"/>
      <c r="DE351" s="314"/>
      <c r="DH351" s="314"/>
      <c r="DI351" s="314"/>
      <c r="DJ351" s="314"/>
      <c r="DK351" s="314"/>
      <c r="DL351" s="314"/>
      <c r="DM351" s="314"/>
      <c r="DN351" s="314"/>
      <c r="DO351" s="314"/>
      <c r="DP351" s="314"/>
      <c r="DQ351" s="314"/>
      <c r="DR351" s="314"/>
      <c r="DS351" s="314"/>
      <c r="DT351" s="314"/>
      <c r="DU351" s="314"/>
      <c r="DV351" s="314"/>
      <c r="DW351" s="314"/>
    </row>
    <row r="352" customFormat="false" ht="12.75" hidden="false" customHeight="false" outlineLevel="0" collapsed="false">
      <c r="R352" s="314"/>
      <c r="W352" s="318"/>
      <c r="AE352" s="321" t="n">
        <v>0.072366236182638</v>
      </c>
      <c r="BS352" s="314"/>
      <c r="BT352" s="314"/>
      <c r="BZ352" s="314"/>
      <c r="CA352" s="314"/>
      <c r="CF352" s="314"/>
      <c r="CG352" s="314"/>
      <c r="CM352" s="314"/>
      <c r="CN352" s="314"/>
      <c r="CS352" s="314"/>
      <c r="CT352" s="314"/>
      <c r="CX352" s="318"/>
      <c r="CY352" s="314"/>
      <c r="CZ352" s="314"/>
      <c r="DA352" s="314"/>
      <c r="DB352" s="318"/>
      <c r="DC352" s="314"/>
      <c r="DD352" s="314"/>
      <c r="DE352" s="314"/>
      <c r="DH352" s="314"/>
      <c r="DI352" s="314"/>
      <c r="DJ352" s="314"/>
      <c r="DK352" s="314"/>
      <c r="DL352" s="314"/>
      <c r="DM352" s="314"/>
      <c r="DN352" s="314"/>
      <c r="DO352" s="314"/>
      <c r="DP352" s="314"/>
      <c r="DQ352" s="314"/>
      <c r="DR352" s="314"/>
      <c r="DS352" s="314"/>
      <c r="DT352" s="314"/>
      <c r="DU352" s="314"/>
      <c r="DV352" s="314"/>
      <c r="DW352" s="314"/>
    </row>
    <row r="353" customFormat="false" ht="12.75" hidden="false" customHeight="false" outlineLevel="0" collapsed="false">
      <c r="R353" s="314"/>
      <c r="W353" s="318"/>
      <c r="AE353" s="321" t="n">
        <v>0.072358072168151</v>
      </c>
      <c r="BS353" s="314"/>
      <c r="BT353" s="314"/>
      <c r="BZ353" s="314"/>
      <c r="CA353" s="314"/>
      <c r="CF353" s="314"/>
      <c r="CG353" s="314"/>
      <c r="CM353" s="314"/>
      <c r="CN353" s="314"/>
      <c r="CS353" s="314"/>
      <c r="CT353" s="314"/>
      <c r="CX353" s="318"/>
      <c r="CY353" s="314"/>
      <c r="CZ353" s="314"/>
      <c r="DA353" s="314"/>
      <c r="DB353" s="318"/>
      <c r="DC353" s="314"/>
      <c r="DD353" s="314"/>
      <c r="DE353" s="314"/>
      <c r="DH353" s="314"/>
      <c r="DI353" s="314"/>
      <c r="DJ353" s="314"/>
      <c r="DK353" s="314"/>
      <c r="DL353" s="314"/>
      <c r="DM353" s="314"/>
      <c r="DN353" s="314"/>
      <c r="DO353" s="314"/>
      <c r="DP353" s="314"/>
      <c r="DQ353" s="314"/>
      <c r="DR353" s="314"/>
      <c r="DS353" s="314"/>
      <c r="DT353" s="314"/>
      <c r="DU353" s="314"/>
      <c r="DV353" s="314"/>
      <c r="DW353" s="314"/>
    </row>
    <row r="354" customFormat="false" ht="12.75" hidden="false" customHeight="false" outlineLevel="0" collapsed="false">
      <c r="R354" s="314"/>
      <c r="W354" s="318"/>
      <c r="AE354" s="321" t="n">
        <v>0.072349033437853</v>
      </c>
      <c r="BS354" s="314"/>
      <c r="BT354" s="314"/>
      <c r="BZ354" s="314"/>
      <c r="CA354" s="314"/>
      <c r="CF354" s="314"/>
      <c r="CG354" s="314"/>
      <c r="CM354" s="314"/>
      <c r="CN354" s="314"/>
      <c r="CS354" s="314"/>
      <c r="CT354" s="314"/>
      <c r="CX354" s="318"/>
      <c r="CY354" s="314"/>
      <c r="CZ354" s="314"/>
      <c r="DA354" s="314"/>
      <c r="DB354" s="318"/>
      <c r="DC354" s="314"/>
      <c r="DD354" s="314"/>
      <c r="DE354" s="314"/>
      <c r="DH354" s="314"/>
      <c r="DI354" s="314"/>
      <c r="DJ354" s="314"/>
      <c r="DK354" s="314"/>
      <c r="DL354" s="314"/>
      <c r="DM354" s="314"/>
      <c r="DN354" s="314"/>
      <c r="DO354" s="314"/>
      <c r="DP354" s="314"/>
      <c r="DQ354" s="314"/>
      <c r="DR354" s="314"/>
      <c r="DS354" s="314"/>
      <c r="DT354" s="314"/>
      <c r="DU354" s="314"/>
      <c r="DV354" s="314"/>
      <c r="DW354" s="314"/>
    </row>
    <row r="355" customFormat="false" ht="12.75" hidden="false" customHeight="false" outlineLevel="0" collapsed="false">
      <c r="R355" s="314"/>
      <c r="W355" s="318"/>
      <c r="AE355" s="321" t="n">
        <v>0.072340286279525</v>
      </c>
      <c r="BS355" s="314"/>
      <c r="BT355" s="314"/>
      <c r="BZ355" s="314"/>
      <c r="CA355" s="314"/>
      <c r="CF355" s="314"/>
      <c r="CG355" s="314"/>
      <c r="CM355" s="314"/>
      <c r="CN355" s="314"/>
      <c r="CS355" s="314"/>
      <c r="CT355" s="314"/>
      <c r="CX355" s="318"/>
      <c r="CY355" s="314"/>
      <c r="CZ355" s="314"/>
      <c r="DA355" s="314"/>
      <c r="DB355" s="318"/>
      <c r="DC355" s="314"/>
      <c r="DD355" s="314"/>
      <c r="DE355" s="314"/>
      <c r="DH355" s="314"/>
      <c r="DI355" s="314"/>
      <c r="DJ355" s="314"/>
      <c r="DK355" s="314"/>
      <c r="DL355" s="314"/>
      <c r="DM355" s="314"/>
      <c r="DN355" s="314"/>
      <c r="DO355" s="314"/>
      <c r="DP355" s="314"/>
      <c r="DQ355" s="314"/>
      <c r="DR355" s="314"/>
      <c r="DS355" s="314"/>
      <c r="DT355" s="314"/>
      <c r="DU355" s="314"/>
      <c r="DV355" s="314"/>
      <c r="DW355" s="314"/>
    </row>
    <row r="356" customFormat="false" ht="12.75" hidden="false" customHeight="false" outlineLevel="0" collapsed="false">
      <c r="R356" s="314"/>
      <c r="W356" s="318"/>
      <c r="AE356" s="321" t="n">
        <v>0.07233124754928</v>
      </c>
      <c r="BS356" s="314"/>
      <c r="BT356" s="314"/>
      <c r="BZ356" s="314"/>
      <c r="CA356" s="314"/>
      <c r="CF356" s="314"/>
      <c r="CG356" s="314"/>
      <c r="CM356" s="314"/>
      <c r="CN356" s="314"/>
      <c r="CS356" s="314"/>
      <c r="CT356" s="314"/>
      <c r="CX356" s="318"/>
      <c r="CY356" s="314"/>
      <c r="CZ356" s="314"/>
      <c r="DA356" s="314"/>
      <c r="DB356" s="318"/>
      <c r="DC356" s="314"/>
      <c r="DD356" s="314"/>
      <c r="DE356" s="314"/>
      <c r="DH356" s="314"/>
      <c r="DI356" s="314"/>
      <c r="DJ356" s="314"/>
      <c r="DK356" s="314"/>
      <c r="DL356" s="314"/>
      <c r="DM356" s="314"/>
      <c r="DN356" s="314"/>
      <c r="DO356" s="314"/>
      <c r="DP356" s="314"/>
      <c r="DQ356" s="314"/>
      <c r="DR356" s="314"/>
      <c r="DS356" s="314"/>
      <c r="DT356" s="314"/>
      <c r="DU356" s="314"/>
      <c r="DV356" s="314"/>
      <c r="DW356" s="314"/>
    </row>
    <row r="357" customFormat="false" ht="12.75" hidden="false" customHeight="false" outlineLevel="0" collapsed="false">
      <c r="R357" s="314"/>
      <c r="W357" s="318"/>
      <c r="AE357" s="321" t="n">
        <v>0.072322500391004</v>
      </c>
      <c r="BS357" s="314"/>
      <c r="BT357" s="314"/>
      <c r="BZ357" s="314"/>
      <c r="CA357" s="314"/>
      <c r="CF357" s="314"/>
      <c r="CG357" s="314"/>
      <c r="CM357" s="314"/>
      <c r="CN357" s="314"/>
      <c r="CS357" s="314"/>
      <c r="CT357" s="314"/>
      <c r="CX357" s="318"/>
      <c r="CY357" s="314"/>
      <c r="CZ357" s="314"/>
      <c r="DA357" s="314"/>
      <c r="DB357" s="318"/>
      <c r="DC357" s="314"/>
      <c r="DD357" s="314"/>
      <c r="DE357" s="314"/>
      <c r="DH357" s="314"/>
      <c r="DI357" s="314"/>
      <c r="DJ357" s="314"/>
      <c r="DK357" s="314"/>
      <c r="DL357" s="314"/>
      <c r="DM357" s="314"/>
      <c r="DN357" s="314"/>
      <c r="DO357" s="314"/>
      <c r="DP357" s="314"/>
      <c r="DQ357" s="314"/>
      <c r="DR357" s="314"/>
      <c r="DS357" s="314"/>
      <c r="DT357" s="314"/>
      <c r="DU357" s="314"/>
      <c r="DV357" s="314"/>
      <c r="DW357" s="314"/>
    </row>
    <row r="358" customFormat="false" ht="12.75" hidden="false" customHeight="false" outlineLevel="0" collapsed="false">
      <c r="R358" s="314"/>
      <c r="W358" s="318"/>
      <c r="AE358" s="321" t="n">
        <v>0.072313461660811</v>
      </c>
      <c r="BS358" s="314"/>
      <c r="BT358" s="314"/>
      <c r="BZ358" s="314"/>
      <c r="CA358" s="314"/>
      <c r="CF358" s="314"/>
      <c r="CG358" s="314"/>
      <c r="CM358" s="314"/>
      <c r="CN358" s="314"/>
      <c r="CS358" s="314"/>
      <c r="CT358" s="314"/>
      <c r="CX358" s="318"/>
      <c r="CY358" s="314"/>
      <c r="CZ358" s="314"/>
      <c r="DA358" s="314"/>
      <c r="DB358" s="318"/>
      <c r="DC358" s="314"/>
      <c r="DD358" s="314"/>
      <c r="DE358" s="314"/>
      <c r="DH358" s="314"/>
      <c r="DI358" s="314"/>
      <c r="DJ358" s="314"/>
      <c r="DK358" s="314"/>
      <c r="DL358" s="314"/>
      <c r="DM358" s="314"/>
      <c r="DN358" s="314"/>
      <c r="DO358" s="314"/>
      <c r="DP358" s="314"/>
      <c r="DQ358" s="314"/>
      <c r="DR358" s="314"/>
      <c r="DS358" s="314"/>
      <c r="DT358" s="314"/>
      <c r="DU358" s="314"/>
      <c r="DV358" s="314"/>
      <c r="DW358" s="314"/>
    </row>
    <row r="359" customFormat="false" ht="12.75" hidden="false" customHeight="false" outlineLevel="0" collapsed="false">
      <c r="R359" s="314"/>
      <c r="W359" s="318"/>
      <c r="AE359" s="321" t="n">
        <v>0.072304422930646</v>
      </c>
      <c r="BS359" s="314"/>
      <c r="BT359" s="314"/>
      <c r="BZ359" s="314"/>
      <c r="CA359" s="314"/>
      <c r="CF359" s="314"/>
      <c r="CG359" s="314"/>
      <c r="CM359" s="314"/>
      <c r="CN359" s="314"/>
      <c r="CS359" s="314"/>
      <c r="CT359" s="314"/>
      <c r="CX359" s="318"/>
      <c r="CY359" s="314"/>
      <c r="CZ359" s="314"/>
      <c r="DA359" s="314"/>
      <c r="DB359" s="318"/>
      <c r="DC359" s="314"/>
      <c r="DD359" s="314"/>
      <c r="DE359" s="314"/>
      <c r="DH359" s="314"/>
      <c r="DI359" s="314"/>
      <c r="DJ359" s="314"/>
      <c r="DK359" s="314"/>
      <c r="DL359" s="314"/>
      <c r="DM359" s="314"/>
      <c r="DN359" s="314"/>
      <c r="DO359" s="314"/>
      <c r="DP359" s="314"/>
      <c r="DQ359" s="314"/>
      <c r="DR359" s="314"/>
      <c r="DS359" s="314"/>
      <c r="DT359" s="314"/>
      <c r="DU359" s="314"/>
      <c r="DV359" s="314"/>
      <c r="DW359" s="314"/>
    </row>
    <row r="360" customFormat="false" ht="12.75" hidden="false" customHeight="false" outlineLevel="0" collapsed="false">
      <c r="R360" s="314"/>
      <c r="W360" s="318"/>
      <c r="AE360" s="321" t="n">
        <v>0.072295675772447</v>
      </c>
      <c r="BS360" s="314"/>
      <c r="BT360" s="314"/>
      <c r="BZ360" s="314"/>
      <c r="CA360" s="314"/>
      <c r="CF360" s="314"/>
      <c r="CG360" s="314"/>
      <c r="CM360" s="314"/>
      <c r="CN360" s="314"/>
      <c r="CS360" s="314"/>
      <c r="CT360" s="314"/>
      <c r="CX360" s="318"/>
      <c r="CY360" s="314"/>
      <c r="CZ360" s="314"/>
      <c r="DA360" s="314"/>
      <c r="DB360" s="318"/>
      <c r="DC360" s="314"/>
      <c r="DD360" s="314"/>
      <c r="DE360" s="314"/>
      <c r="DH360" s="314"/>
      <c r="DI360" s="314"/>
      <c r="DJ360" s="314"/>
      <c r="DK360" s="314"/>
      <c r="DL360" s="314"/>
      <c r="DM360" s="314"/>
      <c r="DN360" s="314"/>
      <c r="DO360" s="314"/>
      <c r="DP360" s="314"/>
      <c r="DQ360" s="314"/>
      <c r="DR360" s="314"/>
      <c r="DS360" s="314"/>
      <c r="DT360" s="314"/>
      <c r="DU360" s="314"/>
      <c r="DV360" s="314"/>
      <c r="DW360" s="314"/>
    </row>
    <row r="361" customFormat="false" ht="12.75" hidden="false" customHeight="false" outlineLevel="0" collapsed="false">
      <c r="R361" s="314"/>
      <c r="W361" s="318"/>
      <c r="AE361" s="321" t="n">
        <v>0.072286637042335</v>
      </c>
      <c r="BS361" s="314"/>
      <c r="BT361" s="314"/>
      <c r="BZ361" s="314"/>
      <c r="CA361" s="314"/>
      <c r="CF361" s="314"/>
      <c r="CG361" s="314"/>
      <c r="CM361" s="314"/>
      <c r="CN361" s="314"/>
      <c r="CS361" s="314"/>
      <c r="CT361" s="314"/>
      <c r="CX361" s="318"/>
      <c r="CY361" s="314"/>
      <c r="CZ361" s="314"/>
      <c r="DA361" s="314"/>
      <c r="DB361" s="318"/>
      <c r="DC361" s="314"/>
      <c r="DD361" s="314"/>
      <c r="DE361" s="314"/>
      <c r="DH361" s="314"/>
      <c r="DI361" s="314"/>
      <c r="DJ361" s="314"/>
      <c r="DK361" s="314"/>
      <c r="DL361" s="314"/>
      <c r="DM361" s="314"/>
      <c r="DN361" s="314"/>
      <c r="DO361" s="314"/>
      <c r="DP361" s="314"/>
      <c r="DQ361" s="314"/>
      <c r="DR361" s="314"/>
      <c r="DS361" s="314"/>
      <c r="DT361" s="314"/>
      <c r="DU361" s="314"/>
      <c r="DV361" s="314"/>
      <c r="DW361" s="314"/>
    </row>
    <row r="362" customFormat="false" ht="12.75" hidden="false" customHeight="false" outlineLevel="0" collapsed="false">
      <c r="R362" s="314"/>
      <c r="W362" s="318"/>
      <c r="AE362" s="321" t="n">
        <v>0.072277889884187</v>
      </c>
      <c r="BS362" s="314"/>
      <c r="BT362" s="314"/>
      <c r="BZ362" s="314"/>
      <c r="CA362" s="314"/>
      <c r="CF362" s="314"/>
      <c r="CG362" s="314"/>
      <c r="CM362" s="314"/>
      <c r="CN362" s="314"/>
      <c r="CS362" s="314"/>
      <c r="CT362" s="314"/>
      <c r="CX362" s="318"/>
      <c r="CY362" s="314"/>
      <c r="CZ362" s="314"/>
      <c r="DA362" s="314"/>
      <c r="DB362" s="318"/>
      <c r="DC362" s="314"/>
      <c r="DD362" s="314"/>
      <c r="DE362" s="314"/>
      <c r="DH362" s="314"/>
      <c r="DI362" s="314"/>
      <c r="DJ362" s="314"/>
      <c r="DK362" s="314"/>
      <c r="DL362" s="314"/>
      <c r="DM362" s="314"/>
      <c r="DN362" s="314"/>
      <c r="DO362" s="314"/>
      <c r="DP362" s="314"/>
      <c r="DQ362" s="314"/>
      <c r="DR362" s="314"/>
      <c r="DS362" s="314"/>
      <c r="DT362" s="314"/>
      <c r="DU362" s="314"/>
      <c r="DV362" s="314"/>
      <c r="DW362" s="314"/>
    </row>
    <row r="363" customFormat="false" ht="12.75" hidden="false" customHeight="false" outlineLevel="0" collapsed="false">
      <c r="R363" s="314"/>
      <c r="W363" s="318"/>
      <c r="AE363" s="321" t="n">
        <v>0.072268851154129</v>
      </c>
      <c r="BS363" s="314"/>
      <c r="BT363" s="314"/>
      <c r="BZ363" s="314"/>
      <c r="CA363" s="314"/>
      <c r="CF363" s="314"/>
      <c r="CG363" s="314"/>
      <c r="CM363" s="314"/>
      <c r="CN363" s="314"/>
      <c r="CS363" s="314"/>
      <c r="CT363" s="314"/>
      <c r="CX363" s="318"/>
      <c r="CY363" s="314"/>
      <c r="CZ363" s="314"/>
      <c r="DA363" s="314"/>
      <c r="DB363" s="318"/>
      <c r="DC363" s="314"/>
      <c r="DD363" s="314"/>
      <c r="DE363" s="314"/>
      <c r="DH363" s="314"/>
      <c r="DI363" s="314"/>
      <c r="DJ363" s="314"/>
      <c r="DK363" s="314"/>
      <c r="DL363" s="314"/>
      <c r="DM363" s="314"/>
      <c r="DN363" s="314"/>
      <c r="DO363" s="314"/>
      <c r="DP363" s="314"/>
      <c r="DQ363" s="314"/>
      <c r="DR363" s="314"/>
      <c r="DS363" s="314"/>
      <c r="DT363" s="314"/>
      <c r="DU363" s="314"/>
      <c r="DV363" s="314"/>
      <c r="DW363" s="314"/>
    </row>
    <row r="364" customFormat="false" ht="12.75" hidden="false" customHeight="false" outlineLevel="0" collapsed="false">
      <c r="R364" s="314"/>
      <c r="W364" s="318"/>
      <c r="AE364" s="321" t="n">
        <v>0.072259812424097</v>
      </c>
      <c r="BS364" s="314"/>
      <c r="BT364" s="314"/>
      <c r="BZ364" s="314"/>
      <c r="CA364" s="314"/>
      <c r="CF364" s="314"/>
      <c r="CG364" s="314"/>
      <c r="CM364" s="314"/>
      <c r="CN364" s="314"/>
      <c r="CS364" s="314"/>
      <c r="CT364" s="314"/>
      <c r="CX364" s="318"/>
      <c r="CY364" s="314"/>
      <c r="CZ364" s="314"/>
      <c r="DA364" s="314"/>
      <c r="DB364" s="318"/>
      <c r="DC364" s="314"/>
      <c r="DD364" s="314"/>
      <c r="DE364" s="314"/>
      <c r="DH364" s="314"/>
      <c r="DI364" s="314"/>
      <c r="DJ364" s="314"/>
      <c r="DK364" s="314"/>
      <c r="DL364" s="314"/>
      <c r="DM364" s="314"/>
      <c r="DN364" s="314"/>
      <c r="DO364" s="314"/>
      <c r="DP364" s="314"/>
      <c r="DQ364" s="314"/>
      <c r="DR364" s="314"/>
      <c r="DS364" s="314"/>
      <c r="DT364" s="314"/>
      <c r="DU364" s="314"/>
      <c r="DV364" s="314"/>
      <c r="DW364" s="314"/>
    </row>
    <row r="365" customFormat="false" ht="12.75" hidden="false" customHeight="false" outlineLevel="0" collapsed="false">
      <c r="R365" s="314"/>
      <c r="W365" s="318"/>
      <c r="AE365" s="321" t="n">
        <v>0.072251648409897</v>
      </c>
      <c r="BS365" s="314"/>
      <c r="BT365" s="314"/>
      <c r="BZ365" s="314"/>
      <c r="CA365" s="314"/>
      <c r="CF365" s="314"/>
      <c r="CG365" s="314"/>
      <c r="CM365" s="314"/>
      <c r="CN365" s="314"/>
      <c r="CS365" s="314"/>
      <c r="CT365" s="314"/>
      <c r="CX365" s="318"/>
      <c r="CY365" s="314"/>
      <c r="CZ365" s="314"/>
      <c r="DA365" s="314"/>
      <c r="DB365" s="318"/>
      <c r="DC365" s="314"/>
      <c r="DD365" s="314"/>
      <c r="DE365" s="314"/>
      <c r="DH365" s="314"/>
      <c r="DI365" s="314"/>
      <c r="DJ365" s="314"/>
      <c r="DK365" s="314"/>
      <c r="DL365" s="314"/>
      <c r="DM365" s="314"/>
      <c r="DN365" s="314"/>
      <c r="DO365" s="314"/>
      <c r="DP365" s="314"/>
      <c r="DQ365" s="314"/>
      <c r="DR365" s="314"/>
      <c r="DS365" s="314"/>
      <c r="DT365" s="314"/>
      <c r="DU365" s="314"/>
      <c r="DV365" s="314"/>
      <c r="DW365" s="314"/>
    </row>
    <row r="366" customFormat="false" ht="12.75" hidden="false" customHeight="false" outlineLevel="0" collapsed="false">
      <c r="R366" s="314"/>
      <c r="W366" s="318"/>
      <c r="AE366" s="321"/>
      <c r="BS366" s="314"/>
      <c r="BT366" s="314"/>
      <c r="BZ366" s="314"/>
      <c r="CA366" s="314"/>
      <c r="CF366" s="314"/>
      <c r="CG366" s="314"/>
      <c r="CM366" s="314"/>
      <c r="CN366" s="314"/>
      <c r="CS366" s="314"/>
      <c r="CT366" s="314"/>
      <c r="CX366" s="318"/>
      <c r="CY366" s="314"/>
      <c r="CZ366" s="314"/>
      <c r="DA366" s="314"/>
      <c r="DB366" s="318"/>
      <c r="DC366" s="314"/>
      <c r="DD366" s="314"/>
      <c r="DE366" s="314"/>
      <c r="DH366" s="314"/>
      <c r="DI366" s="314"/>
      <c r="DJ366" s="314"/>
      <c r="DK366" s="314"/>
      <c r="DL366" s="314"/>
      <c r="DM366" s="314"/>
      <c r="DN366" s="314"/>
      <c r="DO366" s="314"/>
      <c r="DP366" s="314"/>
      <c r="DQ366" s="314"/>
      <c r="DR366" s="314"/>
      <c r="DS366" s="314"/>
      <c r="DT366" s="314"/>
      <c r="DU366" s="314"/>
      <c r="DV366" s="314"/>
      <c r="DW366" s="314"/>
    </row>
    <row r="367" customFormat="false" ht="12.75" hidden="false" customHeight="false" outlineLevel="0" collapsed="false">
      <c r="R367" s="314"/>
      <c r="W367" s="318"/>
      <c r="AE367" s="321"/>
      <c r="BS367" s="314"/>
      <c r="BT367" s="314"/>
      <c r="BZ367" s="314"/>
      <c r="CA367" s="314"/>
      <c r="CF367" s="314"/>
      <c r="CG367" s="314"/>
      <c r="CM367" s="314"/>
      <c r="CN367" s="314"/>
      <c r="CS367" s="314"/>
      <c r="CT367" s="314"/>
      <c r="CX367" s="318"/>
      <c r="CY367" s="314"/>
      <c r="CZ367" s="314"/>
      <c r="DA367" s="314"/>
      <c r="DB367" s="318"/>
      <c r="DC367" s="314"/>
      <c r="DD367" s="314"/>
      <c r="DE367" s="314"/>
      <c r="DH367" s="314"/>
      <c r="DI367" s="314"/>
      <c r="DJ367" s="314"/>
      <c r="DK367" s="314"/>
      <c r="DL367" s="314"/>
      <c r="DM367" s="314"/>
      <c r="DN367" s="314"/>
      <c r="DO367" s="314"/>
      <c r="DP367" s="314"/>
      <c r="DQ367" s="314"/>
      <c r="DR367" s="314"/>
      <c r="DS367" s="314"/>
      <c r="DT367" s="314"/>
      <c r="DU367" s="314"/>
      <c r="DV367" s="314"/>
      <c r="DW367" s="314"/>
    </row>
    <row r="368" customFormat="false" ht="12.75" hidden="false" customHeight="false" outlineLevel="0" collapsed="false">
      <c r="R368" s="314"/>
      <c r="W368" s="318"/>
      <c r="AE368" s="321"/>
      <c r="BS368" s="314"/>
      <c r="BT368" s="314"/>
      <c r="BZ368" s="314"/>
      <c r="CA368" s="314"/>
      <c r="CF368" s="314"/>
      <c r="CG368" s="314"/>
      <c r="CM368" s="314"/>
      <c r="CN368" s="314"/>
      <c r="CS368" s="314"/>
      <c r="CT368" s="314"/>
      <c r="CX368" s="318"/>
      <c r="CY368" s="314"/>
      <c r="CZ368" s="314"/>
      <c r="DA368" s="314"/>
      <c r="DB368" s="318"/>
      <c r="DC368" s="314"/>
      <c r="DD368" s="314"/>
      <c r="DE368" s="314"/>
      <c r="DH368" s="314"/>
      <c r="DI368" s="314"/>
      <c r="DJ368" s="314"/>
      <c r="DK368" s="314"/>
      <c r="DL368" s="314"/>
      <c r="DM368" s="314"/>
      <c r="DN368" s="314"/>
      <c r="DO368" s="314"/>
      <c r="DP368" s="314"/>
      <c r="DQ368" s="314"/>
      <c r="DR368" s="314"/>
      <c r="DS368" s="314"/>
      <c r="DT368" s="314"/>
      <c r="DU368" s="314"/>
      <c r="DV368" s="314"/>
      <c r="DW368" s="314"/>
    </row>
    <row r="369" customFormat="false" ht="12.75" hidden="false" customHeight="false" outlineLevel="0" collapsed="false">
      <c r="R369" s="314"/>
      <c r="W369" s="318"/>
      <c r="AE369" s="321"/>
      <c r="BS369" s="314"/>
      <c r="BT369" s="314"/>
      <c r="BZ369" s="314"/>
      <c r="CA369" s="314"/>
      <c r="CF369" s="314"/>
      <c r="CG369" s="314"/>
      <c r="CM369" s="314"/>
      <c r="CN369" s="314"/>
      <c r="CS369" s="314"/>
      <c r="CT369" s="314"/>
      <c r="CX369" s="318"/>
      <c r="CY369" s="314"/>
      <c r="CZ369" s="314"/>
      <c r="DA369" s="314"/>
      <c r="DB369" s="318"/>
      <c r="DC369" s="314"/>
      <c r="DD369" s="314"/>
      <c r="DE369" s="314"/>
      <c r="DH369" s="314"/>
      <c r="DI369" s="314"/>
      <c r="DJ369" s="314"/>
      <c r="DK369" s="314"/>
      <c r="DL369" s="314"/>
      <c r="DM369" s="314"/>
      <c r="DN369" s="314"/>
      <c r="DO369" s="314"/>
      <c r="DP369" s="314"/>
      <c r="DQ369" s="314"/>
      <c r="DR369" s="314"/>
      <c r="DS369" s="314"/>
      <c r="DT369" s="314"/>
      <c r="DU369" s="314"/>
      <c r="DV369" s="314"/>
      <c r="DW369" s="314"/>
    </row>
    <row r="370" customFormat="false" ht="12.75" hidden="false" customHeight="false" outlineLevel="0" collapsed="false">
      <c r="R370" s="314"/>
      <c r="W370" s="318"/>
      <c r="AE370" s="321"/>
      <c r="BS370" s="314"/>
      <c r="BT370" s="314"/>
      <c r="BZ370" s="314"/>
      <c r="CA370" s="314"/>
      <c r="CF370" s="314"/>
      <c r="CG370" s="314"/>
      <c r="CM370" s="314"/>
      <c r="CN370" s="314"/>
      <c r="CS370" s="314"/>
      <c r="CT370" s="314"/>
      <c r="CX370" s="318"/>
      <c r="CY370" s="314"/>
      <c r="CZ370" s="314"/>
      <c r="DA370" s="314"/>
      <c r="DB370" s="318"/>
      <c r="DC370" s="314"/>
      <c r="DD370" s="314"/>
      <c r="DE370" s="314"/>
      <c r="DH370" s="314"/>
      <c r="DI370" s="314"/>
      <c r="DJ370" s="314"/>
      <c r="DK370" s="314"/>
      <c r="DL370" s="314"/>
      <c r="DM370" s="314"/>
      <c r="DN370" s="314"/>
      <c r="DO370" s="314"/>
      <c r="DP370" s="314"/>
      <c r="DQ370" s="314"/>
      <c r="DR370" s="314"/>
      <c r="DS370" s="314"/>
      <c r="DT370" s="314"/>
      <c r="DU370" s="314"/>
      <c r="DV370" s="314"/>
      <c r="DW370" s="314"/>
    </row>
    <row r="371" customFormat="false" ht="12.75" hidden="false" customHeight="false" outlineLevel="0" collapsed="false">
      <c r="R371" s="314"/>
      <c r="W371" s="318"/>
      <c r="AE371" s="321"/>
      <c r="BS371" s="314"/>
      <c r="BT371" s="314"/>
      <c r="BZ371" s="314"/>
      <c r="CA371" s="314"/>
      <c r="CF371" s="314"/>
      <c r="CG371" s="314"/>
      <c r="CM371" s="314"/>
      <c r="CN371" s="314"/>
      <c r="CS371" s="314"/>
      <c r="CT371" s="314"/>
      <c r="CX371" s="318"/>
      <c r="CY371" s="314"/>
      <c r="CZ371" s="314"/>
      <c r="DA371" s="314"/>
      <c r="DB371" s="318"/>
      <c r="DC371" s="314"/>
      <c r="DD371" s="314"/>
      <c r="DE371" s="314"/>
      <c r="DH371" s="314"/>
      <c r="DI371" s="314"/>
      <c r="DJ371" s="314"/>
      <c r="DK371" s="314"/>
      <c r="DL371" s="314"/>
      <c r="DM371" s="314"/>
      <c r="DN371" s="314"/>
      <c r="DO371" s="314"/>
      <c r="DP371" s="314"/>
      <c r="DQ371" s="314"/>
      <c r="DR371" s="314"/>
      <c r="DS371" s="314"/>
      <c r="DT371" s="314"/>
      <c r="DU371" s="314"/>
      <c r="DV371" s="314"/>
      <c r="DW371" s="314"/>
    </row>
    <row r="372" customFormat="false" ht="12.75" hidden="false" customHeight="false" outlineLevel="0" collapsed="false">
      <c r="R372" s="314"/>
      <c r="W372" s="318"/>
      <c r="AE372" s="321"/>
      <c r="BS372" s="314"/>
      <c r="BT372" s="314"/>
      <c r="BZ372" s="314"/>
      <c r="CA372" s="314"/>
      <c r="CF372" s="314"/>
      <c r="CG372" s="314"/>
      <c r="CM372" s="314"/>
      <c r="CN372" s="314"/>
      <c r="CS372" s="314"/>
      <c r="CT372" s="314"/>
      <c r="CX372" s="318"/>
      <c r="CY372" s="314"/>
      <c r="CZ372" s="314"/>
      <c r="DA372" s="314"/>
      <c r="DB372" s="318"/>
      <c r="DC372" s="314"/>
      <c r="DD372" s="314"/>
      <c r="DE372" s="314"/>
      <c r="DH372" s="314"/>
      <c r="DI372" s="314"/>
      <c r="DJ372" s="314"/>
      <c r="DK372" s="314"/>
      <c r="DL372" s="314"/>
      <c r="DM372" s="314"/>
      <c r="DN372" s="314"/>
      <c r="DO372" s="314"/>
      <c r="DP372" s="314"/>
      <c r="DQ372" s="314"/>
      <c r="DR372" s="314"/>
      <c r="DS372" s="314"/>
      <c r="DT372" s="314"/>
      <c r="DU372" s="314"/>
      <c r="DV372" s="314"/>
      <c r="DW372" s="314"/>
    </row>
    <row r="373" customFormat="false" ht="12.75" hidden="false" customHeight="false" outlineLevel="0" collapsed="false">
      <c r="R373" s="314"/>
      <c r="W373" s="318"/>
      <c r="AE373" s="321"/>
      <c r="BS373" s="314"/>
      <c r="BT373" s="314"/>
      <c r="BZ373" s="314"/>
      <c r="CA373" s="314"/>
      <c r="CF373" s="314"/>
      <c r="CG373" s="314"/>
      <c r="CM373" s="314"/>
      <c r="CN373" s="314"/>
      <c r="CS373" s="314"/>
      <c r="CT373" s="314"/>
      <c r="CX373" s="318"/>
      <c r="CY373" s="314"/>
      <c r="CZ373" s="314"/>
      <c r="DA373" s="314"/>
      <c r="DB373" s="318"/>
      <c r="DC373" s="314"/>
      <c r="DD373" s="314"/>
      <c r="DE373" s="314"/>
      <c r="DH373" s="314"/>
      <c r="DI373" s="314"/>
      <c r="DJ373" s="314"/>
      <c r="DK373" s="314"/>
      <c r="DL373" s="314"/>
      <c r="DM373" s="314"/>
      <c r="DN373" s="314"/>
      <c r="DO373" s="314"/>
      <c r="DP373" s="314"/>
      <c r="DQ373" s="314"/>
      <c r="DR373" s="314"/>
      <c r="DS373" s="314"/>
      <c r="DT373" s="314"/>
      <c r="DU373" s="314"/>
      <c r="DV373" s="314"/>
      <c r="DW373" s="314"/>
    </row>
    <row r="374" customFormat="false" ht="12.75" hidden="false" customHeight="false" outlineLevel="0" collapsed="false">
      <c r="R374" s="314"/>
      <c r="W374" s="318"/>
      <c r="AE374" s="321"/>
      <c r="BS374" s="314"/>
      <c r="BT374" s="314"/>
      <c r="BZ374" s="314"/>
      <c r="CA374" s="314"/>
      <c r="CF374" s="314"/>
      <c r="CG374" s="314"/>
      <c r="CM374" s="314"/>
      <c r="CN374" s="314"/>
      <c r="CS374" s="314"/>
      <c r="CT374" s="314"/>
      <c r="CX374" s="318"/>
      <c r="CY374" s="314"/>
      <c r="CZ374" s="314"/>
      <c r="DA374" s="314"/>
      <c r="DB374" s="318"/>
      <c r="DC374" s="314"/>
      <c r="DD374" s="314"/>
      <c r="DE374" s="314"/>
      <c r="DH374" s="314"/>
      <c r="DI374" s="314"/>
      <c r="DJ374" s="314"/>
      <c r="DK374" s="314"/>
      <c r="DL374" s="314"/>
      <c r="DM374" s="314"/>
      <c r="DN374" s="314"/>
      <c r="DO374" s="314"/>
      <c r="DP374" s="314"/>
      <c r="DQ374" s="314"/>
      <c r="DR374" s="314"/>
      <c r="DS374" s="314"/>
      <c r="DT374" s="314"/>
      <c r="DU374" s="314"/>
      <c r="DV374" s="314"/>
      <c r="DW374" s="314"/>
    </row>
    <row r="375" customFormat="false" ht="12.75" hidden="false" customHeight="false" outlineLevel="0" collapsed="false">
      <c r="R375" s="314"/>
      <c r="W375" s="318"/>
      <c r="AE375" s="321"/>
      <c r="BS375" s="314"/>
      <c r="BT375" s="314"/>
      <c r="BZ375" s="314"/>
      <c r="CA375" s="314"/>
      <c r="CF375" s="314"/>
      <c r="CG375" s="314"/>
      <c r="CM375" s="314"/>
      <c r="CN375" s="314"/>
      <c r="CS375" s="314"/>
      <c r="CT375" s="314"/>
      <c r="CX375" s="318"/>
      <c r="CY375" s="314"/>
      <c r="CZ375" s="314"/>
      <c r="DA375" s="314"/>
      <c r="DB375" s="318"/>
      <c r="DC375" s="314"/>
      <c r="DD375" s="314"/>
      <c r="DE375" s="314"/>
      <c r="DH375" s="314"/>
      <c r="DI375" s="314"/>
      <c r="DJ375" s="314"/>
      <c r="DK375" s="314"/>
      <c r="DL375" s="314"/>
      <c r="DM375" s="314"/>
      <c r="DN375" s="314"/>
      <c r="DO375" s="314"/>
      <c r="DP375" s="314"/>
      <c r="DQ375" s="314"/>
      <c r="DR375" s="314"/>
      <c r="DS375" s="314"/>
      <c r="DT375" s="314"/>
      <c r="DU375" s="314"/>
      <c r="DV375" s="314"/>
      <c r="DW375" s="314"/>
    </row>
    <row r="376" customFormat="false" ht="12.75" hidden="false" customHeight="false" outlineLevel="0" collapsed="false">
      <c r="R376" s="314"/>
      <c r="W376" s="318"/>
      <c r="AE376" s="321"/>
      <c r="BS376" s="314"/>
      <c r="BT376" s="314"/>
      <c r="BZ376" s="314"/>
      <c r="CA376" s="314"/>
      <c r="CF376" s="314"/>
      <c r="CG376" s="314"/>
      <c r="CM376" s="314"/>
      <c r="CN376" s="314"/>
      <c r="CS376" s="314"/>
      <c r="CT376" s="314"/>
      <c r="CX376" s="318"/>
      <c r="CY376" s="314"/>
      <c r="CZ376" s="314"/>
      <c r="DA376" s="314"/>
      <c r="DB376" s="318"/>
      <c r="DC376" s="314"/>
      <c r="DD376" s="314"/>
      <c r="DE376" s="314"/>
      <c r="DH376" s="314"/>
      <c r="DI376" s="314"/>
      <c r="DJ376" s="314"/>
      <c r="DK376" s="314"/>
      <c r="DL376" s="314"/>
      <c r="DM376" s="314"/>
      <c r="DN376" s="314"/>
      <c r="DO376" s="314"/>
      <c r="DP376" s="314"/>
      <c r="DQ376" s="314"/>
      <c r="DR376" s="314"/>
      <c r="DS376" s="314"/>
      <c r="DT376" s="314"/>
      <c r="DU376" s="314"/>
      <c r="DV376" s="314"/>
      <c r="DW376" s="314"/>
    </row>
    <row r="377" customFormat="false" ht="12.75" hidden="false" customHeight="false" outlineLevel="0" collapsed="false">
      <c r="R377" s="314"/>
      <c r="W377" s="318"/>
      <c r="AE377" s="321"/>
      <c r="BS377" s="314"/>
      <c r="BT377" s="314"/>
      <c r="BZ377" s="314"/>
      <c r="CA377" s="314"/>
      <c r="CF377" s="314"/>
      <c r="CG377" s="314"/>
      <c r="CM377" s="314"/>
      <c r="CN377" s="314"/>
      <c r="CS377" s="314"/>
      <c r="CT377" s="314"/>
      <c r="CX377" s="318"/>
      <c r="CY377" s="314"/>
      <c r="CZ377" s="314"/>
      <c r="DA377" s="314"/>
      <c r="DB377" s="318"/>
      <c r="DC377" s="314"/>
      <c r="DD377" s="314"/>
      <c r="DE377" s="314"/>
      <c r="DH377" s="314"/>
      <c r="DI377" s="314"/>
      <c r="DJ377" s="314"/>
      <c r="DK377" s="314"/>
      <c r="DL377" s="314"/>
      <c r="DM377" s="314"/>
      <c r="DN377" s="314"/>
      <c r="DO377" s="314"/>
      <c r="DP377" s="314"/>
      <c r="DQ377" s="314"/>
      <c r="DR377" s="314"/>
      <c r="DS377" s="314"/>
      <c r="DT377" s="314"/>
      <c r="DU377" s="314"/>
      <c r="DV377" s="314"/>
      <c r="DW377" s="314"/>
    </row>
    <row r="378" customFormat="false" ht="12.75" hidden="false" customHeight="false" outlineLevel="0" collapsed="false">
      <c r="R378" s="314"/>
      <c r="W378" s="318"/>
      <c r="AE378" s="321"/>
      <c r="BS378" s="314"/>
      <c r="BT378" s="314"/>
      <c r="BZ378" s="314"/>
      <c r="CA378" s="314"/>
      <c r="CF378" s="314"/>
      <c r="CG378" s="314"/>
      <c r="CM378" s="314"/>
      <c r="CN378" s="314"/>
      <c r="CS378" s="314"/>
      <c r="CT378" s="314"/>
      <c r="CX378" s="318"/>
      <c r="CY378" s="314"/>
      <c r="CZ378" s="314"/>
      <c r="DA378" s="314"/>
      <c r="DB378" s="318"/>
      <c r="DC378" s="314"/>
      <c r="DD378" s="314"/>
      <c r="DE378" s="314"/>
      <c r="DH378" s="314"/>
      <c r="DI378" s="314"/>
      <c r="DJ378" s="314"/>
      <c r="DK378" s="314"/>
      <c r="DL378" s="314"/>
      <c r="DM378" s="314"/>
      <c r="DN378" s="314"/>
      <c r="DO378" s="314"/>
      <c r="DP378" s="314"/>
      <c r="DQ378" s="314"/>
      <c r="DR378" s="314"/>
      <c r="DS378" s="314"/>
      <c r="DT378" s="314"/>
      <c r="DU378" s="314"/>
      <c r="DV378" s="314"/>
      <c r="DW378" s="314"/>
    </row>
    <row r="379" customFormat="false" ht="12.75" hidden="false" customHeight="false" outlineLevel="0" collapsed="false">
      <c r="R379" s="314"/>
      <c r="W379" s="318"/>
      <c r="AE379" s="321"/>
      <c r="BS379" s="314"/>
      <c r="BT379" s="314"/>
      <c r="BZ379" s="314"/>
      <c r="CA379" s="314"/>
      <c r="CF379" s="314"/>
      <c r="CG379" s="314"/>
      <c r="CM379" s="314"/>
      <c r="CN379" s="314"/>
      <c r="CS379" s="314"/>
      <c r="CT379" s="314"/>
      <c r="CX379" s="318"/>
      <c r="CY379" s="314"/>
      <c r="CZ379" s="314"/>
      <c r="DA379" s="314"/>
      <c r="DB379" s="318"/>
      <c r="DC379" s="314"/>
      <c r="DD379" s="314"/>
      <c r="DE379" s="314"/>
      <c r="DH379" s="314"/>
      <c r="DI379" s="314"/>
      <c r="DJ379" s="314"/>
      <c r="DK379" s="314"/>
      <c r="DL379" s="314"/>
      <c r="DM379" s="314"/>
      <c r="DN379" s="314"/>
      <c r="DO379" s="314"/>
      <c r="DP379" s="314"/>
      <c r="DQ379" s="314"/>
      <c r="DR379" s="314"/>
      <c r="DS379" s="314"/>
      <c r="DT379" s="314"/>
      <c r="DU379" s="314"/>
      <c r="DV379" s="314"/>
      <c r="DW379" s="314"/>
    </row>
    <row r="380" customFormat="false" ht="12.75" hidden="false" customHeight="false" outlineLevel="0" collapsed="false">
      <c r="R380" s="314"/>
      <c r="W380" s="318"/>
      <c r="AE380" s="321"/>
      <c r="BS380" s="314"/>
      <c r="BT380" s="314"/>
      <c r="BZ380" s="314"/>
      <c r="CA380" s="314"/>
      <c r="CF380" s="314"/>
      <c r="CG380" s="314"/>
      <c r="CM380" s="314"/>
      <c r="CN380" s="314"/>
      <c r="CS380" s="314"/>
      <c r="CT380" s="314"/>
      <c r="CX380" s="318"/>
      <c r="CY380" s="314"/>
      <c r="CZ380" s="314"/>
      <c r="DA380" s="314"/>
      <c r="DB380" s="318"/>
      <c r="DC380" s="314"/>
      <c r="DD380" s="314"/>
      <c r="DE380" s="314"/>
      <c r="DH380" s="314"/>
      <c r="DI380" s="314"/>
      <c r="DJ380" s="314"/>
      <c r="DK380" s="314"/>
      <c r="DL380" s="314"/>
      <c r="DM380" s="314"/>
      <c r="DN380" s="314"/>
      <c r="DO380" s="314"/>
      <c r="DP380" s="314"/>
      <c r="DQ380" s="314"/>
      <c r="DR380" s="314"/>
      <c r="DS380" s="314"/>
      <c r="DT380" s="314"/>
      <c r="DU380" s="314"/>
      <c r="DV380" s="314"/>
      <c r="DW380" s="314"/>
    </row>
    <row r="381" customFormat="false" ht="12.75" hidden="false" customHeight="false" outlineLevel="0" collapsed="false">
      <c r="R381" s="314"/>
      <c r="W381" s="318"/>
      <c r="AE381" s="321"/>
      <c r="BS381" s="314"/>
      <c r="BT381" s="314"/>
      <c r="BZ381" s="314"/>
      <c r="CA381" s="314"/>
      <c r="CF381" s="314"/>
      <c r="CG381" s="314"/>
      <c r="CM381" s="314"/>
      <c r="CN381" s="314"/>
      <c r="CS381" s="314"/>
      <c r="CT381" s="314"/>
      <c r="CX381" s="318"/>
      <c r="CY381" s="314"/>
      <c r="CZ381" s="314"/>
      <c r="DA381" s="314"/>
      <c r="DB381" s="318"/>
      <c r="DC381" s="314"/>
      <c r="DD381" s="314"/>
      <c r="DE381" s="314"/>
      <c r="DH381" s="314"/>
      <c r="DI381" s="314"/>
      <c r="DJ381" s="314"/>
      <c r="DK381" s="314"/>
      <c r="DL381" s="314"/>
      <c r="DM381" s="314"/>
      <c r="DN381" s="314"/>
      <c r="DO381" s="314"/>
      <c r="DP381" s="314"/>
      <c r="DQ381" s="314"/>
      <c r="DR381" s="314"/>
      <c r="DS381" s="314"/>
      <c r="DT381" s="314"/>
      <c r="DU381" s="314"/>
      <c r="DV381" s="314"/>
      <c r="DW381" s="314"/>
    </row>
    <row r="382" customFormat="false" ht="12.75" hidden="false" customHeight="false" outlineLevel="0" collapsed="false">
      <c r="R382" s="314"/>
      <c r="W382" s="318"/>
      <c r="AE382" s="321"/>
      <c r="BS382" s="314"/>
      <c r="BT382" s="314"/>
      <c r="BZ382" s="314"/>
      <c r="CA382" s="314"/>
      <c r="CF382" s="314"/>
      <c r="CG382" s="314"/>
      <c r="CM382" s="314"/>
      <c r="CN382" s="314"/>
      <c r="CS382" s="314"/>
      <c r="CT382" s="314"/>
      <c r="CX382" s="318"/>
      <c r="CY382" s="314"/>
      <c r="CZ382" s="314"/>
      <c r="DA382" s="314"/>
      <c r="DB382" s="318"/>
      <c r="DC382" s="314"/>
      <c r="DD382" s="314"/>
      <c r="DE382" s="314"/>
      <c r="DH382" s="314"/>
      <c r="DI382" s="314"/>
      <c r="DJ382" s="314"/>
      <c r="DK382" s="314"/>
      <c r="DL382" s="314"/>
      <c r="DM382" s="314"/>
      <c r="DN382" s="314"/>
      <c r="DO382" s="314"/>
      <c r="DP382" s="314"/>
      <c r="DQ382" s="314"/>
      <c r="DR382" s="314"/>
      <c r="DS382" s="314"/>
      <c r="DT382" s="314"/>
      <c r="DU382" s="314"/>
      <c r="DV382" s="314"/>
      <c r="DW382" s="314"/>
    </row>
    <row r="383" customFormat="false" ht="12.75" hidden="false" customHeight="false" outlineLevel="0" collapsed="false">
      <c r="R383" s="314"/>
      <c r="W383" s="318"/>
      <c r="AE383" s="321"/>
      <c r="BS383" s="314"/>
      <c r="BT383" s="314"/>
      <c r="BZ383" s="314"/>
      <c r="CA383" s="314"/>
      <c r="CF383" s="314"/>
      <c r="CG383" s="314"/>
      <c r="CM383" s="314"/>
      <c r="CN383" s="314"/>
      <c r="CS383" s="314"/>
      <c r="CT383" s="314"/>
      <c r="CX383" s="318"/>
      <c r="CY383" s="314"/>
      <c r="CZ383" s="314"/>
      <c r="DA383" s="314"/>
      <c r="DB383" s="318"/>
      <c r="DC383" s="314"/>
      <c r="DD383" s="314"/>
      <c r="DE383" s="314"/>
      <c r="DH383" s="314"/>
      <c r="DI383" s="314"/>
      <c r="DJ383" s="314"/>
      <c r="DK383" s="314"/>
      <c r="DL383" s="314"/>
      <c r="DM383" s="314"/>
      <c r="DN383" s="314"/>
      <c r="DO383" s="314"/>
      <c r="DP383" s="314"/>
      <c r="DQ383" s="314"/>
      <c r="DR383" s="314"/>
      <c r="DS383" s="314"/>
      <c r="DT383" s="314"/>
      <c r="DU383" s="314"/>
      <c r="DV383" s="314"/>
      <c r="DW383" s="314"/>
    </row>
    <row r="384" customFormat="false" ht="12.75" hidden="false" customHeight="false" outlineLevel="0" collapsed="false">
      <c r="R384" s="314"/>
      <c r="W384" s="318"/>
      <c r="AE384" s="321"/>
      <c r="BS384" s="314"/>
      <c r="BT384" s="314"/>
      <c r="BZ384" s="314"/>
      <c r="CA384" s="314"/>
      <c r="CF384" s="314"/>
      <c r="CG384" s="314"/>
      <c r="CM384" s="314"/>
      <c r="CN384" s="314"/>
      <c r="CS384" s="314"/>
      <c r="CT384" s="314"/>
      <c r="CX384" s="318"/>
      <c r="CY384" s="314"/>
      <c r="CZ384" s="314"/>
      <c r="DA384" s="314"/>
      <c r="DB384" s="318"/>
      <c r="DC384" s="314"/>
      <c r="DD384" s="314"/>
      <c r="DE384" s="314"/>
      <c r="DH384" s="314"/>
      <c r="DI384" s="314"/>
      <c r="DJ384" s="314"/>
      <c r="DK384" s="314"/>
      <c r="DL384" s="314"/>
      <c r="DM384" s="314"/>
      <c r="DN384" s="314"/>
      <c r="DO384" s="314"/>
      <c r="DP384" s="314"/>
      <c r="DQ384" s="314"/>
      <c r="DR384" s="314"/>
      <c r="DS384" s="314"/>
      <c r="DT384" s="314"/>
      <c r="DU384" s="314"/>
      <c r="DV384" s="314"/>
      <c r="DW384" s="314"/>
    </row>
    <row r="385" customFormat="false" ht="12.75" hidden="false" customHeight="false" outlineLevel="0" collapsed="false">
      <c r="R385" s="314"/>
      <c r="W385" s="318"/>
      <c r="AE385" s="321"/>
      <c r="BS385" s="314"/>
      <c r="BT385" s="314"/>
      <c r="BZ385" s="314"/>
      <c r="CA385" s="314"/>
      <c r="CF385" s="314"/>
      <c r="CG385" s="314"/>
      <c r="CM385" s="314"/>
      <c r="CN385" s="314"/>
      <c r="CS385" s="314"/>
      <c r="CT385" s="314"/>
      <c r="CX385" s="318"/>
      <c r="CY385" s="314"/>
      <c r="CZ385" s="314"/>
      <c r="DA385" s="314"/>
      <c r="DB385" s="318"/>
      <c r="DC385" s="314"/>
      <c r="DD385" s="314"/>
      <c r="DE385" s="314"/>
      <c r="DH385" s="314"/>
      <c r="DI385" s="314"/>
      <c r="DJ385" s="314"/>
      <c r="DK385" s="314"/>
      <c r="DL385" s="314"/>
      <c r="DM385" s="314"/>
      <c r="DN385" s="314"/>
      <c r="DO385" s="314"/>
      <c r="DP385" s="314"/>
      <c r="DQ385" s="314"/>
      <c r="DR385" s="314"/>
      <c r="DS385" s="314"/>
      <c r="DT385" s="314"/>
      <c r="DU385" s="314"/>
      <c r="DV385" s="314"/>
      <c r="DW385" s="314"/>
    </row>
    <row r="386" customFormat="false" ht="12.75" hidden="false" customHeight="false" outlineLevel="0" collapsed="false">
      <c r="R386" s="314"/>
      <c r="W386" s="318"/>
      <c r="AE386" s="321"/>
      <c r="BS386" s="314"/>
      <c r="BT386" s="314"/>
      <c r="BZ386" s="314"/>
      <c r="CA386" s="314"/>
      <c r="CF386" s="314"/>
      <c r="CG386" s="314"/>
      <c r="CM386" s="314"/>
      <c r="CN386" s="314"/>
      <c r="CS386" s="314"/>
      <c r="CT386" s="314"/>
      <c r="CX386" s="318"/>
      <c r="CY386" s="314"/>
      <c r="CZ386" s="314"/>
      <c r="DA386" s="314"/>
      <c r="DB386" s="318"/>
      <c r="DC386" s="314"/>
      <c r="DD386" s="314"/>
      <c r="DE386" s="314"/>
      <c r="DH386" s="314"/>
      <c r="DI386" s="314"/>
      <c r="DJ386" s="314"/>
      <c r="DK386" s="314"/>
      <c r="DL386" s="314"/>
      <c r="DM386" s="314"/>
      <c r="DN386" s="314"/>
      <c r="DO386" s="314"/>
      <c r="DP386" s="314"/>
      <c r="DQ386" s="314"/>
      <c r="DR386" s="314"/>
      <c r="DS386" s="314"/>
      <c r="DT386" s="314"/>
      <c r="DU386" s="314"/>
      <c r="DV386" s="314"/>
      <c r="DW386" s="314"/>
    </row>
    <row r="387" customFormat="false" ht="12.75" hidden="false" customHeight="false" outlineLevel="0" collapsed="false">
      <c r="R387" s="314"/>
      <c r="W387" s="318"/>
      <c r="AE387" s="321"/>
      <c r="BS387" s="314"/>
      <c r="BT387" s="314"/>
      <c r="BZ387" s="314"/>
      <c r="CA387" s="314"/>
      <c r="CF387" s="314"/>
      <c r="CG387" s="314"/>
      <c r="CM387" s="314"/>
      <c r="CN387" s="314"/>
      <c r="CS387" s="314"/>
      <c r="CT387" s="314"/>
      <c r="CX387" s="318"/>
      <c r="CY387" s="314"/>
      <c r="CZ387" s="314"/>
      <c r="DA387" s="314"/>
      <c r="DB387" s="318"/>
      <c r="DC387" s="314"/>
      <c r="DD387" s="314"/>
      <c r="DE387" s="314"/>
      <c r="DH387" s="314"/>
      <c r="DI387" s="314"/>
      <c r="DJ387" s="314"/>
      <c r="DK387" s="314"/>
      <c r="DL387" s="314"/>
      <c r="DM387" s="314"/>
      <c r="DN387" s="314"/>
      <c r="DO387" s="314"/>
      <c r="DP387" s="314"/>
      <c r="DQ387" s="314"/>
      <c r="DR387" s="314"/>
      <c r="DS387" s="314"/>
      <c r="DT387" s="314"/>
      <c r="DU387" s="314"/>
      <c r="DV387" s="314"/>
      <c r="DW387" s="314"/>
    </row>
    <row r="388" customFormat="false" ht="12.75" hidden="false" customHeight="false" outlineLevel="0" collapsed="false">
      <c r="R388" s="314"/>
      <c r="W388" s="318"/>
      <c r="AE388" s="321"/>
      <c r="BS388" s="314"/>
      <c r="BT388" s="314"/>
      <c r="BZ388" s="314"/>
      <c r="CA388" s="314"/>
      <c r="CF388" s="314"/>
      <c r="CG388" s="314"/>
      <c r="CM388" s="314"/>
      <c r="CN388" s="314"/>
      <c r="CS388" s="314"/>
      <c r="CT388" s="314"/>
      <c r="CX388" s="318"/>
      <c r="CY388" s="314"/>
      <c r="CZ388" s="314"/>
      <c r="DA388" s="314"/>
      <c r="DB388" s="318"/>
      <c r="DC388" s="314"/>
      <c r="DD388" s="314"/>
      <c r="DE388" s="314"/>
      <c r="DH388" s="314"/>
      <c r="DI388" s="314"/>
      <c r="DJ388" s="314"/>
      <c r="DK388" s="314"/>
      <c r="DL388" s="314"/>
      <c r="DM388" s="314"/>
      <c r="DN388" s="314"/>
      <c r="DO388" s="314"/>
      <c r="DP388" s="314"/>
      <c r="DQ388" s="314"/>
      <c r="DR388" s="314"/>
      <c r="DS388" s="314"/>
      <c r="DT388" s="314"/>
      <c r="DU388" s="314"/>
      <c r="DV388" s="314"/>
      <c r="DW388" s="314"/>
    </row>
    <row r="389" customFormat="false" ht="12.75" hidden="false" customHeight="false" outlineLevel="0" collapsed="false">
      <c r="R389" s="314"/>
      <c r="W389" s="318"/>
      <c r="AE389" s="321"/>
      <c r="BS389" s="314"/>
      <c r="BT389" s="314"/>
      <c r="BZ389" s="314"/>
      <c r="CA389" s="314"/>
      <c r="CF389" s="314"/>
      <c r="CG389" s="314"/>
      <c r="CM389" s="314"/>
      <c r="CN389" s="314"/>
      <c r="CS389" s="314"/>
      <c r="CT389" s="314"/>
      <c r="CX389" s="318"/>
      <c r="CY389" s="314"/>
      <c r="CZ389" s="314"/>
      <c r="DA389" s="314"/>
      <c r="DB389" s="318"/>
      <c r="DC389" s="314"/>
      <c r="DD389" s="314"/>
      <c r="DE389" s="314"/>
      <c r="DH389" s="314"/>
      <c r="DI389" s="314"/>
      <c r="DJ389" s="314"/>
      <c r="DK389" s="314"/>
      <c r="DL389" s="314"/>
      <c r="DM389" s="314"/>
      <c r="DN389" s="314"/>
      <c r="DO389" s="314"/>
      <c r="DP389" s="314"/>
      <c r="DQ389" s="314"/>
      <c r="DR389" s="314"/>
      <c r="DS389" s="314"/>
      <c r="DT389" s="314"/>
      <c r="DU389" s="314"/>
      <c r="DV389" s="314"/>
      <c r="DW389" s="314"/>
    </row>
    <row r="390" customFormat="false" ht="12.75" hidden="false" customHeight="false" outlineLevel="0" collapsed="false">
      <c r="R390" s="314"/>
      <c r="W390" s="318"/>
      <c r="AE390" s="321"/>
      <c r="BS390" s="314"/>
      <c r="BT390" s="314"/>
      <c r="BZ390" s="314"/>
      <c r="CA390" s="314"/>
      <c r="CF390" s="314"/>
      <c r="CG390" s="314"/>
      <c r="CM390" s="314"/>
      <c r="CN390" s="314"/>
      <c r="CS390" s="314"/>
      <c r="CT390" s="314"/>
      <c r="CX390" s="318"/>
      <c r="CY390" s="314"/>
      <c r="CZ390" s="314"/>
      <c r="DA390" s="314"/>
      <c r="DB390" s="318"/>
      <c r="DC390" s="314"/>
      <c r="DD390" s="314"/>
      <c r="DE390" s="314"/>
      <c r="DH390" s="314"/>
      <c r="DI390" s="314"/>
      <c r="DJ390" s="314"/>
      <c r="DK390" s="314"/>
      <c r="DL390" s="314"/>
      <c r="DM390" s="314"/>
      <c r="DN390" s="314"/>
      <c r="DO390" s="314"/>
      <c r="DP390" s="314"/>
      <c r="DQ390" s="314"/>
      <c r="DR390" s="314"/>
      <c r="DS390" s="314"/>
      <c r="DT390" s="314"/>
      <c r="DU390" s="314"/>
      <c r="DV390" s="314"/>
      <c r="DW390" s="314"/>
    </row>
    <row r="391" customFormat="false" ht="12.75" hidden="false" customHeight="false" outlineLevel="0" collapsed="false">
      <c r="R391" s="314"/>
      <c r="W391" s="318"/>
      <c r="AE391" s="321"/>
      <c r="BS391" s="314"/>
      <c r="BT391" s="314"/>
      <c r="BZ391" s="314"/>
      <c r="CA391" s="314"/>
      <c r="CF391" s="314"/>
      <c r="CG391" s="314"/>
      <c r="CM391" s="314"/>
      <c r="CN391" s="314"/>
      <c r="CS391" s="314"/>
      <c r="CT391" s="314"/>
      <c r="CX391" s="318"/>
      <c r="CY391" s="314"/>
      <c r="CZ391" s="314"/>
      <c r="DA391" s="314"/>
      <c r="DB391" s="318"/>
      <c r="DC391" s="314"/>
      <c r="DD391" s="314"/>
      <c r="DE391" s="314"/>
      <c r="DH391" s="314"/>
      <c r="DI391" s="314"/>
      <c r="DJ391" s="314"/>
      <c r="DK391" s="314"/>
      <c r="DL391" s="314"/>
      <c r="DM391" s="314"/>
      <c r="DN391" s="314"/>
      <c r="DO391" s="314"/>
      <c r="DP391" s="314"/>
      <c r="DQ391" s="314"/>
      <c r="DR391" s="314"/>
      <c r="DS391" s="314"/>
      <c r="DT391" s="314"/>
      <c r="DU391" s="314"/>
      <c r="DV391" s="314"/>
      <c r="DW391" s="314"/>
    </row>
    <row r="392" customFormat="false" ht="12.75" hidden="false" customHeight="false" outlineLevel="0" collapsed="false">
      <c r="R392" s="314"/>
      <c r="W392" s="318"/>
      <c r="AE392" s="321"/>
      <c r="BS392" s="314"/>
      <c r="BT392" s="314"/>
      <c r="BZ392" s="314"/>
      <c r="CA392" s="314"/>
      <c r="CF392" s="314"/>
      <c r="CG392" s="314"/>
      <c r="CM392" s="314"/>
      <c r="CN392" s="314"/>
      <c r="CS392" s="314"/>
      <c r="CT392" s="314"/>
      <c r="CX392" s="318"/>
      <c r="CY392" s="314"/>
      <c r="CZ392" s="314"/>
      <c r="DA392" s="314"/>
      <c r="DB392" s="318"/>
      <c r="DC392" s="314"/>
      <c r="DD392" s="314"/>
      <c r="DE392" s="314"/>
      <c r="DH392" s="314"/>
      <c r="DI392" s="314"/>
      <c r="DJ392" s="314"/>
      <c r="DK392" s="314"/>
      <c r="DL392" s="314"/>
      <c r="DM392" s="314"/>
      <c r="DN392" s="314"/>
      <c r="DO392" s="314"/>
      <c r="DP392" s="314"/>
      <c r="DQ392" s="314"/>
      <c r="DR392" s="314"/>
      <c r="DS392" s="314"/>
      <c r="DT392" s="314"/>
      <c r="DU392" s="314"/>
      <c r="DV392" s="314"/>
      <c r="DW392" s="314"/>
    </row>
    <row r="393" customFormat="false" ht="12.75" hidden="false" customHeight="false" outlineLevel="0" collapsed="false">
      <c r="R393" s="314"/>
      <c r="W393" s="318"/>
      <c r="AE393" s="321"/>
      <c r="BS393" s="314"/>
      <c r="BT393" s="314"/>
      <c r="BZ393" s="314"/>
      <c r="CA393" s="314"/>
      <c r="CF393" s="314"/>
      <c r="CG393" s="314"/>
      <c r="CM393" s="314"/>
      <c r="CN393" s="314"/>
      <c r="CS393" s="314"/>
      <c r="CT393" s="314"/>
      <c r="CX393" s="318"/>
      <c r="CY393" s="314"/>
      <c r="CZ393" s="314"/>
      <c r="DA393" s="314"/>
      <c r="DB393" s="318"/>
      <c r="DC393" s="314"/>
      <c r="DD393" s="314"/>
      <c r="DE393" s="314"/>
      <c r="DH393" s="314"/>
      <c r="DI393" s="314"/>
      <c r="DJ393" s="314"/>
      <c r="DK393" s="314"/>
      <c r="DL393" s="314"/>
      <c r="DM393" s="314"/>
      <c r="DN393" s="314"/>
      <c r="DO393" s="314"/>
      <c r="DP393" s="314"/>
      <c r="DQ393" s="314"/>
      <c r="DR393" s="314"/>
      <c r="DS393" s="314"/>
      <c r="DT393" s="314"/>
      <c r="DU393" s="314"/>
      <c r="DV393" s="314"/>
      <c r="DW393" s="314"/>
    </row>
    <row r="394" customFormat="false" ht="12.75" hidden="false" customHeight="false" outlineLevel="0" collapsed="false">
      <c r="R394" s="314"/>
      <c r="W394" s="318"/>
      <c r="AE394" s="321"/>
      <c r="BS394" s="314"/>
      <c r="BT394" s="314"/>
      <c r="BZ394" s="314"/>
      <c r="CA394" s="314"/>
      <c r="CF394" s="314"/>
      <c r="CG394" s="314"/>
      <c r="CM394" s="314"/>
      <c r="CN394" s="314"/>
      <c r="CS394" s="314"/>
      <c r="CT394" s="314"/>
      <c r="CX394" s="318"/>
      <c r="CY394" s="314"/>
      <c r="CZ394" s="314"/>
      <c r="DA394" s="314"/>
      <c r="DB394" s="318"/>
      <c r="DC394" s="314"/>
      <c r="DD394" s="314"/>
      <c r="DE394" s="314"/>
      <c r="DH394" s="314"/>
      <c r="DI394" s="314"/>
      <c r="DJ394" s="314"/>
      <c r="DK394" s="314"/>
      <c r="DL394" s="314"/>
      <c r="DM394" s="314"/>
      <c r="DN394" s="314"/>
      <c r="DO394" s="314"/>
      <c r="DP394" s="314"/>
      <c r="DQ394" s="314"/>
      <c r="DR394" s="314"/>
      <c r="DS394" s="314"/>
      <c r="DT394" s="314"/>
      <c r="DU394" s="314"/>
      <c r="DV394" s="314"/>
      <c r="DW394" s="314"/>
    </row>
    <row r="395" customFormat="false" ht="12.75" hidden="false" customHeight="false" outlineLevel="0" collapsed="false">
      <c r="R395" s="314"/>
      <c r="W395" s="318"/>
      <c r="AE395" s="321"/>
      <c r="BS395" s="314"/>
      <c r="BT395" s="314"/>
      <c r="BZ395" s="314"/>
      <c r="CA395" s="314"/>
      <c r="CF395" s="314"/>
      <c r="CG395" s="314"/>
      <c r="CM395" s="314"/>
      <c r="CN395" s="314"/>
      <c r="CS395" s="314"/>
      <c r="CT395" s="314"/>
      <c r="CX395" s="318"/>
      <c r="CY395" s="314"/>
      <c r="CZ395" s="314"/>
      <c r="DA395" s="314"/>
      <c r="DB395" s="318"/>
      <c r="DC395" s="314"/>
      <c r="DD395" s="314"/>
      <c r="DE395" s="314"/>
      <c r="DH395" s="314"/>
      <c r="DI395" s="314"/>
      <c r="DJ395" s="314"/>
      <c r="DK395" s="314"/>
      <c r="DL395" s="314"/>
      <c r="DM395" s="314"/>
      <c r="DN395" s="314"/>
      <c r="DO395" s="314"/>
      <c r="DP395" s="314"/>
      <c r="DQ395" s="314"/>
      <c r="DR395" s="314"/>
      <c r="DS395" s="314"/>
      <c r="DT395" s="314"/>
      <c r="DU395" s="314"/>
      <c r="DV395" s="314"/>
      <c r="DW395" s="314"/>
    </row>
    <row r="396" customFormat="false" ht="12.75" hidden="false" customHeight="false" outlineLevel="0" collapsed="false">
      <c r="R396" s="314"/>
      <c r="W396" s="318"/>
      <c r="AE396" s="321"/>
      <c r="BS396" s="314"/>
      <c r="BT396" s="314"/>
      <c r="BZ396" s="314"/>
      <c r="CA396" s="314"/>
      <c r="CF396" s="314"/>
      <c r="CG396" s="314"/>
      <c r="CM396" s="314"/>
      <c r="CN396" s="314"/>
      <c r="CS396" s="314"/>
      <c r="CT396" s="314"/>
      <c r="CX396" s="318"/>
      <c r="CY396" s="314"/>
      <c r="CZ396" s="314"/>
      <c r="DA396" s="314"/>
      <c r="DB396" s="318"/>
      <c r="DC396" s="314"/>
      <c r="DD396" s="314"/>
      <c r="DE396" s="314"/>
      <c r="DH396" s="314"/>
      <c r="DI396" s="314"/>
      <c r="DJ396" s="314"/>
      <c r="DK396" s="314"/>
      <c r="DL396" s="314"/>
      <c r="DM396" s="314"/>
      <c r="DN396" s="314"/>
      <c r="DO396" s="314"/>
      <c r="DP396" s="314"/>
      <c r="DQ396" s="314"/>
      <c r="DR396" s="314"/>
      <c r="DS396" s="314"/>
      <c r="DT396" s="314"/>
      <c r="DU396" s="314"/>
      <c r="DV396" s="314"/>
      <c r="DW396" s="314"/>
    </row>
    <row r="397" customFormat="false" ht="12.75" hidden="false" customHeight="false" outlineLevel="0" collapsed="false">
      <c r="R397" s="314"/>
      <c r="W397" s="318"/>
      <c r="AE397" s="321"/>
      <c r="BS397" s="314"/>
      <c r="BT397" s="314"/>
      <c r="BZ397" s="314"/>
      <c r="CA397" s="314"/>
      <c r="CF397" s="314"/>
      <c r="CG397" s="314"/>
      <c r="CM397" s="314"/>
      <c r="CN397" s="314"/>
      <c r="CS397" s="314"/>
      <c r="CT397" s="314"/>
      <c r="CX397" s="318"/>
      <c r="CY397" s="314"/>
      <c r="CZ397" s="314"/>
      <c r="DA397" s="314"/>
      <c r="DB397" s="318"/>
      <c r="DC397" s="314"/>
      <c r="DD397" s="314"/>
      <c r="DE397" s="314"/>
      <c r="DH397" s="314"/>
      <c r="DI397" s="314"/>
      <c r="DJ397" s="314"/>
      <c r="DK397" s="314"/>
      <c r="DL397" s="314"/>
      <c r="DM397" s="314"/>
      <c r="DN397" s="314"/>
      <c r="DO397" s="314"/>
      <c r="DP397" s="314"/>
      <c r="DQ397" s="314"/>
      <c r="DR397" s="314"/>
      <c r="DS397" s="314"/>
      <c r="DT397" s="314"/>
      <c r="DU397" s="314"/>
      <c r="DV397" s="314"/>
      <c r="DW397" s="314"/>
    </row>
    <row r="398" customFormat="false" ht="12.75" hidden="false" customHeight="false" outlineLevel="0" collapsed="false">
      <c r="R398" s="314"/>
      <c r="W398" s="318"/>
      <c r="AE398" s="321"/>
      <c r="BS398" s="314"/>
      <c r="BT398" s="314"/>
      <c r="BZ398" s="314"/>
      <c r="CA398" s="314"/>
      <c r="CF398" s="314"/>
      <c r="CG398" s="314"/>
      <c r="CM398" s="314"/>
      <c r="CN398" s="314"/>
      <c r="CS398" s="314"/>
      <c r="CT398" s="314"/>
      <c r="CX398" s="318"/>
      <c r="CY398" s="314"/>
      <c r="CZ398" s="314"/>
      <c r="DA398" s="314"/>
      <c r="DB398" s="318"/>
      <c r="DC398" s="314"/>
      <c r="DD398" s="314"/>
      <c r="DE398" s="314"/>
      <c r="DH398" s="314"/>
      <c r="DI398" s="314"/>
      <c r="DJ398" s="314"/>
      <c r="DK398" s="314"/>
      <c r="DL398" s="314"/>
      <c r="DM398" s="314"/>
      <c r="DN398" s="314"/>
      <c r="DO398" s="314"/>
      <c r="DP398" s="314"/>
      <c r="DQ398" s="314"/>
      <c r="DR398" s="314"/>
      <c r="DS398" s="314"/>
      <c r="DT398" s="314"/>
      <c r="DU398" s="314"/>
      <c r="DV398" s="314"/>
      <c r="DW398" s="314"/>
    </row>
    <row r="399" customFormat="false" ht="12.75" hidden="false" customHeight="false" outlineLevel="0" collapsed="false">
      <c r="R399" s="314"/>
      <c r="W399" s="318"/>
      <c r="AE399" s="321"/>
      <c r="BS399" s="314"/>
      <c r="BT399" s="314"/>
      <c r="BZ399" s="314"/>
      <c r="CA399" s="314"/>
      <c r="CF399" s="314"/>
      <c r="CG399" s="314"/>
      <c r="CM399" s="314"/>
      <c r="CN399" s="314"/>
      <c r="CS399" s="314"/>
      <c r="CT399" s="314"/>
      <c r="CX399" s="318"/>
      <c r="CY399" s="314"/>
      <c r="CZ399" s="314"/>
      <c r="DA399" s="314"/>
      <c r="DB399" s="318"/>
      <c r="DC399" s="314"/>
      <c r="DD399" s="314"/>
      <c r="DE399" s="314"/>
      <c r="DH399" s="314"/>
      <c r="DI399" s="314"/>
      <c r="DJ399" s="314"/>
      <c r="DK399" s="314"/>
      <c r="DL399" s="314"/>
      <c r="DM399" s="314"/>
      <c r="DN399" s="314"/>
      <c r="DO399" s="314"/>
      <c r="DP399" s="314"/>
      <c r="DQ399" s="314"/>
      <c r="DR399" s="314"/>
      <c r="DS399" s="314"/>
      <c r="DT399" s="314"/>
      <c r="DU399" s="314"/>
      <c r="DV399" s="314"/>
      <c r="DW399" s="314"/>
    </row>
    <row r="400" customFormat="false" ht="12.75" hidden="false" customHeight="false" outlineLevel="0" collapsed="false">
      <c r="R400" s="314"/>
      <c r="W400" s="318"/>
      <c r="AE400" s="321"/>
      <c r="BS400" s="314"/>
      <c r="BT400" s="314"/>
      <c r="BZ400" s="314"/>
      <c r="CA400" s="314"/>
      <c r="CF400" s="314"/>
      <c r="CG400" s="314"/>
      <c r="CM400" s="314"/>
      <c r="CN400" s="314"/>
      <c r="CS400" s="314"/>
      <c r="CT400" s="314"/>
      <c r="CX400" s="318"/>
      <c r="CY400" s="314"/>
      <c r="CZ400" s="314"/>
      <c r="DA400" s="314"/>
      <c r="DB400" s="318"/>
      <c r="DC400" s="314"/>
      <c r="DD400" s="314"/>
      <c r="DE400" s="314"/>
      <c r="DH400" s="314"/>
      <c r="DI400" s="314"/>
      <c r="DJ400" s="314"/>
      <c r="DK400" s="314"/>
      <c r="DL400" s="314"/>
      <c r="DM400" s="314"/>
      <c r="DN400" s="314"/>
      <c r="DO400" s="314"/>
      <c r="DP400" s="314"/>
      <c r="DQ400" s="314"/>
      <c r="DR400" s="314"/>
      <c r="DS400" s="314"/>
      <c r="DT400" s="314"/>
      <c r="DU400" s="314"/>
      <c r="DV400" s="314"/>
      <c r="DW400" s="314"/>
    </row>
    <row r="401" customFormat="false" ht="12.75" hidden="false" customHeight="false" outlineLevel="0" collapsed="false">
      <c r="R401" s="314"/>
      <c r="W401" s="318"/>
      <c r="AE401" s="321"/>
      <c r="BS401" s="314"/>
      <c r="BT401" s="314"/>
      <c r="BZ401" s="314"/>
      <c r="CA401" s="314"/>
      <c r="CF401" s="314"/>
      <c r="CG401" s="314"/>
      <c r="CM401" s="314"/>
      <c r="CN401" s="314"/>
      <c r="CS401" s="314"/>
      <c r="CT401" s="314"/>
      <c r="CX401" s="318"/>
      <c r="CY401" s="314"/>
      <c r="CZ401" s="314"/>
      <c r="DA401" s="314"/>
      <c r="DB401" s="318"/>
      <c r="DC401" s="314"/>
      <c r="DD401" s="314"/>
      <c r="DE401" s="314"/>
      <c r="DH401" s="314"/>
      <c r="DI401" s="314"/>
      <c r="DJ401" s="314"/>
      <c r="DK401" s="314"/>
      <c r="DL401" s="314"/>
      <c r="DM401" s="314"/>
      <c r="DN401" s="314"/>
      <c r="DO401" s="314"/>
      <c r="DP401" s="314"/>
      <c r="DQ401" s="314"/>
      <c r="DR401" s="314"/>
      <c r="DS401" s="314"/>
      <c r="DT401" s="314"/>
      <c r="DU401" s="314"/>
      <c r="DV401" s="314"/>
      <c r="DW401" s="314"/>
    </row>
    <row r="402" customFormat="false" ht="12.75" hidden="false" customHeight="false" outlineLevel="0" collapsed="false">
      <c r="R402" s="314"/>
      <c r="W402" s="318"/>
      <c r="AE402" s="321"/>
      <c r="BS402" s="314"/>
      <c r="BT402" s="314"/>
      <c r="BZ402" s="314"/>
      <c r="CA402" s="314"/>
      <c r="CF402" s="314"/>
      <c r="CG402" s="314"/>
      <c r="CM402" s="314"/>
      <c r="CN402" s="314"/>
      <c r="CS402" s="314"/>
      <c r="CT402" s="314"/>
      <c r="CX402" s="318"/>
      <c r="CY402" s="314"/>
      <c r="CZ402" s="314"/>
      <c r="DA402" s="314"/>
      <c r="DB402" s="318"/>
      <c r="DC402" s="314"/>
      <c r="DD402" s="314"/>
      <c r="DE402" s="314"/>
      <c r="DH402" s="314"/>
      <c r="DI402" s="314"/>
      <c r="DJ402" s="314"/>
      <c r="DK402" s="314"/>
      <c r="DL402" s="314"/>
      <c r="DM402" s="314"/>
      <c r="DN402" s="314"/>
      <c r="DO402" s="314"/>
      <c r="DP402" s="314"/>
      <c r="DQ402" s="314"/>
      <c r="DR402" s="314"/>
      <c r="DS402" s="314"/>
      <c r="DT402" s="314"/>
      <c r="DU402" s="314"/>
      <c r="DV402" s="314"/>
      <c r="DW402" s="314"/>
    </row>
    <row r="403" customFormat="false" ht="12.75" hidden="false" customHeight="false" outlineLevel="0" collapsed="false">
      <c r="R403" s="314"/>
      <c r="W403" s="318"/>
      <c r="AE403" s="321"/>
      <c r="BS403" s="314"/>
      <c r="BT403" s="314"/>
      <c r="BZ403" s="314"/>
      <c r="CA403" s="314"/>
      <c r="CF403" s="314"/>
      <c r="CG403" s="314"/>
      <c r="CM403" s="314"/>
      <c r="CN403" s="314"/>
      <c r="CS403" s="314"/>
      <c r="CT403" s="314"/>
      <c r="CX403" s="318"/>
      <c r="CY403" s="314"/>
      <c r="CZ403" s="314"/>
      <c r="DA403" s="314"/>
      <c r="DB403" s="318"/>
      <c r="DC403" s="314"/>
      <c r="DD403" s="314"/>
      <c r="DE403" s="314"/>
      <c r="DH403" s="314"/>
      <c r="DI403" s="314"/>
      <c r="DJ403" s="314"/>
      <c r="DK403" s="314"/>
      <c r="DL403" s="314"/>
      <c r="DM403" s="314"/>
      <c r="DN403" s="314"/>
      <c r="DO403" s="314"/>
      <c r="DP403" s="314"/>
      <c r="DQ403" s="314"/>
      <c r="DR403" s="314"/>
      <c r="DS403" s="314"/>
      <c r="DT403" s="314"/>
      <c r="DU403" s="314"/>
      <c r="DV403" s="314"/>
      <c r="DW403" s="314"/>
    </row>
    <row r="404" customFormat="false" ht="12.75" hidden="false" customHeight="false" outlineLevel="0" collapsed="false">
      <c r="R404" s="314"/>
      <c r="W404" s="318"/>
      <c r="AE404" s="321"/>
      <c r="BS404" s="314"/>
      <c r="BT404" s="314"/>
      <c r="BZ404" s="314"/>
      <c r="CA404" s="314"/>
      <c r="CF404" s="314"/>
      <c r="CG404" s="314"/>
      <c r="CM404" s="314"/>
      <c r="CN404" s="314"/>
      <c r="CS404" s="314"/>
      <c r="CT404" s="314"/>
      <c r="CX404" s="318"/>
      <c r="CY404" s="314"/>
      <c r="CZ404" s="314"/>
      <c r="DA404" s="314"/>
      <c r="DB404" s="318"/>
      <c r="DC404" s="314"/>
      <c r="DD404" s="314"/>
      <c r="DE404" s="314"/>
      <c r="DH404" s="314"/>
      <c r="DI404" s="314"/>
      <c r="DJ404" s="314"/>
      <c r="DK404" s="314"/>
      <c r="DL404" s="314"/>
      <c r="DM404" s="314"/>
      <c r="DN404" s="314"/>
      <c r="DO404" s="314"/>
      <c r="DP404" s="314"/>
      <c r="DQ404" s="314"/>
      <c r="DR404" s="314"/>
      <c r="DS404" s="314"/>
      <c r="DT404" s="314"/>
      <c r="DU404" s="314"/>
      <c r="DV404" s="314"/>
      <c r="DW404" s="314"/>
    </row>
    <row r="405" customFormat="false" ht="12.75" hidden="false" customHeight="false" outlineLevel="0" collapsed="false">
      <c r="R405" s="314"/>
      <c r="W405" s="318"/>
      <c r="AE405" s="321"/>
      <c r="BS405" s="314"/>
      <c r="BT405" s="314"/>
      <c r="BZ405" s="314"/>
      <c r="CA405" s="314"/>
      <c r="CF405" s="314"/>
      <c r="CG405" s="314"/>
      <c r="CM405" s="314"/>
      <c r="CN405" s="314"/>
      <c r="CS405" s="314"/>
      <c r="CT405" s="314"/>
      <c r="CX405" s="318"/>
      <c r="CY405" s="314"/>
      <c r="CZ405" s="314"/>
      <c r="DA405" s="314"/>
      <c r="DB405" s="318"/>
      <c r="DC405" s="314"/>
      <c r="DD405" s="314"/>
      <c r="DE405" s="314"/>
      <c r="DH405" s="314"/>
      <c r="DI405" s="314"/>
      <c r="DJ405" s="314"/>
      <c r="DK405" s="314"/>
      <c r="DL405" s="314"/>
      <c r="DM405" s="314"/>
      <c r="DN405" s="314"/>
      <c r="DO405" s="314"/>
      <c r="DP405" s="314"/>
      <c r="DQ405" s="314"/>
      <c r="DR405" s="314"/>
      <c r="DS405" s="314"/>
      <c r="DT405" s="314"/>
      <c r="DU405" s="314"/>
      <c r="DV405" s="314"/>
      <c r="DW405" s="314"/>
    </row>
    <row r="406" customFormat="false" ht="12.75" hidden="false" customHeight="false" outlineLevel="0" collapsed="false">
      <c r="R406" s="314"/>
      <c r="W406" s="318"/>
      <c r="AE406" s="321"/>
      <c r="BS406" s="314"/>
      <c r="BT406" s="314"/>
      <c r="BZ406" s="314"/>
      <c r="CA406" s="314"/>
      <c r="CF406" s="314"/>
      <c r="CG406" s="314"/>
      <c r="CM406" s="314"/>
      <c r="CN406" s="314"/>
      <c r="CS406" s="314"/>
      <c r="CT406" s="314"/>
      <c r="CX406" s="318"/>
      <c r="CY406" s="314"/>
      <c r="CZ406" s="314"/>
      <c r="DA406" s="314"/>
      <c r="DB406" s="318"/>
      <c r="DC406" s="314"/>
      <c r="DD406" s="314"/>
      <c r="DE406" s="314"/>
      <c r="DH406" s="314"/>
      <c r="DI406" s="314"/>
      <c r="DJ406" s="314"/>
      <c r="DK406" s="314"/>
      <c r="DL406" s="314"/>
      <c r="DM406" s="314"/>
      <c r="DN406" s="314"/>
      <c r="DO406" s="314"/>
      <c r="DP406" s="314"/>
      <c r="DQ406" s="314"/>
      <c r="DR406" s="314"/>
      <c r="DS406" s="314"/>
      <c r="DT406" s="314"/>
      <c r="DU406" s="314"/>
      <c r="DV406" s="314"/>
      <c r="DW406" s="314"/>
    </row>
    <row r="407" customFormat="false" ht="12.75" hidden="false" customHeight="false" outlineLevel="0" collapsed="false">
      <c r="R407" s="314"/>
      <c r="W407" s="318"/>
      <c r="AE407" s="321"/>
      <c r="BS407" s="314"/>
      <c r="BT407" s="314"/>
      <c r="BZ407" s="314"/>
      <c r="CA407" s="314"/>
      <c r="CF407" s="314"/>
      <c r="CG407" s="314"/>
      <c r="CM407" s="314"/>
      <c r="CN407" s="314"/>
      <c r="CS407" s="314"/>
      <c r="CT407" s="314"/>
      <c r="CX407" s="318"/>
      <c r="CY407" s="314"/>
      <c r="CZ407" s="314"/>
      <c r="DA407" s="314"/>
      <c r="DB407" s="318"/>
      <c r="DC407" s="314"/>
      <c r="DD407" s="314"/>
      <c r="DE407" s="314"/>
      <c r="DH407" s="314"/>
      <c r="DI407" s="314"/>
      <c r="DJ407" s="314"/>
      <c r="DK407" s="314"/>
      <c r="DL407" s="314"/>
      <c r="DM407" s="314"/>
      <c r="DN407" s="314"/>
      <c r="DO407" s="314"/>
      <c r="DP407" s="314"/>
      <c r="DQ407" s="314"/>
      <c r="DR407" s="314"/>
      <c r="DS407" s="314"/>
      <c r="DT407" s="314"/>
      <c r="DU407" s="314"/>
      <c r="DV407" s="314"/>
      <c r="DW407" s="314"/>
    </row>
    <row r="408" customFormat="false" ht="12.75" hidden="false" customHeight="false" outlineLevel="0" collapsed="false">
      <c r="R408" s="314"/>
      <c r="W408" s="318"/>
      <c r="AE408" s="321"/>
      <c r="BS408" s="314"/>
      <c r="BT408" s="314"/>
      <c r="BZ408" s="314"/>
      <c r="CA408" s="314"/>
      <c r="CF408" s="314"/>
      <c r="CG408" s="314"/>
      <c r="CM408" s="314"/>
      <c r="CN408" s="314"/>
      <c r="CS408" s="314"/>
      <c r="CT408" s="314"/>
      <c r="CX408" s="318"/>
      <c r="CY408" s="314"/>
      <c r="CZ408" s="314"/>
      <c r="DA408" s="314"/>
      <c r="DB408" s="318"/>
      <c r="DC408" s="314"/>
      <c r="DD408" s="314"/>
      <c r="DE408" s="314"/>
      <c r="DH408" s="314"/>
      <c r="DI408" s="314"/>
      <c r="DJ408" s="314"/>
      <c r="DK408" s="314"/>
      <c r="DL408" s="314"/>
      <c r="DM408" s="314"/>
      <c r="DN408" s="314"/>
      <c r="DO408" s="314"/>
      <c r="DP408" s="314"/>
      <c r="DQ408" s="314"/>
      <c r="DR408" s="314"/>
      <c r="DS408" s="314"/>
      <c r="DT408" s="314"/>
      <c r="DU408" s="314"/>
      <c r="DV408" s="314"/>
      <c r="DW408" s="314"/>
    </row>
    <row r="409" customFormat="false" ht="12.75" hidden="false" customHeight="false" outlineLevel="0" collapsed="false">
      <c r="R409" s="314"/>
      <c r="W409" s="318"/>
      <c r="AE409" s="321"/>
      <c r="BS409" s="314"/>
      <c r="BT409" s="314"/>
      <c r="BZ409" s="314"/>
      <c r="CA409" s="314"/>
      <c r="CF409" s="314"/>
      <c r="CG409" s="314"/>
      <c r="CM409" s="314"/>
      <c r="CN409" s="314"/>
      <c r="CS409" s="314"/>
      <c r="CT409" s="314"/>
      <c r="CX409" s="318"/>
      <c r="CY409" s="314"/>
      <c r="CZ409" s="314"/>
      <c r="DA409" s="314"/>
      <c r="DB409" s="318"/>
      <c r="DC409" s="314"/>
      <c r="DD409" s="314"/>
      <c r="DE409" s="314"/>
      <c r="DH409" s="314"/>
      <c r="DI409" s="314"/>
      <c r="DJ409" s="314"/>
      <c r="DK409" s="314"/>
      <c r="DL409" s="314"/>
      <c r="DM409" s="314"/>
      <c r="DN409" s="314"/>
      <c r="DO409" s="314"/>
      <c r="DP409" s="314"/>
      <c r="DQ409" s="314"/>
      <c r="DR409" s="314"/>
      <c r="DS409" s="314"/>
      <c r="DT409" s="314"/>
      <c r="DU409" s="314"/>
      <c r="DV409" s="314"/>
      <c r="DW409" s="314"/>
    </row>
    <row r="410" customFormat="false" ht="12.75" hidden="false" customHeight="false" outlineLevel="0" collapsed="false">
      <c r="R410" s="314"/>
      <c r="W410" s="318"/>
      <c r="AE410" s="321"/>
      <c r="BS410" s="314"/>
      <c r="BT410" s="314"/>
      <c r="BZ410" s="314"/>
      <c r="CA410" s="314"/>
      <c r="CF410" s="314"/>
      <c r="CG410" s="314"/>
      <c r="CM410" s="314"/>
      <c r="CN410" s="314"/>
      <c r="CS410" s="314"/>
      <c r="CT410" s="314"/>
      <c r="CX410" s="318"/>
      <c r="CY410" s="314"/>
      <c r="CZ410" s="314"/>
      <c r="DA410" s="314"/>
      <c r="DB410" s="318"/>
      <c r="DC410" s="314"/>
      <c r="DD410" s="314"/>
      <c r="DE410" s="314"/>
      <c r="DH410" s="314"/>
      <c r="DI410" s="314"/>
      <c r="DJ410" s="314"/>
      <c r="DK410" s="314"/>
      <c r="DL410" s="314"/>
      <c r="DM410" s="314"/>
      <c r="DN410" s="314"/>
      <c r="DO410" s="314"/>
      <c r="DP410" s="314"/>
      <c r="DQ410" s="314"/>
      <c r="DR410" s="314"/>
      <c r="DS410" s="314"/>
      <c r="DT410" s="314"/>
      <c r="DU410" s="314"/>
      <c r="DV410" s="314"/>
      <c r="DW410" s="314"/>
    </row>
    <row r="411" customFormat="false" ht="12.75" hidden="false" customHeight="false" outlineLevel="0" collapsed="false">
      <c r="R411" s="314"/>
      <c r="W411" s="318"/>
      <c r="AE411" s="321"/>
      <c r="BS411" s="314"/>
      <c r="BT411" s="314"/>
      <c r="BZ411" s="314"/>
      <c r="CA411" s="314"/>
      <c r="CF411" s="314"/>
      <c r="CG411" s="314"/>
      <c r="CM411" s="314"/>
      <c r="CN411" s="314"/>
      <c r="CS411" s="314"/>
      <c r="CT411" s="314"/>
      <c r="CX411" s="318"/>
      <c r="CY411" s="314"/>
      <c r="CZ411" s="314"/>
      <c r="DA411" s="314"/>
      <c r="DB411" s="318"/>
      <c r="DC411" s="314"/>
      <c r="DD411" s="314"/>
      <c r="DE411" s="314"/>
      <c r="DH411" s="314"/>
      <c r="DI411" s="314"/>
      <c r="DJ411" s="314"/>
      <c r="DK411" s="314"/>
      <c r="DL411" s="314"/>
      <c r="DM411" s="314"/>
      <c r="DN411" s="314"/>
      <c r="DO411" s="314"/>
      <c r="DP411" s="314"/>
      <c r="DQ411" s="314"/>
      <c r="DR411" s="314"/>
      <c r="DS411" s="314"/>
      <c r="DT411" s="314"/>
      <c r="DU411" s="314"/>
      <c r="DV411" s="314"/>
      <c r="DW411" s="314"/>
    </row>
    <row r="412" customFormat="false" ht="12.75" hidden="false" customHeight="false" outlineLevel="0" collapsed="false">
      <c r="R412" s="314"/>
      <c r="W412" s="318"/>
      <c r="AE412" s="321"/>
      <c r="BS412" s="314"/>
      <c r="BT412" s="314"/>
      <c r="BZ412" s="314"/>
      <c r="CA412" s="314"/>
      <c r="CF412" s="314"/>
      <c r="CG412" s="314"/>
      <c r="CM412" s="314"/>
      <c r="CN412" s="314"/>
      <c r="CS412" s="314"/>
      <c r="CT412" s="314"/>
      <c r="CX412" s="318"/>
      <c r="CY412" s="314"/>
      <c r="CZ412" s="314"/>
      <c r="DA412" s="314"/>
      <c r="DB412" s="318"/>
      <c r="DC412" s="314"/>
      <c r="DD412" s="314"/>
      <c r="DE412" s="314"/>
      <c r="DH412" s="314"/>
      <c r="DI412" s="314"/>
      <c r="DJ412" s="314"/>
      <c r="DK412" s="314"/>
      <c r="DL412" s="314"/>
      <c r="DM412" s="314"/>
      <c r="DN412" s="314"/>
      <c r="DO412" s="314"/>
      <c r="DP412" s="314"/>
      <c r="DQ412" s="314"/>
      <c r="DR412" s="314"/>
      <c r="DS412" s="314"/>
      <c r="DT412" s="314"/>
      <c r="DU412" s="314"/>
      <c r="DV412" s="314"/>
      <c r="DW412" s="314"/>
    </row>
    <row r="413" customFormat="false" ht="12.75" hidden="false" customHeight="false" outlineLevel="0" collapsed="false">
      <c r="R413" s="314"/>
      <c r="W413" s="318"/>
      <c r="AE413" s="321"/>
      <c r="BS413" s="314"/>
      <c r="BT413" s="314"/>
      <c r="BZ413" s="314"/>
      <c r="CA413" s="314"/>
      <c r="CF413" s="314"/>
      <c r="CG413" s="314"/>
      <c r="CM413" s="314"/>
      <c r="CN413" s="314"/>
      <c r="CS413" s="314"/>
      <c r="CT413" s="314"/>
      <c r="CX413" s="318"/>
      <c r="CY413" s="314"/>
      <c r="CZ413" s="314"/>
      <c r="DA413" s="314"/>
      <c r="DB413" s="318"/>
      <c r="DC413" s="314"/>
      <c r="DD413" s="314"/>
      <c r="DE413" s="314"/>
      <c r="DH413" s="314"/>
      <c r="DI413" s="314"/>
      <c r="DJ413" s="314"/>
      <c r="DK413" s="314"/>
      <c r="DL413" s="314"/>
      <c r="DM413" s="314"/>
      <c r="DN413" s="314"/>
      <c r="DO413" s="314"/>
      <c r="DP413" s="314"/>
      <c r="DQ413" s="314"/>
      <c r="DR413" s="314"/>
      <c r="DS413" s="314"/>
      <c r="DT413" s="314"/>
      <c r="DU413" s="314"/>
      <c r="DV413" s="314"/>
      <c r="DW413" s="314"/>
    </row>
    <row r="414" customFormat="false" ht="12.75" hidden="false" customHeight="false" outlineLevel="0" collapsed="false">
      <c r="R414" s="314"/>
      <c r="W414" s="318"/>
      <c r="AE414" s="321"/>
      <c r="BS414" s="314"/>
      <c r="BT414" s="314"/>
      <c r="BZ414" s="314"/>
      <c r="CA414" s="314"/>
      <c r="CF414" s="314"/>
      <c r="CG414" s="314"/>
      <c r="CM414" s="314"/>
      <c r="CN414" s="314"/>
      <c r="CS414" s="314"/>
      <c r="CT414" s="314"/>
      <c r="CX414" s="318"/>
      <c r="CY414" s="314"/>
      <c r="CZ414" s="314"/>
      <c r="DA414" s="314"/>
      <c r="DB414" s="318"/>
      <c r="DC414" s="314"/>
      <c r="DD414" s="314"/>
      <c r="DE414" s="314"/>
      <c r="DH414" s="314"/>
      <c r="DI414" s="314"/>
      <c r="DJ414" s="314"/>
      <c r="DK414" s="314"/>
      <c r="DL414" s="314"/>
      <c r="DM414" s="314"/>
      <c r="DN414" s="314"/>
      <c r="DO414" s="314"/>
      <c r="DP414" s="314"/>
      <c r="DQ414" s="314"/>
      <c r="DR414" s="314"/>
      <c r="DS414" s="314"/>
      <c r="DT414" s="314"/>
      <c r="DU414" s="314"/>
      <c r="DV414" s="314"/>
      <c r="DW414" s="314"/>
    </row>
    <row r="415" customFormat="false" ht="12.75" hidden="false" customHeight="false" outlineLevel="0" collapsed="false">
      <c r="R415" s="314"/>
      <c r="W415" s="318"/>
      <c r="AE415" s="321"/>
      <c r="BS415" s="314"/>
      <c r="BT415" s="314"/>
      <c r="BZ415" s="314"/>
      <c r="CA415" s="314"/>
      <c r="CF415" s="314"/>
      <c r="CG415" s="314"/>
      <c r="CM415" s="314"/>
      <c r="CN415" s="314"/>
      <c r="CS415" s="314"/>
      <c r="CT415" s="314"/>
      <c r="CX415" s="318"/>
      <c r="CY415" s="314"/>
      <c r="CZ415" s="314"/>
      <c r="DA415" s="314"/>
      <c r="DB415" s="318"/>
      <c r="DC415" s="314"/>
      <c r="DD415" s="314"/>
      <c r="DE415" s="314"/>
      <c r="DH415" s="314"/>
      <c r="DI415" s="314"/>
      <c r="DJ415" s="314"/>
      <c r="DK415" s="314"/>
      <c r="DL415" s="314"/>
      <c r="DM415" s="314"/>
      <c r="DN415" s="314"/>
      <c r="DO415" s="314"/>
      <c r="DP415" s="314"/>
      <c r="DQ415" s="314"/>
      <c r="DR415" s="314"/>
      <c r="DS415" s="314"/>
      <c r="DT415" s="314"/>
      <c r="DU415" s="314"/>
      <c r="DV415" s="314"/>
      <c r="DW415" s="314"/>
    </row>
    <row r="416" customFormat="false" ht="12.75" hidden="false" customHeight="false" outlineLevel="0" collapsed="false">
      <c r="R416" s="314"/>
      <c r="W416" s="318"/>
      <c r="AE416" s="321"/>
      <c r="BS416" s="314"/>
      <c r="BT416" s="314"/>
      <c r="BZ416" s="314"/>
      <c r="CA416" s="314"/>
      <c r="CF416" s="314"/>
      <c r="CG416" s="314"/>
      <c r="CM416" s="314"/>
      <c r="CN416" s="314"/>
      <c r="CS416" s="314"/>
      <c r="CT416" s="314"/>
      <c r="CX416" s="318"/>
      <c r="CY416" s="314"/>
      <c r="CZ416" s="314"/>
      <c r="DA416" s="314"/>
      <c r="DB416" s="318"/>
      <c r="DC416" s="314"/>
      <c r="DD416" s="314"/>
      <c r="DE416" s="314"/>
      <c r="DH416" s="314"/>
      <c r="DI416" s="314"/>
      <c r="DJ416" s="314"/>
      <c r="DK416" s="314"/>
      <c r="DL416" s="314"/>
      <c r="DM416" s="314"/>
      <c r="DN416" s="314"/>
      <c r="DO416" s="314"/>
      <c r="DP416" s="314"/>
      <c r="DQ416" s="314"/>
      <c r="DR416" s="314"/>
      <c r="DS416" s="314"/>
      <c r="DT416" s="314"/>
      <c r="DU416" s="314"/>
      <c r="DV416" s="314"/>
      <c r="DW416" s="314"/>
    </row>
    <row r="417" customFormat="false" ht="12.75" hidden="false" customHeight="false" outlineLevel="0" collapsed="false">
      <c r="R417" s="314"/>
      <c r="W417" s="318"/>
      <c r="AE417" s="321"/>
      <c r="BS417" s="314"/>
      <c r="BT417" s="314"/>
      <c r="BZ417" s="314"/>
      <c r="CA417" s="314"/>
      <c r="CF417" s="314"/>
      <c r="CG417" s="314"/>
      <c r="CM417" s="314"/>
      <c r="CN417" s="314"/>
      <c r="CS417" s="314"/>
      <c r="CT417" s="314"/>
      <c r="CX417" s="318"/>
      <c r="CY417" s="314"/>
      <c r="CZ417" s="314"/>
      <c r="DA417" s="314"/>
      <c r="DB417" s="318"/>
      <c r="DC417" s="314"/>
      <c r="DD417" s="314"/>
      <c r="DE417" s="314"/>
      <c r="DH417" s="314"/>
      <c r="DI417" s="314"/>
      <c r="DJ417" s="314"/>
      <c r="DK417" s="314"/>
      <c r="DL417" s="314"/>
      <c r="DM417" s="314"/>
      <c r="DN417" s="314"/>
      <c r="DO417" s="314"/>
      <c r="DP417" s="314"/>
      <c r="DQ417" s="314"/>
      <c r="DR417" s="314"/>
      <c r="DS417" s="314"/>
      <c r="DT417" s="314"/>
      <c r="DU417" s="314"/>
      <c r="DV417" s="314"/>
      <c r="DW417" s="314"/>
    </row>
    <row r="418" customFormat="false" ht="12.75" hidden="false" customHeight="false" outlineLevel="0" collapsed="false">
      <c r="R418" s="314"/>
      <c r="W418" s="318"/>
      <c r="AE418" s="321"/>
      <c r="BS418" s="314"/>
      <c r="BT418" s="314"/>
      <c r="BZ418" s="314"/>
      <c r="CA418" s="314"/>
      <c r="CF418" s="314"/>
      <c r="CG418" s="314"/>
      <c r="CM418" s="314"/>
      <c r="CN418" s="314"/>
      <c r="CS418" s="314"/>
      <c r="CT418" s="314"/>
      <c r="CX418" s="318"/>
      <c r="CY418" s="314"/>
      <c r="CZ418" s="314"/>
      <c r="DA418" s="314"/>
      <c r="DB418" s="318"/>
      <c r="DC418" s="314"/>
      <c r="DD418" s="314"/>
      <c r="DE418" s="314"/>
      <c r="DH418" s="314"/>
      <c r="DI418" s="314"/>
      <c r="DJ418" s="314"/>
      <c r="DK418" s="314"/>
      <c r="DL418" s="314"/>
      <c r="DM418" s="314"/>
      <c r="DN418" s="314"/>
      <c r="DO418" s="314"/>
      <c r="DP418" s="314"/>
      <c r="DQ418" s="314"/>
      <c r="DR418" s="314"/>
      <c r="DS418" s="314"/>
      <c r="DT418" s="314"/>
      <c r="DU418" s="314"/>
      <c r="DV418" s="314"/>
      <c r="DW418" s="314"/>
    </row>
    <row r="419" customFormat="false" ht="12.75" hidden="false" customHeight="false" outlineLevel="0" collapsed="false">
      <c r="R419" s="314"/>
      <c r="W419" s="318"/>
      <c r="AE419" s="321"/>
      <c r="BS419" s="314"/>
      <c r="BT419" s="314"/>
      <c r="BZ419" s="314"/>
      <c r="CA419" s="314"/>
      <c r="CF419" s="314"/>
      <c r="CG419" s="314"/>
      <c r="CM419" s="314"/>
      <c r="CN419" s="314"/>
      <c r="CS419" s="314"/>
      <c r="CT419" s="314"/>
      <c r="CX419" s="318"/>
      <c r="CY419" s="314"/>
      <c r="CZ419" s="314"/>
      <c r="DA419" s="314"/>
      <c r="DB419" s="318"/>
      <c r="DC419" s="314"/>
      <c r="DD419" s="314"/>
      <c r="DE419" s="314"/>
      <c r="DH419" s="314"/>
      <c r="DI419" s="314"/>
      <c r="DJ419" s="314"/>
      <c r="DK419" s="314"/>
      <c r="DL419" s="314"/>
      <c r="DM419" s="314"/>
      <c r="DN419" s="314"/>
      <c r="DO419" s="314"/>
      <c r="DP419" s="314"/>
      <c r="DQ419" s="314"/>
      <c r="DR419" s="314"/>
      <c r="DS419" s="314"/>
      <c r="DT419" s="314"/>
      <c r="DU419" s="314"/>
      <c r="DV419" s="314"/>
      <c r="DW419" s="314"/>
    </row>
    <row r="420" customFormat="false" ht="12.75" hidden="false" customHeight="false" outlineLevel="0" collapsed="false">
      <c r="R420" s="314"/>
      <c r="W420" s="318"/>
      <c r="AE420" s="321"/>
      <c r="BS420" s="314"/>
      <c r="BT420" s="314"/>
      <c r="BZ420" s="314"/>
      <c r="CA420" s="314"/>
      <c r="CF420" s="314"/>
      <c r="CG420" s="314"/>
      <c r="CM420" s="314"/>
      <c r="CN420" s="314"/>
      <c r="CS420" s="314"/>
      <c r="CT420" s="314"/>
      <c r="CX420" s="318"/>
      <c r="CY420" s="314"/>
      <c r="CZ420" s="314"/>
      <c r="DA420" s="314"/>
      <c r="DB420" s="318"/>
      <c r="DC420" s="314"/>
      <c r="DD420" s="314"/>
      <c r="DE420" s="314"/>
      <c r="DH420" s="314"/>
      <c r="DI420" s="314"/>
      <c r="DJ420" s="314"/>
      <c r="DK420" s="314"/>
      <c r="DL420" s="314"/>
      <c r="DM420" s="314"/>
      <c r="DN420" s="314"/>
      <c r="DO420" s="314"/>
      <c r="DP420" s="314"/>
      <c r="DQ420" s="314"/>
      <c r="DR420" s="314"/>
      <c r="DS420" s="314"/>
      <c r="DT420" s="314"/>
      <c r="DU420" s="314"/>
      <c r="DV420" s="314"/>
      <c r="DW420" s="314"/>
    </row>
    <row r="421" customFormat="false" ht="12.75" hidden="false" customHeight="false" outlineLevel="0" collapsed="false">
      <c r="R421" s="314"/>
      <c r="W421" s="318"/>
      <c r="AE421" s="321"/>
      <c r="BS421" s="314"/>
      <c r="BT421" s="314"/>
      <c r="BZ421" s="314"/>
      <c r="CA421" s="314"/>
      <c r="CF421" s="314"/>
      <c r="CG421" s="314"/>
      <c r="CM421" s="314"/>
      <c r="CN421" s="314"/>
      <c r="CS421" s="314"/>
      <c r="CT421" s="314"/>
      <c r="CX421" s="318"/>
      <c r="CY421" s="314"/>
      <c r="CZ421" s="314"/>
      <c r="DA421" s="314"/>
      <c r="DB421" s="318"/>
      <c r="DC421" s="314"/>
      <c r="DD421" s="314"/>
      <c r="DE421" s="314"/>
      <c r="DH421" s="314"/>
      <c r="DI421" s="314"/>
      <c r="DJ421" s="314"/>
      <c r="DK421" s="314"/>
      <c r="DL421" s="314"/>
      <c r="DM421" s="314"/>
      <c r="DN421" s="314"/>
      <c r="DO421" s="314"/>
      <c r="DP421" s="314"/>
      <c r="DQ421" s="314"/>
      <c r="DR421" s="314"/>
      <c r="DS421" s="314"/>
      <c r="DT421" s="314"/>
      <c r="DU421" s="314"/>
      <c r="DV421" s="314"/>
      <c r="DW421" s="314"/>
    </row>
    <row r="422" customFormat="false" ht="12.75" hidden="false" customHeight="false" outlineLevel="0" collapsed="false">
      <c r="R422" s="314"/>
      <c r="W422" s="318"/>
      <c r="AE422" s="321"/>
      <c r="BS422" s="314"/>
      <c r="BT422" s="314"/>
      <c r="BZ422" s="314"/>
      <c r="CA422" s="314"/>
      <c r="CF422" s="314"/>
      <c r="CG422" s="314"/>
      <c r="CM422" s="314"/>
      <c r="CN422" s="314"/>
      <c r="CS422" s="314"/>
      <c r="CT422" s="314"/>
      <c r="CX422" s="318"/>
      <c r="CY422" s="314"/>
      <c r="CZ422" s="314"/>
      <c r="DA422" s="314"/>
      <c r="DB422" s="318"/>
      <c r="DC422" s="314"/>
      <c r="DD422" s="314"/>
      <c r="DE422" s="314"/>
      <c r="DH422" s="314"/>
      <c r="DI422" s="314"/>
      <c r="DJ422" s="314"/>
      <c r="DK422" s="314"/>
      <c r="DL422" s="314"/>
      <c r="DM422" s="314"/>
      <c r="DN422" s="314"/>
      <c r="DO422" s="314"/>
      <c r="DP422" s="314"/>
      <c r="DQ422" s="314"/>
      <c r="DR422" s="314"/>
      <c r="DS422" s="314"/>
      <c r="DT422" s="314"/>
      <c r="DU422" s="314"/>
      <c r="DV422" s="314"/>
      <c r="DW422" s="314"/>
    </row>
    <row r="423" customFormat="false" ht="12.75" hidden="false" customHeight="false" outlineLevel="0" collapsed="false">
      <c r="R423" s="314"/>
      <c r="W423" s="318"/>
      <c r="AE423" s="321"/>
      <c r="BS423" s="314"/>
      <c r="BT423" s="314"/>
      <c r="BZ423" s="314"/>
      <c r="CA423" s="314"/>
      <c r="CF423" s="314"/>
      <c r="CG423" s="314"/>
      <c r="CM423" s="314"/>
      <c r="CN423" s="314"/>
      <c r="CS423" s="314"/>
      <c r="CT423" s="314"/>
      <c r="CX423" s="318"/>
      <c r="CY423" s="314"/>
      <c r="CZ423" s="314"/>
      <c r="DA423" s="314"/>
      <c r="DB423" s="318"/>
      <c r="DC423" s="314"/>
      <c r="DD423" s="314"/>
      <c r="DE423" s="314"/>
      <c r="DH423" s="314"/>
      <c r="DI423" s="314"/>
      <c r="DJ423" s="314"/>
      <c r="DK423" s="314"/>
      <c r="DL423" s="314"/>
      <c r="DM423" s="314"/>
      <c r="DN423" s="314"/>
      <c r="DO423" s="314"/>
      <c r="DP423" s="314"/>
      <c r="DQ423" s="314"/>
      <c r="DR423" s="314"/>
      <c r="DS423" s="314"/>
      <c r="DT423" s="314"/>
      <c r="DU423" s="314"/>
      <c r="DV423" s="314"/>
      <c r="DW423" s="314"/>
    </row>
    <row r="424" customFormat="false" ht="12.75" hidden="false" customHeight="false" outlineLevel="0" collapsed="false">
      <c r="R424" s="314"/>
      <c r="W424" s="318"/>
      <c r="AE424" s="321"/>
      <c r="BS424" s="314"/>
      <c r="BT424" s="314"/>
      <c r="BZ424" s="314"/>
      <c r="CA424" s="314"/>
      <c r="CF424" s="314"/>
      <c r="CG424" s="314"/>
      <c r="CM424" s="314"/>
      <c r="CN424" s="314"/>
      <c r="CS424" s="314"/>
      <c r="CT424" s="314"/>
      <c r="CX424" s="318"/>
      <c r="CY424" s="314"/>
      <c r="CZ424" s="314"/>
      <c r="DA424" s="314"/>
      <c r="DB424" s="318"/>
      <c r="DC424" s="314"/>
      <c r="DD424" s="314"/>
      <c r="DE424" s="314"/>
      <c r="DH424" s="314"/>
      <c r="DI424" s="314"/>
      <c r="DJ424" s="314"/>
      <c r="DK424" s="314"/>
      <c r="DL424" s="314"/>
      <c r="DM424" s="314"/>
      <c r="DN424" s="314"/>
      <c r="DO424" s="314"/>
      <c r="DP424" s="314"/>
      <c r="DQ424" s="314"/>
      <c r="DR424" s="314"/>
      <c r="DS424" s="314"/>
      <c r="DT424" s="314"/>
      <c r="DU424" s="314"/>
      <c r="DV424" s="314"/>
      <c r="DW424" s="314"/>
    </row>
    <row r="425" customFormat="false" ht="12.75" hidden="false" customHeight="false" outlineLevel="0" collapsed="false">
      <c r="R425" s="314"/>
      <c r="W425" s="318"/>
      <c r="AE425" s="321"/>
      <c r="BS425" s="314"/>
      <c r="BT425" s="314"/>
      <c r="BZ425" s="314"/>
      <c r="CA425" s="314"/>
      <c r="CF425" s="314"/>
      <c r="CG425" s="314"/>
      <c r="CM425" s="314"/>
      <c r="CN425" s="314"/>
      <c r="CS425" s="314"/>
      <c r="CT425" s="314"/>
      <c r="CX425" s="318"/>
      <c r="CY425" s="314"/>
      <c r="CZ425" s="314"/>
      <c r="DA425" s="314"/>
      <c r="DB425" s="318"/>
      <c r="DC425" s="314"/>
      <c r="DD425" s="314"/>
      <c r="DE425" s="314"/>
      <c r="DH425" s="314"/>
      <c r="DI425" s="314"/>
      <c r="DJ425" s="314"/>
      <c r="DK425" s="314"/>
      <c r="DL425" s="314"/>
      <c r="DM425" s="314"/>
      <c r="DN425" s="314"/>
      <c r="DO425" s="314"/>
      <c r="DP425" s="314"/>
      <c r="DQ425" s="314"/>
      <c r="DR425" s="314"/>
      <c r="DS425" s="314"/>
      <c r="DT425" s="314"/>
      <c r="DU425" s="314"/>
      <c r="DV425" s="314"/>
      <c r="DW425" s="314"/>
    </row>
    <row r="426" customFormat="false" ht="12.75" hidden="false" customHeight="false" outlineLevel="0" collapsed="false">
      <c r="R426" s="314"/>
      <c r="W426" s="318"/>
      <c r="AE426" s="321"/>
      <c r="BS426" s="314"/>
      <c r="BT426" s="314"/>
      <c r="BZ426" s="314"/>
      <c r="CA426" s="314"/>
      <c r="CF426" s="314"/>
      <c r="CG426" s="314"/>
      <c r="CM426" s="314"/>
      <c r="CN426" s="314"/>
      <c r="CS426" s="314"/>
      <c r="CT426" s="314"/>
      <c r="CX426" s="318"/>
      <c r="CY426" s="314"/>
      <c r="CZ426" s="314"/>
      <c r="DA426" s="314"/>
      <c r="DB426" s="318"/>
      <c r="DC426" s="314"/>
      <c r="DD426" s="314"/>
      <c r="DE426" s="314"/>
      <c r="DH426" s="314"/>
      <c r="DI426" s="314"/>
      <c r="DJ426" s="314"/>
      <c r="DK426" s="314"/>
      <c r="DL426" s="314"/>
      <c r="DM426" s="314"/>
      <c r="DN426" s="314"/>
      <c r="DO426" s="314"/>
      <c r="DP426" s="314"/>
      <c r="DQ426" s="314"/>
      <c r="DR426" s="314"/>
      <c r="DS426" s="314"/>
      <c r="DT426" s="314"/>
      <c r="DU426" s="314"/>
      <c r="DV426" s="314"/>
      <c r="DW426" s="314"/>
    </row>
    <row r="427" customFormat="false" ht="12.75" hidden="false" customHeight="false" outlineLevel="0" collapsed="false">
      <c r="R427" s="314"/>
      <c r="W427" s="318"/>
      <c r="AE427" s="321"/>
      <c r="BS427" s="314"/>
      <c r="BT427" s="314"/>
      <c r="BZ427" s="314"/>
      <c r="CA427" s="314"/>
      <c r="CF427" s="314"/>
      <c r="CG427" s="314"/>
      <c r="CM427" s="314"/>
      <c r="CN427" s="314"/>
      <c r="CS427" s="314"/>
      <c r="CT427" s="314"/>
      <c r="CX427" s="318"/>
      <c r="CY427" s="314"/>
      <c r="CZ427" s="314"/>
      <c r="DA427" s="314"/>
      <c r="DB427" s="318"/>
      <c r="DC427" s="314"/>
      <c r="DD427" s="314"/>
      <c r="DE427" s="314"/>
      <c r="DH427" s="314"/>
      <c r="DI427" s="314"/>
      <c r="DJ427" s="314"/>
      <c r="DK427" s="314"/>
      <c r="DL427" s="314"/>
      <c r="DM427" s="314"/>
      <c r="DN427" s="314"/>
      <c r="DO427" s="314"/>
      <c r="DP427" s="314"/>
      <c r="DQ427" s="314"/>
      <c r="DR427" s="314"/>
      <c r="DS427" s="314"/>
      <c r="DT427" s="314"/>
      <c r="DU427" s="314"/>
      <c r="DV427" s="314"/>
      <c r="DW427" s="314"/>
    </row>
    <row r="428" customFormat="false" ht="12.75" hidden="false" customHeight="false" outlineLevel="0" collapsed="false">
      <c r="R428" s="314"/>
      <c r="W428" s="318"/>
      <c r="AE428" s="321"/>
      <c r="BS428" s="314"/>
      <c r="BT428" s="314"/>
      <c r="BZ428" s="314"/>
      <c r="CA428" s="314"/>
      <c r="CF428" s="314"/>
      <c r="CG428" s="314"/>
      <c r="CM428" s="314"/>
      <c r="CN428" s="314"/>
      <c r="CS428" s="314"/>
      <c r="CT428" s="314"/>
      <c r="CX428" s="318"/>
      <c r="CY428" s="314"/>
      <c r="CZ428" s="314"/>
      <c r="DA428" s="314"/>
      <c r="DB428" s="318"/>
      <c r="DC428" s="314"/>
      <c r="DD428" s="314"/>
      <c r="DE428" s="314"/>
      <c r="DH428" s="314"/>
      <c r="DI428" s="314"/>
      <c r="DJ428" s="314"/>
      <c r="DK428" s="314"/>
      <c r="DL428" s="314"/>
      <c r="DM428" s="314"/>
      <c r="DN428" s="314"/>
      <c r="DO428" s="314"/>
      <c r="DP428" s="314"/>
      <c r="DQ428" s="314"/>
      <c r="DR428" s="314"/>
      <c r="DS428" s="314"/>
      <c r="DT428" s="314"/>
      <c r="DU428" s="314"/>
      <c r="DV428" s="314"/>
      <c r="DW428" s="314"/>
    </row>
    <row r="429" customFormat="false" ht="12.75" hidden="false" customHeight="false" outlineLevel="0" collapsed="false">
      <c r="R429" s="314"/>
      <c r="W429" s="318"/>
      <c r="AE429" s="321"/>
      <c r="BS429" s="314"/>
      <c r="BT429" s="314"/>
      <c r="BZ429" s="314"/>
      <c r="CA429" s="314"/>
      <c r="CF429" s="314"/>
      <c r="CG429" s="314"/>
      <c r="CM429" s="314"/>
      <c r="CN429" s="314"/>
      <c r="CS429" s="314"/>
      <c r="CT429" s="314"/>
      <c r="CX429" s="318"/>
      <c r="CY429" s="314"/>
      <c r="CZ429" s="314"/>
      <c r="DA429" s="314"/>
      <c r="DB429" s="318"/>
      <c r="DC429" s="314"/>
      <c r="DD429" s="314"/>
      <c r="DE429" s="314"/>
      <c r="DH429" s="314"/>
      <c r="DI429" s="314"/>
      <c r="DJ429" s="314"/>
      <c r="DK429" s="314"/>
      <c r="DL429" s="314"/>
      <c r="DM429" s="314"/>
      <c r="DN429" s="314"/>
      <c r="DO429" s="314"/>
      <c r="DP429" s="314"/>
      <c r="DQ429" s="314"/>
      <c r="DR429" s="314"/>
      <c r="DS429" s="314"/>
      <c r="DT429" s="314"/>
      <c r="DU429" s="314"/>
      <c r="DV429" s="314"/>
      <c r="DW429" s="314"/>
    </row>
    <row r="430" customFormat="false" ht="12.75" hidden="false" customHeight="false" outlineLevel="0" collapsed="false">
      <c r="R430" s="314"/>
      <c r="W430" s="318"/>
      <c r="AE430" s="321"/>
      <c r="BS430" s="314"/>
      <c r="BT430" s="314"/>
      <c r="BZ430" s="314"/>
      <c r="CA430" s="314"/>
      <c r="CF430" s="314"/>
      <c r="CG430" s="314"/>
      <c r="CM430" s="314"/>
      <c r="CN430" s="314"/>
      <c r="CS430" s="314"/>
      <c r="CT430" s="314"/>
      <c r="CX430" s="318"/>
      <c r="CY430" s="314"/>
      <c r="CZ430" s="314"/>
      <c r="DA430" s="314"/>
      <c r="DB430" s="318"/>
      <c r="DC430" s="314"/>
      <c r="DD430" s="314"/>
      <c r="DE430" s="314"/>
      <c r="DH430" s="314"/>
      <c r="DI430" s="314"/>
      <c r="DJ430" s="314"/>
      <c r="DK430" s="314"/>
      <c r="DL430" s="314"/>
      <c r="DM430" s="314"/>
      <c r="DN430" s="314"/>
      <c r="DO430" s="314"/>
      <c r="DP430" s="314"/>
      <c r="DQ430" s="314"/>
      <c r="DR430" s="314"/>
      <c r="DS430" s="314"/>
      <c r="DT430" s="314"/>
      <c r="DU430" s="314"/>
      <c r="DV430" s="314"/>
      <c r="DW430" s="314"/>
    </row>
    <row r="431" customFormat="false" ht="12.75" hidden="false" customHeight="false" outlineLevel="0" collapsed="false">
      <c r="R431" s="314"/>
      <c r="W431" s="318"/>
      <c r="AE431" s="321"/>
      <c r="BS431" s="314"/>
      <c r="BT431" s="314"/>
      <c r="BZ431" s="314"/>
      <c r="CA431" s="314"/>
      <c r="CF431" s="314"/>
      <c r="CG431" s="314"/>
      <c r="CM431" s="314"/>
      <c r="CN431" s="314"/>
      <c r="CS431" s="314"/>
      <c r="CT431" s="314"/>
      <c r="CX431" s="318"/>
      <c r="CY431" s="314"/>
      <c r="CZ431" s="314"/>
      <c r="DA431" s="314"/>
      <c r="DB431" s="318"/>
      <c r="DC431" s="314"/>
      <c r="DD431" s="314"/>
      <c r="DE431" s="314"/>
      <c r="DH431" s="314"/>
      <c r="DI431" s="314"/>
      <c r="DJ431" s="314"/>
      <c r="DK431" s="314"/>
      <c r="DL431" s="314"/>
      <c r="DM431" s="314"/>
      <c r="DN431" s="314"/>
      <c r="DO431" s="314"/>
      <c r="DP431" s="314"/>
      <c r="DQ431" s="314"/>
      <c r="DR431" s="314"/>
      <c r="DS431" s="314"/>
      <c r="DT431" s="314"/>
      <c r="DU431" s="314"/>
      <c r="DV431" s="314"/>
      <c r="DW431" s="314"/>
    </row>
    <row r="432" customFormat="false" ht="12.75" hidden="false" customHeight="false" outlineLevel="0" collapsed="false">
      <c r="R432" s="314"/>
      <c r="W432" s="318"/>
      <c r="AE432" s="321"/>
      <c r="BS432" s="314"/>
      <c r="BT432" s="314"/>
      <c r="BZ432" s="314"/>
      <c r="CA432" s="314"/>
      <c r="CF432" s="314"/>
      <c r="CG432" s="314"/>
      <c r="CM432" s="314"/>
      <c r="CN432" s="314"/>
      <c r="CS432" s="314"/>
      <c r="CT432" s="314"/>
      <c r="CX432" s="318"/>
      <c r="CY432" s="314"/>
      <c r="CZ432" s="314"/>
      <c r="DA432" s="314"/>
      <c r="DB432" s="318"/>
      <c r="DC432" s="314"/>
      <c r="DD432" s="314"/>
      <c r="DE432" s="314"/>
      <c r="DH432" s="314"/>
      <c r="DI432" s="314"/>
      <c r="DJ432" s="314"/>
      <c r="DK432" s="314"/>
      <c r="DL432" s="314"/>
      <c r="DM432" s="314"/>
      <c r="DN432" s="314"/>
      <c r="DO432" s="314"/>
      <c r="DP432" s="314"/>
      <c r="DQ432" s="314"/>
      <c r="DR432" s="314"/>
      <c r="DS432" s="314"/>
      <c r="DT432" s="314"/>
      <c r="DU432" s="314"/>
      <c r="DV432" s="314"/>
      <c r="DW432" s="314"/>
    </row>
    <row r="433" customFormat="false" ht="12.75" hidden="false" customHeight="false" outlineLevel="0" collapsed="false">
      <c r="R433" s="314"/>
      <c r="W433" s="318"/>
      <c r="AE433" s="321"/>
      <c r="BS433" s="314"/>
      <c r="BT433" s="314"/>
      <c r="BZ433" s="314"/>
      <c r="CA433" s="314"/>
      <c r="CF433" s="314"/>
      <c r="CG433" s="314"/>
      <c r="CM433" s="314"/>
      <c r="CN433" s="314"/>
      <c r="CS433" s="314"/>
      <c r="CT433" s="314"/>
      <c r="CX433" s="318"/>
      <c r="CY433" s="314"/>
      <c r="CZ433" s="314"/>
      <c r="DA433" s="314"/>
      <c r="DB433" s="318"/>
      <c r="DC433" s="314"/>
      <c r="DD433" s="314"/>
      <c r="DE433" s="314"/>
      <c r="DH433" s="314"/>
      <c r="DI433" s="314"/>
      <c r="DJ433" s="314"/>
      <c r="DK433" s="314"/>
      <c r="DL433" s="314"/>
      <c r="DM433" s="314"/>
      <c r="DN433" s="314"/>
      <c r="DO433" s="314"/>
      <c r="DP433" s="314"/>
      <c r="DQ433" s="314"/>
      <c r="DR433" s="314"/>
      <c r="DS433" s="314"/>
      <c r="DT433" s="314"/>
      <c r="DU433" s="314"/>
      <c r="DV433" s="314"/>
      <c r="DW433" s="314"/>
    </row>
    <row r="434" customFormat="false" ht="12.75" hidden="false" customHeight="false" outlineLevel="0" collapsed="false">
      <c r="R434" s="314"/>
      <c r="W434" s="318"/>
      <c r="AE434" s="321"/>
      <c r="BS434" s="314"/>
      <c r="BT434" s="314"/>
      <c r="BZ434" s="314"/>
      <c r="CA434" s="314"/>
      <c r="CF434" s="314"/>
      <c r="CG434" s="314"/>
      <c r="CM434" s="314"/>
      <c r="CN434" s="314"/>
      <c r="CS434" s="314"/>
      <c r="CT434" s="314"/>
      <c r="CX434" s="318"/>
      <c r="CY434" s="314"/>
      <c r="CZ434" s="314"/>
      <c r="DA434" s="314"/>
      <c r="DB434" s="318"/>
      <c r="DC434" s="314"/>
      <c r="DD434" s="314"/>
      <c r="DE434" s="314"/>
      <c r="DH434" s="314"/>
      <c r="DI434" s="314"/>
      <c r="DJ434" s="314"/>
      <c r="DK434" s="314"/>
      <c r="DL434" s="314"/>
      <c r="DM434" s="314"/>
      <c r="DN434" s="314"/>
      <c r="DO434" s="314"/>
      <c r="DP434" s="314"/>
      <c r="DQ434" s="314"/>
      <c r="DR434" s="314"/>
      <c r="DS434" s="314"/>
      <c r="DT434" s="314"/>
      <c r="DU434" s="314"/>
      <c r="DV434" s="314"/>
      <c r="DW434" s="314"/>
    </row>
    <row r="435" customFormat="false" ht="12.75" hidden="false" customHeight="false" outlineLevel="0" collapsed="false">
      <c r="R435" s="314"/>
      <c r="W435" s="318"/>
      <c r="AE435" s="321"/>
      <c r="BS435" s="314"/>
      <c r="BT435" s="314"/>
      <c r="BZ435" s="314"/>
      <c r="CA435" s="314"/>
      <c r="CF435" s="314"/>
      <c r="CG435" s="314"/>
      <c r="CM435" s="314"/>
      <c r="CN435" s="314"/>
      <c r="CS435" s="314"/>
      <c r="CT435" s="314"/>
      <c r="CX435" s="318"/>
      <c r="CY435" s="314"/>
      <c r="CZ435" s="314"/>
      <c r="DA435" s="314"/>
      <c r="DB435" s="318"/>
      <c r="DC435" s="314"/>
      <c r="DD435" s="314"/>
      <c r="DE435" s="314"/>
      <c r="DH435" s="314"/>
      <c r="DI435" s="314"/>
      <c r="DJ435" s="314"/>
      <c r="DK435" s="314"/>
      <c r="DL435" s="314"/>
      <c r="DM435" s="314"/>
      <c r="DN435" s="314"/>
      <c r="DO435" s="314"/>
      <c r="DP435" s="314"/>
      <c r="DQ435" s="314"/>
      <c r="DR435" s="314"/>
      <c r="DS435" s="314"/>
      <c r="DT435" s="314"/>
      <c r="DU435" s="314"/>
      <c r="DV435" s="314"/>
      <c r="DW435" s="314"/>
    </row>
    <row r="436" customFormat="false" ht="12.75" hidden="false" customHeight="false" outlineLevel="0" collapsed="false">
      <c r="R436" s="314"/>
      <c r="W436" s="318"/>
      <c r="AE436" s="321"/>
      <c r="BS436" s="314"/>
      <c r="BT436" s="314"/>
      <c r="BZ436" s="314"/>
      <c r="CA436" s="314"/>
      <c r="CF436" s="314"/>
      <c r="CG436" s="314"/>
      <c r="CM436" s="314"/>
      <c r="CN436" s="314"/>
      <c r="CS436" s="314"/>
      <c r="CT436" s="314"/>
      <c r="CX436" s="318"/>
      <c r="CY436" s="314"/>
      <c r="CZ436" s="314"/>
      <c r="DA436" s="314"/>
      <c r="DB436" s="318"/>
      <c r="DC436" s="314"/>
      <c r="DD436" s="314"/>
      <c r="DE436" s="314"/>
      <c r="DH436" s="314"/>
      <c r="DI436" s="314"/>
      <c r="DJ436" s="314"/>
      <c r="DK436" s="314"/>
      <c r="DL436" s="314"/>
      <c r="DM436" s="314"/>
      <c r="DN436" s="314"/>
      <c r="DO436" s="314"/>
      <c r="DP436" s="314"/>
      <c r="DQ436" s="314"/>
      <c r="DR436" s="314"/>
      <c r="DS436" s="314"/>
      <c r="DT436" s="314"/>
      <c r="DU436" s="314"/>
      <c r="DV436" s="314"/>
      <c r="DW436" s="314"/>
    </row>
    <row r="437" customFormat="false" ht="12.75" hidden="false" customHeight="false" outlineLevel="0" collapsed="false">
      <c r="R437" s="314"/>
      <c r="W437" s="318"/>
      <c r="AE437" s="321"/>
      <c r="BS437" s="314"/>
      <c r="BT437" s="314"/>
      <c r="BZ437" s="314"/>
      <c r="CA437" s="314"/>
      <c r="CF437" s="314"/>
      <c r="CG437" s="314"/>
      <c r="CM437" s="314"/>
      <c r="CN437" s="314"/>
      <c r="CS437" s="314"/>
      <c r="CT437" s="314"/>
      <c r="CX437" s="318"/>
      <c r="CY437" s="314"/>
      <c r="CZ437" s="314"/>
      <c r="DA437" s="314"/>
      <c r="DB437" s="318"/>
      <c r="DC437" s="314"/>
      <c r="DD437" s="314"/>
      <c r="DE437" s="314"/>
      <c r="DH437" s="314"/>
      <c r="DI437" s="314"/>
      <c r="DJ437" s="314"/>
      <c r="DK437" s="314"/>
      <c r="DL437" s="314"/>
      <c r="DM437" s="314"/>
      <c r="DN437" s="314"/>
      <c r="DO437" s="314"/>
      <c r="DP437" s="314"/>
      <c r="DQ437" s="314"/>
      <c r="DR437" s="314"/>
      <c r="DS437" s="314"/>
      <c r="DT437" s="314"/>
      <c r="DU437" s="314"/>
      <c r="DV437" s="314"/>
      <c r="DW437" s="314"/>
    </row>
    <row r="438" customFormat="false" ht="12.75" hidden="false" customHeight="false" outlineLevel="0" collapsed="false">
      <c r="R438" s="314"/>
      <c r="W438" s="318"/>
      <c r="AE438" s="321"/>
      <c r="BS438" s="314"/>
      <c r="BT438" s="314"/>
      <c r="BZ438" s="314"/>
      <c r="CA438" s="314"/>
      <c r="CF438" s="314"/>
      <c r="CG438" s="314"/>
      <c r="CM438" s="314"/>
      <c r="CN438" s="314"/>
      <c r="CS438" s="314"/>
      <c r="CT438" s="314"/>
      <c r="CX438" s="318"/>
      <c r="CY438" s="314"/>
      <c r="CZ438" s="314"/>
      <c r="DA438" s="314"/>
      <c r="DB438" s="318"/>
      <c r="DC438" s="314"/>
      <c r="DD438" s="314"/>
      <c r="DE438" s="314"/>
      <c r="DH438" s="314"/>
      <c r="DI438" s="314"/>
      <c r="DJ438" s="314"/>
      <c r="DK438" s="314"/>
      <c r="DL438" s="314"/>
      <c r="DM438" s="314"/>
      <c r="DN438" s="314"/>
      <c r="DO438" s="314"/>
      <c r="DP438" s="314"/>
      <c r="DQ438" s="314"/>
      <c r="DR438" s="314"/>
      <c r="DS438" s="314"/>
      <c r="DT438" s="314"/>
      <c r="DU438" s="314"/>
      <c r="DV438" s="314"/>
      <c r="DW438" s="314"/>
    </row>
    <row r="439" customFormat="false" ht="12.75" hidden="false" customHeight="false" outlineLevel="0" collapsed="false">
      <c r="R439" s="314"/>
      <c r="W439" s="318"/>
      <c r="AE439" s="321"/>
      <c r="BS439" s="314"/>
      <c r="BT439" s="314"/>
      <c r="BZ439" s="314"/>
      <c r="CA439" s="314"/>
      <c r="CF439" s="314"/>
      <c r="CG439" s="314"/>
      <c r="CM439" s="314"/>
      <c r="CN439" s="314"/>
      <c r="CS439" s="314"/>
      <c r="CT439" s="314"/>
      <c r="CX439" s="318"/>
      <c r="CY439" s="314"/>
      <c r="CZ439" s="314"/>
      <c r="DA439" s="314"/>
      <c r="DB439" s="318"/>
      <c r="DC439" s="314"/>
      <c r="DD439" s="314"/>
      <c r="DE439" s="314"/>
      <c r="DH439" s="314"/>
      <c r="DI439" s="314"/>
      <c r="DJ439" s="314"/>
      <c r="DK439" s="314"/>
      <c r="DL439" s="314"/>
      <c r="DM439" s="314"/>
      <c r="DN439" s="314"/>
      <c r="DO439" s="314"/>
      <c r="DP439" s="314"/>
      <c r="DQ439" s="314"/>
      <c r="DR439" s="314"/>
      <c r="DS439" s="314"/>
      <c r="DT439" s="314"/>
      <c r="DU439" s="314"/>
      <c r="DV439" s="314"/>
      <c r="DW439" s="314"/>
    </row>
    <row r="440" customFormat="false" ht="12.75" hidden="false" customHeight="false" outlineLevel="0" collapsed="false">
      <c r="R440" s="314"/>
      <c r="W440" s="318"/>
      <c r="AE440" s="321"/>
      <c r="BS440" s="314"/>
      <c r="BT440" s="314"/>
      <c r="BZ440" s="314"/>
      <c r="CA440" s="314"/>
      <c r="CF440" s="314"/>
      <c r="CG440" s="314"/>
      <c r="CM440" s="314"/>
      <c r="CN440" s="314"/>
      <c r="CS440" s="314"/>
      <c r="CT440" s="314"/>
      <c r="CX440" s="318"/>
      <c r="CY440" s="314"/>
      <c r="CZ440" s="314"/>
      <c r="DA440" s="314"/>
      <c r="DB440" s="318"/>
      <c r="DC440" s="314"/>
      <c r="DD440" s="314"/>
      <c r="DE440" s="314"/>
      <c r="DH440" s="314"/>
      <c r="DI440" s="314"/>
      <c r="DJ440" s="314"/>
      <c r="DK440" s="314"/>
      <c r="DL440" s="314"/>
      <c r="DM440" s="314"/>
      <c r="DN440" s="314"/>
      <c r="DO440" s="314"/>
      <c r="DP440" s="314"/>
      <c r="DQ440" s="314"/>
      <c r="DR440" s="314"/>
      <c r="DS440" s="314"/>
      <c r="DT440" s="314"/>
      <c r="DU440" s="314"/>
      <c r="DV440" s="314"/>
      <c r="DW440" s="314"/>
    </row>
    <row r="441" customFormat="false" ht="12.75" hidden="false" customHeight="false" outlineLevel="0" collapsed="false">
      <c r="R441" s="314"/>
      <c r="W441" s="318"/>
      <c r="AE441" s="321"/>
      <c r="BS441" s="314"/>
      <c r="BT441" s="314"/>
      <c r="BZ441" s="314"/>
      <c r="CA441" s="314"/>
      <c r="CF441" s="314"/>
      <c r="CG441" s="314"/>
      <c r="CM441" s="314"/>
      <c r="CN441" s="314"/>
      <c r="CS441" s="314"/>
      <c r="CT441" s="314"/>
      <c r="CX441" s="318"/>
      <c r="CY441" s="314"/>
      <c r="CZ441" s="314"/>
      <c r="DA441" s="314"/>
      <c r="DB441" s="318"/>
      <c r="DC441" s="314"/>
      <c r="DD441" s="314"/>
      <c r="DE441" s="314"/>
      <c r="DH441" s="314"/>
      <c r="DI441" s="314"/>
      <c r="DJ441" s="314"/>
      <c r="DK441" s="314"/>
      <c r="DL441" s="314"/>
      <c r="DM441" s="314"/>
      <c r="DN441" s="314"/>
      <c r="DO441" s="314"/>
      <c r="DP441" s="314"/>
      <c r="DQ441" s="314"/>
      <c r="DR441" s="314"/>
      <c r="DS441" s="314"/>
      <c r="DT441" s="314"/>
      <c r="DU441" s="314"/>
      <c r="DV441" s="314"/>
      <c r="DW441" s="314"/>
    </row>
    <row r="442" customFormat="false" ht="12.75" hidden="false" customHeight="false" outlineLevel="0" collapsed="false">
      <c r="R442" s="314"/>
      <c r="W442" s="318"/>
      <c r="AE442" s="321"/>
      <c r="BS442" s="314"/>
      <c r="BT442" s="314"/>
      <c r="BZ442" s="314"/>
      <c r="CA442" s="314"/>
      <c r="CF442" s="314"/>
      <c r="CG442" s="314"/>
      <c r="CM442" s="314"/>
      <c r="CN442" s="314"/>
      <c r="CS442" s="314"/>
      <c r="CT442" s="314"/>
      <c r="CX442" s="318"/>
      <c r="CY442" s="314"/>
      <c r="CZ442" s="314"/>
      <c r="DA442" s="314"/>
      <c r="DB442" s="318"/>
      <c r="DC442" s="314"/>
      <c r="DD442" s="314"/>
      <c r="DE442" s="314"/>
      <c r="DH442" s="314"/>
      <c r="DI442" s="314"/>
      <c r="DJ442" s="314"/>
      <c r="DK442" s="314"/>
      <c r="DL442" s="314"/>
      <c r="DM442" s="314"/>
      <c r="DN442" s="314"/>
      <c r="DO442" s="314"/>
      <c r="DP442" s="314"/>
      <c r="DQ442" s="314"/>
      <c r="DR442" s="314"/>
      <c r="DS442" s="314"/>
      <c r="DT442" s="314"/>
      <c r="DU442" s="314"/>
      <c r="DV442" s="314"/>
      <c r="DW442" s="314"/>
    </row>
    <row r="443" customFormat="false" ht="12.75" hidden="false" customHeight="false" outlineLevel="0" collapsed="false">
      <c r="R443" s="314"/>
      <c r="W443" s="318"/>
      <c r="AE443" s="321"/>
      <c r="BS443" s="314"/>
      <c r="BT443" s="314"/>
      <c r="BZ443" s="314"/>
      <c r="CA443" s="314"/>
      <c r="CF443" s="314"/>
      <c r="CG443" s="314"/>
      <c r="CM443" s="314"/>
      <c r="CN443" s="314"/>
      <c r="CS443" s="314"/>
      <c r="CT443" s="314"/>
      <c r="CX443" s="318"/>
      <c r="CY443" s="314"/>
      <c r="CZ443" s="314"/>
      <c r="DA443" s="314"/>
      <c r="DB443" s="318"/>
      <c r="DC443" s="314"/>
      <c r="DD443" s="314"/>
      <c r="DE443" s="314"/>
      <c r="DH443" s="314"/>
      <c r="DI443" s="314"/>
      <c r="DJ443" s="314"/>
      <c r="DK443" s="314"/>
      <c r="DL443" s="314"/>
      <c r="DM443" s="314"/>
      <c r="DN443" s="314"/>
      <c r="DO443" s="314"/>
      <c r="DP443" s="314"/>
      <c r="DQ443" s="314"/>
      <c r="DR443" s="314"/>
      <c r="DS443" s="314"/>
      <c r="DT443" s="314"/>
      <c r="DU443" s="314"/>
      <c r="DV443" s="314"/>
      <c r="DW443" s="314"/>
    </row>
    <row r="444" customFormat="false" ht="12.75" hidden="false" customHeight="false" outlineLevel="0" collapsed="false">
      <c r="R444" s="314"/>
      <c r="W444" s="318"/>
      <c r="AE444" s="321"/>
      <c r="BS444" s="314"/>
      <c r="BT444" s="314"/>
      <c r="BZ444" s="314"/>
      <c r="CA444" s="314"/>
      <c r="CF444" s="314"/>
      <c r="CG444" s="314"/>
      <c r="CM444" s="314"/>
      <c r="CN444" s="314"/>
      <c r="CS444" s="314"/>
      <c r="CT444" s="314"/>
      <c r="CX444" s="318"/>
      <c r="CY444" s="314"/>
      <c r="CZ444" s="314"/>
      <c r="DA444" s="314"/>
      <c r="DB444" s="318"/>
      <c r="DC444" s="314"/>
      <c r="DD444" s="314"/>
      <c r="DE444" s="314"/>
      <c r="DH444" s="314"/>
      <c r="DI444" s="314"/>
      <c r="DJ444" s="314"/>
      <c r="DK444" s="314"/>
      <c r="DL444" s="314"/>
      <c r="DM444" s="314"/>
      <c r="DN444" s="314"/>
      <c r="DO444" s="314"/>
      <c r="DP444" s="314"/>
      <c r="DQ444" s="314"/>
      <c r="DR444" s="314"/>
      <c r="DS444" s="314"/>
      <c r="DT444" s="314"/>
      <c r="DU444" s="314"/>
      <c r="DV444" s="314"/>
      <c r="DW444" s="314"/>
    </row>
    <row r="445" customFormat="false" ht="12.75" hidden="false" customHeight="false" outlineLevel="0" collapsed="false">
      <c r="R445" s="314"/>
      <c r="W445" s="318"/>
      <c r="AE445" s="321"/>
      <c r="BS445" s="314"/>
      <c r="BT445" s="314"/>
      <c r="BZ445" s="314"/>
      <c r="CA445" s="314"/>
      <c r="CF445" s="314"/>
      <c r="CG445" s="314"/>
      <c r="CM445" s="314"/>
      <c r="CN445" s="314"/>
      <c r="CS445" s="314"/>
      <c r="CT445" s="314"/>
      <c r="CX445" s="318"/>
      <c r="CY445" s="314"/>
      <c r="CZ445" s="314"/>
      <c r="DA445" s="314"/>
      <c r="DB445" s="318"/>
      <c r="DC445" s="314"/>
      <c r="DD445" s="314"/>
      <c r="DE445" s="314"/>
      <c r="DH445" s="314"/>
      <c r="DI445" s="314"/>
      <c r="DJ445" s="314"/>
      <c r="DK445" s="314"/>
      <c r="DL445" s="314"/>
      <c r="DM445" s="314"/>
      <c r="DN445" s="314"/>
      <c r="DO445" s="314"/>
      <c r="DP445" s="314"/>
      <c r="DQ445" s="314"/>
      <c r="DR445" s="314"/>
      <c r="DS445" s="314"/>
      <c r="DT445" s="314"/>
      <c r="DU445" s="314"/>
      <c r="DV445" s="314"/>
      <c r="DW445" s="314"/>
    </row>
    <row r="446" customFormat="false" ht="12.75" hidden="false" customHeight="false" outlineLevel="0" collapsed="false">
      <c r="R446" s="314"/>
      <c r="W446" s="318"/>
      <c r="AE446" s="321"/>
      <c r="BS446" s="314"/>
      <c r="BT446" s="314"/>
      <c r="BZ446" s="314"/>
      <c r="CA446" s="314"/>
      <c r="CF446" s="314"/>
      <c r="CG446" s="314"/>
      <c r="CM446" s="314"/>
      <c r="CN446" s="314"/>
      <c r="CS446" s="314"/>
      <c r="CT446" s="314"/>
      <c r="CX446" s="318"/>
      <c r="CY446" s="314"/>
      <c r="CZ446" s="314"/>
      <c r="DA446" s="314"/>
      <c r="DB446" s="318"/>
      <c r="DC446" s="314"/>
      <c r="DD446" s="314"/>
      <c r="DE446" s="314"/>
      <c r="DH446" s="314"/>
      <c r="DI446" s="314"/>
      <c r="DJ446" s="314"/>
      <c r="DK446" s="314"/>
      <c r="DL446" s="314"/>
      <c r="DM446" s="314"/>
      <c r="DN446" s="314"/>
      <c r="DO446" s="314"/>
      <c r="DP446" s="314"/>
      <c r="DQ446" s="314"/>
      <c r="DR446" s="314"/>
      <c r="DS446" s="314"/>
      <c r="DT446" s="314"/>
      <c r="DU446" s="314"/>
      <c r="DV446" s="314"/>
      <c r="DW446" s="314"/>
    </row>
    <row r="447" customFormat="false" ht="12.75" hidden="false" customHeight="false" outlineLevel="0" collapsed="false">
      <c r="R447" s="314"/>
      <c r="W447" s="318"/>
      <c r="AE447" s="321"/>
      <c r="BS447" s="314"/>
      <c r="BT447" s="314"/>
      <c r="BZ447" s="314"/>
      <c r="CA447" s="314"/>
      <c r="CF447" s="314"/>
      <c r="CG447" s="314"/>
      <c r="CM447" s="314"/>
      <c r="CN447" s="314"/>
      <c r="CS447" s="314"/>
      <c r="CT447" s="314"/>
      <c r="CX447" s="318"/>
      <c r="CY447" s="314"/>
      <c r="CZ447" s="314"/>
      <c r="DA447" s="314"/>
      <c r="DB447" s="318"/>
      <c r="DC447" s="314"/>
      <c r="DD447" s="314"/>
      <c r="DE447" s="314"/>
      <c r="DH447" s="314"/>
      <c r="DI447" s="314"/>
      <c r="DJ447" s="314"/>
      <c r="DK447" s="314"/>
      <c r="DL447" s="314"/>
      <c r="DM447" s="314"/>
      <c r="DN447" s="314"/>
      <c r="DO447" s="314"/>
      <c r="DP447" s="314"/>
      <c r="DQ447" s="314"/>
      <c r="DR447" s="314"/>
      <c r="DS447" s="314"/>
      <c r="DT447" s="314"/>
      <c r="DU447" s="314"/>
      <c r="DV447" s="314"/>
      <c r="DW447" s="314"/>
    </row>
    <row r="448" customFormat="false" ht="12.75" hidden="false" customHeight="false" outlineLevel="0" collapsed="false">
      <c r="R448" s="314"/>
      <c r="W448" s="318"/>
      <c r="AE448" s="321"/>
      <c r="BS448" s="314"/>
      <c r="BT448" s="314"/>
      <c r="BZ448" s="314"/>
      <c r="CA448" s="314"/>
      <c r="CF448" s="314"/>
      <c r="CG448" s="314"/>
      <c r="CM448" s="314"/>
      <c r="CN448" s="314"/>
      <c r="CS448" s="314"/>
      <c r="CT448" s="314"/>
      <c r="CX448" s="318"/>
      <c r="CY448" s="314"/>
      <c r="CZ448" s="314"/>
      <c r="DA448" s="314"/>
      <c r="DB448" s="318"/>
      <c r="DC448" s="314"/>
      <c r="DD448" s="314"/>
      <c r="DE448" s="314"/>
      <c r="DH448" s="314"/>
      <c r="DI448" s="314"/>
      <c r="DJ448" s="314"/>
      <c r="DK448" s="314"/>
      <c r="DL448" s="314"/>
      <c r="DM448" s="314"/>
      <c r="DN448" s="314"/>
      <c r="DO448" s="314"/>
      <c r="DP448" s="314"/>
      <c r="DQ448" s="314"/>
      <c r="DR448" s="314"/>
      <c r="DS448" s="314"/>
      <c r="DT448" s="314"/>
      <c r="DU448" s="314"/>
      <c r="DV448" s="314"/>
      <c r="DW448" s="314"/>
    </row>
    <row r="449" customFormat="false" ht="12.75" hidden="false" customHeight="false" outlineLevel="0" collapsed="false">
      <c r="R449" s="314"/>
      <c r="W449" s="318"/>
      <c r="AE449" s="321"/>
      <c r="BS449" s="314"/>
      <c r="BT449" s="314"/>
      <c r="BZ449" s="314"/>
      <c r="CA449" s="314"/>
      <c r="CF449" s="314"/>
      <c r="CG449" s="314"/>
      <c r="CM449" s="314"/>
      <c r="CN449" s="314"/>
      <c r="CS449" s="314"/>
      <c r="CT449" s="314"/>
      <c r="CX449" s="318"/>
      <c r="CY449" s="314"/>
      <c r="CZ449" s="314"/>
      <c r="DA449" s="314"/>
      <c r="DB449" s="318"/>
      <c r="DC449" s="314"/>
      <c r="DD449" s="314"/>
      <c r="DE449" s="314"/>
      <c r="DH449" s="314"/>
      <c r="DI449" s="314"/>
      <c r="DJ449" s="314"/>
      <c r="DK449" s="314"/>
      <c r="DL449" s="314"/>
      <c r="DM449" s="314"/>
      <c r="DN449" s="314"/>
      <c r="DO449" s="314"/>
      <c r="DP449" s="314"/>
      <c r="DQ449" s="314"/>
      <c r="DR449" s="314"/>
      <c r="DS449" s="314"/>
      <c r="DT449" s="314"/>
      <c r="DU449" s="314"/>
      <c r="DV449" s="314"/>
      <c r="DW449" s="314"/>
    </row>
    <row r="450" customFormat="false" ht="12.75" hidden="false" customHeight="false" outlineLevel="0" collapsed="false">
      <c r="R450" s="314"/>
      <c r="W450" s="318"/>
      <c r="AE450" s="321"/>
      <c r="BS450" s="314"/>
      <c r="BT450" s="314"/>
      <c r="BZ450" s="314"/>
      <c r="CA450" s="314"/>
      <c r="CF450" s="314"/>
      <c r="CG450" s="314"/>
      <c r="CM450" s="314"/>
      <c r="CN450" s="314"/>
      <c r="CS450" s="314"/>
      <c r="CT450" s="314"/>
      <c r="CX450" s="318"/>
      <c r="CY450" s="314"/>
      <c r="CZ450" s="314"/>
      <c r="DA450" s="314"/>
      <c r="DB450" s="318"/>
      <c r="DC450" s="314"/>
      <c r="DD450" s="314"/>
      <c r="DE450" s="314"/>
      <c r="DH450" s="314"/>
      <c r="DI450" s="314"/>
      <c r="DJ450" s="314"/>
      <c r="DK450" s="314"/>
      <c r="DL450" s="314"/>
      <c r="DM450" s="314"/>
      <c r="DN450" s="314"/>
      <c r="DO450" s="314"/>
      <c r="DP450" s="314"/>
      <c r="DQ450" s="314"/>
      <c r="DR450" s="314"/>
      <c r="DS450" s="314"/>
      <c r="DT450" s="314"/>
      <c r="DU450" s="314"/>
      <c r="DV450" s="314"/>
      <c r="DW450" s="314"/>
    </row>
    <row r="451" customFormat="false" ht="12.75" hidden="false" customHeight="false" outlineLevel="0" collapsed="false">
      <c r="R451" s="314"/>
      <c r="W451" s="318"/>
      <c r="AE451" s="321"/>
      <c r="BS451" s="314"/>
      <c r="BT451" s="314"/>
      <c r="BZ451" s="314"/>
      <c r="CA451" s="314"/>
      <c r="CF451" s="314"/>
      <c r="CG451" s="314"/>
      <c r="CM451" s="314"/>
      <c r="CN451" s="314"/>
      <c r="CS451" s="314"/>
      <c r="CT451" s="314"/>
      <c r="CX451" s="318"/>
      <c r="CY451" s="314"/>
      <c r="CZ451" s="314"/>
      <c r="DA451" s="314"/>
      <c r="DB451" s="318"/>
      <c r="DC451" s="314"/>
      <c r="DD451" s="314"/>
      <c r="DE451" s="314"/>
      <c r="DH451" s="314"/>
      <c r="DI451" s="314"/>
      <c r="DJ451" s="314"/>
      <c r="DK451" s="314"/>
      <c r="DL451" s="314"/>
      <c r="DM451" s="314"/>
      <c r="DN451" s="314"/>
      <c r="DO451" s="314"/>
      <c r="DP451" s="314"/>
      <c r="DQ451" s="314"/>
      <c r="DR451" s="314"/>
      <c r="DS451" s="314"/>
      <c r="DT451" s="314"/>
      <c r="DU451" s="314"/>
      <c r="DV451" s="314"/>
      <c r="DW451" s="314"/>
    </row>
    <row r="452" customFormat="false" ht="12.75" hidden="false" customHeight="false" outlineLevel="0" collapsed="false">
      <c r="R452" s="314"/>
      <c r="W452" s="318"/>
      <c r="AE452" s="321"/>
      <c r="BS452" s="314"/>
      <c r="BT452" s="314"/>
      <c r="BZ452" s="314"/>
      <c r="CA452" s="314"/>
      <c r="CF452" s="314"/>
      <c r="CG452" s="314"/>
      <c r="CM452" s="314"/>
      <c r="CN452" s="314"/>
      <c r="CS452" s="314"/>
      <c r="CT452" s="314"/>
      <c r="CX452" s="318"/>
      <c r="CY452" s="314"/>
      <c r="CZ452" s="314"/>
      <c r="DA452" s="314"/>
      <c r="DB452" s="318"/>
      <c r="DC452" s="314"/>
      <c r="DD452" s="314"/>
      <c r="DE452" s="314"/>
      <c r="DH452" s="314"/>
      <c r="DI452" s="314"/>
      <c r="DJ452" s="314"/>
      <c r="DK452" s="314"/>
      <c r="DL452" s="314"/>
      <c r="DM452" s="314"/>
      <c r="DN452" s="314"/>
      <c r="DO452" s="314"/>
      <c r="DP452" s="314"/>
      <c r="DQ452" s="314"/>
      <c r="DR452" s="314"/>
      <c r="DS452" s="314"/>
      <c r="DT452" s="314"/>
      <c r="DU452" s="314"/>
      <c r="DV452" s="314"/>
      <c r="DW452" s="314"/>
    </row>
    <row r="453" customFormat="false" ht="12.75" hidden="false" customHeight="false" outlineLevel="0" collapsed="false">
      <c r="R453" s="314"/>
      <c r="W453" s="318"/>
      <c r="AE453" s="321"/>
      <c r="BS453" s="314"/>
      <c r="BT453" s="314"/>
      <c r="BZ453" s="314"/>
      <c r="CA453" s="314"/>
      <c r="CF453" s="314"/>
      <c r="CG453" s="314"/>
      <c r="CM453" s="314"/>
      <c r="CN453" s="314"/>
      <c r="CS453" s="314"/>
      <c r="CT453" s="314"/>
      <c r="CX453" s="318"/>
      <c r="CY453" s="314"/>
      <c r="CZ453" s="314"/>
      <c r="DA453" s="314"/>
      <c r="DB453" s="318"/>
      <c r="DC453" s="314"/>
      <c r="DD453" s="314"/>
      <c r="DE453" s="314"/>
      <c r="DH453" s="314"/>
      <c r="DI453" s="314"/>
      <c r="DJ453" s="314"/>
      <c r="DK453" s="314"/>
      <c r="DL453" s="314"/>
      <c r="DM453" s="314"/>
      <c r="DN453" s="314"/>
      <c r="DO453" s="314"/>
      <c r="DP453" s="314"/>
      <c r="DQ453" s="314"/>
      <c r="DR453" s="314"/>
      <c r="DS453" s="314"/>
      <c r="DT453" s="314"/>
      <c r="DU453" s="314"/>
      <c r="DV453" s="314"/>
      <c r="DW453" s="314"/>
    </row>
    <row r="454" customFormat="false" ht="12.75" hidden="false" customHeight="false" outlineLevel="0" collapsed="false">
      <c r="R454" s="314"/>
      <c r="W454" s="318"/>
      <c r="AE454" s="321"/>
      <c r="BS454" s="314"/>
      <c r="BT454" s="314"/>
      <c r="BZ454" s="314"/>
      <c r="CA454" s="314"/>
      <c r="CF454" s="314"/>
      <c r="CG454" s="314"/>
      <c r="CM454" s="314"/>
      <c r="CN454" s="314"/>
      <c r="CS454" s="314"/>
      <c r="CT454" s="314"/>
      <c r="CX454" s="318"/>
      <c r="CY454" s="314"/>
      <c r="CZ454" s="314"/>
      <c r="DA454" s="314"/>
      <c r="DB454" s="318"/>
      <c r="DC454" s="314"/>
      <c r="DD454" s="314"/>
      <c r="DE454" s="314"/>
      <c r="DH454" s="314"/>
      <c r="DI454" s="314"/>
      <c r="DJ454" s="314"/>
      <c r="DK454" s="314"/>
      <c r="DL454" s="314"/>
      <c r="DM454" s="314"/>
      <c r="DN454" s="314"/>
      <c r="DO454" s="314"/>
      <c r="DP454" s="314"/>
      <c r="DQ454" s="314"/>
      <c r="DR454" s="314"/>
      <c r="DS454" s="314"/>
      <c r="DT454" s="314"/>
      <c r="DU454" s="314"/>
      <c r="DV454" s="314"/>
      <c r="DW454" s="314"/>
    </row>
    <row r="455" customFormat="false" ht="12.75" hidden="false" customHeight="false" outlineLevel="0" collapsed="false">
      <c r="R455" s="314"/>
      <c r="W455" s="318"/>
      <c r="AE455" s="321"/>
      <c r="BS455" s="314"/>
      <c r="BT455" s="314"/>
      <c r="BZ455" s="314"/>
      <c r="CA455" s="314"/>
      <c r="CF455" s="314"/>
      <c r="CG455" s="314"/>
      <c r="CM455" s="314"/>
      <c r="CN455" s="314"/>
      <c r="CS455" s="314"/>
      <c r="CT455" s="314"/>
      <c r="CX455" s="318"/>
      <c r="CY455" s="314"/>
      <c r="CZ455" s="314"/>
      <c r="DA455" s="314"/>
      <c r="DB455" s="318"/>
      <c r="DC455" s="314"/>
      <c r="DD455" s="314"/>
      <c r="DE455" s="314"/>
      <c r="DH455" s="314"/>
      <c r="DI455" s="314"/>
      <c r="DJ455" s="314"/>
      <c r="DK455" s="314"/>
      <c r="DL455" s="314"/>
      <c r="DM455" s="314"/>
      <c r="DN455" s="314"/>
      <c r="DO455" s="314"/>
      <c r="DP455" s="314"/>
      <c r="DQ455" s="314"/>
      <c r="DR455" s="314"/>
      <c r="DS455" s="314"/>
      <c r="DT455" s="314"/>
      <c r="DU455" s="314"/>
      <c r="DV455" s="314"/>
      <c r="DW455" s="314"/>
    </row>
    <row r="456" customFormat="false" ht="12.75" hidden="false" customHeight="false" outlineLevel="0" collapsed="false">
      <c r="R456" s="314"/>
      <c r="W456" s="318"/>
      <c r="AE456" s="321"/>
      <c r="BS456" s="314"/>
      <c r="BT456" s="314"/>
      <c r="BZ456" s="314"/>
      <c r="CA456" s="314"/>
      <c r="CF456" s="314"/>
      <c r="CG456" s="314"/>
      <c r="CM456" s="314"/>
      <c r="CN456" s="314"/>
      <c r="CS456" s="314"/>
      <c r="CT456" s="314"/>
      <c r="CX456" s="318"/>
      <c r="CY456" s="314"/>
      <c r="CZ456" s="314"/>
      <c r="DA456" s="314"/>
      <c r="DB456" s="318"/>
      <c r="DC456" s="314"/>
      <c r="DD456" s="314"/>
      <c r="DE456" s="314"/>
      <c r="DH456" s="314"/>
      <c r="DI456" s="314"/>
      <c r="DJ456" s="314"/>
      <c r="DK456" s="314"/>
      <c r="DL456" s="314"/>
      <c r="DM456" s="314"/>
      <c r="DN456" s="314"/>
      <c r="DO456" s="314"/>
      <c r="DP456" s="314"/>
      <c r="DQ456" s="314"/>
      <c r="DR456" s="314"/>
      <c r="DS456" s="314"/>
      <c r="DT456" s="314"/>
      <c r="DU456" s="314"/>
      <c r="DV456" s="314"/>
      <c r="DW456" s="314"/>
    </row>
    <row r="457" customFormat="false" ht="12.75" hidden="false" customHeight="false" outlineLevel="0" collapsed="false">
      <c r="R457" s="314"/>
      <c r="W457" s="318"/>
      <c r="AE457" s="321"/>
      <c r="BS457" s="314"/>
      <c r="BT457" s="314"/>
      <c r="BZ457" s="314"/>
      <c r="CA457" s="314"/>
      <c r="CF457" s="314"/>
      <c r="CG457" s="314"/>
      <c r="CM457" s="314"/>
      <c r="CN457" s="314"/>
      <c r="CS457" s="314"/>
      <c r="CT457" s="314"/>
      <c r="CX457" s="318"/>
      <c r="CY457" s="314"/>
      <c r="CZ457" s="314"/>
      <c r="DA457" s="314"/>
      <c r="DB457" s="318"/>
      <c r="DC457" s="314"/>
      <c r="DD457" s="314"/>
      <c r="DE457" s="314"/>
      <c r="DH457" s="314"/>
      <c r="DI457" s="314"/>
      <c r="DJ457" s="314"/>
      <c r="DK457" s="314"/>
      <c r="DL457" s="314"/>
      <c r="DM457" s="314"/>
      <c r="DN457" s="314"/>
      <c r="DO457" s="314"/>
      <c r="DP457" s="314"/>
      <c r="DQ457" s="314"/>
      <c r="DR457" s="314"/>
      <c r="DS457" s="314"/>
      <c r="DT457" s="314"/>
      <c r="DU457" s="314"/>
      <c r="DV457" s="314"/>
      <c r="DW457" s="314"/>
    </row>
    <row r="458" customFormat="false" ht="12.75" hidden="false" customHeight="false" outlineLevel="0" collapsed="false">
      <c r="R458" s="314"/>
      <c r="W458" s="318"/>
      <c r="AE458" s="321"/>
      <c r="BS458" s="314"/>
      <c r="BT458" s="314"/>
      <c r="BZ458" s="314"/>
      <c r="CA458" s="314"/>
      <c r="CF458" s="314"/>
      <c r="CG458" s="314"/>
      <c r="CM458" s="314"/>
      <c r="CN458" s="314"/>
      <c r="CS458" s="314"/>
      <c r="CT458" s="314"/>
      <c r="CX458" s="318"/>
      <c r="CY458" s="314"/>
      <c r="CZ458" s="314"/>
      <c r="DA458" s="314"/>
      <c r="DB458" s="318"/>
      <c r="DC458" s="314"/>
      <c r="DD458" s="314"/>
      <c r="DE458" s="314"/>
      <c r="DH458" s="314"/>
      <c r="DI458" s="314"/>
      <c r="DJ458" s="314"/>
      <c r="DK458" s="314"/>
      <c r="DL458" s="314"/>
      <c r="DM458" s="314"/>
      <c r="DN458" s="314"/>
      <c r="DO458" s="314"/>
      <c r="DP458" s="314"/>
      <c r="DQ458" s="314"/>
      <c r="DR458" s="314"/>
      <c r="DS458" s="314"/>
      <c r="DT458" s="314"/>
      <c r="DU458" s="314"/>
      <c r="DV458" s="314"/>
      <c r="DW458" s="314"/>
    </row>
    <row r="459" customFormat="false" ht="12.75" hidden="false" customHeight="false" outlineLevel="0" collapsed="false">
      <c r="R459" s="314"/>
      <c r="W459" s="318"/>
      <c r="AE459" s="321"/>
      <c r="BS459" s="314"/>
      <c r="BT459" s="314"/>
      <c r="BZ459" s="314"/>
      <c r="CA459" s="314"/>
      <c r="CF459" s="314"/>
      <c r="CG459" s="314"/>
      <c r="CM459" s="314"/>
      <c r="CN459" s="314"/>
      <c r="CS459" s="314"/>
      <c r="CT459" s="314"/>
      <c r="CX459" s="318"/>
      <c r="CY459" s="314"/>
      <c r="CZ459" s="314"/>
      <c r="DA459" s="314"/>
      <c r="DB459" s="318"/>
      <c r="DC459" s="314"/>
      <c r="DD459" s="314"/>
      <c r="DE459" s="314"/>
      <c r="DH459" s="314"/>
      <c r="DI459" s="314"/>
      <c r="DJ459" s="314"/>
      <c r="DK459" s="314"/>
      <c r="DL459" s="314"/>
      <c r="DM459" s="314"/>
      <c r="DN459" s="314"/>
      <c r="DO459" s="314"/>
      <c r="DP459" s="314"/>
      <c r="DQ459" s="314"/>
      <c r="DR459" s="314"/>
      <c r="DS459" s="314"/>
      <c r="DT459" s="314"/>
      <c r="DU459" s="314"/>
      <c r="DV459" s="314"/>
      <c r="DW459" s="314"/>
    </row>
    <row r="460" customFormat="false" ht="12.75" hidden="false" customHeight="false" outlineLevel="0" collapsed="false">
      <c r="R460" s="314"/>
      <c r="W460" s="318"/>
      <c r="AE460" s="321"/>
      <c r="BS460" s="314"/>
      <c r="BT460" s="314"/>
      <c r="BZ460" s="314"/>
      <c r="CA460" s="314"/>
      <c r="CF460" s="314"/>
      <c r="CG460" s="314"/>
      <c r="CM460" s="314"/>
      <c r="CN460" s="314"/>
      <c r="CS460" s="314"/>
      <c r="CT460" s="314"/>
      <c r="CX460" s="318"/>
      <c r="CY460" s="314"/>
      <c r="CZ460" s="314"/>
      <c r="DA460" s="314"/>
      <c r="DB460" s="318"/>
      <c r="DC460" s="314"/>
      <c r="DD460" s="314"/>
      <c r="DE460" s="314"/>
      <c r="DH460" s="314"/>
      <c r="DI460" s="314"/>
      <c r="DJ460" s="314"/>
      <c r="DK460" s="314"/>
      <c r="DL460" s="314"/>
      <c r="DM460" s="314"/>
      <c r="DN460" s="314"/>
      <c r="DO460" s="314"/>
      <c r="DP460" s="314"/>
      <c r="DQ460" s="314"/>
      <c r="DR460" s="314"/>
      <c r="DS460" s="314"/>
      <c r="DT460" s="314"/>
      <c r="DU460" s="314"/>
      <c r="DV460" s="314"/>
      <c r="DW460" s="314"/>
    </row>
    <row r="461" customFormat="false" ht="12.75" hidden="false" customHeight="false" outlineLevel="0" collapsed="false">
      <c r="R461" s="314"/>
      <c r="W461" s="318"/>
      <c r="AE461" s="321"/>
      <c r="BS461" s="314"/>
      <c r="BT461" s="314"/>
      <c r="BZ461" s="314"/>
      <c r="CA461" s="314"/>
      <c r="CF461" s="314"/>
      <c r="CG461" s="314"/>
      <c r="CM461" s="314"/>
      <c r="CN461" s="314"/>
      <c r="CS461" s="314"/>
      <c r="CT461" s="314"/>
      <c r="CX461" s="318"/>
      <c r="CY461" s="314"/>
      <c r="CZ461" s="314"/>
      <c r="DA461" s="314"/>
      <c r="DB461" s="318"/>
      <c r="DC461" s="314"/>
      <c r="DD461" s="314"/>
      <c r="DE461" s="314"/>
      <c r="DH461" s="314"/>
      <c r="DI461" s="314"/>
      <c r="DJ461" s="314"/>
      <c r="DK461" s="314"/>
      <c r="DL461" s="314"/>
      <c r="DM461" s="314"/>
      <c r="DN461" s="314"/>
      <c r="DO461" s="314"/>
      <c r="DP461" s="314"/>
      <c r="DQ461" s="314"/>
      <c r="DR461" s="314"/>
      <c r="DS461" s="314"/>
      <c r="DT461" s="314"/>
      <c r="DU461" s="314"/>
      <c r="DV461" s="314"/>
      <c r="DW461" s="314"/>
    </row>
    <row r="462" customFormat="false" ht="12.75" hidden="false" customHeight="false" outlineLevel="0" collapsed="false">
      <c r="R462" s="314"/>
      <c r="W462" s="318"/>
      <c r="AE462" s="321"/>
      <c r="BS462" s="314"/>
      <c r="BT462" s="314"/>
      <c r="BZ462" s="314"/>
      <c r="CA462" s="314"/>
      <c r="CF462" s="314"/>
      <c r="CG462" s="314"/>
      <c r="CM462" s="314"/>
      <c r="CN462" s="314"/>
      <c r="CS462" s="314"/>
      <c r="CT462" s="314"/>
      <c r="CX462" s="318"/>
      <c r="CY462" s="314"/>
      <c r="CZ462" s="314"/>
      <c r="DA462" s="314"/>
      <c r="DB462" s="318"/>
      <c r="DC462" s="314"/>
      <c r="DD462" s="314"/>
      <c r="DE462" s="314"/>
      <c r="DH462" s="314"/>
      <c r="DI462" s="314"/>
      <c r="DJ462" s="314"/>
      <c r="DK462" s="314"/>
      <c r="DL462" s="314"/>
      <c r="DM462" s="314"/>
      <c r="DN462" s="314"/>
      <c r="DO462" s="314"/>
      <c r="DP462" s="314"/>
      <c r="DQ462" s="314"/>
      <c r="DR462" s="314"/>
      <c r="DS462" s="314"/>
      <c r="DT462" s="314"/>
      <c r="DU462" s="314"/>
      <c r="DV462" s="314"/>
      <c r="DW462" s="314"/>
    </row>
    <row r="463" customFormat="false" ht="12.75" hidden="false" customHeight="false" outlineLevel="0" collapsed="false">
      <c r="R463" s="314"/>
      <c r="W463" s="318"/>
      <c r="AE463" s="321"/>
      <c r="BS463" s="314"/>
      <c r="BT463" s="314"/>
      <c r="BZ463" s="314"/>
      <c r="CA463" s="314"/>
      <c r="CF463" s="314"/>
      <c r="CG463" s="314"/>
      <c r="CM463" s="314"/>
      <c r="CN463" s="314"/>
      <c r="CS463" s="314"/>
      <c r="CT463" s="314"/>
      <c r="CX463" s="318"/>
      <c r="CY463" s="314"/>
      <c r="CZ463" s="314"/>
      <c r="DA463" s="314"/>
      <c r="DB463" s="318"/>
      <c r="DC463" s="314"/>
      <c r="DD463" s="314"/>
      <c r="DE463" s="314"/>
      <c r="DH463" s="314"/>
      <c r="DI463" s="314"/>
      <c r="DJ463" s="314"/>
      <c r="DK463" s="314"/>
      <c r="DL463" s="314"/>
      <c r="DM463" s="314"/>
      <c r="DN463" s="314"/>
      <c r="DO463" s="314"/>
      <c r="DP463" s="314"/>
      <c r="DQ463" s="314"/>
      <c r="DR463" s="314"/>
      <c r="DS463" s="314"/>
      <c r="DT463" s="314"/>
      <c r="DU463" s="314"/>
      <c r="DV463" s="314"/>
      <c r="DW463" s="314"/>
    </row>
    <row r="464" customFormat="false" ht="12.75" hidden="false" customHeight="false" outlineLevel="0" collapsed="false">
      <c r="R464" s="314"/>
      <c r="W464" s="318"/>
      <c r="AE464" s="321"/>
      <c r="BS464" s="314"/>
      <c r="BT464" s="314"/>
      <c r="BZ464" s="314"/>
      <c r="CA464" s="314"/>
      <c r="CF464" s="314"/>
      <c r="CG464" s="314"/>
      <c r="CM464" s="314"/>
      <c r="CN464" s="314"/>
      <c r="CS464" s="314"/>
      <c r="CT464" s="314"/>
      <c r="CX464" s="318"/>
      <c r="CY464" s="314"/>
      <c r="CZ464" s="314"/>
      <c r="DA464" s="314"/>
      <c r="DB464" s="318"/>
      <c r="DC464" s="314"/>
      <c r="DD464" s="314"/>
      <c r="DE464" s="314"/>
      <c r="DH464" s="314"/>
      <c r="DI464" s="314"/>
      <c r="DJ464" s="314"/>
      <c r="DK464" s="314"/>
      <c r="DL464" s="314"/>
      <c r="DM464" s="314"/>
      <c r="DN464" s="314"/>
      <c r="DO464" s="314"/>
      <c r="DP464" s="314"/>
      <c r="DQ464" s="314"/>
      <c r="DR464" s="314"/>
      <c r="DS464" s="314"/>
      <c r="DT464" s="314"/>
      <c r="DU464" s="314"/>
      <c r="DV464" s="314"/>
      <c r="DW464" s="314"/>
    </row>
    <row r="465" customFormat="false" ht="12.75" hidden="false" customHeight="false" outlineLevel="0" collapsed="false">
      <c r="R465" s="314"/>
      <c r="W465" s="318"/>
      <c r="AE465" s="321"/>
      <c r="BS465" s="314"/>
      <c r="BT465" s="314"/>
      <c r="BZ465" s="314"/>
      <c r="CA465" s="314"/>
      <c r="CF465" s="314"/>
      <c r="CG465" s="314"/>
      <c r="CM465" s="314"/>
      <c r="CN465" s="314"/>
      <c r="CS465" s="314"/>
      <c r="CT465" s="314"/>
      <c r="CX465" s="318"/>
      <c r="CY465" s="314"/>
      <c r="CZ465" s="314"/>
      <c r="DA465" s="314"/>
      <c r="DB465" s="318"/>
      <c r="DC465" s="314"/>
      <c r="DD465" s="314"/>
      <c r="DE465" s="314"/>
      <c r="DH465" s="314"/>
      <c r="DI465" s="314"/>
      <c r="DJ465" s="314"/>
      <c r="DK465" s="314"/>
      <c r="DL465" s="314"/>
      <c r="DM465" s="314"/>
      <c r="DN465" s="314"/>
      <c r="DO465" s="314"/>
      <c r="DP465" s="314"/>
      <c r="DQ465" s="314"/>
      <c r="DR465" s="314"/>
      <c r="DS465" s="314"/>
      <c r="DT465" s="314"/>
      <c r="DU465" s="314"/>
      <c r="DV465" s="314"/>
      <c r="DW465" s="314"/>
    </row>
    <row r="466" customFormat="false" ht="12.75" hidden="false" customHeight="false" outlineLevel="0" collapsed="false">
      <c r="R466" s="314"/>
      <c r="W466" s="318"/>
      <c r="AE466" s="321"/>
      <c r="BS466" s="314"/>
      <c r="BT466" s="314"/>
      <c r="BZ466" s="314"/>
      <c r="CA466" s="314"/>
      <c r="CF466" s="314"/>
      <c r="CG466" s="314"/>
      <c r="CM466" s="314"/>
      <c r="CN466" s="314"/>
      <c r="CS466" s="314"/>
      <c r="CT466" s="314"/>
      <c r="CX466" s="318"/>
      <c r="CY466" s="314"/>
      <c r="CZ466" s="314"/>
      <c r="DA466" s="314"/>
      <c r="DB466" s="318"/>
      <c r="DC466" s="314"/>
      <c r="DD466" s="314"/>
      <c r="DE466" s="314"/>
      <c r="DH466" s="314"/>
      <c r="DI466" s="314"/>
      <c r="DJ466" s="314"/>
      <c r="DK466" s="314"/>
      <c r="DL466" s="314"/>
      <c r="DM466" s="314"/>
      <c r="DN466" s="314"/>
      <c r="DO466" s="314"/>
      <c r="DP466" s="314"/>
      <c r="DQ466" s="314"/>
      <c r="DR466" s="314"/>
      <c r="DS466" s="314"/>
      <c r="DT466" s="314"/>
      <c r="DU466" s="314"/>
      <c r="DV466" s="314"/>
      <c r="DW466" s="314"/>
    </row>
    <row r="467" customFormat="false" ht="12.75" hidden="false" customHeight="false" outlineLevel="0" collapsed="false">
      <c r="R467" s="314"/>
      <c r="W467" s="318"/>
      <c r="AE467" s="321"/>
      <c r="BS467" s="314"/>
      <c r="BT467" s="314"/>
      <c r="BZ467" s="314"/>
      <c r="CA467" s="314"/>
      <c r="CF467" s="314"/>
      <c r="CG467" s="314"/>
      <c r="CM467" s="314"/>
      <c r="CN467" s="314"/>
      <c r="CS467" s="314"/>
      <c r="CT467" s="314"/>
      <c r="CX467" s="318"/>
      <c r="CY467" s="314"/>
      <c r="CZ467" s="314"/>
      <c r="DA467" s="314"/>
      <c r="DB467" s="318"/>
      <c r="DC467" s="314"/>
      <c r="DD467" s="314"/>
      <c r="DE467" s="314"/>
      <c r="DH467" s="314"/>
      <c r="DI467" s="314"/>
      <c r="DJ467" s="314"/>
      <c r="DK467" s="314"/>
      <c r="DL467" s="314"/>
      <c r="DM467" s="314"/>
      <c r="DN467" s="314"/>
      <c r="DO467" s="314"/>
      <c r="DP467" s="314"/>
      <c r="DQ467" s="314"/>
      <c r="DR467" s="314"/>
      <c r="DS467" s="314"/>
      <c r="DT467" s="314"/>
      <c r="DU467" s="314"/>
      <c r="DV467" s="314"/>
      <c r="DW467" s="314"/>
    </row>
    <row r="468" customFormat="false" ht="12.75" hidden="false" customHeight="false" outlineLevel="0" collapsed="false">
      <c r="R468" s="314"/>
      <c r="W468" s="318"/>
      <c r="AE468" s="321"/>
      <c r="BS468" s="314"/>
      <c r="BT468" s="314"/>
      <c r="BZ468" s="314"/>
      <c r="CA468" s="314"/>
      <c r="CF468" s="314"/>
      <c r="CG468" s="314"/>
      <c r="CM468" s="314"/>
      <c r="CN468" s="314"/>
      <c r="CS468" s="314"/>
      <c r="CT468" s="314"/>
      <c r="CX468" s="318"/>
      <c r="CY468" s="314"/>
      <c r="CZ468" s="314"/>
      <c r="DA468" s="314"/>
      <c r="DB468" s="318"/>
      <c r="DC468" s="314"/>
      <c r="DD468" s="314"/>
      <c r="DE468" s="314"/>
      <c r="DH468" s="314"/>
      <c r="DI468" s="314"/>
      <c r="DJ468" s="314"/>
      <c r="DK468" s="314"/>
      <c r="DL468" s="314"/>
      <c r="DM468" s="314"/>
      <c r="DN468" s="314"/>
      <c r="DO468" s="314"/>
      <c r="DP468" s="314"/>
      <c r="DQ468" s="314"/>
      <c r="DR468" s="314"/>
      <c r="DS468" s="314"/>
      <c r="DT468" s="314"/>
      <c r="DU468" s="314"/>
      <c r="DV468" s="314"/>
      <c r="DW468" s="314"/>
    </row>
    <row r="469" customFormat="false" ht="12.75" hidden="false" customHeight="false" outlineLevel="0" collapsed="false">
      <c r="R469" s="314"/>
      <c r="W469" s="318"/>
      <c r="AE469" s="321"/>
      <c r="BS469" s="314"/>
      <c r="BT469" s="314"/>
      <c r="BZ469" s="314"/>
      <c r="CA469" s="314"/>
      <c r="CF469" s="314"/>
      <c r="CG469" s="314"/>
      <c r="CM469" s="314"/>
      <c r="CN469" s="314"/>
      <c r="CS469" s="314"/>
      <c r="CT469" s="314"/>
      <c r="CX469" s="318"/>
      <c r="CY469" s="314"/>
      <c r="CZ469" s="314"/>
      <c r="DA469" s="314"/>
      <c r="DB469" s="318"/>
      <c r="DC469" s="314"/>
      <c r="DD469" s="314"/>
      <c r="DE469" s="314"/>
      <c r="DH469" s="314"/>
      <c r="DI469" s="314"/>
      <c r="DJ469" s="314"/>
      <c r="DK469" s="314"/>
      <c r="DL469" s="314"/>
      <c r="DM469" s="314"/>
      <c r="DN469" s="314"/>
      <c r="DO469" s="314"/>
      <c r="DP469" s="314"/>
      <c r="DQ469" s="314"/>
      <c r="DR469" s="314"/>
      <c r="DS469" s="314"/>
      <c r="DT469" s="314"/>
      <c r="DU469" s="314"/>
      <c r="DV469" s="314"/>
      <c r="DW469" s="314"/>
    </row>
    <row r="470" customFormat="false" ht="12.75" hidden="false" customHeight="false" outlineLevel="0" collapsed="false">
      <c r="R470" s="314"/>
      <c r="W470" s="318"/>
      <c r="AE470" s="321"/>
      <c r="BS470" s="314"/>
      <c r="BT470" s="314"/>
      <c r="BZ470" s="314"/>
      <c r="CA470" s="314"/>
      <c r="CF470" s="314"/>
      <c r="CG470" s="314"/>
      <c r="CM470" s="314"/>
      <c r="CN470" s="314"/>
      <c r="CS470" s="314"/>
      <c r="CT470" s="314"/>
      <c r="CX470" s="318"/>
      <c r="CY470" s="314"/>
      <c r="CZ470" s="314"/>
      <c r="DA470" s="314"/>
      <c r="DB470" s="318"/>
      <c r="DC470" s="314"/>
      <c r="DD470" s="314"/>
      <c r="DE470" s="314"/>
      <c r="DH470" s="314"/>
      <c r="DI470" s="314"/>
      <c r="DJ470" s="314"/>
      <c r="DK470" s="314"/>
      <c r="DL470" s="314"/>
      <c r="DM470" s="314"/>
      <c r="DN470" s="314"/>
      <c r="DO470" s="314"/>
      <c r="DP470" s="314"/>
      <c r="DQ470" s="314"/>
      <c r="DR470" s="314"/>
      <c r="DS470" s="314"/>
      <c r="DT470" s="314"/>
      <c r="DU470" s="314"/>
      <c r="DV470" s="314"/>
      <c r="DW470" s="314"/>
    </row>
    <row r="471" customFormat="false" ht="12.75" hidden="false" customHeight="false" outlineLevel="0" collapsed="false">
      <c r="R471" s="314"/>
      <c r="W471" s="318"/>
      <c r="AE471" s="321"/>
      <c r="BS471" s="314"/>
      <c r="BT471" s="314"/>
      <c r="BZ471" s="314"/>
      <c r="CA471" s="314"/>
      <c r="CF471" s="314"/>
      <c r="CG471" s="314"/>
      <c r="CM471" s="314"/>
      <c r="CN471" s="314"/>
      <c r="CS471" s="314"/>
      <c r="CT471" s="314"/>
      <c r="CX471" s="318"/>
      <c r="CY471" s="314"/>
      <c r="CZ471" s="314"/>
      <c r="DA471" s="314"/>
      <c r="DB471" s="318"/>
      <c r="DC471" s="314"/>
      <c r="DD471" s="314"/>
      <c r="DE471" s="314"/>
      <c r="DH471" s="314"/>
      <c r="DI471" s="314"/>
      <c r="DJ471" s="314"/>
      <c r="DK471" s="314"/>
      <c r="DL471" s="314"/>
      <c r="DM471" s="314"/>
      <c r="DN471" s="314"/>
      <c r="DO471" s="314"/>
      <c r="DP471" s="314"/>
      <c r="DQ471" s="314"/>
      <c r="DR471" s="314"/>
      <c r="DS471" s="314"/>
      <c r="DT471" s="314"/>
      <c r="DU471" s="314"/>
      <c r="DV471" s="314"/>
      <c r="DW471" s="314"/>
    </row>
    <row r="472" customFormat="false" ht="12.75" hidden="false" customHeight="false" outlineLevel="0" collapsed="false">
      <c r="R472" s="314"/>
      <c r="W472" s="318"/>
      <c r="AE472" s="321"/>
      <c r="BS472" s="314"/>
      <c r="BT472" s="314"/>
      <c r="BZ472" s="314"/>
      <c r="CA472" s="314"/>
      <c r="CF472" s="314"/>
      <c r="CG472" s="314"/>
      <c r="CM472" s="314"/>
      <c r="CN472" s="314"/>
      <c r="CS472" s="314"/>
      <c r="CT472" s="314"/>
      <c r="CX472" s="318"/>
      <c r="CY472" s="314"/>
      <c r="CZ472" s="314"/>
      <c r="DA472" s="314"/>
      <c r="DB472" s="318"/>
      <c r="DC472" s="314"/>
      <c r="DD472" s="314"/>
      <c r="DE472" s="314"/>
      <c r="DH472" s="314"/>
      <c r="DI472" s="314"/>
      <c r="DJ472" s="314"/>
      <c r="DK472" s="314"/>
      <c r="DL472" s="314"/>
      <c r="DM472" s="314"/>
      <c r="DN472" s="314"/>
      <c r="DO472" s="314"/>
      <c r="DP472" s="314"/>
      <c r="DQ472" s="314"/>
      <c r="DR472" s="314"/>
      <c r="DS472" s="314"/>
      <c r="DT472" s="314"/>
      <c r="DU472" s="314"/>
      <c r="DV472" s="314"/>
      <c r="DW472" s="314"/>
    </row>
    <row r="473" customFormat="false" ht="12.75" hidden="false" customHeight="false" outlineLevel="0" collapsed="false">
      <c r="R473" s="314"/>
      <c r="W473" s="318"/>
      <c r="AE473" s="321"/>
      <c r="BS473" s="314"/>
      <c r="BT473" s="314"/>
      <c r="BZ473" s="314"/>
      <c r="CA473" s="314"/>
      <c r="CF473" s="314"/>
      <c r="CG473" s="314"/>
      <c r="CM473" s="314"/>
      <c r="CN473" s="314"/>
      <c r="CS473" s="314"/>
      <c r="CT473" s="314"/>
      <c r="CX473" s="318"/>
      <c r="CY473" s="314"/>
      <c r="CZ473" s="314"/>
      <c r="DA473" s="314"/>
      <c r="DB473" s="318"/>
      <c r="DC473" s="314"/>
      <c r="DD473" s="314"/>
      <c r="DE473" s="314"/>
      <c r="DH473" s="314"/>
      <c r="DI473" s="314"/>
      <c r="DJ473" s="314"/>
      <c r="DK473" s="314"/>
      <c r="DL473" s="314"/>
      <c r="DM473" s="314"/>
      <c r="DN473" s="314"/>
      <c r="DO473" s="314"/>
      <c r="DP473" s="314"/>
      <c r="DQ473" s="314"/>
      <c r="DR473" s="314"/>
      <c r="DS473" s="314"/>
      <c r="DT473" s="314"/>
      <c r="DU473" s="314"/>
      <c r="DV473" s="314"/>
      <c r="DW473" s="314"/>
    </row>
    <row r="474" customFormat="false" ht="12.75" hidden="false" customHeight="false" outlineLevel="0" collapsed="false">
      <c r="R474" s="314"/>
      <c r="W474" s="318"/>
      <c r="AE474" s="321"/>
      <c r="BS474" s="314"/>
      <c r="BT474" s="314"/>
      <c r="BZ474" s="314"/>
      <c r="CA474" s="314"/>
      <c r="CF474" s="314"/>
      <c r="CG474" s="314"/>
      <c r="CM474" s="314"/>
      <c r="CN474" s="314"/>
      <c r="CS474" s="314"/>
      <c r="CT474" s="314"/>
      <c r="CX474" s="318"/>
      <c r="CY474" s="314"/>
      <c r="CZ474" s="314"/>
      <c r="DA474" s="314"/>
      <c r="DB474" s="318"/>
      <c r="DC474" s="314"/>
      <c r="DD474" s="314"/>
      <c r="DE474" s="314"/>
      <c r="DH474" s="314"/>
      <c r="DI474" s="314"/>
      <c r="DJ474" s="314"/>
      <c r="DK474" s="314"/>
      <c r="DL474" s="314"/>
      <c r="DM474" s="314"/>
      <c r="DN474" s="314"/>
      <c r="DO474" s="314"/>
      <c r="DP474" s="314"/>
      <c r="DQ474" s="314"/>
      <c r="DR474" s="314"/>
      <c r="DS474" s="314"/>
      <c r="DT474" s="314"/>
      <c r="DU474" s="314"/>
      <c r="DV474" s="314"/>
      <c r="DW474" s="314"/>
    </row>
    <row r="475" customFormat="false" ht="12.75" hidden="false" customHeight="false" outlineLevel="0" collapsed="false">
      <c r="R475" s="314"/>
      <c r="W475" s="318"/>
      <c r="AE475" s="321"/>
      <c r="BS475" s="314"/>
      <c r="BT475" s="314"/>
      <c r="BZ475" s="314"/>
      <c r="CA475" s="314"/>
      <c r="CF475" s="314"/>
      <c r="CG475" s="314"/>
      <c r="CM475" s="314"/>
      <c r="CN475" s="314"/>
      <c r="CS475" s="314"/>
      <c r="CT475" s="314"/>
      <c r="CX475" s="318"/>
      <c r="CY475" s="314"/>
      <c r="CZ475" s="314"/>
      <c r="DA475" s="314"/>
      <c r="DB475" s="318"/>
      <c r="DC475" s="314"/>
      <c r="DD475" s="314"/>
      <c r="DE475" s="314"/>
      <c r="DH475" s="314"/>
      <c r="DI475" s="314"/>
      <c r="DJ475" s="314"/>
      <c r="DK475" s="314"/>
      <c r="DL475" s="314"/>
      <c r="DM475" s="314"/>
      <c r="DN475" s="314"/>
      <c r="DO475" s="314"/>
      <c r="DP475" s="314"/>
      <c r="DQ475" s="314"/>
      <c r="DR475" s="314"/>
      <c r="DS475" s="314"/>
      <c r="DT475" s="314"/>
      <c r="DU475" s="314"/>
      <c r="DV475" s="314"/>
      <c r="DW475" s="314"/>
    </row>
    <row r="476" customFormat="false" ht="12.75" hidden="false" customHeight="false" outlineLevel="0" collapsed="false">
      <c r="R476" s="314"/>
      <c r="W476" s="318"/>
      <c r="AE476" s="321"/>
      <c r="BS476" s="314"/>
      <c r="BT476" s="314"/>
      <c r="BZ476" s="314"/>
      <c r="CA476" s="314"/>
      <c r="CF476" s="314"/>
      <c r="CG476" s="314"/>
      <c r="CM476" s="314"/>
      <c r="CN476" s="314"/>
      <c r="CS476" s="314"/>
      <c r="CT476" s="314"/>
      <c r="CX476" s="318"/>
      <c r="CY476" s="314"/>
      <c r="CZ476" s="314"/>
      <c r="DA476" s="314"/>
      <c r="DB476" s="318"/>
      <c r="DC476" s="314"/>
      <c r="DD476" s="314"/>
      <c r="DE476" s="314"/>
      <c r="DH476" s="314"/>
      <c r="DI476" s="314"/>
      <c r="DJ476" s="314"/>
      <c r="DK476" s="314"/>
      <c r="DL476" s="314"/>
      <c r="DM476" s="314"/>
      <c r="DN476" s="314"/>
      <c r="DO476" s="314"/>
      <c r="DP476" s="314"/>
      <c r="DQ476" s="314"/>
      <c r="DR476" s="314"/>
      <c r="DS476" s="314"/>
      <c r="DT476" s="314"/>
      <c r="DU476" s="314"/>
      <c r="DV476" s="314"/>
      <c r="DW476" s="314"/>
    </row>
    <row r="477" customFormat="false" ht="12.75" hidden="false" customHeight="false" outlineLevel="0" collapsed="false">
      <c r="R477" s="314"/>
      <c r="W477" s="318"/>
      <c r="AE477" s="321"/>
      <c r="BS477" s="314"/>
      <c r="BT477" s="314"/>
      <c r="BZ477" s="314"/>
      <c r="CA477" s="314"/>
      <c r="CF477" s="314"/>
      <c r="CG477" s="314"/>
      <c r="CM477" s="314"/>
      <c r="CN477" s="314"/>
      <c r="CS477" s="314"/>
      <c r="CT477" s="314"/>
      <c r="CX477" s="318"/>
      <c r="CY477" s="314"/>
      <c r="CZ477" s="314"/>
      <c r="DA477" s="314"/>
      <c r="DB477" s="318"/>
      <c r="DC477" s="314"/>
      <c r="DD477" s="314"/>
      <c r="DE477" s="314"/>
      <c r="DH477" s="314"/>
      <c r="DI477" s="314"/>
      <c r="DJ477" s="314"/>
      <c r="DK477" s="314"/>
      <c r="DL477" s="314"/>
      <c r="DM477" s="314"/>
      <c r="DN477" s="314"/>
      <c r="DO477" s="314"/>
      <c r="DP477" s="314"/>
      <c r="DQ477" s="314"/>
      <c r="DR477" s="314"/>
      <c r="DS477" s="314"/>
      <c r="DT477" s="314"/>
      <c r="DU477" s="314"/>
      <c r="DV477" s="314"/>
      <c r="DW477" s="314"/>
    </row>
    <row r="478" customFormat="false" ht="12.75" hidden="false" customHeight="false" outlineLevel="0" collapsed="false">
      <c r="R478" s="314"/>
      <c r="W478" s="318"/>
      <c r="AE478" s="321"/>
      <c r="BS478" s="314"/>
      <c r="BT478" s="314"/>
      <c r="BZ478" s="314"/>
      <c r="CA478" s="314"/>
      <c r="CF478" s="314"/>
      <c r="CG478" s="314"/>
      <c r="CM478" s="314"/>
      <c r="CN478" s="314"/>
      <c r="CS478" s="314"/>
      <c r="CT478" s="314"/>
      <c r="CX478" s="318"/>
      <c r="CY478" s="314"/>
      <c r="CZ478" s="314"/>
      <c r="DA478" s="314"/>
      <c r="DB478" s="318"/>
      <c r="DC478" s="314"/>
      <c r="DD478" s="314"/>
      <c r="DE478" s="314"/>
      <c r="DH478" s="314"/>
      <c r="DI478" s="314"/>
      <c r="DJ478" s="314"/>
      <c r="DK478" s="314"/>
      <c r="DL478" s="314"/>
      <c r="DM478" s="314"/>
      <c r="DN478" s="314"/>
      <c r="DO478" s="314"/>
      <c r="DP478" s="314"/>
      <c r="DQ478" s="314"/>
      <c r="DR478" s="314"/>
      <c r="DS478" s="314"/>
      <c r="DT478" s="314"/>
      <c r="DU478" s="314"/>
      <c r="DV478" s="314"/>
      <c r="DW478" s="314"/>
    </row>
    <row r="479" customFormat="false" ht="12.75" hidden="false" customHeight="false" outlineLevel="0" collapsed="false">
      <c r="R479" s="314"/>
      <c r="W479" s="318"/>
      <c r="AE479" s="321"/>
      <c r="BS479" s="314"/>
      <c r="BT479" s="314"/>
      <c r="BZ479" s="314"/>
      <c r="CA479" s="314"/>
      <c r="CF479" s="314"/>
      <c r="CG479" s="314"/>
      <c r="CM479" s="314"/>
      <c r="CN479" s="314"/>
      <c r="CS479" s="314"/>
      <c r="CT479" s="314"/>
      <c r="CX479" s="318"/>
      <c r="CY479" s="314"/>
      <c r="CZ479" s="314"/>
      <c r="DA479" s="314"/>
      <c r="DB479" s="318"/>
      <c r="DC479" s="314"/>
      <c r="DD479" s="314"/>
      <c r="DE479" s="314"/>
      <c r="DH479" s="314"/>
      <c r="DI479" s="314"/>
      <c r="DJ479" s="314"/>
      <c r="DK479" s="314"/>
      <c r="DL479" s="314"/>
      <c r="DM479" s="314"/>
      <c r="DN479" s="314"/>
      <c r="DO479" s="314"/>
      <c r="DP479" s="314"/>
      <c r="DQ479" s="314"/>
      <c r="DR479" s="314"/>
      <c r="DS479" s="314"/>
      <c r="DT479" s="314"/>
      <c r="DU479" s="314"/>
      <c r="DV479" s="314"/>
      <c r="DW479" s="314"/>
    </row>
    <row r="480" customFormat="false" ht="12.75" hidden="false" customHeight="false" outlineLevel="0" collapsed="false">
      <c r="R480" s="314"/>
      <c r="W480" s="318"/>
      <c r="AE480" s="321"/>
      <c r="BS480" s="314"/>
      <c r="BT480" s="314"/>
      <c r="BZ480" s="314"/>
      <c r="CA480" s="314"/>
      <c r="CF480" s="314"/>
      <c r="CG480" s="314"/>
      <c r="CM480" s="314"/>
      <c r="CN480" s="314"/>
      <c r="CS480" s="314"/>
      <c r="CT480" s="314"/>
      <c r="CX480" s="318"/>
      <c r="CY480" s="314"/>
      <c r="CZ480" s="314"/>
      <c r="DA480" s="314"/>
      <c r="DB480" s="318"/>
      <c r="DC480" s="314"/>
      <c r="DD480" s="314"/>
      <c r="DE480" s="314"/>
      <c r="DH480" s="314"/>
      <c r="DI480" s="314"/>
      <c r="DJ480" s="314"/>
      <c r="DK480" s="314"/>
      <c r="DL480" s="314"/>
      <c r="DM480" s="314"/>
      <c r="DN480" s="314"/>
      <c r="DO480" s="314"/>
      <c r="DP480" s="314"/>
      <c r="DQ480" s="314"/>
      <c r="DR480" s="314"/>
      <c r="DS480" s="314"/>
      <c r="DT480" s="314"/>
      <c r="DU480" s="314"/>
      <c r="DV480" s="314"/>
      <c r="DW480" s="314"/>
    </row>
    <row r="481" customFormat="false" ht="12.75" hidden="false" customHeight="false" outlineLevel="0" collapsed="false">
      <c r="R481" s="314"/>
      <c r="W481" s="318"/>
      <c r="AE481" s="321"/>
      <c r="BS481" s="314"/>
      <c r="BT481" s="314"/>
      <c r="BZ481" s="314"/>
      <c r="CA481" s="314"/>
      <c r="CF481" s="314"/>
      <c r="CG481" s="314"/>
      <c r="CM481" s="314"/>
      <c r="CN481" s="314"/>
      <c r="CS481" s="314"/>
      <c r="CT481" s="314"/>
      <c r="CX481" s="318"/>
      <c r="CY481" s="314"/>
      <c r="CZ481" s="314"/>
      <c r="DA481" s="314"/>
      <c r="DB481" s="318"/>
      <c r="DC481" s="314"/>
      <c r="DD481" s="314"/>
      <c r="DE481" s="314"/>
      <c r="DH481" s="314"/>
      <c r="DI481" s="314"/>
      <c r="DJ481" s="314"/>
      <c r="DK481" s="314"/>
      <c r="DL481" s="314"/>
      <c r="DM481" s="314"/>
      <c r="DN481" s="314"/>
      <c r="DO481" s="314"/>
      <c r="DP481" s="314"/>
      <c r="DQ481" s="314"/>
      <c r="DR481" s="314"/>
      <c r="DS481" s="314"/>
      <c r="DT481" s="314"/>
      <c r="DU481" s="314"/>
      <c r="DV481" s="314"/>
      <c r="DW481" s="314"/>
    </row>
    <row r="482" customFormat="false" ht="12.75" hidden="false" customHeight="false" outlineLevel="0" collapsed="false">
      <c r="R482" s="314"/>
      <c r="W482" s="318"/>
      <c r="AE482" s="321"/>
      <c r="BS482" s="314"/>
      <c r="BT482" s="314"/>
      <c r="BZ482" s="314"/>
      <c r="CA482" s="314"/>
      <c r="CF482" s="314"/>
      <c r="CG482" s="314"/>
      <c r="CM482" s="314"/>
      <c r="CN482" s="314"/>
      <c r="CS482" s="314"/>
      <c r="CT482" s="314"/>
      <c r="CX482" s="318"/>
      <c r="CY482" s="314"/>
      <c r="CZ482" s="314"/>
      <c r="DA482" s="314"/>
      <c r="DB482" s="318"/>
      <c r="DC482" s="314"/>
      <c r="DD482" s="314"/>
      <c r="DE482" s="314"/>
      <c r="DH482" s="314"/>
      <c r="DI482" s="314"/>
      <c r="DJ482" s="314"/>
      <c r="DK482" s="314"/>
      <c r="DL482" s="314"/>
      <c r="DM482" s="314"/>
      <c r="DN482" s="314"/>
      <c r="DO482" s="314"/>
      <c r="DP482" s="314"/>
      <c r="DQ482" s="314"/>
      <c r="DR482" s="314"/>
      <c r="DS482" s="314"/>
      <c r="DT482" s="314"/>
      <c r="DU482" s="314"/>
      <c r="DV482" s="314"/>
      <c r="DW482" s="314"/>
    </row>
    <row r="483" customFormat="false" ht="12.75" hidden="false" customHeight="false" outlineLevel="0" collapsed="false">
      <c r="R483" s="314"/>
      <c r="W483" s="318"/>
      <c r="AE483" s="321"/>
      <c r="BS483" s="314"/>
      <c r="BT483" s="314"/>
      <c r="BZ483" s="314"/>
      <c r="CA483" s="314"/>
      <c r="CF483" s="314"/>
      <c r="CG483" s="314"/>
      <c r="CM483" s="314"/>
      <c r="CN483" s="314"/>
      <c r="CS483" s="314"/>
      <c r="CT483" s="314"/>
      <c r="CX483" s="318"/>
      <c r="CY483" s="314"/>
      <c r="CZ483" s="314"/>
      <c r="DA483" s="314"/>
      <c r="DB483" s="318"/>
      <c r="DC483" s="314"/>
      <c r="DD483" s="314"/>
      <c r="DE483" s="314"/>
      <c r="DH483" s="314"/>
      <c r="DI483" s="314"/>
      <c r="DJ483" s="314"/>
      <c r="DK483" s="314"/>
      <c r="DL483" s="314"/>
      <c r="DM483" s="314"/>
      <c r="DN483" s="314"/>
      <c r="DO483" s="314"/>
      <c r="DP483" s="314"/>
      <c r="DQ483" s="314"/>
      <c r="DR483" s="314"/>
      <c r="DS483" s="314"/>
      <c r="DT483" s="314"/>
      <c r="DU483" s="314"/>
      <c r="DV483" s="314"/>
      <c r="DW483" s="314"/>
    </row>
    <row r="484" customFormat="false" ht="12.75" hidden="false" customHeight="false" outlineLevel="0" collapsed="false">
      <c r="R484" s="314"/>
      <c r="W484" s="318"/>
      <c r="AE484" s="321"/>
      <c r="BS484" s="314"/>
      <c r="BT484" s="314"/>
      <c r="BZ484" s="314"/>
      <c r="CA484" s="314"/>
      <c r="CF484" s="314"/>
      <c r="CG484" s="314"/>
      <c r="CM484" s="314"/>
      <c r="CN484" s="314"/>
      <c r="CS484" s="314"/>
      <c r="CT484" s="314"/>
      <c r="CX484" s="318"/>
      <c r="CY484" s="314"/>
      <c r="CZ484" s="314"/>
      <c r="DA484" s="314"/>
      <c r="DB484" s="318"/>
      <c r="DC484" s="314"/>
      <c r="DD484" s="314"/>
      <c r="DE484" s="314"/>
      <c r="DH484" s="314"/>
      <c r="DI484" s="314"/>
      <c r="DJ484" s="314"/>
      <c r="DK484" s="314"/>
      <c r="DL484" s="314"/>
      <c r="DM484" s="314"/>
      <c r="DN484" s="314"/>
      <c r="DO484" s="314"/>
      <c r="DP484" s="314"/>
      <c r="DQ484" s="314"/>
      <c r="DR484" s="314"/>
      <c r="DS484" s="314"/>
      <c r="DT484" s="314"/>
      <c r="DU484" s="314"/>
      <c r="DV484" s="314"/>
      <c r="DW484" s="314"/>
    </row>
    <row r="485" customFormat="false" ht="12.75" hidden="false" customHeight="false" outlineLevel="0" collapsed="false">
      <c r="R485" s="314"/>
      <c r="W485" s="318"/>
      <c r="AE485" s="321"/>
      <c r="BS485" s="314"/>
      <c r="BT485" s="314"/>
      <c r="BZ485" s="314"/>
      <c r="CA485" s="314"/>
      <c r="CF485" s="314"/>
      <c r="CG485" s="314"/>
      <c r="CM485" s="314"/>
      <c r="CN485" s="314"/>
      <c r="CS485" s="314"/>
      <c r="CT485" s="314"/>
      <c r="CX485" s="318"/>
      <c r="CY485" s="314"/>
      <c r="CZ485" s="314"/>
      <c r="DA485" s="314"/>
      <c r="DB485" s="318"/>
      <c r="DC485" s="314"/>
      <c r="DD485" s="314"/>
      <c r="DE485" s="314"/>
      <c r="DH485" s="314"/>
      <c r="DI485" s="314"/>
      <c r="DJ485" s="314"/>
      <c r="DK485" s="314"/>
      <c r="DL485" s="314"/>
      <c r="DM485" s="314"/>
      <c r="DN485" s="314"/>
      <c r="DO485" s="314"/>
      <c r="DP485" s="314"/>
      <c r="DQ485" s="314"/>
      <c r="DR485" s="314"/>
      <c r="DS485" s="314"/>
      <c r="DT485" s="314"/>
      <c r="DU485" s="314"/>
      <c r="DV485" s="314"/>
      <c r="DW485" s="314"/>
    </row>
    <row r="486" customFormat="false" ht="12.75" hidden="false" customHeight="false" outlineLevel="0" collapsed="false">
      <c r="R486" s="314"/>
      <c r="W486" s="318"/>
      <c r="AE486" s="321"/>
      <c r="BS486" s="314"/>
      <c r="BT486" s="314"/>
      <c r="BZ486" s="314"/>
      <c r="CA486" s="314"/>
      <c r="CF486" s="314"/>
      <c r="CG486" s="314"/>
      <c r="CM486" s="314"/>
      <c r="CN486" s="314"/>
      <c r="CS486" s="314"/>
      <c r="CT486" s="314"/>
      <c r="CX486" s="318"/>
      <c r="CY486" s="314"/>
      <c r="CZ486" s="314"/>
      <c r="DA486" s="314"/>
      <c r="DB486" s="318"/>
      <c r="DC486" s="314"/>
      <c r="DD486" s="314"/>
      <c r="DE486" s="314"/>
      <c r="DH486" s="314"/>
      <c r="DI486" s="314"/>
      <c r="DJ486" s="314"/>
      <c r="DK486" s="314"/>
      <c r="DL486" s="314"/>
      <c r="DM486" s="314"/>
      <c r="DN486" s="314"/>
      <c r="DO486" s="314"/>
      <c r="DP486" s="314"/>
      <c r="DQ486" s="314"/>
      <c r="DR486" s="314"/>
      <c r="DS486" s="314"/>
      <c r="DT486" s="314"/>
      <c r="DU486" s="314"/>
      <c r="DV486" s="314"/>
      <c r="DW486" s="314"/>
    </row>
    <row r="487" customFormat="false" ht="12.75" hidden="false" customHeight="false" outlineLevel="0" collapsed="false">
      <c r="R487" s="314"/>
      <c r="W487" s="318"/>
      <c r="AE487" s="321"/>
      <c r="BS487" s="314"/>
      <c r="BT487" s="314"/>
      <c r="BZ487" s="314"/>
      <c r="CA487" s="314"/>
      <c r="CF487" s="314"/>
      <c r="CG487" s="314"/>
      <c r="CM487" s="314"/>
      <c r="CN487" s="314"/>
      <c r="CS487" s="314"/>
      <c r="CT487" s="314"/>
      <c r="CX487" s="318"/>
      <c r="CY487" s="314"/>
      <c r="CZ487" s="314"/>
      <c r="DA487" s="314"/>
      <c r="DB487" s="318"/>
      <c r="DC487" s="314"/>
      <c r="DD487" s="314"/>
      <c r="DE487" s="314"/>
      <c r="DH487" s="314"/>
      <c r="DI487" s="314"/>
      <c r="DJ487" s="314"/>
      <c r="DK487" s="314"/>
      <c r="DL487" s="314"/>
      <c r="DM487" s="314"/>
      <c r="DN487" s="314"/>
      <c r="DO487" s="314"/>
      <c r="DP487" s="314"/>
      <c r="DQ487" s="314"/>
      <c r="DR487" s="314"/>
      <c r="DS487" s="314"/>
      <c r="DT487" s="314"/>
      <c r="DU487" s="314"/>
      <c r="DV487" s="314"/>
      <c r="DW487" s="314"/>
    </row>
    <row r="488" customFormat="false" ht="12.75" hidden="false" customHeight="false" outlineLevel="0" collapsed="false">
      <c r="R488" s="314"/>
      <c r="W488" s="318"/>
      <c r="AE488" s="321"/>
      <c r="BS488" s="314"/>
      <c r="BT488" s="314"/>
      <c r="BZ488" s="314"/>
      <c r="CA488" s="314"/>
      <c r="CF488" s="314"/>
      <c r="CG488" s="314"/>
      <c r="CM488" s="314"/>
      <c r="CN488" s="314"/>
      <c r="CS488" s="314"/>
      <c r="CT488" s="314"/>
      <c r="CX488" s="318"/>
      <c r="CY488" s="314"/>
      <c r="CZ488" s="314"/>
      <c r="DA488" s="314"/>
      <c r="DB488" s="318"/>
      <c r="DC488" s="314"/>
      <c r="DD488" s="314"/>
      <c r="DE488" s="314"/>
      <c r="DH488" s="314"/>
      <c r="DI488" s="314"/>
      <c r="DJ488" s="314"/>
      <c r="DK488" s="314"/>
      <c r="DL488" s="314"/>
      <c r="DM488" s="314"/>
      <c r="DN488" s="314"/>
      <c r="DO488" s="314"/>
      <c r="DP488" s="314"/>
      <c r="DQ488" s="314"/>
      <c r="DR488" s="314"/>
      <c r="DS488" s="314"/>
      <c r="DT488" s="314"/>
      <c r="DU488" s="314"/>
      <c r="DV488" s="314"/>
      <c r="DW488" s="314"/>
    </row>
    <row r="489" customFormat="false" ht="12.75" hidden="false" customHeight="false" outlineLevel="0" collapsed="false">
      <c r="R489" s="314"/>
      <c r="W489" s="318"/>
      <c r="AE489" s="321"/>
      <c r="BS489" s="314"/>
      <c r="BT489" s="314"/>
      <c r="BZ489" s="314"/>
      <c r="CA489" s="314"/>
      <c r="CF489" s="314"/>
      <c r="CG489" s="314"/>
      <c r="CM489" s="314"/>
      <c r="CN489" s="314"/>
      <c r="CS489" s="314"/>
      <c r="CT489" s="314"/>
      <c r="CX489" s="318"/>
      <c r="CY489" s="314"/>
      <c r="CZ489" s="314"/>
      <c r="DA489" s="314"/>
      <c r="DB489" s="318"/>
      <c r="DC489" s="314"/>
      <c r="DD489" s="314"/>
      <c r="DE489" s="314"/>
      <c r="DH489" s="314"/>
      <c r="DI489" s="314"/>
      <c r="DJ489" s="314"/>
      <c r="DK489" s="314"/>
      <c r="DL489" s="314"/>
      <c r="DM489" s="314"/>
      <c r="DN489" s="314"/>
      <c r="DO489" s="314"/>
      <c r="DP489" s="314"/>
      <c r="DQ489" s="314"/>
      <c r="DR489" s="314"/>
      <c r="DS489" s="314"/>
      <c r="DT489" s="314"/>
      <c r="DU489" s="314"/>
      <c r="DV489" s="314"/>
      <c r="DW489" s="314"/>
    </row>
    <row r="490" customFormat="false" ht="12.75" hidden="false" customHeight="false" outlineLevel="0" collapsed="false">
      <c r="R490" s="314"/>
      <c r="W490" s="318"/>
      <c r="AE490" s="321"/>
      <c r="BS490" s="314"/>
      <c r="BT490" s="314"/>
      <c r="BZ490" s="314"/>
      <c r="CA490" s="314"/>
      <c r="CF490" s="314"/>
      <c r="CG490" s="314"/>
      <c r="CM490" s="314"/>
      <c r="CN490" s="314"/>
      <c r="CS490" s="314"/>
      <c r="CT490" s="314"/>
      <c r="CX490" s="318"/>
      <c r="CY490" s="314"/>
      <c r="CZ490" s="314"/>
      <c r="DA490" s="314"/>
      <c r="DB490" s="318"/>
      <c r="DC490" s="314"/>
      <c r="DD490" s="314"/>
      <c r="DE490" s="314"/>
      <c r="DH490" s="314"/>
      <c r="DI490" s="314"/>
      <c r="DJ490" s="314"/>
      <c r="DK490" s="314"/>
      <c r="DL490" s="314"/>
      <c r="DM490" s="314"/>
      <c r="DN490" s="314"/>
      <c r="DO490" s="314"/>
      <c r="DP490" s="314"/>
      <c r="DQ490" s="314"/>
      <c r="DR490" s="314"/>
      <c r="DS490" s="314"/>
      <c r="DT490" s="314"/>
      <c r="DU490" s="314"/>
      <c r="DV490" s="314"/>
      <c r="DW490" s="314"/>
    </row>
    <row r="491" customFormat="false" ht="12.75" hidden="false" customHeight="false" outlineLevel="0" collapsed="false">
      <c r="R491" s="314"/>
      <c r="W491" s="318"/>
      <c r="AE491" s="321"/>
      <c r="BS491" s="314"/>
      <c r="BT491" s="314"/>
      <c r="BZ491" s="314"/>
      <c r="CA491" s="314"/>
      <c r="CF491" s="314"/>
      <c r="CG491" s="314"/>
      <c r="CM491" s="314"/>
      <c r="CN491" s="314"/>
      <c r="CS491" s="314"/>
      <c r="CT491" s="314"/>
      <c r="CX491" s="318"/>
      <c r="CY491" s="314"/>
      <c r="CZ491" s="314"/>
      <c r="DA491" s="314"/>
      <c r="DB491" s="318"/>
      <c r="DC491" s="314"/>
      <c r="DD491" s="314"/>
      <c r="DE491" s="314"/>
      <c r="DH491" s="314"/>
      <c r="DI491" s="314"/>
      <c r="DJ491" s="314"/>
      <c r="DK491" s="314"/>
      <c r="DL491" s="314"/>
      <c r="DM491" s="314"/>
      <c r="DN491" s="314"/>
      <c r="DO491" s="314"/>
      <c r="DP491" s="314"/>
      <c r="DQ491" s="314"/>
      <c r="DR491" s="314"/>
      <c r="DS491" s="314"/>
      <c r="DT491" s="314"/>
      <c r="DU491" s="314"/>
      <c r="DV491" s="314"/>
      <c r="DW491" s="314"/>
    </row>
    <row r="492" customFormat="false" ht="12.75" hidden="false" customHeight="false" outlineLevel="0" collapsed="false">
      <c r="R492" s="314"/>
      <c r="W492" s="318"/>
      <c r="AE492" s="321"/>
      <c r="BS492" s="314"/>
      <c r="BT492" s="314"/>
      <c r="BZ492" s="314"/>
      <c r="CA492" s="314"/>
      <c r="CF492" s="314"/>
      <c r="CG492" s="314"/>
      <c r="CM492" s="314"/>
      <c r="CN492" s="314"/>
      <c r="CS492" s="314"/>
      <c r="CT492" s="314"/>
      <c r="CX492" s="318"/>
      <c r="CY492" s="314"/>
      <c r="CZ492" s="314"/>
      <c r="DA492" s="314"/>
      <c r="DB492" s="318"/>
      <c r="DC492" s="314"/>
      <c r="DD492" s="314"/>
      <c r="DE492" s="314"/>
      <c r="DH492" s="314"/>
      <c r="DI492" s="314"/>
      <c r="DJ492" s="314"/>
      <c r="DK492" s="314"/>
      <c r="DL492" s="314"/>
      <c r="DM492" s="314"/>
      <c r="DN492" s="314"/>
      <c r="DO492" s="314"/>
      <c r="DP492" s="314"/>
      <c r="DQ492" s="314"/>
      <c r="DR492" s="314"/>
      <c r="DS492" s="314"/>
      <c r="DT492" s="314"/>
      <c r="DU492" s="314"/>
      <c r="DV492" s="314"/>
      <c r="DW492" s="314"/>
    </row>
    <row r="493" customFormat="false" ht="12.75" hidden="false" customHeight="false" outlineLevel="0" collapsed="false">
      <c r="R493" s="314"/>
      <c r="W493" s="318"/>
      <c r="AE493" s="321"/>
      <c r="BS493" s="314"/>
      <c r="BT493" s="314"/>
      <c r="BZ493" s="314"/>
      <c r="CA493" s="314"/>
      <c r="CF493" s="314"/>
      <c r="CG493" s="314"/>
      <c r="CM493" s="314"/>
      <c r="CN493" s="314"/>
      <c r="CS493" s="314"/>
      <c r="CT493" s="314"/>
      <c r="CX493" s="318"/>
      <c r="CY493" s="314"/>
      <c r="CZ493" s="314"/>
      <c r="DA493" s="314"/>
      <c r="DB493" s="318"/>
      <c r="DC493" s="314"/>
      <c r="DD493" s="314"/>
      <c r="DE493" s="314"/>
      <c r="DH493" s="314"/>
      <c r="DI493" s="314"/>
      <c r="DJ493" s="314"/>
      <c r="DK493" s="314"/>
      <c r="DL493" s="314"/>
      <c r="DM493" s="314"/>
      <c r="DN493" s="314"/>
      <c r="DO493" s="314"/>
      <c r="DP493" s="314"/>
      <c r="DQ493" s="314"/>
      <c r="DR493" s="314"/>
      <c r="DS493" s="314"/>
      <c r="DT493" s="314"/>
      <c r="DU493" s="314"/>
      <c r="DV493" s="314"/>
      <c r="DW493" s="314"/>
    </row>
    <row r="494" customFormat="false" ht="12.75" hidden="false" customHeight="false" outlineLevel="0" collapsed="false">
      <c r="R494" s="314"/>
      <c r="W494" s="318"/>
      <c r="AE494" s="321"/>
      <c r="BS494" s="314"/>
      <c r="BT494" s="314"/>
      <c r="BZ494" s="314"/>
      <c r="CA494" s="314"/>
      <c r="CF494" s="314"/>
      <c r="CG494" s="314"/>
      <c r="CM494" s="314"/>
      <c r="CN494" s="314"/>
      <c r="CS494" s="314"/>
      <c r="CT494" s="314"/>
      <c r="CX494" s="318"/>
      <c r="CY494" s="314"/>
      <c r="CZ494" s="314"/>
      <c r="DA494" s="314"/>
      <c r="DB494" s="318"/>
      <c r="DC494" s="314"/>
      <c r="DD494" s="314"/>
      <c r="DE494" s="314"/>
      <c r="DH494" s="314"/>
      <c r="DI494" s="314"/>
      <c r="DJ494" s="314"/>
      <c r="DK494" s="314"/>
      <c r="DL494" s="314"/>
      <c r="DM494" s="314"/>
      <c r="DN494" s="314"/>
      <c r="DO494" s="314"/>
      <c r="DP494" s="314"/>
      <c r="DQ494" s="314"/>
      <c r="DR494" s="314"/>
      <c r="DS494" s="314"/>
      <c r="DT494" s="314"/>
      <c r="DU494" s="314"/>
      <c r="DV494" s="314"/>
      <c r="DW494" s="314"/>
    </row>
    <row r="495" customFormat="false" ht="12.75" hidden="false" customHeight="false" outlineLevel="0" collapsed="false">
      <c r="R495" s="314"/>
      <c r="W495" s="318"/>
      <c r="AE495" s="321"/>
      <c r="BS495" s="314"/>
      <c r="BT495" s="314"/>
      <c r="BZ495" s="314"/>
      <c r="CA495" s="314"/>
      <c r="CF495" s="314"/>
      <c r="CG495" s="314"/>
      <c r="CM495" s="314"/>
      <c r="CN495" s="314"/>
      <c r="CS495" s="314"/>
      <c r="CT495" s="314"/>
      <c r="CX495" s="318"/>
      <c r="CY495" s="314"/>
      <c r="CZ495" s="314"/>
      <c r="DA495" s="314"/>
      <c r="DB495" s="318"/>
      <c r="DC495" s="314"/>
      <c r="DD495" s="314"/>
      <c r="DE495" s="314"/>
      <c r="DH495" s="314"/>
      <c r="DI495" s="314"/>
      <c r="DJ495" s="314"/>
      <c r="DK495" s="314"/>
      <c r="DL495" s="314"/>
      <c r="DM495" s="314"/>
      <c r="DN495" s="314"/>
      <c r="DO495" s="314"/>
      <c r="DP495" s="314"/>
      <c r="DQ495" s="314"/>
      <c r="DR495" s="314"/>
      <c r="DS495" s="314"/>
      <c r="DT495" s="314"/>
      <c r="DU495" s="314"/>
      <c r="DV495" s="314"/>
      <c r="DW495" s="314"/>
    </row>
    <row r="496" customFormat="false" ht="12.75" hidden="false" customHeight="false" outlineLevel="0" collapsed="false">
      <c r="R496" s="314"/>
      <c r="W496" s="318"/>
      <c r="AE496" s="321"/>
      <c r="BS496" s="314"/>
      <c r="BT496" s="314"/>
      <c r="BZ496" s="314"/>
      <c r="CA496" s="314"/>
      <c r="CF496" s="314"/>
      <c r="CG496" s="314"/>
      <c r="CM496" s="314"/>
      <c r="CN496" s="314"/>
      <c r="CS496" s="314"/>
      <c r="CT496" s="314"/>
      <c r="CX496" s="318"/>
      <c r="CY496" s="314"/>
      <c r="CZ496" s="314"/>
      <c r="DA496" s="314"/>
      <c r="DB496" s="318"/>
      <c r="DC496" s="314"/>
      <c r="DD496" s="314"/>
      <c r="DE496" s="314"/>
      <c r="DH496" s="314"/>
      <c r="DI496" s="314"/>
      <c r="DJ496" s="314"/>
      <c r="DK496" s="314"/>
      <c r="DL496" s="314"/>
      <c r="DM496" s="314"/>
      <c r="DN496" s="314"/>
      <c r="DO496" s="314"/>
      <c r="DP496" s="314"/>
      <c r="DQ496" s="314"/>
      <c r="DR496" s="314"/>
      <c r="DS496" s="314"/>
      <c r="DT496" s="314"/>
      <c r="DU496" s="314"/>
      <c r="DV496" s="314"/>
      <c r="DW496" s="314"/>
    </row>
    <row r="497" customFormat="false" ht="12.75" hidden="false" customHeight="false" outlineLevel="0" collapsed="false">
      <c r="R497" s="314"/>
      <c r="W497" s="318"/>
      <c r="AE497" s="321"/>
      <c r="BS497" s="314"/>
      <c r="BT497" s="314"/>
      <c r="BZ497" s="314"/>
      <c r="CA497" s="314"/>
      <c r="CF497" s="314"/>
      <c r="CG497" s="314"/>
      <c r="CM497" s="314"/>
      <c r="CN497" s="314"/>
      <c r="CS497" s="314"/>
      <c r="CT497" s="314"/>
      <c r="CX497" s="318"/>
      <c r="CY497" s="314"/>
      <c r="CZ497" s="314"/>
      <c r="DA497" s="314"/>
      <c r="DB497" s="318"/>
      <c r="DC497" s="314"/>
      <c r="DD497" s="314"/>
      <c r="DE497" s="314"/>
      <c r="DH497" s="314"/>
      <c r="DI497" s="314"/>
      <c r="DJ497" s="314"/>
      <c r="DK497" s="314"/>
      <c r="DL497" s="314"/>
      <c r="DM497" s="314"/>
      <c r="DN497" s="314"/>
      <c r="DO497" s="314"/>
      <c r="DP497" s="314"/>
      <c r="DQ497" s="314"/>
      <c r="DR497" s="314"/>
      <c r="DS497" s="314"/>
      <c r="DT497" s="314"/>
      <c r="DU497" s="314"/>
      <c r="DV497" s="314"/>
      <c r="DW497" s="314"/>
    </row>
    <row r="498" customFormat="false" ht="12.75" hidden="false" customHeight="false" outlineLevel="0" collapsed="false">
      <c r="R498" s="314"/>
      <c r="W498" s="318"/>
      <c r="AE498" s="321"/>
      <c r="BS498" s="314"/>
      <c r="BT498" s="314"/>
      <c r="BZ498" s="314"/>
      <c r="CA498" s="314"/>
      <c r="CF498" s="314"/>
      <c r="CG498" s="314"/>
      <c r="CM498" s="314"/>
      <c r="CN498" s="314"/>
      <c r="CS498" s="314"/>
      <c r="CT498" s="314"/>
      <c r="CX498" s="318"/>
      <c r="CY498" s="314"/>
      <c r="CZ498" s="314"/>
      <c r="DA498" s="314"/>
      <c r="DB498" s="318"/>
      <c r="DC498" s="314"/>
      <c r="DD498" s="314"/>
      <c r="DE498" s="314"/>
      <c r="DH498" s="314"/>
      <c r="DI498" s="314"/>
      <c r="DJ498" s="314"/>
      <c r="DK498" s="314"/>
      <c r="DL498" s="314"/>
      <c r="DM498" s="314"/>
      <c r="DN498" s="314"/>
      <c r="DO498" s="314"/>
      <c r="DP498" s="314"/>
      <c r="DQ498" s="314"/>
      <c r="DR498" s="314"/>
      <c r="DS498" s="314"/>
      <c r="DT498" s="314"/>
      <c r="DU498" s="314"/>
      <c r="DV498" s="314"/>
      <c r="DW498" s="314"/>
    </row>
    <row r="499" customFormat="false" ht="12.75" hidden="false" customHeight="false" outlineLevel="0" collapsed="false">
      <c r="R499" s="314"/>
      <c r="W499" s="318"/>
      <c r="AE499" s="321"/>
      <c r="BS499" s="314"/>
      <c r="BT499" s="314"/>
      <c r="BZ499" s="314"/>
      <c r="CA499" s="314"/>
      <c r="CF499" s="314"/>
      <c r="CG499" s="314"/>
      <c r="CM499" s="314"/>
      <c r="CN499" s="314"/>
      <c r="CS499" s="314"/>
      <c r="CT499" s="314"/>
      <c r="CX499" s="318"/>
      <c r="CY499" s="314"/>
      <c r="CZ499" s="314"/>
      <c r="DA499" s="314"/>
      <c r="DB499" s="318"/>
      <c r="DC499" s="314"/>
      <c r="DD499" s="314"/>
      <c r="DE499" s="314"/>
      <c r="DH499" s="314"/>
      <c r="DI499" s="314"/>
      <c r="DJ499" s="314"/>
      <c r="DK499" s="314"/>
      <c r="DL499" s="314"/>
      <c r="DM499" s="314"/>
      <c r="DN499" s="314"/>
      <c r="DO499" s="314"/>
      <c r="DP499" s="314"/>
      <c r="DQ499" s="314"/>
      <c r="DR499" s="314"/>
      <c r="DS499" s="314"/>
      <c r="DT499" s="314"/>
      <c r="DU499" s="314"/>
      <c r="DV499" s="314"/>
      <c r="DW499" s="314"/>
    </row>
    <row r="500" customFormat="false" ht="12.75" hidden="false" customHeight="false" outlineLevel="0" collapsed="false">
      <c r="R500" s="314"/>
      <c r="W500" s="318"/>
      <c r="AE500" s="321"/>
      <c r="BS500" s="314"/>
      <c r="BT500" s="314"/>
      <c r="BZ500" s="314"/>
      <c r="CA500" s="314"/>
      <c r="CF500" s="314"/>
      <c r="CG500" s="314"/>
      <c r="CM500" s="314"/>
      <c r="CN500" s="314"/>
      <c r="CS500" s="314"/>
      <c r="CT500" s="314"/>
      <c r="CX500" s="318"/>
      <c r="CY500" s="314"/>
      <c r="CZ500" s="314"/>
      <c r="DA500" s="314"/>
      <c r="DB500" s="318"/>
      <c r="DC500" s="314"/>
      <c r="DD500" s="314"/>
      <c r="DE500" s="314"/>
      <c r="DH500" s="314"/>
      <c r="DI500" s="314"/>
      <c r="DJ500" s="314"/>
      <c r="DK500" s="314"/>
      <c r="DL500" s="314"/>
      <c r="DM500" s="314"/>
      <c r="DN500" s="314"/>
      <c r="DO500" s="314"/>
      <c r="DP500" s="314"/>
      <c r="DQ500" s="314"/>
      <c r="DR500" s="314"/>
      <c r="DS500" s="314"/>
      <c r="DT500" s="314"/>
      <c r="DU500" s="314"/>
      <c r="DV500" s="314"/>
      <c r="DW500" s="314"/>
    </row>
    <row r="501" customFormat="false" ht="12.75" hidden="false" customHeight="false" outlineLevel="0" collapsed="false">
      <c r="R501" s="314"/>
      <c r="W501" s="318"/>
      <c r="AE501" s="321"/>
      <c r="BS501" s="314"/>
      <c r="BT501" s="314"/>
      <c r="BZ501" s="314"/>
      <c r="CA501" s="314"/>
      <c r="CF501" s="314"/>
      <c r="CG501" s="314"/>
      <c r="CM501" s="314"/>
      <c r="CN501" s="314"/>
      <c r="CS501" s="314"/>
      <c r="CT501" s="314"/>
      <c r="CX501" s="318"/>
      <c r="CY501" s="314"/>
      <c r="CZ501" s="314"/>
      <c r="DA501" s="314"/>
      <c r="DB501" s="318"/>
      <c r="DC501" s="314"/>
      <c r="DD501" s="314"/>
      <c r="DE501" s="314"/>
      <c r="DH501" s="314"/>
      <c r="DI501" s="314"/>
      <c r="DJ501" s="314"/>
      <c r="DK501" s="314"/>
      <c r="DL501" s="314"/>
      <c r="DM501" s="314"/>
      <c r="DN501" s="314"/>
      <c r="DO501" s="314"/>
      <c r="DP501" s="314"/>
      <c r="DQ501" s="314"/>
      <c r="DR501" s="314"/>
      <c r="DS501" s="314"/>
      <c r="DT501" s="314"/>
      <c r="DU501" s="314"/>
      <c r="DV501" s="314"/>
      <c r="DW501" s="314"/>
    </row>
    <row r="502" customFormat="false" ht="12.75" hidden="false" customHeight="false" outlineLevel="0" collapsed="false">
      <c r="R502" s="314"/>
      <c r="W502" s="318"/>
      <c r="AE502" s="321"/>
      <c r="BS502" s="314"/>
      <c r="BT502" s="314"/>
      <c r="BZ502" s="314"/>
      <c r="CA502" s="314"/>
      <c r="CF502" s="314"/>
      <c r="CG502" s="314"/>
      <c r="CM502" s="314"/>
      <c r="CN502" s="314"/>
      <c r="CS502" s="314"/>
      <c r="CT502" s="314"/>
      <c r="CX502" s="318"/>
      <c r="CY502" s="314"/>
      <c r="CZ502" s="314"/>
      <c r="DA502" s="314"/>
      <c r="DB502" s="318"/>
      <c r="DC502" s="314"/>
      <c r="DD502" s="314"/>
      <c r="DE502" s="314"/>
      <c r="DH502" s="314"/>
      <c r="DI502" s="314"/>
      <c r="DJ502" s="314"/>
      <c r="DK502" s="314"/>
      <c r="DL502" s="314"/>
      <c r="DM502" s="314"/>
      <c r="DN502" s="314"/>
      <c r="DO502" s="314"/>
      <c r="DP502" s="314"/>
      <c r="DQ502" s="314"/>
      <c r="DR502" s="314"/>
      <c r="DS502" s="314"/>
      <c r="DT502" s="314"/>
      <c r="DU502" s="314"/>
      <c r="DV502" s="314"/>
      <c r="DW502" s="314"/>
    </row>
    <row r="503" customFormat="false" ht="12.75" hidden="false" customHeight="false" outlineLevel="0" collapsed="false">
      <c r="R503" s="314"/>
      <c r="W503" s="318"/>
      <c r="AE503" s="321"/>
      <c r="BS503" s="314"/>
      <c r="BT503" s="314"/>
      <c r="BZ503" s="314"/>
      <c r="CA503" s="314"/>
      <c r="CF503" s="314"/>
      <c r="CG503" s="314"/>
      <c r="CM503" s="314"/>
      <c r="CN503" s="314"/>
      <c r="CS503" s="314"/>
      <c r="CT503" s="314"/>
      <c r="CX503" s="318"/>
      <c r="CY503" s="314"/>
      <c r="CZ503" s="314"/>
      <c r="DA503" s="314"/>
      <c r="DB503" s="318"/>
      <c r="DC503" s="314"/>
      <c r="DD503" s="314"/>
      <c r="DE503" s="314"/>
      <c r="DH503" s="314"/>
      <c r="DI503" s="314"/>
      <c r="DJ503" s="314"/>
      <c r="DK503" s="314"/>
      <c r="DL503" s="314"/>
      <c r="DM503" s="314"/>
      <c r="DN503" s="314"/>
      <c r="DO503" s="314"/>
      <c r="DP503" s="314"/>
      <c r="DQ503" s="314"/>
      <c r="DR503" s="314"/>
      <c r="DS503" s="314"/>
      <c r="DT503" s="314"/>
      <c r="DU503" s="314"/>
      <c r="DV503" s="314"/>
      <c r="DW503" s="314"/>
    </row>
    <row r="504" customFormat="false" ht="12.75" hidden="false" customHeight="false" outlineLevel="0" collapsed="false">
      <c r="R504" s="314"/>
      <c r="W504" s="318"/>
      <c r="AE504" s="321"/>
      <c r="BS504" s="314"/>
      <c r="BT504" s="314"/>
      <c r="BZ504" s="314"/>
      <c r="CA504" s="314"/>
      <c r="CF504" s="314"/>
      <c r="CG504" s="314"/>
      <c r="CM504" s="314"/>
      <c r="CN504" s="314"/>
      <c r="CS504" s="314"/>
      <c r="CT504" s="314"/>
      <c r="CX504" s="318"/>
      <c r="CY504" s="314"/>
      <c r="CZ504" s="314"/>
      <c r="DA504" s="314"/>
      <c r="DB504" s="318"/>
      <c r="DC504" s="314"/>
      <c r="DD504" s="314"/>
      <c r="DE504" s="314"/>
      <c r="DH504" s="314"/>
      <c r="DI504" s="314"/>
      <c r="DJ504" s="314"/>
      <c r="DK504" s="314"/>
      <c r="DL504" s="314"/>
      <c r="DM504" s="314"/>
      <c r="DN504" s="314"/>
      <c r="DO504" s="314"/>
      <c r="DP504" s="314"/>
      <c r="DQ504" s="314"/>
      <c r="DR504" s="314"/>
      <c r="DS504" s="314"/>
      <c r="DT504" s="314"/>
      <c r="DU504" s="314"/>
      <c r="DV504" s="314"/>
      <c r="DW504" s="314"/>
    </row>
  </sheetData>
  <mergeCells count="71">
    <mergeCell ref="P1:Q1"/>
    <mergeCell ref="R1:T1"/>
    <mergeCell ref="U1:V1"/>
    <mergeCell ref="W1:AD1"/>
    <mergeCell ref="AG1:AK1"/>
    <mergeCell ref="AL1:BA1"/>
    <mergeCell ref="BB1:BQ1"/>
    <mergeCell ref="BS1:BY1"/>
    <mergeCell ref="BZ1:CE1"/>
    <mergeCell ref="CF1:CL1"/>
    <mergeCell ref="CM1:CR1"/>
    <mergeCell ref="CS1:CW1"/>
    <mergeCell ref="CX1:DA1"/>
    <mergeCell ref="DB1:DE1"/>
    <mergeCell ref="DH1:DK1"/>
    <mergeCell ref="DL1:DO1"/>
    <mergeCell ref="DP1:DS1"/>
    <mergeCell ref="DT1:DW1"/>
    <mergeCell ref="A2:G2"/>
    <mergeCell ref="P2:Q2"/>
    <mergeCell ref="U2:V2"/>
    <mergeCell ref="Y2:AD2"/>
    <mergeCell ref="AH2:AI2"/>
    <mergeCell ref="AJ2:AK2"/>
    <mergeCell ref="AM2:AN2"/>
    <mergeCell ref="AO2:AQ2"/>
    <mergeCell ref="AR2:AV2"/>
    <mergeCell ref="AW2:BA2"/>
    <mergeCell ref="BC2:BD2"/>
    <mergeCell ref="BE2:BG2"/>
    <mergeCell ref="BH2:BL2"/>
    <mergeCell ref="BM2:BQ2"/>
    <mergeCell ref="BS2:BU2"/>
    <mergeCell ref="BW2:BY2"/>
    <mergeCell ref="BZ2:CB2"/>
    <mergeCell ref="CC2:CE2"/>
    <mergeCell ref="CF2:CH2"/>
    <mergeCell ref="CJ2:CL2"/>
    <mergeCell ref="CM2:CO2"/>
    <mergeCell ref="CP2:CR2"/>
    <mergeCell ref="CS2:CU2"/>
    <mergeCell ref="CV2:CW2"/>
    <mergeCell ref="CX2:CY2"/>
    <mergeCell ref="CZ2:DA2"/>
    <mergeCell ref="DB2:DC2"/>
    <mergeCell ref="DD2:DE2"/>
    <mergeCell ref="DH2:DI2"/>
    <mergeCell ref="DJ2:DK2"/>
    <mergeCell ref="DL2:DM2"/>
    <mergeCell ref="DN2:DO2"/>
    <mergeCell ref="DP2:DQ2"/>
    <mergeCell ref="DR2:DS2"/>
    <mergeCell ref="DT2:DU2"/>
    <mergeCell ref="DV2:DW2"/>
    <mergeCell ref="B3:D3"/>
    <mergeCell ref="E3:G3"/>
    <mergeCell ref="P3:Q3"/>
    <mergeCell ref="U3:V3"/>
    <mergeCell ref="Y3:AA3"/>
    <mergeCell ref="AB3:AD3"/>
    <mergeCell ref="BS3:BT3"/>
    <mergeCell ref="BZ3:CA3"/>
    <mergeCell ref="CF3:CG3"/>
    <mergeCell ref="CM3:CN3"/>
    <mergeCell ref="CS3:CT3"/>
    <mergeCell ref="DY8:EF8"/>
    <mergeCell ref="DZ9:ED9"/>
    <mergeCell ref="EE9:EF9"/>
    <mergeCell ref="DZ10:EA10"/>
    <mergeCell ref="EB10:EC10"/>
    <mergeCell ref="DY32:EC32"/>
  </mergeCells>
  <printOptions headings="false" gridLines="false" gridLinesSet="true" horizontalCentered="true" verticalCentered="tru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494">
              <controlPr defaultSize="0" print="true" autoFill="0" autoPict="0" macro="xls.SavingMacros.SaveProductSpreadTable">
                <anchor moveWithCells="true" sizeWithCells="false">
                  <from>
                    <xdr:col>128</xdr:col>
                    <xdr:colOff>61920</xdr:colOff>
                    <xdr:row>4</xdr:row>
                    <xdr:rowOff>66960</xdr:rowOff>
                  </from>
                  <to>
                    <xdr:col>135</xdr:col>
                    <xdr:colOff>539640</xdr:colOff>
                    <xdr:row>6</xdr:row>
                    <xdr:rowOff>104760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495">
              <controlPr defaultSize="0" print="true" autoFill="0" autoPict="0" macro="xls.SavingMacros.SaveResidSpreadTable">
                <anchor moveWithCells="true" sizeWithCells="false">
                  <from>
                    <xdr:col>128</xdr:col>
                    <xdr:colOff>30960</xdr:colOff>
                    <xdr:row>29</xdr:row>
                    <xdr:rowOff>19080</xdr:rowOff>
                  </from>
                  <to>
                    <xdr:col>132</xdr:col>
                    <xdr:colOff>634680</xdr:colOff>
                    <xdr:row>30</xdr:row>
                    <xdr:rowOff>133200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1998-04-10T16:47:46Z</dcterms:created>
  <dc:creator>pzadoro</dc:creator>
  <dc:description/>
  <dc:language>en-US</dc:language>
  <cp:lastModifiedBy>Anthony O. Sexton</cp:lastModifiedBy>
  <cp:lastPrinted>1998-09-02T13:40:30Z</cp:lastPrinted>
  <dcterms:modified xsi:type="dcterms:W3CDTF">2001-03-05T14:28:35Z</dcterms:modified>
  <cp:revision>0</cp:revision>
  <dc:subject/>
  <dc:title/>
</cp:coreProperties>
</file>