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12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_rels/sheet18.xml.rels" ContentType="application/vnd.openxmlformats-package.relationships+xml"/>
  <Override PartName="/xl/worksheets/_rels/sheet20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0.xml.rels" ContentType="application/vnd.openxmlformats-package.relationships+xml"/>
  <Override PartName="/xl/worksheets/_rels/sheet22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14.xml.rels" ContentType="application/vnd.openxmlformats-package.relationships+xml"/>
  <Override PartName="/xl/worksheets/_rels/sheet13.xml.rels" ContentType="application/vnd.openxmlformats-package.relationships+xml"/>
  <Override PartName="/xl/worksheets/_rels/sheet3.xml.rels" ContentType="application/vnd.openxmlformats-package.relationships+xml"/>
  <Override PartName="/xl/worksheets/_rels/sheet21.xml.rels" ContentType="application/vnd.openxmlformats-package.relationships+xml"/>
  <Override PartName="/xl/worksheets/_rels/sheet19.xml.rels" ContentType="application/vnd.openxmlformats-package.relationships+xml"/>
  <Override PartName="/xl/worksheets/_rels/sheet2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2.xml" ContentType="application/vnd.openxmlformats-officedocument.spreadsheetml.comments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9.xml" ContentType="application/vnd.openxmlformats-officedocument.drawing+xml"/>
  <Override PartName="/xl/drawings/drawing18.xml" ContentType="application/vnd.openxmlformats-officedocument.drawing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9.xml" ContentType="application/vnd.openxmlformats-officedocument.drawing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6.xml" ContentType="application/vnd.openxmlformats-officedocument.drawing+xml"/>
  <Override PartName="/xl/drawings/drawing7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1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ex Pricing" sheetId="1" state="visible" r:id="rId3"/>
    <sheet name="Independent Summary" sheetId="2" state="visible" r:id="rId4"/>
    <sheet name="Independent Detail" sheetId="3" state="visible" r:id="rId5"/>
    <sheet name="Kennedy Summary" sheetId="4" state="visible" r:id="rId6"/>
    <sheet name="Box Draw Detail" sheetId="5" state="visible" r:id="rId7"/>
    <sheet name="S Kitty Detail" sheetId="6" state="visible" r:id="rId8"/>
    <sheet name="Internal Kennedy Total" sheetId="7" state="visible" r:id="rId9"/>
    <sheet name="Kennedy Gas Daily Pricing" sheetId="8" state="visible" r:id="rId10"/>
    <sheet name="MTG Summary" sheetId="9" state="visible" r:id="rId11"/>
    <sheet name="MTG Detail" sheetId="10" state="visible" r:id="rId12"/>
    <sheet name="Phillips Summary" sheetId="11" state="visible" r:id="rId13"/>
    <sheet name="Phillips Detail" sheetId="12" state="visible" r:id="rId14"/>
    <sheet name="Internal Phillips Combined" sheetId="13" state="visible" r:id="rId15"/>
    <sheet name="Quantum Summary" sheetId="14" state="visible" r:id="rId16"/>
    <sheet name="Quantum Detail" sheetId="15" state="visible" r:id="rId17"/>
    <sheet name="Wellstar Summary" sheetId="16" state="visible" r:id="rId18"/>
    <sheet name="Wellstar Detail" sheetId="17" state="visible" r:id="rId19"/>
    <sheet name="North Finn Summary" sheetId="18" state="visible" r:id="rId20"/>
    <sheet name="North Finn Detail" sheetId="19" state="visible" r:id="rId21"/>
    <sheet name="Citation Summary" sheetId="20" state="visible" r:id="rId22"/>
    <sheet name="Citation Detail" sheetId="21" state="visible" r:id="rId23"/>
    <sheet name="Internal Xfer Summary" sheetId="22" state="visible" r:id="rId24"/>
  </sheets>
  <externalReferences>
    <externalReference r:id="rId25"/>
  </externalReferences>
  <definedNames>
    <definedName function="false" hidden="false" localSheetId="4" name="_xlnm.Print_Area" vbProcedure="false">'Box Draw Detail'!$A$1:$W$60</definedName>
    <definedName function="false" hidden="false" localSheetId="20" name="_xlnm.Print_Area" vbProcedure="false">'Citation Detail'!$A$1:$I$56</definedName>
    <definedName function="false" hidden="false" localSheetId="2" name="_xlnm.Print_Area" vbProcedure="false">'Independent Detail'!$A$1:$P$54</definedName>
    <definedName function="false" hidden="false" localSheetId="1" name="_xlnm.Print_Area" vbProcedure="false">'Independent Summary'!$A$1:$G$46</definedName>
    <definedName function="false" hidden="false" localSheetId="6" name="_xlnm.Print_Area" vbProcedure="false">'Internal Kennedy Total'!$A$1:$S$53</definedName>
    <definedName function="false" hidden="false" localSheetId="12" name="_xlnm.Print_Area" vbProcedure="false">'Internal Phillips Combined'!$A$1:$H$49</definedName>
    <definedName function="false" hidden="false" localSheetId="21" name="_xlnm.Print_Area" vbProcedure="false">'Internal Xfer Summary'!$A$1:$Q$64</definedName>
    <definedName function="false" hidden="false" localSheetId="3" name="_xlnm.Print_Area" vbProcedure="false">'Kennedy Summary'!$A$1:$I$44</definedName>
    <definedName function="false" hidden="false" localSheetId="8" name="_xlnm.Print_Area" vbProcedure="false">'MTG Summary'!$A$1:$H$42</definedName>
    <definedName function="false" hidden="false" localSheetId="11" name="_xlnm.Print_Area" vbProcedure="false">'Phillips Detail'!$A$1:$U$54</definedName>
    <definedName function="false" hidden="false" localSheetId="10" name="_xlnm.Print_Area" vbProcedure="false">'Phillips Summary'!$A$1:$G$41</definedName>
    <definedName function="false" hidden="false" localSheetId="5" name="_xlnm.Print_Area" vbProcedure="false">'S Kitty Detail'!$A$1:$W$61</definedName>
    <definedName function="false" hidden="false" localSheetId="15" name="_xlnm.Print_Area" vbProcedure="false">'Wellstar Summary'!$A$1:$H$38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13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This is the $ amount recovered through netback for Kennedy
FOR PMA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31</xdr:colOff>
                <xdr:row>11</xdr:row>
                <xdr:rowOff>24</xdr:rowOff>
              </xdr:from>
              <xdr:to>
                <xdr:col>24</xdr:col>
                <xdr:colOff>54</xdr:colOff>
                <xdr:row>15</xdr:row>
                <xdr:rowOff>11</xdr:rowOff>
              </xdr:to>
            </anchor>
          </commentPr>
        </mc:Choice>
        <mc:Fallback/>
      </mc:AlternateContent>
    </comment>
    <comment ref="Y30" authorId="0">
      <text>
        <r>
          <rPr>
            <b val="true"/>
            <sz val="8"/>
            <color rgb="FF000000"/>
            <rFont val="Tahoma"/>
            <family val="0"/>
          </rPr>
          <t xml:space="preserve">Scott Sitter:
</t>
        </r>
        <r>
          <rPr>
            <sz val="8"/>
            <color rgb="FF000000"/>
            <rFont val="Tahoma"/>
            <family val="0"/>
          </rPr>
          <t xml:space="preserve">.14 vs .145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31</xdr:colOff>
                <xdr:row>27</xdr:row>
                <xdr:rowOff>8</xdr:rowOff>
              </xdr:from>
              <xdr:to>
                <xdr:col>24</xdr:col>
                <xdr:colOff>58</xdr:colOff>
                <xdr:row>31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<sst xmlns="http://schemas.openxmlformats.org/spreadsheetml/2006/main" count="997" uniqueCount="424">
  <si>
    <t xml:space="preserve">IF CIG Rockies</t>
  </si>
  <si>
    <t xml:space="preserve">Medicine Bow Fuel Rate:</t>
  </si>
  <si>
    <t xml:space="preserve">Ft. Union Fuel Rate:</t>
  </si>
  <si>
    <t xml:space="preserve">IF NGPL Midcont.</t>
  </si>
  <si>
    <t xml:space="preserve">Effective Date:</t>
  </si>
  <si>
    <t xml:space="preserve">CIG Gas Daily</t>
  </si>
  <si>
    <t xml:space="preserve">Bill To:  </t>
  </si>
  <si>
    <t xml:space="preserve">Remit To:</t>
  </si>
  <si>
    <t xml:space="preserve">Verification Date: </t>
  </si>
  <si>
    <t xml:space="preserve">Enron North America Corp.</t>
  </si>
  <si>
    <t xml:space="preserve">Independent Production Company, Inc.</t>
  </si>
  <si>
    <t xml:space="preserve">Bank: U.S. Bank National Association</t>
  </si>
  <si>
    <t xml:space="preserve">ABA:  102000021</t>
  </si>
  <si>
    <t xml:space="preserve">Due Date:</t>
  </si>
  <si>
    <t xml:space="preserve">Acct:  103655778514</t>
  </si>
  <si>
    <t xml:space="preserve">Contact:  Cheryl Robacker</t>
  </si>
  <si>
    <t xml:space="preserve">Tel:  (303) 595-8829 X27</t>
  </si>
  <si>
    <t xml:space="preserve">Payment Method:</t>
  </si>
  <si>
    <t xml:space="preserve">Contact:  Theresa Staab</t>
  </si>
  <si>
    <t xml:space="preserve">Wire</t>
  </si>
  <si>
    <t xml:space="preserve">Tel:  (303) 575-6485</t>
  </si>
  <si>
    <t xml:space="preserve">Terms:</t>
  </si>
  <si>
    <t xml:space="preserve">Fax: (303) 534-0552</t>
  </si>
  <si>
    <t xml:space="preserve">Fax: (303) 595-3653</t>
  </si>
  <si>
    <t xml:space="preserve">25th of month following production</t>
  </si>
  <si>
    <t xml:space="preserve">Delivery Period: </t>
  </si>
  <si>
    <t xml:space="preserve">Contract #</t>
  </si>
  <si>
    <t xml:space="preserve">Meter # / Meter Name</t>
  </si>
  <si>
    <t xml:space="preserve">0814015-Independent 47N73WSec.9</t>
  </si>
  <si>
    <t xml:space="preserve">Index</t>
  </si>
  <si>
    <t xml:space="preserve">Discount / Premium</t>
  </si>
  <si>
    <t xml:space="preserve">Price/MMBtu</t>
  </si>
  <si>
    <t xml:space="preserve">Mcf Quantity</t>
  </si>
  <si>
    <t xml:space="preserve">MMBtu Quantity</t>
  </si>
  <si>
    <t xml:space="preserve">Amount Due</t>
  </si>
  <si>
    <t xml:space="preserve">11/01/01 - 11/30/01</t>
  </si>
  <si>
    <t xml:space="preserve">CIG GD</t>
  </si>
  <si>
    <t xml:space="preserve">IF NGPL-Midcont.</t>
  </si>
  <si>
    <t xml:space="preserve">IF CIG - Rockies</t>
  </si>
  <si>
    <t xml:space="preserve">Fuel Loss</t>
  </si>
  <si>
    <t xml:space="preserve">$             0.00</t>
  </si>
  <si>
    <t xml:space="preserve">$                                        0.00</t>
  </si>
  <si>
    <t xml:space="preserve">Total</t>
  </si>
  <si>
    <t xml:space="preserve">Hanover Compression Charges</t>
  </si>
  <si>
    <t xml:space="preserve">Field Services Fee</t>
  </si>
  <si>
    <t xml:space="preserve">Prior Month Adjustments</t>
  </si>
  <si>
    <t xml:space="preserve">Adjustment</t>
  </si>
  <si>
    <t xml:space="preserve">TOTAL PAYMENT</t>
  </si>
  <si>
    <t xml:space="preserve">Independent</t>
  </si>
  <si>
    <t xml:space="preserve">Contact:</t>
  </si>
  <si>
    <t xml:space="preserve">Cheryl Robaker</t>
  </si>
  <si>
    <t xml:space="preserve">Enron North America</t>
  </si>
  <si>
    <t xml:space="preserve">PH:</t>
  </si>
  <si>
    <t xml:space="preserve">303-595-8829</t>
  </si>
  <si>
    <t xml:space="preserve">FAX:</t>
  </si>
  <si>
    <t xml:space="preserve">303-595-3653</t>
  </si>
  <si>
    <t xml:space="preserve">Theresa Staab</t>
  </si>
  <si>
    <t xml:space="preserve">303-575-6485</t>
  </si>
  <si>
    <t xml:space="preserve">Btu factor:</t>
  </si>
  <si>
    <t xml:space="preserve">Transportation</t>
  </si>
  <si>
    <t xml:space="preserve">per Mcf</t>
  </si>
  <si>
    <t xml:space="preserve">Index Discount/Premium</t>
  </si>
  <si>
    <t xml:space="preserve">Crestone Transport /Mmbtu</t>
  </si>
  <si>
    <t xml:space="preserve">WIC Xport</t>
  </si>
  <si>
    <t xml:space="preserve">Trailblazer Xport</t>
  </si>
  <si>
    <t xml:space="preserve">Trailblazer Fuel (0%*NGPL index)</t>
  </si>
  <si>
    <t xml:space="preserve">Total Receipts Fee Adjustment*</t>
  </si>
  <si>
    <t xml:space="preserve">Total Net Back</t>
  </si>
  <si>
    <t xml:space="preserve">Net Backs:</t>
  </si>
  <si>
    <t xml:space="preserve">Over 80% of Production</t>
  </si>
  <si>
    <t xml:space="preserve">CIG GD Volume MMBtu</t>
  </si>
  <si>
    <t xml:space="preserve">80% of Production up to 10,000/Day</t>
  </si>
  <si>
    <t xml:space="preserve">NGPL Volume MMBtu</t>
  </si>
  <si>
    <t xml:space="preserve">80% of Production Less 10,000/Day</t>
  </si>
  <si>
    <t xml:space="preserve">CIG Volume MMBtu</t>
  </si>
  <si>
    <t xml:space="preserve">Allocated Fuel MMBtu (max 6.5%)</t>
  </si>
  <si>
    <t xml:space="preserve">Total Production MMBtu</t>
  </si>
  <si>
    <t xml:space="preserve">$ CIG GD</t>
  </si>
  <si>
    <t xml:space="preserve">$ NGPL</t>
  </si>
  <si>
    <t xml:space="preserve">$ CIG</t>
  </si>
  <si>
    <t xml:space="preserve">Total Payment</t>
  </si>
  <si>
    <t xml:space="preserve">CIG GD Rockies</t>
  </si>
  <si>
    <t xml:space="preserve">CIG GD les Netback</t>
  </si>
  <si>
    <t xml:space="preserve">NGPL less Netback</t>
  </si>
  <si>
    <t xml:space="preserve">CIG less Netback</t>
  </si>
  <si>
    <t xml:space="preserve">actual fuel</t>
  </si>
  <si>
    <t xml:space="preserve">avg. $/Mmbtu</t>
  </si>
  <si>
    <t xml:space="preserve">*Total Receipts Fee Adjustment is calculated by applying the Field Services Fee to the fuel volume and then dividing that dollar amount(fee times fuel volume) by the volume purchased.</t>
  </si>
  <si>
    <t xml:space="preserve">Kennedy Oil</t>
  </si>
  <si>
    <t xml:space="preserve">Bank:  First Interstate Bank</t>
  </si>
  <si>
    <t xml:space="preserve">ABA:  102300129</t>
  </si>
  <si>
    <t xml:space="preserve">Acct:  362170342</t>
  </si>
  <si>
    <t xml:space="preserve">Contact:  Ruth Reile</t>
  </si>
  <si>
    <t xml:space="preserve">Tel:  (307) 682-8726</t>
  </si>
  <si>
    <t xml:space="preserve">Fax: (307) 682-6060</t>
  </si>
  <si>
    <t xml:space="preserve">Last Day of Month</t>
  </si>
  <si>
    <t xml:space="preserve">Net Volume Mmbtu</t>
  </si>
  <si>
    <t xml:space="preserve">WT. Average Price</t>
  </si>
  <si>
    <t xml:space="preserve">Box Draw </t>
  </si>
  <si>
    <t xml:space="preserve">South Kitty</t>
  </si>
  <si>
    <t xml:space="preserve">TOTAL</t>
  </si>
  <si>
    <t xml:space="preserve">FOM CIG GD Box Draw</t>
  </si>
  <si>
    <t xml:space="preserve">FOM IF NGPL-Midcont. Box Draw</t>
  </si>
  <si>
    <t xml:space="preserve">FOM IF CIG - Rockies Box Draw</t>
  </si>
  <si>
    <t xml:space="preserve">Add'l CIG GD +.10 - Box Draw</t>
  </si>
  <si>
    <t xml:space="preserve">Add'l CIG GD - Box Draw</t>
  </si>
  <si>
    <t xml:space="preserve">FOM CIG GD South Kitty</t>
  </si>
  <si>
    <t xml:space="preserve">FOM IF NGPL-Midcont. South Kitty</t>
  </si>
  <si>
    <t xml:space="preserve">FOM IF CIG - Rockies South Kitty</t>
  </si>
  <si>
    <t xml:space="preserve">Add'l CIG GD -South Kitty</t>
  </si>
  <si>
    <t xml:space="preserve">Add'l CIG GD +.10 - South Kitty</t>
  </si>
  <si>
    <t xml:space="preserve">Box Draw</t>
  </si>
  <si>
    <t xml:space="preserve">S. Kitty</t>
  </si>
  <si>
    <t xml:space="preserve">Kennedy</t>
  </si>
  <si>
    <t xml:space="preserve">Ruth Reile</t>
  </si>
  <si>
    <t xml:space="preserve">307-682-8726</t>
  </si>
  <si>
    <t xml:space="preserve">307-682-6060</t>
  </si>
  <si>
    <t xml:space="preserve">Inside FERC NGPL Midcont.:</t>
  </si>
  <si>
    <t xml:space="preserve">Inside FERC CIG:</t>
  </si>
  <si>
    <t xml:space="preserve">First of Month Nomination:</t>
  </si>
  <si>
    <t xml:space="preserve">MMBtu</t>
  </si>
  <si>
    <t xml:space="preserve">Additional Purchases:</t>
  </si>
  <si>
    <t xml:space="preserve">Wt. Avg. Btu:</t>
  </si>
  <si>
    <t xml:space="preserve">Nom.</t>
  </si>
  <si>
    <t xml:space="preserve">Pro rata Production</t>
  </si>
  <si>
    <t xml:space="preserve">Transportation/MMBtu</t>
  </si>
  <si>
    <t xml:space="preserve">Box Draw Net Backs:</t>
  </si>
  <si>
    <t xml:space="preserve">Crestone Transport/MMBtu</t>
  </si>
  <si>
    <t xml:space="preserve">Trailblazer Fuel (0%*NGPLindex)</t>
  </si>
  <si>
    <t xml:space="preserve">FOM Nom.</t>
  </si>
  <si>
    <t xml:space="preserve">Add'l Purchases</t>
  </si>
  <si>
    <t xml:space="preserve">See GD Pricing Sheet</t>
  </si>
  <si>
    <t xml:space="preserve">BOX DRAW</t>
  </si>
  <si>
    <t xml:space="preserve">Over 80% of FOM Nom.</t>
  </si>
  <si>
    <t xml:space="preserve">FOM CIG GD Volume MMBtu</t>
  </si>
  <si>
    <t xml:space="preserve">Box Draw (Less S. Kitty) 80% of FOM Nom. up to 12,000/Day</t>
  </si>
  <si>
    <t xml:space="preserve">80% of FOM Nom. Less 12,000/Day</t>
  </si>
  <si>
    <t xml:space="preserve">FOM CIG Volume MMBtu</t>
  </si>
  <si>
    <t xml:space="preserve">Additional CIG GD +.10 Purchases</t>
  </si>
  <si>
    <t xml:space="preserve">Add'l CIG GD + .10 Volume MMBtu</t>
  </si>
  <si>
    <t xml:space="preserve">Additional CIG GD - Daily Discount</t>
  </si>
  <si>
    <t xml:space="preserve">Add'l CIG GD - Daily Discount Volume MMBtu</t>
  </si>
  <si>
    <t xml:space="preserve"> Total Box Draw Allocated Fuel MMBtu</t>
  </si>
  <si>
    <t xml:space="preserve">Box Draw Wellhead Production MMBtu</t>
  </si>
  <si>
    <t xml:space="preserve">Total Purchased Production MMBtu</t>
  </si>
  <si>
    <t xml:space="preserve">Total Box Draw Payments by Pricing Package</t>
  </si>
  <si>
    <t xml:space="preserve">CIG GD less Netback</t>
  </si>
  <si>
    <t xml:space="preserve">$ FOM CIG GD</t>
  </si>
  <si>
    <t xml:space="preserve">$ FOM CIG</t>
  </si>
  <si>
    <t xml:space="preserve">$ Add'l CIG GD + .10</t>
  </si>
  <si>
    <t xml:space="preserve">$ Add'l CIG GD - Daily Discount</t>
  </si>
  <si>
    <t xml:space="preserve">Avg. $/Mmbtu:</t>
  </si>
  <si>
    <t xml:space="preserve">S. Kitty Net Backs:</t>
  </si>
  <si>
    <t xml:space="preserve">EMS Transport/MMBtu</t>
  </si>
  <si>
    <t xml:space="preserve"> Total South Kitty Allocated Fuel MMBtu</t>
  </si>
  <si>
    <t xml:space="preserve">Total South Kitty Production MMBtu</t>
  </si>
  <si>
    <t xml:space="preserve">Total South Kitty Payments by Pricing Package</t>
  </si>
  <si>
    <t xml:space="preserve">(7% Max to Maverick)</t>
  </si>
  <si>
    <t xml:space="preserve">FOR INTERNAL USE ONLY</t>
  </si>
  <si>
    <t xml:space="preserve">June NGPL Midcont.:</t>
  </si>
  <si>
    <t xml:space="preserve">June CIG:</t>
  </si>
  <si>
    <t xml:space="preserve">Pro-Rata Production</t>
  </si>
  <si>
    <t xml:space="preserve">per Mmbtu</t>
  </si>
  <si>
    <t xml:space="preserve">Additional Mcf @ CIG GD +.10</t>
  </si>
  <si>
    <t xml:space="preserve">Add'l CIG MMBtu</t>
  </si>
  <si>
    <t xml:space="preserve">Additional @ CIG GD -Daily Discount</t>
  </si>
  <si>
    <t xml:space="preserve">Add'l CIG GD MMBtu</t>
  </si>
  <si>
    <t xml:space="preserve">Box Draw net MMBtu</t>
  </si>
  <si>
    <t xml:space="preserve">South Kitty net MMBtu</t>
  </si>
  <si>
    <t xml:space="preserve">Total Purchased MMBtu</t>
  </si>
  <si>
    <t xml:space="preserve">Box Draw % of Total</t>
  </si>
  <si>
    <t xml:space="preserve">South Kitty % of Total</t>
  </si>
  <si>
    <t xml:space="preserve">Add'l CIG GD +.10 MMBtu</t>
  </si>
  <si>
    <t xml:space="preserve">Add'l CIG GD - Daily Discount MMBtu</t>
  </si>
  <si>
    <t xml:space="preserve">CIG GD Rockies ($/MMBtu)</t>
  </si>
  <si>
    <t xml:space="preserve">FOM CIG GD less Netback</t>
  </si>
  <si>
    <t xml:space="preserve">FOM CIG less Netback</t>
  </si>
  <si>
    <t xml:space="preserve">Add'l CIG less Netback</t>
  </si>
  <si>
    <t xml:space="preserve">Add'l CIG GD less Netback</t>
  </si>
  <si>
    <t xml:space="preserve">Weighted Average</t>
  </si>
  <si>
    <t xml:space="preserve">Total Weighted Average Netback</t>
  </si>
  <si>
    <t xml:space="preserve"> </t>
  </si>
  <si>
    <t xml:space="preserve">Gas Daily Pricing for October 2001</t>
  </si>
  <si>
    <t xml:space="preserve">Medicine Bow fuel =</t>
  </si>
  <si>
    <t xml:space="preserve">Medicine Bow expansion volumes @ GD + $0.10</t>
  </si>
  <si>
    <t xml:space="preserve">Gas Daily Discount on Swing Volumes</t>
  </si>
  <si>
    <t xml:space="preserve">@ Glenrock (MMBtu)</t>
  </si>
  <si>
    <t xml:space="preserve">@ Dull Knife (MMBtu)</t>
  </si>
  <si>
    <t xml:space="preserve">Copy to:</t>
  </si>
  <si>
    <t xml:space="preserve">MTG Operating Company</t>
  </si>
  <si>
    <t xml:space="preserve">Bank: Deposit Guaranty National</t>
  </si>
  <si>
    <t xml:space="preserve">ABA:  065305436</t>
  </si>
  <si>
    <t xml:space="preserve">Acct: 5002066504</t>
  </si>
  <si>
    <t xml:space="preserve">Contact:  Clint Guthrie</t>
  </si>
  <si>
    <t xml:space="preserve">Contact:  Angela Adcock</t>
  </si>
  <si>
    <t xml:space="preserve">Tel:  (307) 684-0964</t>
  </si>
  <si>
    <t xml:space="preserve">Tel:  (601) 956-9851</t>
  </si>
  <si>
    <t xml:space="preserve">Fax:  (307) 684-0966</t>
  </si>
  <si>
    <t xml:space="preserve">Fax: (601) 956-9580</t>
  </si>
  <si>
    <t xml:space="preserve">Wire - Last Day of Month</t>
  </si>
  <si>
    <t xml:space="preserve">0814041 - MTG Compressor 48N 72W SEC32</t>
  </si>
  <si>
    <t xml:space="preserve">Hannover Compression Charges not recovered in netback purchase </t>
  </si>
  <si>
    <t xml:space="preserve">Contact:  mtgoperating@vcn.com</t>
  </si>
  <si>
    <t xml:space="preserve">307-684-0964</t>
  </si>
  <si>
    <t xml:space="preserve">307-684-0966</t>
  </si>
  <si>
    <t xml:space="preserve">FOM Nomination</t>
  </si>
  <si>
    <t xml:space="preserve">BTU Factor:</t>
  </si>
  <si>
    <t xml:space="preserve">Contract Price Adjustment:</t>
  </si>
  <si>
    <t xml:space="preserve">Contract Price Adjustment/MMBtu</t>
  </si>
  <si>
    <t xml:space="preserve">IF CIG </t>
  </si>
  <si>
    <t xml:space="preserve">50% of Net Receipt</t>
  </si>
  <si>
    <t xml:space="preserve">Allocated Fuel MMBtu</t>
  </si>
  <si>
    <t xml:space="preserve">Actual Fuel :</t>
  </si>
  <si>
    <t xml:space="preserve">avg. $/MMBtu</t>
  </si>
  <si>
    <t xml:space="preserve">Phillips Petroleum Company</t>
  </si>
  <si>
    <t xml:space="preserve">Bank:  Chase Manhattan Bank, N.Y., N.Y.</t>
  </si>
  <si>
    <t xml:space="preserve">ABA:  021000021</t>
  </si>
  <si>
    <t xml:space="preserve">Acct:  144032070</t>
  </si>
  <si>
    <t xml:space="preserve">Contact:  Donna Hatter</t>
  </si>
  <si>
    <t xml:space="preserve">Tel:  (713) 669-3493</t>
  </si>
  <si>
    <t xml:space="preserve">Fax: (713) 669-7358</t>
  </si>
  <si>
    <t xml:space="preserve">Last Business Day</t>
  </si>
  <si>
    <t xml:space="preserve">0814032-Clydesdale 1</t>
  </si>
  <si>
    <t xml:space="preserve">0814033-Clydesdale 2</t>
  </si>
  <si>
    <t xml:space="preserve">0814034-Clydesdale 3</t>
  </si>
  <si>
    <t xml:space="preserve">0814035-Palomino 1</t>
  </si>
  <si>
    <t xml:space="preserve">0814036-Palomino 2</t>
  </si>
  <si>
    <t xml:space="preserve">Bear Paw Delivery into Fort Union Gas Gathering</t>
  </si>
  <si>
    <t xml:space="preserve">PRIOR MONTH ADJUSTMENTS</t>
  </si>
  <si>
    <t xml:space="preserve">Donna Hatter</t>
  </si>
  <si>
    <t xml:space="preserve">Ph:</t>
  </si>
  <si>
    <t xml:space="preserve">(713) 669-3493</t>
  </si>
  <si>
    <t xml:space="preserve">fax:</t>
  </si>
  <si>
    <t xml:space="preserve">(713) 669-7358</t>
  </si>
  <si>
    <t xml:space="preserve">--&gt;Dedicated Only</t>
  </si>
  <si>
    <t xml:space="preserve">Weighted Average BTU Factor:</t>
  </si>
  <si>
    <t xml:space="preserve">Gathering:</t>
  </si>
  <si>
    <t xml:space="preserve">Index (Discount)/Premium</t>
  </si>
  <si>
    <t xml:space="preserve">Gathering/MMBtu</t>
  </si>
  <si>
    <t xml:space="preserve">80% of FOM Nom. up to 10,000/Day</t>
  </si>
  <si>
    <t xml:space="preserve">80% of FOM Nom. Less 10,000/Day</t>
  </si>
  <si>
    <t xml:space="preserve">Actual Fuel</t>
  </si>
  <si>
    <t xml:space="preserve">SITARA #443322</t>
  </si>
  <si>
    <t xml:space="preserve">SITARA #443300</t>
  </si>
  <si>
    <t xml:space="preserve">SITARA #443314</t>
  </si>
  <si>
    <t xml:space="preserve">SITARA # 640466</t>
  </si>
  <si>
    <t xml:space="preserve">SITARA # 640458</t>
  </si>
  <si>
    <t xml:space="preserve">Non Dedicated Bear Paw Receipts</t>
  </si>
  <si>
    <t xml:space="preserve">Non Dedicated Clydesdale Receipts</t>
  </si>
  <si>
    <t xml:space="preserve">CIG -.25-.145</t>
  </si>
  <si>
    <t xml:space="preserve">Copy To:</t>
  </si>
  <si>
    <t xml:space="preserve">Quantum Energy, L.L.C.</t>
  </si>
  <si>
    <t xml:space="preserve">Quest L.L.C</t>
  </si>
  <si>
    <t xml:space="preserve">P.O.Box 7370</t>
  </si>
  <si>
    <t xml:space="preserve">PO box 7370</t>
  </si>
  <si>
    <t xml:space="preserve">Sheridan, Wyoming, 82801</t>
  </si>
  <si>
    <t xml:space="preserve">Sheridan, Wy   82801</t>
  </si>
  <si>
    <t xml:space="preserve">Attn:  Paul Mysyk</t>
  </si>
  <si>
    <t xml:space="preserve">Tel:  (800) 203-3728</t>
  </si>
  <si>
    <t xml:space="preserve">Tel:  (307) 673-1500</t>
  </si>
  <si>
    <t xml:space="preserve">Fax:  (216) 486-3435</t>
  </si>
  <si>
    <t xml:space="preserve">Fax:  (307) 673-1400</t>
  </si>
  <si>
    <t xml:space="preserve">Contact:  Harry Schumacher</t>
  </si>
  <si>
    <t xml:space="preserve">Attn : Bill Courtney</t>
  </si>
  <si>
    <t xml:space="preserve">Check</t>
  </si>
  <si>
    <t xml:space="preserve">Fax: (818) 225-5002</t>
  </si>
  <si>
    <t xml:space="preserve">fax: 307-673-1400</t>
  </si>
  <si>
    <t xml:space="preserve">wnicholson@quantumenergyllc.com</t>
  </si>
  <si>
    <t xml:space="preserve">rosco@cyberhighway.net</t>
  </si>
  <si>
    <t xml:space="preserve">0814038-Quantum #1-2 Discharge</t>
  </si>
  <si>
    <t xml:space="preserve">0814039-Quantum #3-4 Discharge</t>
  </si>
  <si>
    <t xml:space="preserve">0814040-Quantum #5 Discharge</t>
  </si>
  <si>
    <t xml:space="preserve">Gas Purchase Subtotal</t>
  </si>
  <si>
    <t xml:space="preserve">Sub Total:</t>
  </si>
  <si>
    <t xml:space="preserve">Current Month Sub Total:</t>
  </si>
  <si>
    <t xml:space="preserve">TOTAL PAYMENT:</t>
  </si>
  <si>
    <t xml:space="preserve">Quantum</t>
  </si>
  <si>
    <t xml:space="preserve">Paul Mysyk</t>
  </si>
  <si>
    <t xml:space="preserve">800-203-3728</t>
  </si>
  <si>
    <t xml:space="preserve">216-486-3435</t>
  </si>
  <si>
    <t xml:space="preserve">Btu factor</t>
  </si>
  <si>
    <t xml:space="preserve">Gathering</t>
  </si>
  <si>
    <t xml:space="preserve">FOM CIG GD</t>
  </si>
  <si>
    <t xml:space="preserve">FOM IF CIG</t>
  </si>
  <si>
    <t xml:space="preserve">Add'l  CIG GD</t>
  </si>
  <si>
    <t xml:space="preserve">Over 80% of FOM</t>
  </si>
  <si>
    <t xml:space="preserve">80% of FOM Nom.</t>
  </si>
  <si>
    <t xml:space="preserve">Additional Purchases</t>
  </si>
  <si>
    <t xml:space="preserve">Add'l CIG GD Volume MMBtu</t>
  </si>
  <si>
    <t xml:space="preserve">$ Add'l CIG GD</t>
  </si>
  <si>
    <t xml:space="preserve">total</t>
  </si>
  <si>
    <t xml:space="preserve">Wellstar Corporation</t>
  </si>
  <si>
    <t xml:space="preserve">Bank:  First National Bank of Longmont</t>
  </si>
  <si>
    <t xml:space="preserve">ABA:  107000628</t>
  </si>
  <si>
    <t xml:space="preserve">Acct:  14-9039</t>
  </si>
  <si>
    <t xml:space="preserve">Contact:  Theresa Staab </t>
  </si>
  <si>
    <t xml:space="preserve">Contact:  Tim Collins</t>
  </si>
  <si>
    <t xml:space="preserve">Tel:  (303) 280-4516</t>
  </si>
  <si>
    <t xml:space="preserve">Fax: (303) 280-4523</t>
  </si>
  <si>
    <t xml:space="preserve">On or before last day of month</t>
  </si>
  <si>
    <t xml:space="preserve">0814005-Wellstar Screw #1 Discharge Mtr</t>
  </si>
  <si>
    <t xml:space="preserve">0814004-Wellstar Screw #2 Discharge Mtr</t>
  </si>
  <si>
    <t xml:space="preserve">FOM IF NGPL-Midcont.</t>
  </si>
  <si>
    <t xml:space="preserve">FOM IF CIG - Rockies</t>
  </si>
  <si>
    <t xml:space="preserve">Add'l IF CIG</t>
  </si>
  <si>
    <t xml:space="preserve">Wellstar</t>
  </si>
  <si>
    <t xml:space="preserve">Tim Collins</t>
  </si>
  <si>
    <t xml:space="preserve">303-659-0676</t>
  </si>
  <si>
    <t xml:space="preserve">303-659-0680</t>
  </si>
  <si>
    <t xml:space="preserve">Transport/MMBtu</t>
  </si>
  <si>
    <t xml:space="preserve">FOM IF NGPL Midcont.</t>
  </si>
  <si>
    <t xml:space="preserve">FOM IF CIG Rockies</t>
  </si>
  <si>
    <t xml:space="preserve">Add'l CIG GD</t>
  </si>
  <si>
    <t xml:space="preserve">80% of FOM Nom. up to 2,000/Day</t>
  </si>
  <si>
    <t xml:space="preserve">80% of FOM Nom. Less 2,000/Day</t>
  </si>
  <si>
    <t xml:space="preserve">Add'l CIG Volume MMBtu</t>
  </si>
  <si>
    <t xml:space="preserve">Allocated Fuel MMBtu (Max. 8%)</t>
  </si>
  <si>
    <t xml:space="preserve">$ FOM NGPL</t>
  </si>
  <si>
    <t xml:space="preserve">$ Add'l CIG</t>
  </si>
  <si>
    <t xml:space="preserve">IF CIG less Netback</t>
  </si>
  <si>
    <t xml:space="preserve">in</t>
  </si>
  <si>
    <t xml:space="preserve">North Finn LLC</t>
  </si>
  <si>
    <t xml:space="preserve">Hilltop National Bank</t>
  </si>
  <si>
    <t xml:space="preserve">Routing #10230119</t>
  </si>
  <si>
    <t xml:space="preserve">Account #021674</t>
  </si>
  <si>
    <t xml:space="preserve">Country Club Rd.</t>
  </si>
  <si>
    <t xml:space="preserve">Casper, WY  82609</t>
  </si>
  <si>
    <t xml:space="preserve">Attn:  Larry Linn</t>
  </si>
  <si>
    <t xml:space="preserve">Phone:  (307) 237-7854</t>
  </si>
  <si>
    <t xml:space="preserve">E-mail:  sunshin@trib.com</t>
  </si>
  <si>
    <t xml:space="preserve">On or before 25th of month</t>
  </si>
  <si>
    <t xml:space="preserve">North Finn</t>
  </si>
  <si>
    <t xml:space="preserve">0814042-Palomino #3 Discharge Mtr</t>
  </si>
  <si>
    <t xml:space="preserve">Larry Linn</t>
  </si>
  <si>
    <t xml:space="preserve">(307) 237-7854</t>
  </si>
  <si>
    <t xml:space="preserve">CIG GD Rockies Volume MMBtu</t>
  </si>
  <si>
    <t xml:space="preserve">Allocated Fuel MMBtu </t>
  </si>
  <si>
    <t xml:space="preserve">$ CIG GD Rockies</t>
  </si>
  <si>
    <t xml:space="preserve">CIG GD Rockies less Netback</t>
  </si>
  <si>
    <t xml:space="preserve">Citation 1994 Investment Limited Partnership</t>
  </si>
  <si>
    <t xml:space="preserve">Bank:  LaSalle Bank N.A.</t>
  </si>
  <si>
    <t xml:space="preserve">ABA:  071000505</t>
  </si>
  <si>
    <t xml:space="preserve">Acct:  5800241530</t>
  </si>
  <si>
    <t xml:space="preserve">Name:  Citation Oil &amp; Gas Corp.</t>
  </si>
  <si>
    <t xml:space="preserve">Contact:  Alan Koelemay</t>
  </si>
  <si>
    <t xml:space="preserve">Tel:  (281) 517-7366</t>
  </si>
  <si>
    <t xml:space="preserve">Fax:  (281) 469-9641</t>
  </si>
  <si>
    <t xml:space="preserve">Citation</t>
  </si>
  <si>
    <t xml:space="preserve">Citation Meserve Pod</t>
  </si>
  <si>
    <t xml:space="preserve">6/1/01 - 6/30/01</t>
  </si>
  <si>
    <t xml:space="preserve">Electric Power Compressor Fees</t>
  </si>
  <si>
    <t xml:space="preserve">Alan Koelemay</t>
  </si>
  <si>
    <t xml:space="preserve">Wellhead Btu factor</t>
  </si>
  <si>
    <t xml:space="preserve">Ft. Union Btu factor</t>
  </si>
  <si>
    <t xml:space="preserve">Bear Paw Transportation</t>
  </si>
  <si>
    <t xml:space="preserve">Crestone Transportation</t>
  </si>
  <si>
    <t xml:space="preserve">Bear Paw Gathering/MMBtu</t>
  </si>
  <si>
    <t xml:space="preserve">Crestone Transport   (Ft. Union)</t>
  </si>
  <si>
    <t xml:space="preserve">IF CIG Rockies Volume MMBtu</t>
  </si>
  <si>
    <t xml:space="preserve">$ IF CIG Rockies</t>
  </si>
  <si>
    <t xml:space="preserve"> CIG GD Rockies less Netback</t>
  </si>
  <si>
    <t xml:space="preserve">ENA-ACCRUAL</t>
  </si>
  <si>
    <t xml:space="preserve">Activity Summary</t>
  </si>
  <si>
    <t xml:space="preserve">IF NGPL - Midcont.</t>
  </si>
  <si>
    <t xml:space="preserve">Purchases</t>
  </si>
  <si>
    <t xml:space="preserve">Xfer to ENA DENVER</t>
  </si>
  <si>
    <t xml:space="preserve">should be 0</t>
  </si>
  <si>
    <t xml:space="preserve">should = column j</t>
  </si>
  <si>
    <t xml:space="preserve">Producer</t>
  </si>
  <si>
    <t xml:space="preserve">Type</t>
  </si>
  <si>
    <t xml:space="preserve">Volume</t>
  </si>
  <si>
    <t xml:space="preserve">Total Netback</t>
  </si>
  <si>
    <t xml:space="preserve">$/MMBtu</t>
  </si>
  <si>
    <t xml:space="preserve">Total $</t>
  </si>
  <si>
    <t xml:space="preserve">Index Disc./Prem.</t>
  </si>
  <si>
    <t xml:space="preserve">$/Mmbtu</t>
  </si>
  <si>
    <t xml:space="preserve">Resale Volume</t>
  </si>
  <si>
    <t xml:space="preserve">$ Revenue</t>
  </si>
  <si>
    <t xml:space="preserve">Gross CIG GD Vol</t>
  </si>
  <si>
    <t xml:space="preserve">% of Total CIG GD</t>
  </si>
  <si>
    <t xml:space="preserve">Net volume</t>
  </si>
  <si>
    <t xml:space="preserve">allocation</t>
  </si>
  <si>
    <t xml:space="preserve">Sale</t>
  </si>
  <si>
    <t xml:space="preserve">Purch</t>
  </si>
  <si>
    <t xml:space="preserve">Marg</t>
  </si>
  <si>
    <t xml:space="preserve">Exp</t>
  </si>
  <si>
    <t xml:space="preserve">diff</t>
  </si>
  <si>
    <t xml:space="preserve">GD resale</t>
  </si>
  <si>
    <t xml:space="preserve">FOM/Box Draw</t>
  </si>
  <si>
    <t xml:space="preserve">FOM/S. Kitty</t>
  </si>
  <si>
    <t xml:space="preserve">IF CIG</t>
  </si>
  <si>
    <t xml:space="preserve">Add'l GD +.10 Box Draw</t>
  </si>
  <si>
    <t xml:space="preserve">Add'l GD + .10 S. Kitty</t>
  </si>
  <si>
    <t xml:space="preserve">Add'l GD - discount Box Draw</t>
  </si>
  <si>
    <t xml:space="preserve">Add'l GD - discount S. Kitty</t>
  </si>
  <si>
    <t xml:space="preserve">MTG</t>
  </si>
  <si>
    <t xml:space="preserve">Phillips</t>
  </si>
  <si>
    <t xml:space="preserve">FOM</t>
  </si>
  <si>
    <t xml:space="preserve">Add'l</t>
  </si>
  <si>
    <t xml:space="preserve">Purchase from CGS sale to ENA</t>
  </si>
  <si>
    <t xml:space="preserve">CGS (gain)</t>
  </si>
  <si>
    <t xml:space="preserve">Total Purchases</t>
  </si>
  <si>
    <t xml:space="preserve">Total Sales to ENA Denver</t>
  </si>
  <si>
    <t xml:space="preserve">Sale to CGS</t>
  </si>
  <si>
    <t xml:space="preserve">CGS (Fuel/Loss)</t>
  </si>
  <si>
    <t xml:space="preserve">CIG GD-.14</t>
  </si>
  <si>
    <t xml:space="preserve">xfer price</t>
  </si>
  <si>
    <t xml:space="preserve">Total Production Purchases</t>
  </si>
  <si>
    <t xml:space="preserve">Total Sales to ENA DENVER</t>
  </si>
  <si>
    <t xml:space="preserve">Kennedy Consolidation Summary</t>
  </si>
  <si>
    <t xml:space="preserve">Sitara  #</t>
  </si>
  <si>
    <t xml:space="preserve">WA Prem. (Disc.)</t>
  </si>
  <si>
    <t xml:space="preserve">WA Gathering Cost</t>
  </si>
  <si>
    <t xml:space="preserve">Total Sales to CGS</t>
  </si>
  <si>
    <t xml:space="preserve">FOM NGPL</t>
  </si>
  <si>
    <t xml:space="preserve">Net Position</t>
  </si>
  <si>
    <t xml:space="preserve">Buy/Sell Net :</t>
  </si>
  <si>
    <t xml:space="preserve">FOM CIG</t>
  </si>
  <si>
    <t xml:space="preserve">CGS Gathering</t>
  </si>
  <si>
    <t xml:space="preserve">Add'l CIG GD + .10</t>
  </si>
  <si>
    <t xml:space="preserve">FT. Union Gathering</t>
  </si>
  <si>
    <t xml:space="preserve">Add'l CIG GD - Disc.</t>
  </si>
  <si>
    <t xml:space="preserve">Gathering Net:</t>
  </si>
  <si>
    <t xml:space="preserve">Net ENA ACCRUAL Activity:</t>
  </si>
</sst>
</file>

<file path=xl/styles.xml><?xml version="1.0" encoding="utf-8"?>
<styleSheet xmlns="http://schemas.openxmlformats.org/spreadsheetml/2006/main">
  <numFmts count="33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mmm\-yy"/>
    <numFmt numFmtId="168" formatCode="mm/dd/yy"/>
    <numFmt numFmtId="169" formatCode="0%"/>
    <numFmt numFmtId="170" formatCode="0.00%"/>
    <numFmt numFmtId="171" formatCode="[$-409]m/d/yyyy"/>
    <numFmt numFmtId="172" formatCode="[$-409]d\-mmm"/>
    <numFmt numFmtId="173" formatCode="[$-409]d\-mmm\-yy"/>
    <numFmt numFmtId="174" formatCode="_(\$* #,##0.0000_);_(\$* \(#,##0.0000\);_(\$* \-??_);_(@_)"/>
    <numFmt numFmtId="175" formatCode="_(\$* #,##0.000000_);_(\$* \(#,##0.000000\);_(\$* \-??_);_(@_)"/>
    <numFmt numFmtId="176" formatCode="_(* #,##0.00_);_(* \(#,##0.00\);_(* \-??_);_(@_)"/>
    <numFmt numFmtId="177" formatCode="_(* #,##0_);_(* \(#,##0\);_(* \-??_);_(@_)"/>
    <numFmt numFmtId="178" formatCode="_(\$* #,##0.00000_);_(\$* \(#,##0.00000\);_(\$* \-??_);_(@_)"/>
    <numFmt numFmtId="179" formatCode="mmmm\-yy"/>
    <numFmt numFmtId="180" formatCode="_(* #,##0.000_);_(* \(#,##0.000\);_(* \-??_);_(@_)"/>
    <numFmt numFmtId="181" formatCode="#,##0"/>
    <numFmt numFmtId="182" formatCode="[$-409]#,##0_);\(#,##0\)"/>
    <numFmt numFmtId="183" formatCode="_(\$* #,##0.0000_);_(\$* \(#,##0.0000\);_(\$* \-????_);_(@_)"/>
    <numFmt numFmtId="184" formatCode="_(\$* #,##0.0000000_);_(\$* \(#,##0.0000000\);_(\$* \-??_);_(@_)"/>
    <numFmt numFmtId="185" formatCode="dd\-mmm\-yy"/>
    <numFmt numFmtId="186" formatCode="0"/>
    <numFmt numFmtId="187" formatCode="0.0000"/>
    <numFmt numFmtId="188" formatCode="_(* #,##0_);_(* \(#,##0\);_(* \-_);_(@_)"/>
    <numFmt numFmtId="189" formatCode="0.0%"/>
    <numFmt numFmtId="190" formatCode="_(* #,##0.0000_);_(* \(#,##0.0000\);_(* \-??_);_(@_)"/>
    <numFmt numFmtId="191" formatCode="#,##0.00"/>
    <numFmt numFmtId="192" formatCode="_(* #,##0.0_);_(* \(#,##0.0\);_(* \-?_);_(@_)"/>
    <numFmt numFmtId="193" formatCode="0.000%"/>
    <numFmt numFmtId="194" formatCode="mmmm\ d&quot;, &quot;yyyy"/>
    <numFmt numFmtId="195" formatCode="0.0000%"/>
    <numFmt numFmtId="196" formatCode="_(* #,##0.00000_);_(* \(#,##0.00000\);_(* \-??_);_(@_)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9"/>
      <name val="Arial"/>
      <family val="2"/>
    </font>
    <font>
      <sz val="14"/>
      <color rgb="FFFFFFFF"/>
      <name val="Arial Black"/>
      <family val="2"/>
    </font>
    <font>
      <b val="true"/>
      <sz val="10"/>
      <color rgb="FFFF0000"/>
      <name val="Arial"/>
      <family val="2"/>
    </font>
    <font>
      <sz val="9"/>
      <name val="Arial"/>
      <family val="2"/>
    </font>
    <font>
      <u val="single"/>
      <sz val="6"/>
      <color rgb="FF0000FF"/>
      <name val="Arial"/>
      <family val="0"/>
    </font>
    <font>
      <sz val="10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FFFFFF"/>
      <name val="Arial"/>
      <family val="2"/>
    </font>
    <font>
      <sz val="10"/>
      <color rgb="FFFF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0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0000"/>
        <bgColor rgb="FF993300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17" fillId="0" borderId="0" applyFont="true" applyBorder="false" applyAlignment="false" applyProtection="false"/>
  </cellStyleXfs>
  <cellXfs count="5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7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7" fillId="0" borderId="0" xfId="1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0" fillId="0" borderId="16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17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8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19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7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1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6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8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8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9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22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22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22" xfId="1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12" fillId="0" borderId="0" xfId="1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7" fontId="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14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5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7" fontId="8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9" fontId="0" fillId="0" borderId="2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8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7" fillId="0" borderId="23" xfId="1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0" fillId="0" borderId="24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14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14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90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7" fillId="0" borderId="25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3" fillId="0" borderId="14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2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7" fontId="0" fillId="0" borderId="17" xfId="15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0" fillId="2" borderId="11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2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2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2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2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12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11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4" borderId="12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7" fillId="4" borderId="20" xfId="1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7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4" borderId="2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2" borderId="16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2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17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17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11" fillId="4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4" borderId="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7" fillId="4" borderId="17" xfId="1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4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8" fillId="0" borderId="0" xfId="1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0" fillId="2" borderId="18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2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19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19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1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11" fillId="4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4" borderId="1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4" borderId="19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0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9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4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7" fillId="0" borderId="0" xfId="1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15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7" fillId="4" borderId="0" xfId="1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7" fillId="0" borderId="0" xfId="1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8" fontId="0" fillId="0" borderId="0" xfId="15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5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8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7" fillId="0" borderId="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5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5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9" fontId="0" fillId="0" borderId="8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0" fontId="0" fillId="0" borderId="1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3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0" fillId="0" borderId="11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2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16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17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4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0" fillId="4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0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6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6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7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6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8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9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18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19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4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0" fillId="4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0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6" borderId="3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4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4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7" fillId="4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6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5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2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1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24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5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6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7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8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7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2" fontId="0" fillId="0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1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20" xfId="17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3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7" xfId="17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31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17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3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33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24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22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4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7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20" xfId="1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86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9" xfId="17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0" fillId="2" borderId="12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1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10" xfId="1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19" xfId="1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2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30" xfId="17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32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3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31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7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6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3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3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31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32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32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32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7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8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2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7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7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7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8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8" borderId="17" xfId="1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17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7" fontId="0" fillId="0" borderId="0" xfId="15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9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17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4" borderId="0" xfId="1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1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9" borderId="1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9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9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4" borderId="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10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0" fillId="9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1" fillId="8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7" fontId="0" fillId="0" borderId="0" xfId="15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0" fillId="0" borderId="0" xfId="15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0" borderId="0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0" borderId="5" xfId="1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0" borderId="0" xfId="1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96" fontId="0" fillId="0" borderId="5" xfId="1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0" borderId="22" xfId="1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96" fontId="0" fillId="0" borderId="8" xfId="1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6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externalLink" Target="externalLinks/externalLink1.xml"/><Relationship Id="rId2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nron%20Statement_11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ron Detail"/>
      <sheetName val="Enron Summary"/>
      <sheetName val="Enron Imbalance"/>
      <sheetName val="Enron Fuel Sale"/>
    </sheetNames>
    <sheetDataSet>
      <sheetData sheetId="0">
        <row r="9">
          <cell r="C9">
            <v>0.955685419466065</v>
          </cell>
        </row>
        <row r="9">
          <cell r="F9">
            <v>1.10337153532391</v>
          </cell>
        </row>
        <row r="9">
          <cell r="I9">
            <v>0.927986906710311</v>
          </cell>
        </row>
        <row r="9">
          <cell r="L9">
            <v>0.936996871034302</v>
          </cell>
        </row>
        <row r="9">
          <cell r="O9">
            <v>0.943774698503134</v>
          </cell>
        </row>
        <row r="9">
          <cell r="R9">
            <v>0.966998044328553</v>
          </cell>
        </row>
        <row r="9">
          <cell r="U9">
            <v>0.928165156941226</v>
          </cell>
        </row>
        <row r="9">
          <cell r="X9">
            <v>0.938054207796554</v>
          </cell>
        </row>
        <row r="14">
          <cell r="C14">
            <v>13994</v>
          </cell>
          <cell r="D14">
            <v>-1199</v>
          </cell>
        </row>
        <row r="14">
          <cell r="F14">
            <v>29093</v>
          </cell>
          <cell r="G14">
            <v>-2211</v>
          </cell>
        </row>
        <row r="14">
          <cell r="I14">
            <v>498</v>
          </cell>
          <cell r="J14">
            <v>-1</v>
          </cell>
        </row>
        <row r="14">
          <cell r="L14">
            <v>13631</v>
          </cell>
          <cell r="M14">
            <v>-600</v>
          </cell>
        </row>
        <row r="14">
          <cell r="O14">
            <v>11336</v>
          </cell>
          <cell r="P14">
            <v>-751</v>
          </cell>
        </row>
        <row r="14">
          <cell r="R14">
            <v>669</v>
          </cell>
          <cell r="S14">
            <v>-75</v>
          </cell>
        </row>
        <row r="14">
          <cell r="U14">
            <v>1804</v>
          </cell>
          <cell r="V14">
            <v>-133</v>
          </cell>
        </row>
        <row r="14">
          <cell r="X14">
            <v>864</v>
          </cell>
          <cell r="Y14">
            <v>-74</v>
          </cell>
        </row>
        <row r="15">
          <cell r="C15">
            <v>13744</v>
          </cell>
          <cell r="D15">
            <v>-1219</v>
          </cell>
        </row>
        <row r="15">
          <cell r="F15">
            <v>31608</v>
          </cell>
          <cell r="G15">
            <v>-2525</v>
          </cell>
        </row>
        <row r="15">
          <cell r="I15">
            <v>463</v>
          </cell>
          <cell r="J15">
            <v>-1</v>
          </cell>
        </row>
        <row r="15">
          <cell r="L15">
            <v>13344</v>
          </cell>
          <cell r="M15">
            <v>-603</v>
          </cell>
        </row>
        <row r="15">
          <cell r="O15">
            <v>11336</v>
          </cell>
          <cell r="P15">
            <v>-749</v>
          </cell>
        </row>
        <row r="15">
          <cell r="R15">
            <v>791</v>
          </cell>
          <cell r="S15">
            <v>-92</v>
          </cell>
        </row>
        <row r="15">
          <cell r="U15">
            <v>1854</v>
          </cell>
          <cell r="V15">
            <v>-140</v>
          </cell>
        </row>
        <row r="15">
          <cell r="X15">
            <v>624</v>
          </cell>
          <cell r="Y15">
            <v>-59</v>
          </cell>
        </row>
        <row r="16">
          <cell r="C16">
            <v>13567</v>
          </cell>
          <cell r="D16">
            <v>-1098</v>
          </cell>
        </row>
        <row r="16">
          <cell r="F16">
            <v>32748</v>
          </cell>
          <cell r="G16">
            <v>-2192</v>
          </cell>
        </row>
        <row r="16">
          <cell r="I16">
            <v>455</v>
          </cell>
          <cell r="J16">
            <v>-1</v>
          </cell>
        </row>
        <row r="16">
          <cell r="L16">
            <v>13007</v>
          </cell>
          <cell r="M16">
            <v>-589</v>
          </cell>
        </row>
        <row r="16">
          <cell r="O16">
            <v>11336</v>
          </cell>
          <cell r="P16">
            <v>-756</v>
          </cell>
        </row>
        <row r="16">
          <cell r="R16">
            <v>888</v>
          </cell>
          <cell r="S16">
            <v>-102</v>
          </cell>
        </row>
        <row r="16">
          <cell r="U16">
            <v>1794</v>
          </cell>
          <cell r="V16">
            <v>-121</v>
          </cell>
        </row>
        <row r="16">
          <cell r="X16">
            <v>848</v>
          </cell>
          <cell r="Y16">
            <v>-73</v>
          </cell>
        </row>
        <row r="17">
          <cell r="C17">
            <v>13617</v>
          </cell>
          <cell r="D17">
            <v>-1167</v>
          </cell>
        </row>
        <row r="17">
          <cell r="F17">
            <v>30388</v>
          </cell>
          <cell r="G17">
            <v>-541</v>
          </cell>
        </row>
        <row r="17">
          <cell r="I17">
            <v>17</v>
          </cell>
          <cell r="J17">
            <v>0</v>
          </cell>
        </row>
        <row r="17">
          <cell r="L17">
            <v>13594</v>
          </cell>
          <cell r="M17">
            <v>-616</v>
          </cell>
        </row>
        <row r="17">
          <cell r="O17">
            <v>11336</v>
          </cell>
          <cell r="P17">
            <v>-753</v>
          </cell>
        </row>
        <row r="17">
          <cell r="R17">
            <v>814</v>
          </cell>
          <cell r="S17">
            <v>-97</v>
          </cell>
        </row>
        <row r="17">
          <cell r="U17">
            <v>1797</v>
          </cell>
          <cell r="V17">
            <v>-129</v>
          </cell>
        </row>
        <row r="17">
          <cell r="X17">
            <v>151</v>
          </cell>
          <cell r="Y17">
            <v>-13</v>
          </cell>
        </row>
        <row r="18">
          <cell r="C18">
            <v>13497</v>
          </cell>
          <cell r="D18">
            <v>-1199</v>
          </cell>
        </row>
        <row r="18">
          <cell r="F18">
            <v>32769</v>
          </cell>
          <cell r="G18">
            <v>-2213</v>
          </cell>
        </row>
        <row r="18">
          <cell r="I18">
            <v>1</v>
          </cell>
          <cell r="J18">
            <v>0</v>
          </cell>
        </row>
        <row r="18">
          <cell r="L18">
            <v>13311</v>
          </cell>
          <cell r="M18">
            <v>-601</v>
          </cell>
        </row>
        <row r="18">
          <cell r="O18">
            <v>11336</v>
          </cell>
          <cell r="P18">
            <v>-752</v>
          </cell>
        </row>
        <row r="18">
          <cell r="R18">
            <v>801</v>
          </cell>
          <cell r="S18">
            <v>-94</v>
          </cell>
        </row>
        <row r="18">
          <cell r="U18">
            <v>1788</v>
          </cell>
          <cell r="V18">
            <v>-132</v>
          </cell>
        </row>
        <row r="18">
          <cell r="X18">
            <v>776</v>
          </cell>
          <cell r="Y18">
            <v>-64</v>
          </cell>
        </row>
        <row r="19">
          <cell r="C19">
            <v>13822</v>
          </cell>
          <cell r="D19">
            <v>-1207</v>
          </cell>
        </row>
        <row r="19">
          <cell r="F19">
            <v>31689</v>
          </cell>
          <cell r="G19">
            <v>-2109</v>
          </cell>
        </row>
        <row r="19">
          <cell r="I19">
            <v>391</v>
          </cell>
          <cell r="J19">
            <v>-1</v>
          </cell>
        </row>
        <row r="19">
          <cell r="L19">
            <v>13090</v>
          </cell>
          <cell r="M19">
            <v>-624</v>
          </cell>
        </row>
        <row r="19">
          <cell r="O19">
            <v>11336</v>
          </cell>
          <cell r="P19">
            <v>-739</v>
          </cell>
        </row>
        <row r="19">
          <cell r="R19">
            <v>925</v>
          </cell>
          <cell r="S19">
            <v>-103</v>
          </cell>
        </row>
        <row r="19">
          <cell r="U19">
            <v>1822</v>
          </cell>
          <cell r="V19">
            <v>-128</v>
          </cell>
        </row>
        <row r="19">
          <cell r="X19">
            <v>847</v>
          </cell>
          <cell r="Y19">
            <v>-73</v>
          </cell>
        </row>
        <row r="20">
          <cell r="C20">
            <v>13587</v>
          </cell>
          <cell r="D20">
            <v>-1182</v>
          </cell>
        </row>
        <row r="20">
          <cell r="F20">
            <v>32716</v>
          </cell>
          <cell r="G20">
            <v>-2146</v>
          </cell>
        </row>
        <row r="20">
          <cell r="I20">
            <v>711</v>
          </cell>
          <cell r="J20">
            <v>-1</v>
          </cell>
        </row>
        <row r="20">
          <cell r="L20">
            <v>13214</v>
          </cell>
          <cell r="M20">
            <v>-615</v>
          </cell>
        </row>
        <row r="20">
          <cell r="O20">
            <v>11336</v>
          </cell>
          <cell r="P20">
            <v>-737</v>
          </cell>
        </row>
        <row r="20">
          <cell r="R20">
            <v>899</v>
          </cell>
          <cell r="S20">
            <v>-103</v>
          </cell>
        </row>
        <row r="20">
          <cell r="U20">
            <v>1762</v>
          </cell>
          <cell r="V20">
            <v>-128</v>
          </cell>
        </row>
        <row r="20">
          <cell r="X20">
            <v>884</v>
          </cell>
          <cell r="Y20">
            <v>-75</v>
          </cell>
        </row>
        <row r="21">
          <cell r="C21">
            <v>13012</v>
          </cell>
          <cell r="D21">
            <v>-1061</v>
          </cell>
        </row>
        <row r="21">
          <cell r="F21">
            <v>32916</v>
          </cell>
          <cell r="G21">
            <v>-1970</v>
          </cell>
        </row>
        <row r="21">
          <cell r="I21">
            <v>620</v>
          </cell>
          <cell r="J21">
            <v>-1</v>
          </cell>
        </row>
        <row r="21">
          <cell r="L21">
            <v>13500</v>
          </cell>
          <cell r="M21">
            <v>-617</v>
          </cell>
        </row>
        <row r="21">
          <cell r="O21">
            <v>11336</v>
          </cell>
          <cell r="P21">
            <v>-739</v>
          </cell>
        </row>
        <row r="21">
          <cell r="R21">
            <v>863</v>
          </cell>
          <cell r="S21">
            <v>-103</v>
          </cell>
        </row>
        <row r="21">
          <cell r="U21">
            <v>1807</v>
          </cell>
          <cell r="V21">
            <v>-119</v>
          </cell>
        </row>
        <row r="21">
          <cell r="X21">
            <v>898</v>
          </cell>
          <cell r="Y21">
            <v>-74</v>
          </cell>
        </row>
        <row r="22">
          <cell r="C22">
            <v>13664</v>
          </cell>
          <cell r="D22">
            <v>-1078</v>
          </cell>
        </row>
        <row r="22">
          <cell r="F22">
            <v>31287</v>
          </cell>
          <cell r="G22">
            <v>-1865</v>
          </cell>
        </row>
        <row r="22">
          <cell r="I22">
            <v>101</v>
          </cell>
          <cell r="J22">
            <v>0</v>
          </cell>
        </row>
        <row r="22">
          <cell r="L22">
            <v>13649</v>
          </cell>
          <cell r="M22">
            <v>-624</v>
          </cell>
        </row>
        <row r="22">
          <cell r="O22">
            <v>11336</v>
          </cell>
          <cell r="P22">
            <v>-739</v>
          </cell>
        </row>
        <row r="22">
          <cell r="R22">
            <v>855</v>
          </cell>
          <cell r="S22">
            <v>-104</v>
          </cell>
        </row>
        <row r="22">
          <cell r="U22">
            <v>1778</v>
          </cell>
          <cell r="V22">
            <v>-117</v>
          </cell>
        </row>
        <row r="22">
          <cell r="X22">
            <v>250</v>
          </cell>
          <cell r="Y22">
            <v>-22</v>
          </cell>
        </row>
        <row r="23">
          <cell r="C23">
            <v>13606</v>
          </cell>
          <cell r="D23">
            <v>-1138</v>
          </cell>
        </row>
        <row r="23">
          <cell r="F23">
            <v>27648</v>
          </cell>
          <cell r="G23">
            <v>-1889</v>
          </cell>
        </row>
        <row r="23">
          <cell r="I23">
            <v>0</v>
          </cell>
          <cell r="J23">
            <v>0</v>
          </cell>
        </row>
        <row r="23">
          <cell r="L23">
            <v>13557</v>
          </cell>
          <cell r="M23">
            <v>-624</v>
          </cell>
        </row>
        <row r="23">
          <cell r="O23">
            <v>11336</v>
          </cell>
          <cell r="P23">
            <v>-742</v>
          </cell>
        </row>
        <row r="23">
          <cell r="R23">
            <v>866</v>
          </cell>
          <cell r="S23">
            <v>-105</v>
          </cell>
        </row>
        <row r="23">
          <cell r="U23">
            <v>1772</v>
          </cell>
          <cell r="V23">
            <v>-123</v>
          </cell>
        </row>
        <row r="23">
          <cell r="X23">
            <v>840</v>
          </cell>
          <cell r="Y23">
            <v>-69</v>
          </cell>
        </row>
        <row r="24">
          <cell r="C24">
            <v>13446</v>
          </cell>
          <cell r="D24">
            <v>-1118</v>
          </cell>
        </row>
        <row r="24">
          <cell r="F24">
            <v>27029</v>
          </cell>
          <cell r="G24">
            <v>-1847</v>
          </cell>
        </row>
        <row r="24">
          <cell r="I24">
            <v>0</v>
          </cell>
          <cell r="J24">
            <v>0</v>
          </cell>
        </row>
        <row r="24">
          <cell r="L24">
            <v>13721</v>
          </cell>
          <cell r="M24">
            <v>-647</v>
          </cell>
        </row>
        <row r="24">
          <cell r="O24">
            <v>11336</v>
          </cell>
          <cell r="P24">
            <v>-742</v>
          </cell>
        </row>
        <row r="24">
          <cell r="R24">
            <v>867</v>
          </cell>
          <cell r="S24">
            <v>-106</v>
          </cell>
        </row>
        <row r="24">
          <cell r="U24">
            <v>1760</v>
          </cell>
          <cell r="V24">
            <v>-122</v>
          </cell>
        </row>
        <row r="24">
          <cell r="X24">
            <v>896</v>
          </cell>
          <cell r="Y24">
            <v>-75</v>
          </cell>
        </row>
        <row r="25">
          <cell r="C25">
            <v>13265</v>
          </cell>
          <cell r="D25">
            <v>-1165</v>
          </cell>
        </row>
        <row r="25">
          <cell r="F25">
            <v>27711</v>
          </cell>
          <cell r="G25">
            <v>-1963</v>
          </cell>
        </row>
        <row r="25">
          <cell r="I25">
            <v>0</v>
          </cell>
          <cell r="J25">
            <v>0</v>
          </cell>
        </row>
        <row r="25">
          <cell r="L25">
            <v>13632</v>
          </cell>
          <cell r="M25">
            <v>-625</v>
          </cell>
        </row>
        <row r="25">
          <cell r="O25">
            <v>11336</v>
          </cell>
          <cell r="P25">
            <v>-744</v>
          </cell>
        </row>
        <row r="25">
          <cell r="R25">
            <v>866</v>
          </cell>
          <cell r="S25">
            <v>-109</v>
          </cell>
        </row>
        <row r="25">
          <cell r="U25">
            <v>1758</v>
          </cell>
          <cell r="V25">
            <v>-120</v>
          </cell>
        </row>
        <row r="25">
          <cell r="X25">
            <v>794</v>
          </cell>
          <cell r="Y25">
            <v>-69</v>
          </cell>
        </row>
        <row r="26">
          <cell r="C26">
            <v>12171</v>
          </cell>
          <cell r="D26">
            <v>-1179</v>
          </cell>
        </row>
        <row r="26">
          <cell r="F26">
            <v>22737</v>
          </cell>
          <cell r="G26">
            <v>-1690</v>
          </cell>
        </row>
        <row r="26">
          <cell r="I26">
            <v>56</v>
          </cell>
          <cell r="J26">
            <v>0</v>
          </cell>
        </row>
        <row r="26">
          <cell r="L26">
            <v>13649</v>
          </cell>
          <cell r="M26">
            <v>-624</v>
          </cell>
        </row>
        <row r="26">
          <cell r="O26">
            <v>11336</v>
          </cell>
          <cell r="P26">
            <v>-742</v>
          </cell>
        </row>
        <row r="26">
          <cell r="R26">
            <v>85</v>
          </cell>
          <cell r="S26">
            <v>-20</v>
          </cell>
        </row>
        <row r="26">
          <cell r="U26">
            <v>414</v>
          </cell>
          <cell r="V26">
            <v>-29</v>
          </cell>
        </row>
        <row r="26">
          <cell r="X26">
            <v>876</v>
          </cell>
          <cell r="Y26">
            <v>-74</v>
          </cell>
        </row>
        <row r="27">
          <cell r="C27">
            <v>13008</v>
          </cell>
          <cell r="D27">
            <v>-1214</v>
          </cell>
        </row>
        <row r="27">
          <cell r="F27">
            <v>26303</v>
          </cell>
          <cell r="G27">
            <v>-2623</v>
          </cell>
        </row>
        <row r="27">
          <cell r="I27">
            <v>0</v>
          </cell>
          <cell r="J27">
            <v>0</v>
          </cell>
        </row>
        <row r="27">
          <cell r="L27">
            <v>13486</v>
          </cell>
          <cell r="M27">
            <v>-612</v>
          </cell>
        </row>
        <row r="27">
          <cell r="O27">
            <v>11336</v>
          </cell>
          <cell r="P27">
            <v>-747</v>
          </cell>
        </row>
        <row r="27">
          <cell r="R27">
            <v>860</v>
          </cell>
          <cell r="S27">
            <v>-97</v>
          </cell>
        </row>
        <row r="27">
          <cell r="U27">
            <v>1759</v>
          </cell>
          <cell r="V27">
            <v>-113</v>
          </cell>
        </row>
        <row r="27">
          <cell r="X27">
            <v>923</v>
          </cell>
          <cell r="Y27">
            <v>-76</v>
          </cell>
        </row>
        <row r="28">
          <cell r="C28">
            <v>13200</v>
          </cell>
          <cell r="D28">
            <v>-1370</v>
          </cell>
        </row>
        <row r="28">
          <cell r="F28">
            <v>28057</v>
          </cell>
          <cell r="G28">
            <v>-2434</v>
          </cell>
        </row>
        <row r="28">
          <cell r="I28">
            <v>633</v>
          </cell>
          <cell r="J28">
            <v>-2</v>
          </cell>
        </row>
        <row r="28">
          <cell r="L28">
            <v>13928</v>
          </cell>
          <cell r="M28">
            <v>-666</v>
          </cell>
        </row>
        <row r="28">
          <cell r="O28">
            <v>11336</v>
          </cell>
          <cell r="P28">
            <v>-751</v>
          </cell>
        </row>
        <row r="28">
          <cell r="R28">
            <v>810</v>
          </cell>
          <cell r="S28">
            <v>-106</v>
          </cell>
        </row>
        <row r="28">
          <cell r="U28">
            <v>1827</v>
          </cell>
          <cell r="V28">
            <v>-132</v>
          </cell>
        </row>
        <row r="28">
          <cell r="X28">
            <v>925</v>
          </cell>
          <cell r="Y28">
            <v>-78</v>
          </cell>
        </row>
        <row r="29">
          <cell r="C29">
            <v>13000</v>
          </cell>
          <cell r="D29">
            <v>-979</v>
          </cell>
        </row>
        <row r="29">
          <cell r="F29">
            <v>27615</v>
          </cell>
          <cell r="G29">
            <v>-1902</v>
          </cell>
        </row>
        <row r="29">
          <cell r="I29">
            <v>610</v>
          </cell>
          <cell r="J29">
            <v>-1</v>
          </cell>
        </row>
        <row r="29">
          <cell r="L29">
            <v>14024</v>
          </cell>
          <cell r="M29">
            <v>-636</v>
          </cell>
        </row>
        <row r="29">
          <cell r="O29">
            <v>11336</v>
          </cell>
          <cell r="P29">
            <v>-747</v>
          </cell>
        </row>
        <row r="29">
          <cell r="R29">
            <v>848</v>
          </cell>
          <cell r="S29">
            <v>-106</v>
          </cell>
        </row>
        <row r="29">
          <cell r="U29">
            <v>1876</v>
          </cell>
          <cell r="V29">
            <v>-110</v>
          </cell>
        </row>
        <row r="29">
          <cell r="X29">
            <v>912</v>
          </cell>
          <cell r="Y29">
            <v>-77</v>
          </cell>
        </row>
        <row r="30">
          <cell r="C30">
            <v>13212</v>
          </cell>
          <cell r="D30">
            <v>-1065</v>
          </cell>
        </row>
        <row r="30">
          <cell r="F30">
            <v>26398</v>
          </cell>
          <cell r="G30">
            <v>-1799</v>
          </cell>
        </row>
        <row r="30">
          <cell r="I30">
            <v>641</v>
          </cell>
          <cell r="J30">
            <v>-1</v>
          </cell>
        </row>
        <row r="30">
          <cell r="L30">
            <v>14207</v>
          </cell>
          <cell r="M30">
            <v>-647</v>
          </cell>
        </row>
        <row r="30">
          <cell r="O30">
            <v>11336</v>
          </cell>
          <cell r="P30">
            <v>-740</v>
          </cell>
        </row>
        <row r="30">
          <cell r="R30">
            <v>757</v>
          </cell>
          <cell r="S30">
            <v>-98</v>
          </cell>
        </row>
        <row r="30">
          <cell r="U30">
            <v>1880</v>
          </cell>
          <cell r="V30">
            <v>-117</v>
          </cell>
        </row>
        <row r="30">
          <cell r="X30">
            <v>921</v>
          </cell>
          <cell r="Y30">
            <v>-76</v>
          </cell>
        </row>
        <row r="31">
          <cell r="C31">
            <v>12781</v>
          </cell>
          <cell r="D31">
            <v>-931</v>
          </cell>
        </row>
        <row r="31">
          <cell r="F31">
            <v>23792</v>
          </cell>
          <cell r="G31">
            <v>-1464</v>
          </cell>
        </row>
        <row r="31">
          <cell r="I31">
            <v>690</v>
          </cell>
          <cell r="J31">
            <v>-1</v>
          </cell>
        </row>
        <row r="31">
          <cell r="L31">
            <v>13869</v>
          </cell>
          <cell r="M31">
            <v>-626</v>
          </cell>
        </row>
        <row r="31">
          <cell r="O31">
            <v>11336</v>
          </cell>
          <cell r="P31">
            <v>-746</v>
          </cell>
        </row>
        <row r="31">
          <cell r="R31">
            <v>648</v>
          </cell>
          <cell r="S31">
            <v>-86</v>
          </cell>
        </row>
        <row r="31">
          <cell r="U31">
            <v>1857</v>
          </cell>
          <cell r="V31">
            <v>-104</v>
          </cell>
        </row>
        <row r="31">
          <cell r="X31">
            <v>749</v>
          </cell>
          <cell r="Y31">
            <v>-68</v>
          </cell>
        </row>
        <row r="32">
          <cell r="C32">
            <v>12729</v>
          </cell>
          <cell r="D32">
            <v>-1105</v>
          </cell>
        </row>
        <row r="32">
          <cell r="F32">
            <v>27597</v>
          </cell>
          <cell r="G32">
            <v>-1961</v>
          </cell>
        </row>
        <row r="32">
          <cell r="I32">
            <v>634</v>
          </cell>
          <cell r="J32">
            <v>-1</v>
          </cell>
        </row>
        <row r="32">
          <cell r="L32">
            <v>14242</v>
          </cell>
          <cell r="M32">
            <v>-635</v>
          </cell>
        </row>
        <row r="32">
          <cell r="O32">
            <v>11336</v>
          </cell>
          <cell r="P32">
            <v>-741</v>
          </cell>
        </row>
        <row r="32">
          <cell r="R32">
            <v>883</v>
          </cell>
          <cell r="S32">
            <v>-107</v>
          </cell>
        </row>
        <row r="32">
          <cell r="U32">
            <v>1945</v>
          </cell>
          <cell r="V32">
            <v>-125</v>
          </cell>
        </row>
        <row r="32">
          <cell r="X32">
            <v>852</v>
          </cell>
          <cell r="Y32">
            <v>-70</v>
          </cell>
        </row>
        <row r="33">
          <cell r="C33">
            <v>13016</v>
          </cell>
          <cell r="D33">
            <v>-1177</v>
          </cell>
        </row>
        <row r="33">
          <cell r="F33">
            <v>30425</v>
          </cell>
          <cell r="G33">
            <v>-2229</v>
          </cell>
        </row>
        <row r="33">
          <cell r="I33">
            <v>626</v>
          </cell>
          <cell r="J33">
            <v>-1</v>
          </cell>
        </row>
        <row r="33">
          <cell r="L33">
            <v>14306</v>
          </cell>
          <cell r="M33">
            <v>-636</v>
          </cell>
        </row>
        <row r="33">
          <cell r="O33">
            <v>11336</v>
          </cell>
          <cell r="P33">
            <v>-739</v>
          </cell>
        </row>
        <row r="33">
          <cell r="R33">
            <v>920</v>
          </cell>
          <cell r="S33">
            <v>-108</v>
          </cell>
        </row>
        <row r="33">
          <cell r="U33">
            <v>1832</v>
          </cell>
          <cell r="V33">
            <v>-128</v>
          </cell>
        </row>
        <row r="33">
          <cell r="X33">
            <v>810</v>
          </cell>
          <cell r="Y33">
            <v>-70</v>
          </cell>
        </row>
        <row r="34">
          <cell r="C34">
            <v>13407</v>
          </cell>
          <cell r="D34">
            <v>-1205</v>
          </cell>
        </row>
        <row r="34">
          <cell r="F34">
            <v>31840</v>
          </cell>
          <cell r="G34">
            <v>-2158</v>
          </cell>
        </row>
        <row r="34">
          <cell r="I34">
            <v>596</v>
          </cell>
          <cell r="J34">
            <v>-1</v>
          </cell>
        </row>
        <row r="34">
          <cell r="L34">
            <v>14624</v>
          </cell>
          <cell r="M34">
            <v>-659</v>
          </cell>
        </row>
        <row r="34">
          <cell r="O34">
            <v>11336</v>
          </cell>
          <cell r="P34">
            <v>-751</v>
          </cell>
        </row>
        <row r="34">
          <cell r="R34">
            <v>927</v>
          </cell>
          <cell r="S34">
            <v>-109</v>
          </cell>
        </row>
        <row r="34">
          <cell r="U34">
            <v>1841</v>
          </cell>
          <cell r="V34">
            <v>-131</v>
          </cell>
        </row>
        <row r="34">
          <cell r="X34">
            <v>839</v>
          </cell>
          <cell r="Y34">
            <v>-69</v>
          </cell>
        </row>
        <row r="35">
          <cell r="C35">
            <v>13311</v>
          </cell>
          <cell r="D35">
            <v>-1098</v>
          </cell>
        </row>
        <row r="35">
          <cell r="F35">
            <v>32461</v>
          </cell>
          <cell r="G35">
            <v>-1937</v>
          </cell>
        </row>
        <row r="35">
          <cell r="I35">
            <v>607</v>
          </cell>
          <cell r="J35">
            <v>-1</v>
          </cell>
        </row>
        <row r="35">
          <cell r="L35">
            <v>14672</v>
          </cell>
          <cell r="M35">
            <v>-656</v>
          </cell>
        </row>
        <row r="35">
          <cell r="O35">
            <v>11336</v>
          </cell>
          <cell r="P35">
            <v>-753</v>
          </cell>
        </row>
        <row r="35">
          <cell r="R35">
            <v>923</v>
          </cell>
          <cell r="S35">
            <v>-109</v>
          </cell>
        </row>
        <row r="35">
          <cell r="U35">
            <v>1815</v>
          </cell>
          <cell r="V35">
            <v>-123</v>
          </cell>
        </row>
        <row r="35">
          <cell r="X35">
            <v>850</v>
          </cell>
          <cell r="Y35">
            <v>-71</v>
          </cell>
        </row>
        <row r="36">
          <cell r="C36">
            <v>13302</v>
          </cell>
          <cell r="D36">
            <v>-1057</v>
          </cell>
        </row>
        <row r="36">
          <cell r="F36">
            <v>32455</v>
          </cell>
          <cell r="G36">
            <v>-1800</v>
          </cell>
        </row>
        <row r="36">
          <cell r="I36">
            <v>631</v>
          </cell>
          <cell r="J36">
            <v>-1</v>
          </cell>
        </row>
        <row r="36">
          <cell r="L36">
            <v>14601</v>
          </cell>
          <cell r="M36">
            <v>-657</v>
          </cell>
        </row>
        <row r="36">
          <cell r="O36">
            <v>11336</v>
          </cell>
          <cell r="P36">
            <v>-751</v>
          </cell>
        </row>
        <row r="36">
          <cell r="R36">
            <v>852</v>
          </cell>
          <cell r="S36">
            <v>-103</v>
          </cell>
        </row>
        <row r="36">
          <cell r="U36">
            <v>1799</v>
          </cell>
          <cell r="V36">
            <v>-121</v>
          </cell>
        </row>
        <row r="36">
          <cell r="X36">
            <v>350</v>
          </cell>
          <cell r="Y36">
            <v>-29</v>
          </cell>
        </row>
        <row r="37">
          <cell r="C37">
            <v>13407</v>
          </cell>
          <cell r="D37">
            <v>-870</v>
          </cell>
        </row>
        <row r="37">
          <cell r="F37">
            <v>30599</v>
          </cell>
          <cell r="G37">
            <v>-2225</v>
          </cell>
        </row>
        <row r="37">
          <cell r="I37">
            <v>619</v>
          </cell>
          <cell r="J37">
            <v>-1</v>
          </cell>
        </row>
        <row r="37">
          <cell r="L37">
            <v>14535</v>
          </cell>
          <cell r="M37">
            <v>-656</v>
          </cell>
        </row>
        <row r="37">
          <cell r="O37">
            <v>11336</v>
          </cell>
          <cell r="P37">
            <v>-751</v>
          </cell>
        </row>
        <row r="37">
          <cell r="R37">
            <v>861</v>
          </cell>
          <cell r="S37">
            <v>-106</v>
          </cell>
        </row>
        <row r="37">
          <cell r="U37">
            <v>1794</v>
          </cell>
          <cell r="V37">
            <v>-93</v>
          </cell>
        </row>
        <row r="37">
          <cell r="X37">
            <v>684</v>
          </cell>
          <cell r="Y37">
            <v>-62</v>
          </cell>
        </row>
        <row r="38">
          <cell r="C38">
            <v>13302</v>
          </cell>
          <cell r="D38">
            <v>-1235</v>
          </cell>
        </row>
        <row r="38">
          <cell r="F38">
            <v>22410</v>
          </cell>
          <cell r="G38">
            <v>-1772</v>
          </cell>
        </row>
        <row r="38">
          <cell r="I38">
            <v>630</v>
          </cell>
          <cell r="J38">
            <v>-1</v>
          </cell>
        </row>
        <row r="38">
          <cell r="L38">
            <v>14452</v>
          </cell>
          <cell r="M38">
            <v>-650</v>
          </cell>
        </row>
        <row r="38">
          <cell r="O38">
            <v>11336</v>
          </cell>
          <cell r="P38">
            <v>-749</v>
          </cell>
        </row>
        <row r="38">
          <cell r="R38">
            <v>814</v>
          </cell>
          <cell r="S38">
            <v>-102</v>
          </cell>
        </row>
        <row r="38">
          <cell r="U38">
            <v>1810</v>
          </cell>
          <cell r="V38">
            <v>-133</v>
          </cell>
        </row>
        <row r="38">
          <cell r="X38">
            <v>734</v>
          </cell>
          <cell r="Y38">
            <v>-65</v>
          </cell>
        </row>
        <row r="39">
          <cell r="C39">
            <v>12820</v>
          </cell>
          <cell r="D39">
            <v>-1058</v>
          </cell>
        </row>
        <row r="39">
          <cell r="F39">
            <v>28703</v>
          </cell>
          <cell r="G39">
            <v>-2004</v>
          </cell>
        </row>
        <row r="39">
          <cell r="I39">
            <v>616</v>
          </cell>
          <cell r="J39">
            <v>-2</v>
          </cell>
        </row>
        <row r="39">
          <cell r="L39">
            <v>14269</v>
          </cell>
          <cell r="M39">
            <v>-667</v>
          </cell>
        </row>
        <row r="39">
          <cell r="O39">
            <v>11336</v>
          </cell>
          <cell r="P39">
            <v>-746</v>
          </cell>
        </row>
        <row r="39">
          <cell r="R39">
            <v>748</v>
          </cell>
          <cell r="S39">
            <v>-93</v>
          </cell>
        </row>
        <row r="39">
          <cell r="U39">
            <v>1785</v>
          </cell>
          <cell r="V39">
            <v>-114</v>
          </cell>
        </row>
        <row r="39">
          <cell r="X39">
            <v>306</v>
          </cell>
          <cell r="Y39">
            <v>-33</v>
          </cell>
        </row>
        <row r="40">
          <cell r="C40">
            <v>12733</v>
          </cell>
          <cell r="D40">
            <v>-1075</v>
          </cell>
        </row>
        <row r="40">
          <cell r="F40">
            <v>28198</v>
          </cell>
          <cell r="G40">
            <v>-2215</v>
          </cell>
        </row>
        <row r="40">
          <cell r="I40">
            <v>204</v>
          </cell>
          <cell r="J40">
            <v>0</v>
          </cell>
        </row>
        <row r="40">
          <cell r="L40">
            <v>13915</v>
          </cell>
          <cell r="M40">
            <v>-654</v>
          </cell>
        </row>
        <row r="40">
          <cell r="O40">
            <v>11336</v>
          </cell>
          <cell r="P40">
            <v>-758</v>
          </cell>
        </row>
        <row r="40">
          <cell r="R40">
            <v>354</v>
          </cell>
          <cell r="S40">
            <v>-75</v>
          </cell>
        </row>
        <row r="40">
          <cell r="U40">
            <v>1785</v>
          </cell>
          <cell r="V40">
            <v>-116</v>
          </cell>
        </row>
        <row r="40">
          <cell r="X40">
            <v>598</v>
          </cell>
          <cell r="Y40">
            <v>-67</v>
          </cell>
        </row>
        <row r="41">
          <cell r="C41">
            <v>13216</v>
          </cell>
          <cell r="D41">
            <v>-858</v>
          </cell>
        </row>
        <row r="41">
          <cell r="F41">
            <v>25473</v>
          </cell>
          <cell r="G41">
            <v>-1642</v>
          </cell>
        </row>
        <row r="41">
          <cell r="I41">
            <v>3</v>
          </cell>
          <cell r="J41">
            <v>0</v>
          </cell>
        </row>
        <row r="41">
          <cell r="L41">
            <v>12872</v>
          </cell>
          <cell r="M41">
            <v>-658</v>
          </cell>
        </row>
        <row r="41">
          <cell r="O41">
            <v>11336</v>
          </cell>
          <cell r="P41">
            <v>-764</v>
          </cell>
        </row>
        <row r="41">
          <cell r="R41">
            <v>853</v>
          </cell>
          <cell r="S41">
            <v>-102</v>
          </cell>
        </row>
        <row r="41">
          <cell r="U41">
            <v>1777</v>
          </cell>
          <cell r="V41">
            <v>-93</v>
          </cell>
        </row>
        <row r="41">
          <cell r="X41">
            <v>784</v>
          </cell>
          <cell r="Y41">
            <v>-76</v>
          </cell>
        </row>
        <row r="42">
          <cell r="C42">
            <v>5514.5</v>
          </cell>
          <cell r="D42">
            <v>-544.5</v>
          </cell>
        </row>
        <row r="42">
          <cell r="F42">
            <v>11835.5</v>
          </cell>
          <cell r="G42">
            <v>-1163.5</v>
          </cell>
        </row>
        <row r="42">
          <cell r="I42">
            <v>419</v>
          </cell>
          <cell r="J42">
            <v>-1</v>
          </cell>
        </row>
        <row r="42">
          <cell r="L42">
            <v>0</v>
          </cell>
          <cell r="M42">
            <v>0</v>
          </cell>
        </row>
        <row r="42">
          <cell r="R42">
            <v>717</v>
          </cell>
          <cell r="S42">
            <v>-88</v>
          </cell>
        </row>
        <row r="42">
          <cell r="U42">
            <v>1812</v>
          </cell>
          <cell r="V42">
            <v>-130</v>
          </cell>
        </row>
        <row r="42">
          <cell r="X42">
            <v>863</v>
          </cell>
          <cell r="Y42">
            <v>-76</v>
          </cell>
        </row>
        <row r="43">
          <cell r="C43">
            <v>0</v>
          </cell>
          <cell r="D43">
            <v>0</v>
          </cell>
        </row>
        <row r="43">
          <cell r="F43">
            <v>0</v>
          </cell>
          <cell r="G43">
            <v>0</v>
          </cell>
        </row>
        <row r="43">
          <cell r="I43">
            <v>435</v>
          </cell>
          <cell r="J43">
            <v>-3</v>
          </cell>
        </row>
        <row r="43">
          <cell r="L43">
            <v>0</v>
          </cell>
          <cell r="M43">
            <v>0</v>
          </cell>
        </row>
        <row r="43">
          <cell r="O43">
            <v>0</v>
          </cell>
          <cell r="P43">
            <v>0</v>
          </cell>
        </row>
        <row r="43">
          <cell r="R43">
            <v>770</v>
          </cell>
          <cell r="S43">
            <v>-93</v>
          </cell>
        </row>
        <row r="43">
          <cell r="U43">
            <v>1768</v>
          </cell>
          <cell r="V43">
            <v>-123</v>
          </cell>
        </row>
        <row r="43">
          <cell r="X43">
            <v>779</v>
          </cell>
          <cell r="Y43">
            <v>-73</v>
          </cell>
        </row>
      </sheetData>
      <sheetData sheetId="1">
        <row r="17">
          <cell r="C17">
            <v>376951</v>
          </cell>
        </row>
        <row r="17">
          <cell r="G17">
            <v>177166.97</v>
          </cell>
        </row>
        <row r="18">
          <cell r="C18">
            <v>824501</v>
          </cell>
        </row>
        <row r="18">
          <cell r="G18">
            <v>502945.61</v>
          </cell>
        </row>
        <row r="19">
          <cell r="C19">
            <v>11907</v>
          </cell>
        </row>
        <row r="19">
          <cell r="G19">
            <v>5709.795</v>
          </cell>
        </row>
        <row r="20">
          <cell r="G20">
            <v>0</v>
          </cell>
        </row>
        <row r="21">
          <cell r="C21">
            <v>386901</v>
          </cell>
        </row>
        <row r="21">
          <cell r="G21">
            <v>144520.6</v>
          </cell>
        </row>
        <row r="23">
          <cell r="B23" t="str">
            <v>Facility Fee</v>
          </cell>
        </row>
        <row r="23">
          <cell r="G23">
            <v>0</v>
          </cell>
        </row>
        <row r="25">
          <cell r="C25">
            <v>321181</v>
          </cell>
        </row>
        <row r="25">
          <cell r="G25">
            <v>153137.7</v>
          </cell>
        </row>
        <row r="26">
          <cell r="C26">
            <v>23734</v>
          </cell>
        </row>
        <row r="26">
          <cell r="G26">
            <v>13867.36</v>
          </cell>
        </row>
        <row r="27">
          <cell r="C27">
            <v>52872</v>
          </cell>
        </row>
        <row r="27">
          <cell r="G27">
            <v>22215.96</v>
          </cell>
        </row>
        <row r="28">
          <cell r="C28">
            <v>22427</v>
          </cell>
        </row>
        <row r="28">
          <cell r="G28">
            <v>11595.38</v>
          </cell>
        </row>
        <row r="30">
          <cell r="C30">
            <v>20020</v>
          </cell>
        </row>
        <row r="30">
          <cell r="G30">
            <v>2839.2</v>
          </cell>
        </row>
        <row r="31">
          <cell r="G31">
            <v>10193.82</v>
          </cell>
        </row>
        <row r="32">
          <cell r="G32">
            <v>1010.68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hyperlink" Target="mailto:wnicholson@quantumenergyllc.com" TargetMode="External"/><Relationship Id="rId2" Type="http://schemas.openxmlformats.org/officeDocument/2006/relationships/hyperlink" Target="mailto:rosco@cyberhighway.net" TargetMode="External"/><Relationship Id="rId3" Type="http://schemas.openxmlformats.org/officeDocument/2006/relationships/drawing" Target="../drawings/drawing12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comments" Target="../comments2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1" width="12.28"/>
    <col collapsed="false" customWidth="true" hidden="false" outlineLevel="0" max="5" min="5" style="0" width="22.14"/>
    <col collapsed="false" customWidth="true" hidden="false" outlineLevel="0" max="8" min="8" style="0" width="17.99"/>
  </cols>
  <sheetData>
    <row r="1" customFormat="false" ht="18" hidden="false" customHeight="false" outlineLevel="0" collapsed="false">
      <c r="A1" s="2" t="n">
        <v>37196</v>
      </c>
      <c r="B1" s="3" t="n">
        <f aca="true">NOW()</f>
        <v>45926.8884092065</v>
      </c>
    </row>
    <row r="3" customFormat="false" ht="12.75" hidden="false" customHeight="false" outlineLevel="0" collapsed="false">
      <c r="A3" s="0" t="s">
        <v>0</v>
      </c>
      <c r="B3" s="4" t="n">
        <v>2.54</v>
      </c>
      <c r="E3" s="5" t="s">
        <v>1</v>
      </c>
      <c r="F3" s="6" t="n">
        <v>0.0068</v>
      </c>
      <c r="H3" s="5" t="s">
        <v>2</v>
      </c>
      <c r="I3" s="6" t="n">
        <v>0.001</v>
      </c>
    </row>
    <row r="4" customFormat="false" ht="12.75" hidden="false" customHeight="false" outlineLevel="0" collapsed="false">
      <c r="A4" s="0" t="s">
        <v>3</v>
      </c>
      <c r="B4" s="4" t="n">
        <v>3.04</v>
      </c>
      <c r="E4" s="5" t="s">
        <v>4</v>
      </c>
      <c r="F4" s="7" t="n">
        <v>36861</v>
      </c>
      <c r="H4" s="5" t="s">
        <v>4</v>
      </c>
      <c r="I4" s="7" t="n">
        <v>36982</v>
      </c>
    </row>
    <row r="6" customFormat="false" ht="12.75" hidden="false" customHeight="false" outlineLevel="0" collapsed="false">
      <c r="A6" s="0" t="s">
        <v>5</v>
      </c>
    </row>
    <row r="7" customFormat="false" ht="12.75" hidden="false" customHeight="false" outlineLevel="0" collapsed="false">
      <c r="A7" s="8" t="n">
        <f aca="false">+A1</f>
        <v>37196</v>
      </c>
      <c r="B7" s="9" t="n">
        <v>2.67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customFormat="false" ht="12.75" hidden="false" customHeight="false" outlineLevel="0" collapsed="false">
      <c r="A8" s="8" t="n">
        <f aca="false">+A7+1</f>
        <v>37197</v>
      </c>
      <c r="B8" s="9" t="n">
        <v>2.36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customFormat="false" ht="12.75" hidden="false" customHeight="false" outlineLevel="0" collapsed="false">
      <c r="A9" s="8" t="n">
        <f aca="false">+A8+1</f>
        <v>37198</v>
      </c>
      <c r="B9" s="9" t="n">
        <v>2.015</v>
      </c>
      <c r="D9" s="9"/>
      <c r="E9" s="9"/>
      <c r="F9" s="9"/>
      <c r="G9" s="9"/>
    </row>
    <row r="10" customFormat="false" ht="12.75" hidden="false" customHeight="false" outlineLevel="0" collapsed="false">
      <c r="A10" s="8" t="n">
        <f aca="false">+A9+1</f>
        <v>37199</v>
      </c>
      <c r="B10" s="9" t="n">
        <v>2.015</v>
      </c>
    </row>
    <row r="11" customFormat="false" ht="12.75" hidden="false" customHeight="false" outlineLevel="0" collapsed="false">
      <c r="A11" s="8" t="n">
        <f aca="false">+A10+1</f>
        <v>37200</v>
      </c>
      <c r="B11" s="9" t="n">
        <v>2.015</v>
      </c>
    </row>
    <row r="12" customFormat="false" ht="12.75" hidden="false" customHeight="false" outlineLevel="0" collapsed="false">
      <c r="A12" s="8" t="n">
        <f aca="false">+A11+1</f>
        <v>37201</v>
      </c>
      <c r="B12" s="9" t="n">
        <v>2.16</v>
      </c>
    </row>
    <row r="13" customFormat="false" ht="12.75" hidden="false" customHeight="false" outlineLevel="0" collapsed="false">
      <c r="A13" s="8" t="n">
        <f aca="false">+A12+1</f>
        <v>37202</v>
      </c>
      <c r="B13" s="9" t="n">
        <v>2.135</v>
      </c>
    </row>
    <row r="14" customFormat="false" ht="12.75" hidden="false" customHeight="false" outlineLevel="0" collapsed="false">
      <c r="A14" s="8" t="n">
        <f aca="false">+A13+1</f>
        <v>37203</v>
      </c>
      <c r="B14" s="9" t="n">
        <v>2.13</v>
      </c>
    </row>
    <row r="15" customFormat="false" ht="12.75" hidden="false" customHeight="false" outlineLevel="0" collapsed="false">
      <c r="A15" s="8" t="n">
        <f aca="false">+A14+1</f>
        <v>37204</v>
      </c>
      <c r="B15" s="9" t="n">
        <v>1.935</v>
      </c>
    </row>
    <row r="16" customFormat="false" ht="12.75" hidden="false" customHeight="false" outlineLevel="0" collapsed="false">
      <c r="A16" s="8" t="n">
        <f aca="false">+A15+1</f>
        <v>37205</v>
      </c>
      <c r="B16" s="9" t="n">
        <v>1.7</v>
      </c>
    </row>
    <row r="17" customFormat="false" ht="12.75" hidden="false" customHeight="false" outlineLevel="0" collapsed="false">
      <c r="A17" s="8" t="n">
        <f aca="false">+A16+1</f>
        <v>37206</v>
      </c>
      <c r="B17" s="9" t="n">
        <v>1.7</v>
      </c>
    </row>
    <row r="18" customFormat="false" ht="12.75" hidden="false" customHeight="false" outlineLevel="0" collapsed="false">
      <c r="A18" s="8" t="n">
        <f aca="false">+A17+1</f>
        <v>37207</v>
      </c>
      <c r="B18" s="9" t="n">
        <v>1.7</v>
      </c>
    </row>
    <row r="19" customFormat="false" ht="12.75" hidden="false" customHeight="false" outlineLevel="0" collapsed="false">
      <c r="A19" s="8" t="n">
        <f aca="false">+A18+1</f>
        <v>37208</v>
      </c>
      <c r="B19" s="9" t="n">
        <v>1.52</v>
      </c>
    </row>
    <row r="20" customFormat="false" ht="12.75" hidden="false" customHeight="false" outlineLevel="0" collapsed="false">
      <c r="A20" s="8" t="n">
        <f aca="false">+A19+1</f>
        <v>37209</v>
      </c>
      <c r="B20" s="9" t="n">
        <v>1.595</v>
      </c>
    </row>
    <row r="21" customFormat="false" ht="12.75" hidden="false" customHeight="false" outlineLevel="0" collapsed="false">
      <c r="A21" s="8" t="n">
        <f aca="false">+A20+1</f>
        <v>37210</v>
      </c>
      <c r="B21" s="9" t="n">
        <v>1.84</v>
      </c>
    </row>
    <row r="22" customFormat="false" ht="12.75" hidden="false" customHeight="false" outlineLevel="0" collapsed="false">
      <c r="A22" s="8" t="n">
        <f aca="false">+A21+1</f>
        <v>37211</v>
      </c>
      <c r="B22" s="9" t="n">
        <v>1.435</v>
      </c>
    </row>
    <row r="23" customFormat="false" ht="12.75" hidden="false" customHeight="false" outlineLevel="0" collapsed="false">
      <c r="A23" s="8" t="n">
        <f aca="false">+A22+1</f>
        <v>37212</v>
      </c>
      <c r="B23" s="9" t="n">
        <v>1.135</v>
      </c>
    </row>
    <row r="24" customFormat="false" ht="12.75" hidden="false" customHeight="false" outlineLevel="0" collapsed="false">
      <c r="A24" s="8" t="n">
        <f aca="false">+A23+1</f>
        <v>37213</v>
      </c>
      <c r="B24" s="9" t="n">
        <v>1.135</v>
      </c>
    </row>
    <row r="25" customFormat="false" ht="12.75" hidden="false" customHeight="false" outlineLevel="0" collapsed="false">
      <c r="A25" s="8" t="n">
        <f aca="false">+A24+1</f>
        <v>37214</v>
      </c>
      <c r="B25" s="9" t="n">
        <v>1.135</v>
      </c>
    </row>
    <row r="26" customFormat="false" ht="12.75" hidden="false" customHeight="false" outlineLevel="0" collapsed="false">
      <c r="A26" s="8" t="n">
        <f aca="false">+A25+1</f>
        <v>37215</v>
      </c>
      <c r="B26" s="9" t="n">
        <v>1.535</v>
      </c>
    </row>
    <row r="27" customFormat="false" ht="12.75" hidden="false" customHeight="false" outlineLevel="0" collapsed="false">
      <c r="A27" s="8" t="n">
        <f aca="false">+A26+1</f>
        <v>37216</v>
      </c>
      <c r="B27" s="9" t="n">
        <v>2.205</v>
      </c>
    </row>
    <row r="28" customFormat="false" ht="12.75" hidden="false" customHeight="false" outlineLevel="0" collapsed="false">
      <c r="A28" s="8" t="n">
        <f aca="false">+A27+1</f>
        <v>37217</v>
      </c>
      <c r="B28" s="9" t="n">
        <v>1.43</v>
      </c>
    </row>
    <row r="29" customFormat="false" ht="12.75" hidden="false" customHeight="false" outlineLevel="0" collapsed="false">
      <c r="A29" s="8" t="n">
        <f aca="false">+A28+1</f>
        <v>37218</v>
      </c>
      <c r="B29" s="9" t="n">
        <v>1.43</v>
      </c>
    </row>
    <row r="30" customFormat="false" ht="12.75" hidden="false" customHeight="false" outlineLevel="0" collapsed="false">
      <c r="A30" s="8" t="n">
        <f aca="false">+A29+1</f>
        <v>37219</v>
      </c>
      <c r="B30" s="9" t="n">
        <v>1.43</v>
      </c>
    </row>
    <row r="31" customFormat="false" ht="12.75" hidden="false" customHeight="false" outlineLevel="0" collapsed="false">
      <c r="A31" s="8" t="n">
        <f aca="false">+A30+1</f>
        <v>37220</v>
      </c>
      <c r="B31" s="9" t="n">
        <v>1.43</v>
      </c>
    </row>
    <row r="32" customFormat="false" ht="12.75" hidden="false" customHeight="false" outlineLevel="0" collapsed="false">
      <c r="A32" s="8" t="n">
        <f aca="false">+A31+1</f>
        <v>37221</v>
      </c>
      <c r="B32" s="9" t="n">
        <v>1.43</v>
      </c>
    </row>
    <row r="33" customFormat="false" ht="12.75" hidden="false" customHeight="false" outlineLevel="0" collapsed="false">
      <c r="A33" s="8" t="n">
        <f aca="false">+A32+1</f>
        <v>37222</v>
      </c>
      <c r="B33" s="9" t="n">
        <v>1.88</v>
      </c>
    </row>
    <row r="34" customFormat="false" ht="12.75" hidden="false" customHeight="false" outlineLevel="0" collapsed="false">
      <c r="A34" s="8" t="n">
        <f aca="false">+A33+1</f>
        <v>37223</v>
      </c>
      <c r="B34" s="9" t="n">
        <v>2.16</v>
      </c>
    </row>
    <row r="35" customFormat="false" ht="12.75" hidden="false" customHeight="false" outlineLevel="0" collapsed="false">
      <c r="A35" s="8" t="n">
        <f aca="false">+A34+1</f>
        <v>37224</v>
      </c>
      <c r="B35" s="10" t="n">
        <v>2.38</v>
      </c>
    </row>
    <row r="36" customFormat="false" ht="12.75" hidden="false" customHeight="false" outlineLevel="0" collapsed="false">
      <c r="A36" s="8" t="n">
        <f aca="false">+A35+1</f>
        <v>37225</v>
      </c>
      <c r="B36" s="10" t="n">
        <v>2.025</v>
      </c>
    </row>
    <row r="37" customFormat="false" ht="12.75" hidden="false" customHeight="false" outlineLevel="0" collapsed="false">
      <c r="A37" s="8"/>
      <c r="B37" s="10"/>
    </row>
    <row r="38" customFormat="false" ht="12.75" hidden="false" customHeight="false" outlineLevel="0" collapsed="false">
      <c r="B38" s="11" t="n">
        <f aca="false">SUM(B7:B37)/30</f>
        <v>1.78883333333333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10" activeCellId="0" sqref="J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85"/>
    <col collapsed="false" customWidth="true" hidden="false" outlineLevel="0" max="2" min="2" style="0" width="15.56"/>
    <col collapsed="false" customWidth="true" hidden="false" outlineLevel="0" max="3" min="3" style="0" width="19.7"/>
    <col collapsed="false" customWidth="true" hidden="false" outlineLevel="0" max="4" min="4" style="0" width="17.56"/>
    <col collapsed="false" customWidth="true" hidden="false" outlineLevel="0" max="5" min="5" style="0" width="20.41"/>
    <col collapsed="false" customWidth="true" hidden="false" outlineLevel="0" max="6" min="6" style="0" width="9.85"/>
    <col collapsed="false" customWidth="true" hidden="false" outlineLevel="0" max="7" min="7" style="0" width="15.56"/>
    <col collapsed="false" customWidth="true" hidden="false" outlineLevel="0" max="8" min="8" style="0" width="21.84"/>
    <col collapsed="false" customWidth="true" hidden="false" outlineLevel="0" max="9" min="9" style="0" width="12.14"/>
    <col collapsed="false" customWidth="true" hidden="false" outlineLevel="0" max="10" min="10" style="0" width="18.99"/>
    <col collapsed="false" customWidth="true" hidden="false" outlineLevel="0" max="11" min="11" style="0" width="16.99"/>
    <col collapsed="false" customWidth="true" hidden="false" outlineLevel="0" max="12" min="12" style="0" width="18.99"/>
  </cols>
  <sheetData>
    <row r="1" customFormat="false" ht="12.75" hidden="false" customHeight="false" outlineLevel="0" collapsed="false">
      <c r="A1" s="32" t="s">
        <v>189</v>
      </c>
      <c r="B1" s="32" t="s">
        <v>202</v>
      </c>
      <c r="C1" s="32"/>
      <c r="F1" s="0" t="s">
        <v>51</v>
      </c>
      <c r="L1" s="3" t="n">
        <f aca="true">NOW()</f>
        <v>45926.8884094603</v>
      </c>
    </row>
    <row r="2" customFormat="false" ht="12.75" hidden="false" customHeight="false" outlineLevel="0" collapsed="false">
      <c r="A2" s="33" t="n">
        <f aca="false">+'Index Pricing'!A1</f>
        <v>37196</v>
      </c>
      <c r="B2" s="32" t="s">
        <v>52</v>
      </c>
      <c r="C2" s="32" t="s">
        <v>203</v>
      </c>
    </row>
    <row r="3" customFormat="false" ht="12.75" hidden="false" customHeight="false" outlineLevel="0" collapsed="false">
      <c r="A3" s="62"/>
      <c r="B3" s="32" t="s">
        <v>54</v>
      </c>
      <c r="C3" s="32" t="s">
        <v>204</v>
      </c>
      <c r="F3" s="0" t="s">
        <v>56</v>
      </c>
      <c r="I3" s="0" t="s">
        <v>57</v>
      </c>
    </row>
    <row r="4" customFormat="false" ht="12.75" hidden="false" customHeight="false" outlineLevel="0" collapsed="false">
      <c r="A4" s="62"/>
      <c r="F4" s="32"/>
      <c r="G4" s="32"/>
      <c r="H4" s="32"/>
    </row>
    <row r="5" customFormat="false" ht="12.75" hidden="false" customHeight="false" outlineLevel="0" collapsed="false">
      <c r="A5" s="62" t="s">
        <v>205</v>
      </c>
      <c r="B5" s="255" t="n">
        <v>662</v>
      </c>
      <c r="F5" s="32"/>
      <c r="G5" s="32"/>
      <c r="H5" s="32"/>
    </row>
    <row r="6" customFormat="false" ht="12.75" hidden="false" customHeight="false" outlineLevel="0" collapsed="false">
      <c r="A6" s="62" t="s">
        <v>206</v>
      </c>
      <c r="B6" s="0" t="n">
        <f aca="false">'[1]Enron Detail'!$I$9</f>
        <v>0.927986906710311</v>
      </c>
    </row>
    <row r="7" customFormat="false" ht="12.75" hidden="false" customHeight="false" outlineLevel="0" collapsed="false">
      <c r="A7" s="62" t="s">
        <v>207</v>
      </c>
      <c r="B7" s="41" t="n">
        <v>0.445</v>
      </c>
      <c r="C7" s="0" t="s">
        <v>60</v>
      </c>
    </row>
    <row r="8" customFormat="false" ht="12.75" hidden="false" customHeight="false" outlineLevel="0" collapsed="false">
      <c r="A8" s="62" t="str">
        <f aca="false">+'Index Pricing'!A3</f>
        <v>IF CIG Rockies</v>
      </c>
      <c r="B8" s="54" t="n">
        <f aca="false">+'Index Pricing'!B3</f>
        <v>2.54</v>
      </c>
    </row>
    <row r="9" customFormat="false" ht="13.5" hidden="false" customHeight="false" outlineLevel="0" collapsed="false">
      <c r="A9" s="62"/>
    </row>
    <row r="10" customFormat="false" ht="25.5" hidden="false" customHeight="false" outlineLevel="0" collapsed="false">
      <c r="A10" s="336"/>
      <c r="B10" s="337"/>
      <c r="C10" s="337"/>
      <c r="D10" s="67" t="s">
        <v>208</v>
      </c>
      <c r="E10" s="337"/>
      <c r="F10" s="337"/>
      <c r="G10" s="67" t="s">
        <v>66</v>
      </c>
      <c r="H10" s="338" t="s">
        <v>67</v>
      </c>
      <c r="I10" s="24"/>
      <c r="J10" s="24"/>
      <c r="K10" s="24"/>
      <c r="L10" s="24"/>
    </row>
    <row r="11" customFormat="false" ht="12.75" hidden="false" customHeight="false" outlineLevel="0" collapsed="false">
      <c r="A11" s="339" t="s">
        <v>68</v>
      </c>
      <c r="B11" s="340" t="s">
        <v>36</v>
      </c>
      <c r="C11" s="341"/>
      <c r="D11" s="340" t="n">
        <f aca="false">-B7/B6</f>
        <v>-0.479532627865961</v>
      </c>
      <c r="E11" s="340"/>
      <c r="F11" s="340"/>
      <c r="G11" s="340" t="n">
        <f aca="false">-H48*D11/(D48+F48)</f>
        <v>-0.000968508210787097</v>
      </c>
      <c r="H11" s="342" t="n">
        <f aca="false">ROUND(SUM(C11:G11),4)</f>
        <v>-0.4805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customFormat="false" ht="13.5" hidden="false" customHeight="false" outlineLevel="0" collapsed="false">
      <c r="A12" s="343"/>
      <c r="B12" s="344" t="s">
        <v>209</v>
      </c>
      <c r="C12" s="345"/>
      <c r="D12" s="344" t="n">
        <f aca="false">-B7/B6</f>
        <v>-0.479532627865961</v>
      </c>
      <c r="E12" s="344"/>
      <c r="F12" s="344"/>
      <c r="G12" s="344" t="n">
        <f aca="false">+G11</f>
        <v>-0.000968508210787097</v>
      </c>
      <c r="H12" s="346" t="n">
        <f aca="false">ROUND(SUM(C12:G12),4)</f>
        <v>-0.4805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customFormat="false" ht="13.5" hidden="false" customHeight="false" outlineLevel="0" collapsed="false"/>
    <row r="14" customFormat="false" ht="38.25" hidden="false" customHeight="false" outlineLevel="0" collapsed="false">
      <c r="A14" s="0" t="s">
        <v>29</v>
      </c>
      <c r="B14" s="0" t="s">
        <v>81</v>
      </c>
      <c r="C14" s="88" t="s">
        <v>146</v>
      </c>
      <c r="D14" s="85" t="s">
        <v>70</v>
      </c>
      <c r="E14" s="81" t="s">
        <v>210</v>
      </c>
      <c r="F14" s="82" t="s">
        <v>74</v>
      </c>
      <c r="G14" s="83"/>
      <c r="H14" s="80" t="s">
        <v>211</v>
      </c>
      <c r="I14" s="80" t="s">
        <v>76</v>
      </c>
      <c r="J14" s="84" t="s">
        <v>77</v>
      </c>
      <c r="K14" s="82" t="s">
        <v>79</v>
      </c>
      <c r="L14" s="86" t="s">
        <v>80</v>
      </c>
    </row>
    <row r="15" customFormat="false" ht="12.75" hidden="false" customHeight="false" outlineLevel="0" collapsed="false">
      <c r="C15" s="347"/>
      <c r="D15" s="83"/>
      <c r="E15" s="347" t="s">
        <v>84</v>
      </c>
      <c r="F15" s="348" t="n">
        <v>0.5</v>
      </c>
      <c r="G15" s="83"/>
      <c r="H15" s="80"/>
      <c r="I15" s="80"/>
      <c r="J15" s="90"/>
      <c r="K15" s="91"/>
      <c r="L15" s="86"/>
    </row>
    <row r="16" customFormat="false" ht="12.75" hidden="false" customHeight="false" outlineLevel="0" collapsed="false">
      <c r="A16" s="8" t="n">
        <f aca="false">+'Index Pricing'!A7</f>
        <v>37196</v>
      </c>
      <c r="B16" s="41" t="n">
        <f aca="false">+'Index Pricing'!B7</f>
        <v>2.67</v>
      </c>
      <c r="C16" s="100" t="n">
        <f aca="false">+B16+$H$11</f>
        <v>2.1895</v>
      </c>
      <c r="D16" s="349" t="n">
        <f aca="false">+I16+H16-F16</f>
        <v>166</v>
      </c>
      <c r="E16" s="100" t="n">
        <f aca="false">+$B$8+$H$12</f>
        <v>2.0595</v>
      </c>
      <c r="F16" s="101" t="n">
        <f aca="false">ROUND(IF(I16+H16&gt;$F$15*$B$5,$F$15*$B$5,I16+H16),0)</f>
        <v>331</v>
      </c>
      <c r="G16" s="292"/>
      <c r="H16" s="350" t="n">
        <f aca="false">'[1]Enron Detail'!J14</f>
        <v>-1</v>
      </c>
      <c r="I16" s="351" t="n">
        <f aca="false">'[1]Enron Detail'!I14</f>
        <v>498</v>
      </c>
      <c r="J16" s="97" t="n">
        <f aca="false">+C16*D16</f>
        <v>363.457</v>
      </c>
      <c r="K16" s="99" t="n">
        <f aca="false">+E16*F16</f>
        <v>681.6945</v>
      </c>
      <c r="L16" s="54" t="n">
        <f aca="false">+D16*C16+E16*F16</f>
        <v>1045.1515</v>
      </c>
    </row>
    <row r="17" customFormat="false" ht="12.75" hidden="false" customHeight="false" outlineLevel="0" collapsed="false">
      <c r="A17" s="8" t="n">
        <f aca="false">+'Index Pricing'!A8</f>
        <v>37197</v>
      </c>
      <c r="B17" s="41" t="n">
        <f aca="false">+'Index Pricing'!B8</f>
        <v>2.36</v>
      </c>
      <c r="C17" s="100" t="n">
        <f aca="false">+B17+$H$11</f>
        <v>1.8795</v>
      </c>
      <c r="D17" s="349" t="n">
        <f aca="false">+I17+H17-F17</f>
        <v>131</v>
      </c>
      <c r="E17" s="100" t="n">
        <f aca="false">+$B$8+$H$12</f>
        <v>2.0595</v>
      </c>
      <c r="F17" s="101" t="n">
        <f aca="false">ROUND(IF(I17+H17&gt;$F$15*$B$5,$F$15*$B$5,I17+H17),0)</f>
        <v>331</v>
      </c>
      <c r="G17" s="292"/>
      <c r="H17" s="350" t="n">
        <f aca="false">'[1]Enron Detail'!J15</f>
        <v>-1</v>
      </c>
      <c r="I17" s="351" t="n">
        <f aca="false">'[1]Enron Detail'!I15</f>
        <v>463</v>
      </c>
      <c r="J17" s="97" t="n">
        <f aca="false">+C17*D17</f>
        <v>246.2145</v>
      </c>
      <c r="K17" s="99" t="n">
        <f aca="false">+E17*F17</f>
        <v>681.6945</v>
      </c>
      <c r="L17" s="54" t="n">
        <f aca="false">+D17*C17+E17*F17</f>
        <v>927.909</v>
      </c>
    </row>
    <row r="18" customFormat="false" ht="12.75" hidden="false" customHeight="false" outlineLevel="0" collapsed="false">
      <c r="A18" s="8" t="n">
        <f aca="false">+'Index Pricing'!A9</f>
        <v>37198</v>
      </c>
      <c r="B18" s="41" t="n">
        <f aca="false">+'Index Pricing'!B9</f>
        <v>2.015</v>
      </c>
      <c r="C18" s="100" t="n">
        <f aca="false">+B18+$H$11</f>
        <v>1.5345</v>
      </c>
      <c r="D18" s="349" t="n">
        <f aca="false">+I18+H18-F18</f>
        <v>123</v>
      </c>
      <c r="E18" s="100" t="n">
        <f aca="false">+$B$8+$H$12</f>
        <v>2.0595</v>
      </c>
      <c r="F18" s="101" t="n">
        <f aca="false">ROUND(IF(I18+H18&gt;$F$15*$B$5,$F$15*$B$5,I18+H18),0)</f>
        <v>331</v>
      </c>
      <c r="G18" s="292"/>
      <c r="H18" s="350" t="n">
        <f aca="false">'[1]Enron Detail'!J16</f>
        <v>-1</v>
      </c>
      <c r="I18" s="351" t="n">
        <f aca="false">'[1]Enron Detail'!I16</f>
        <v>455</v>
      </c>
      <c r="J18" s="97" t="n">
        <f aca="false">+C18*D18</f>
        <v>188.7435</v>
      </c>
      <c r="K18" s="99" t="n">
        <f aca="false">+E18*F18</f>
        <v>681.6945</v>
      </c>
      <c r="L18" s="54" t="n">
        <f aca="false">+D18*C18+E18*F18</f>
        <v>870.438</v>
      </c>
    </row>
    <row r="19" customFormat="false" ht="12.75" hidden="false" customHeight="false" outlineLevel="0" collapsed="false">
      <c r="A19" s="8" t="n">
        <f aca="false">+'Index Pricing'!A10</f>
        <v>37199</v>
      </c>
      <c r="B19" s="41" t="n">
        <f aca="false">+'Index Pricing'!B10</f>
        <v>2.015</v>
      </c>
      <c r="C19" s="100" t="n">
        <f aca="false">+B19+$H$11</f>
        <v>1.5345</v>
      </c>
      <c r="D19" s="349" t="n">
        <f aca="false">+I19+H19-F19</f>
        <v>0</v>
      </c>
      <c r="E19" s="100" t="n">
        <f aca="false">+$B$8+$H$12</f>
        <v>2.0595</v>
      </c>
      <c r="F19" s="101" t="n">
        <f aca="false">ROUND(IF(I19+H19&gt;$F$15*$B$5,$F$15*$B$5,I19+H19),0)</f>
        <v>17</v>
      </c>
      <c r="G19" s="292"/>
      <c r="H19" s="350" t="n">
        <f aca="false">'[1]Enron Detail'!J17</f>
        <v>0</v>
      </c>
      <c r="I19" s="351" t="n">
        <f aca="false">'[1]Enron Detail'!I17</f>
        <v>17</v>
      </c>
      <c r="J19" s="97" t="n">
        <f aca="false">+C19*D19</f>
        <v>0</v>
      </c>
      <c r="K19" s="99" t="n">
        <f aca="false">+E19*F19</f>
        <v>35.0115</v>
      </c>
      <c r="L19" s="54" t="n">
        <f aca="false">+D19*C19+E19*F19</f>
        <v>35.0115</v>
      </c>
    </row>
    <row r="20" customFormat="false" ht="12.75" hidden="false" customHeight="false" outlineLevel="0" collapsed="false">
      <c r="A20" s="8" t="n">
        <f aca="false">+'Index Pricing'!A11</f>
        <v>37200</v>
      </c>
      <c r="B20" s="41" t="n">
        <f aca="false">+'Index Pricing'!B11</f>
        <v>2.015</v>
      </c>
      <c r="C20" s="100" t="n">
        <f aca="false">+B20+$H$11</f>
        <v>1.5345</v>
      </c>
      <c r="D20" s="349" t="n">
        <f aca="false">+I20+H20-F20</f>
        <v>0</v>
      </c>
      <c r="E20" s="100" t="n">
        <f aca="false">+$B$8+$H$12</f>
        <v>2.0595</v>
      </c>
      <c r="F20" s="101" t="n">
        <f aca="false">ROUND(IF(I20+H20&gt;$F$15*$B$5,$F$15*$B$5,I20+H20),0)</f>
        <v>1</v>
      </c>
      <c r="G20" s="292"/>
      <c r="H20" s="350" t="n">
        <f aca="false">'[1]Enron Detail'!J18</f>
        <v>0</v>
      </c>
      <c r="I20" s="351" t="n">
        <f aca="false">'[1]Enron Detail'!I18</f>
        <v>1</v>
      </c>
      <c r="J20" s="97" t="n">
        <f aca="false">+C20*D20</f>
        <v>0</v>
      </c>
      <c r="K20" s="99" t="n">
        <f aca="false">+E20*F20</f>
        <v>2.0595</v>
      </c>
      <c r="L20" s="54" t="n">
        <f aca="false">+D20*C20+E20*F20</f>
        <v>2.0595</v>
      </c>
    </row>
    <row r="21" customFormat="false" ht="12.75" hidden="false" customHeight="false" outlineLevel="0" collapsed="false">
      <c r="A21" s="8" t="n">
        <f aca="false">+'Index Pricing'!A12</f>
        <v>37201</v>
      </c>
      <c r="B21" s="41" t="n">
        <f aca="false">+'Index Pricing'!B12</f>
        <v>2.16</v>
      </c>
      <c r="C21" s="100" t="n">
        <f aca="false">+B21+$H$11</f>
        <v>1.6795</v>
      </c>
      <c r="D21" s="349" t="n">
        <f aca="false">+I21+H21-F21</f>
        <v>59</v>
      </c>
      <c r="E21" s="100" t="n">
        <f aca="false">+$B$8+$H$12</f>
        <v>2.0595</v>
      </c>
      <c r="F21" s="101" t="n">
        <f aca="false">ROUND(IF(I21+H21&gt;$F$15*$B$5,$F$15*$B$5,I21+H21),0)</f>
        <v>331</v>
      </c>
      <c r="G21" s="292"/>
      <c r="H21" s="350" t="n">
        <f aca="false">'[1]Enron Detail'!J19</f>
        <v>-1</v>
      </c>
      <c r="I21" s="351" t="n">
        <f aca="false">'[1]Enron Detail'!I19</f>
        <v>391</v>
      </c>
      <c r="J21" s="97" t="n">
        <f aca="false">+C21*D21</f>
        <v>99.0905</v>
      </c>
      <c r="K21" s="99" t="n">
        <f aca="false">+E21*F21</f>
        <v>681.6945</v>
      </c>
      <c r="L21" s="54" t="n">
        <f aca="false">+D21*C21+E21*F21</f>
        <v>780.785</v>
      </c>
    </row>
    <row r="22" customFormat="false" ht="12.75" hidden="false" customHeight="false" outlineLevel="0" collapsed="false">
      <c r="A22" s="8" t="n">
        <f aca="false">+'Index Pricing'!A13</f>
        <v>37202</v>
      </c>
      <c r="B22" s="41" t="n">
        <f aca="false">+'Index Pricing'!B13</f>
        <v>2.135</v>
      </c>
      <c r="C22" s="100" t="n">
        <f aca="false">+B22+$H$11</f>
        <v>1.6545</v>
      </c>
      <c r="D22" s="349" t="n">
        <f aca="false">+I22+H22-F22</f>
        <v>379</v>
      </c>
      <c r="E22" s="100" t="n">
        <f aca="false">+$B$8+$H$12</f>
        <v>2.0595</v>
      </c>
      <c r="F22" s="101" t="n">
        <f aca="false">ROUND(IF(I22+H22&gt;$F$15*$B$5,$F$15*$B$5,I22+H22),0)</f>
        <v>331</v>
      </c>
      <c r="G22" s="292"/>
      <c r="H22" s="350" t="n">
        <f aca="false">'[1]Enron Detail'!J20</f>
        <v>-1</v>
      </c>
      <c r="I22" s="351" t="n">
        <f aca="false">'[1]Enron Detail'!I20</f>
        <v>711</v>
      </c>
      <c r="J22" s="97" t="n">
        <f aca="false">+C22*D22</f>
        <v>627.0555</v>
      </c>
      <c r="K22" s="99" t="n">
        <f aca="false">+E22*F22</f>
        <v>681.6945</v>
      </c>
      <c r="L22" s="54" t="n">
        <f aca="false">+D22*C22+E22*F22</f>
        <v>1308.75</v>
      </c>
    </row>
    <row r="23" customFormat="false" ht="12.75" hidden="false" customHeight="false" outlineLevel="0" collapsed="false">
      <c r="A23" s="8" t="n">
        <f aca="false">+'Index Pricing'!A14</f>
        <v>37203</v>
      </c>
      <c r="B23" s="41" t="n">
        <f aca="false">+'Index Pricing'!B14</f>
        <v>2.13</v>
      </c>
      <c r="C23" s="100" t="n">
        <f aca="false">+B23+$H$11</f>
        <v>1.6495</v>
      </c>
      <c r="D23" s="349" t="n">
        <f aca="false">+I23+H23-F23</f>
        <v>288</v>
      </c>
      <c r="E23" s="100" t="n">
        <f aca="false">+$B$8+$H$12</f>
        <v>2.0595</v>
      </c>
      <c r="F23" s="101" t="n">
        <f aca="false">ROUND(IF(I23+H23&gt;$F$15*$B$5,$F$15*$B$5,I23+H23),0)</f>
        <v>331</v>
      </c>
      <c r="G23" s="292"/>
      <c r="H23" s="350" t="n">
        <f aca="false">'[1]Enron Detail'!J21</f>
        <v>-1</v>
      </c>
      <c r="I23" s="351" t="n">
        <f aca="false">'[1]Enron Detail'!I21</f>
        <v>620</v>
      </c>
      <c r="J23" s="97" t="n">
        <f aca="false">+C23*D23</f>
        <v>475.056</v>
      </c>
      <c r="K23" s="99" t="n">
        <f aca="false">+E23*F23</f>
        <v>681.6945</v>
      </c>
      <c r="L23" s="54" t="n">
        <f aca="false">+D23*C23+E23*F23</f>
        <v>1156.7505</v>
      </c>
    </row>
    <row r="24" customFormat="false" ht="12.75" hidden="false" customHeight="false" outlineLevel="0" collapsed="false">
      <c r="A24" s="8" t="n">
        <f aca="false">+'Index Pricing'!A15</f>
        <v>37204</v>
      </c>
      <c r="B24" s="41" t="n">
        <f aca="false">+'Index Pricing'!B15</f>
        <v>1.935</v>
      </c>
      <c r="C24" s="100" t="n">
        <f aca="false">+B24+$H$11</f>
        <v>1.4545</v>
      </c>
      <c r="D24" s="349" t="n">
        <f aca="false">+I24+H24-F24</f>
        <v>0</v>
      </c>
      <c r="E24" s="100" t="n">
        <f aca="false">+$B$8+$H$12</f>
        <v>2.0595</v>
      </c>
      <c r="F24" s="101" t="n">
        <f aca="false">ROUND(IF(I24+H24&gt;$F$15*$B$5,$F$15*$B$5,I24+H24),0)</f>
        <v>101</v>
      </c>
      <c r="G24" s="292"/>
      <c r="H24" s="350" t="n">
        <f aca="false">'[1]Enron Detail'!J22</f>
        <v>0</v>
      </c>
      <c r="I24" s="351" t="n">
        <f aca="false">'[1]Enron Detail'!I22</f>
        <v>101</v>
      </c>
      <c r="J24" s="97" t="n">
        <f aca="false">+C24*D24</f>
        <v>0</v>
      </c>
      <c r="K24" s="99" t="n">
        <f aca="false">+E24*F24</f>
        <v>208.0095</v>
      </c>
      <c r="L24" s="54" t="n">
        <f aca="false">+D24*C24+E24*F24</f>
        <v>208.0095</v>
      </c>
    </row>
    <row r="25" customFormat="false" ht="12.75" hidden="false" customHeight="false" outlineLevel="0" collapsed="false">
      <c r="A25" s="8" t="n">
        <f aca="false">+'Index Pricing'!A16</f>
        <v>37205</v>
      </c>
      <c r="B25" s="41" t="n">
        <f aca="false">+'Index Pricing'!B16</f>
        <v>1.7</v>
      </c>
      <c r="C25" s="100" t="n">
        <f aca="false">+B25+$H$11</f>
        <v>1.2195</v>
      </c>
      <c r="D25" s="349" t="n">
        <f aca="false">+I25+H25-F25</f>
        <v>0</v>
      </c>
      <c r="E25" s="100" t="n">
        <f aca="false">+$B$8+$H$12</f>
        <v>2.0595</v>
      </c>
      <c r="F25" s="101" t="n">
        <f aca="false">ROUND(IF(I25+H25&gt;$F$15*$B$5,$F$15*$B$5,I25+H25),0)</f>
        <v>0</v>
      </c>
      <c r="G25" s="292"/>
      <c r="H25" s="350" t="n">
        <f aca="false">'[1]Enron Detail'!J23</f>
        <v>0</v>
      </c>
      <c r="I25" s="351" t="n">
        <f aca="false">'[1]Enron Detail'!I23</f>
        <v>0</v>
      </c>
      <c r="J25" s="97" t="n">
        <f aca="false">+C25*D25</f>
        <v>0</v>
      </c>
      <c r="K25" s="99" t="n">
        <f aca="false">+E25*F25</f>
        <v>0</v>
      </c>
      <c r="L25" s="54" t="n">
        <f aca="false">+D25*C25+E25*F25</f>
        <v>0</v>
      </c>
    </row>
    <row r="26" customFormat="false" ht="12.75" hidden="false" customHeight="false" outlineLevel="0" collapsed="false">
      <c r="A26" s="8" t="n">
        <f aca="false">+'Index Pricing'!A17</f>
        <v>37206</v>
      </c>
      <c r="B26" s="41" t="n">
        <f aca="false">+'Index Pricing'!B17</f>
        <v>1.7</v>
      </c>
      <c r="C26" s="100" t="n">
        <f aca="false">+B26+$H$11</f>
        <v>1.2195</v>
      </c>
      <c r="D26" s="349" t="n">
        <f aca="false">+I26+H26-F26</f>
        <v>0</v>
      </c>
      <c r="E26" s="100" t="n">
        <f aca="false">+$B$8+$H$12</f>
        <v>2.0595</v>
      </c>
      <c r="F26" s="101" t="n">
        <f aca="false">ROUND(IF(I26+H26&gt;$F$15*$B$5,$F$15*$B$5,I26+H26),0)</f>
        <v>0</v>
      </c>
      <c r="G26" s="292"/>
      <c r="H26" s="350" t="n">
        <f aca="false">'[1]Enron Detail'!J24</f>
        <v>0</v>
      </c>
      <c r="I26" s="351" t="n">
        <f aca="false">'[1]Enron Detail'!I24</f>
        <v>0</v>
      </c>
      <c r="J26" s="97" t="n">
        <f aca="false">+C26*D26</f>
        <v>0</v>
      </c>
      <c r="K26" s="99" t="n">
        <f aca="false">+E26*F26</f>
        <v>0</v>
      </c>
      <c r="L26" s="54" t="n">
        <f aca="false">+D26*C26+E26*F26</f>
        <v>0</v>
      </c>
    </row>
    <row r="27" customFormat="false" ht="12.75" hidden="false" customHeight="false" outlineLevel="0" collapsed="false">
      <c r="A27" s="8" t="n">
        <f aca="false">+'Index Pricing'!A18</f>
        <v>37207</v>
      </c>
      <c r="B27" s="41" t="n">
        <f aca="false">+'Index Pricing'!B18</f>
        <v>1.7</v>
      </c>
      <c r="C27" s="100" t="n">
        <f aca="false">+B27+$H$11</f>
        <v>1.2195</v>
      </c>
      <c r="D27" s="349" t="n">
        <f aca="false">+I27+H27-F27</f>
        <v>0</v>
      </c>
      <c r="E27" s="100" t="n">
        <f aca="false">+$B$8+$H$12</f>
        <v>2.0595</v>
      </c>
      <c r="F27" s="101" t="n">
        <f aca="false">ROUND(IF(I27+H27&gt;$F$15*$B$5,$F$15*$B$5,I27+H27),0)</f>
        <v>0</v>
      </c>
      <c r="G27" s="292"/>
      <c r="H27" s="350" t="n">
        <f aca="false">'[1]Enron Detail'!J25</f>
        <v>0</v>
      </c>
      <c r="I27" s="351" t="n">
        <f aca="false">'[1]Enron Detail'!I25</f>
        <v>0</v>
      </c>
      <c r="J27" s="97" t="n">
        <f aca="false">+C27*D27</f>
        <v>0</v>
      </c>
      <c r="K27" s="99" t="n">
        <f aca="false">+E27*F27</f>
        <v>0</v>
      </c>
      <c r="L27" s="54" t="n">
        <f aca="false">+D27*C27+E27*F27</f>
        <v>0</v>
      </c>
    </row>
    <row r="28" customFormat="false" ht="12.75" hidden="false" customHeight="false" outlineLevel="0" collapsed="false">
      <c r="A28" s="8" t="n">
        <f aca="false">+'Index Pricing'!A19</f>
        <v>37208</v>
      </c>
      <c r="B28" s="41" t="n">
        <f aca="false">+'Index Pricing'!B19</f>
        <v>1.52</v>
      </c>
      <c r="C28" s="100" t="n">
        <f aca="false">+B28+$H$11</f>
        <v>1.0395</v>
      </c>
      <c r="D28" s="349" t="n">
        <f aca="false">+I28+H28-F28</f>
        <v>0</v>
      </c>
      <c r="E28" s="100" t="n">
        <f aca="false">+$B$8+$H$12</f>
        <v>2.0595</v>
      </c>
      <c r="F28" s="101" t="n">
        <f aca="false">ROUND(IF(I28+H28&gt;$F$15*$B$5,$F$15*$B$5,I28+H28),0)</f>
        <v>56</v>
      </c>
      <c r="G28" s="292"/>
      <c r="H28" s="350" t="n">
        <f aca="false">'[1]Enron Detail'!J26</f>
        <v>0</v>
      </c>
      <c r="I28" s="351" t="n">
        <f aca="false">'[1]Enron Detail'!I26</f>
        <v>56</v>
      </c>
      <c r="J28" s="97" t="n">
        <f aca="false">+C28*D28</f>
        <v>0</v>
      </c>
      <c r="K28" s="99" t="n">
        <f aca="false">+E28*F28</f>
        <v>115.332</v>
      </c>
      <c r="L28" s="54" t="n">
        <f aca="false">+D28*C28+E28*F28</f>
        <v>115.332</v>
      </c>
    </row>
    <row r="29" customFormat="false" ht="12.75" hidden="false" customHeight="false" outlineLevel="0" collapsed="false">
      <c r="A29" s="8" t="n">
        <f aca="false">+'Index Pricing'!A20</f>
        <v>37209</v>
      </c>
      <c r="B29" s="41" t="n">
        <f aca="false">+'Index Pricing'!B20</f>
        <v>1.595</v>
      </c>
      <c r="C29" s="100" t="n">
        <f aca="false">+B29+$H$11</f>
        <v>1.1145</v>
      </c>
      <c r="D29" s="349" t="n">
        <f aca="false">+I29+H29-F29</f>
        <v>0</v>
      </c>
      <c r="E29" s="100" t="n">
        <f aca="false">+$B$8+$H$12</f>
        <v>2.0595</v>
      </c>
      <c r="F29" s="101" t="n">
        <f aca="false">ROUND(IF(I29+H29&gt;$F$15*$B$5,$F$15*$B$5,I29+H29),0)</f>
        <v>0</v>
      </c>
      <c r="G29" s="292"/>
      <c r="H29" s="350" t="n">
        <f aca="false">'[1]Enron Detail'!J27</f>
        <v>0</v>
      </c>
      <c r="I29" s="351" t="n">
        <f aca="false">'[1]Enron Detail'!I27</f>
        <v>0</v>
      </c>
      <c r="J29" s="97" t="n">
        <f aca="false">+C29*D29</f>
        <v>0</v>
      </c>
      <c r="K29" s="99" t="n">
        <f aca="false">+E29*F29</f>
        <v>0</v>
      </c>
      <c r="L29" s="54" t="n">
        <f aca="false">+D29*C29+E29*F29</f>
        <v>0</v>
      </c>
    </row>
    <row r="30" customFormat="false" ht="12.75" hidden="false" customHeight="false" outlineLevel="0" collapsed="false">
      <c r="A30" s="8" t="n">
        <f aca="false">+'Index Pricing'!A21</f>
        <v>37210</v>
      </c>
      <c r="B30" s="41" t="n">
        <f aca="false">+'Index Pricing'!B21</f>
        <v>1.84</v>
      </c>
      <c r="C30" s="100" t="n">
        <f aca="false">+B30+$H$11</f>
        <v>1.3595</v>
      </c>
      <c r="D30" s="349" t="n">
        <f aca="false">+I30+H30-F30</f>
        <v>300</v>
      </c>
      <c r="E30" s="100" t="n">
        <f aca="false">+$B$8+$H$12</f>
        <v>2.0595</v>
      </c>
      <c r="F30" s="101" t="n">
        <f aca="false">ROUND(IF(I30+H30&gt;$F$15*$B$5,$F$15*$B$5,I30+H30),0)</f>
        <v>331</v>
      </c>
      <c r="G30" s="292"/>
      <c r="H30" s="350" t="n">
        <f aca="false">'[1]Enron Detail'!J28</f>
        <v>-2</v>
      </c>
      <c r="I30" s="351" t="n">
        <f aca="false">'[1]Enron Detail'!I28</f>
        <v>633</v>
      </c>
      <c r="J30" s="97" t="n">
        <f aca="false">+C30*D30</f>
        <v>407.85</v>
      </c>
      <c r="K30" s="99" t="n">
        <f aca="false">+E30*F30</f>
        <v>681.6945</v>
      </c>
      <c r="L30" s="54" t="n">
        <f aca="false">+D30*C30+E30*F30</f>
        <v>1089.5445</v>
      </c>
    </row>
    <row r="31" customFormat="false" ht="12.75" hidden="false" customHeight="false" outlineLevel="0" collapsed="false">
      <c r="A31" s="8" t="n">
        <f aca="false">+'Index Pricing'!A22</f>
        <v>37211</v>
      </c>
      <c r="B31" s="41" t="n">
        <f aca="false">+'Index Pricing'!B22</f>
        <v>1.435</v>
      </c>
      <c r="C31" s="100" t="n">
        <f aca="false">+B31+$H$11</f>
        <v>0.9545</v>
      </c>
      <c r="D31" s="349" t="n">
        <f aca="false">+I31+H31-F31</f>
        <v>278</v>
      </c>
      <c r="E31" s="100" t="n">
        <f aca="false">+$B$8+$H$12</f>
        <v>2.0595</v>
      </c>
      <c r="F31" s="101" t="n">
        <f aca="false">ROUND(IF(I31+H31&gt;$F$15*$B$5,$F$15*$B$5,I31+H31),0)</f>
        <v>331</v>
      </c>
      <c r="G31" s="292"/>
      <c r="H31" s="350" t="n">
        <f aca="false">'[1]Enron Detail'!J29</f>
        <v>-1</v>
      </c>
      <c r="I31" s="351" t="n">
        <f aca="false">'[1]Enron Detail'!I29</f>
        <v>610</v>
      </c>
      <c r="J31" s="97" t="n">
        <f aca="false">+C31*D31</f>
        <v>265.351</v>
      </c>
      <c r="K31" s="99" t="n">
        <f aca="false">+E31*F31</f>
        <v>681.6945</v>
      </c>
      <c r="L31" s="54" t="n">
        <f aca="false">+D31*C31+E31*F31</f>
        <v>947.0455</v>
      </c>
    </row>
    <row r="32" customFormat="false" ht="12.75" hidden="false" customHeight="false" outlineLevel="0" collapsed="false">
      <c r="A32" s="8" t="n">
        <f aca="false">+'Index Pricing'!A23</f>
        <v>37212</v>
      </c>
      <c r="B32" s="41" t="n">
        <f aca="false">+'Index Pricing'!B23</f>
        <v>1.135</v>
      </c>
      <c r="C32" s="100" t="n">
        <f aca="false">+B32+$H$11</f>
        <v>0.6545</v>
      </c>
      <c r="D32" s="349" t="n">
        <f aca="false">+I32+H32-F32</f>
        <v>309</v>
      </c>
      <c r="E32" s="100" t="n">
        <f aca="false">+$B$8+$H$12</f>
        <v>2.0595</v>
      </c>
      <c r="F32" s="101" t="n">
        <f aca="false">ROUND(IF(I32+H32&gt;$F$15*$B$5,$F$15*$B$5,I32+H32),0)</f>
        <v>331</v>
      </c>
      <c r="G32" s="292"/>
      <c r="H32" s="350" t="n">
        <f aca="false">'[1]Enron Detail'!J30</f>
        <v>-1</v>
      </c>
      <c r="I32" s="351" t="n">
        <f aca="false">'[1]Enron Detail'!I30</f>
        <v>641</v>
      </c>
      <c r="J32" s="97" t="n">
        <f aca="false">+C32*D32</f>
        <v>202.2405</v>
      </c>
      <c r="K32" s="99" t="n">
        <f aca="false">+E32*F32</f>
        <v>681.6945</v>
      </c>
      <c r="L32" s="54" t="n">
        <f aca="false">+D32*C32+E32*F32</f>
        <v>883.935</v>
      </c>
    </row>
    <row r="33" customFormat="false" ht="12.75" hidden="false" customHeight="false" outlineLevel="0" collapsed="false">
      <c r="A33" s="8" t="n">
        <f aca="false">+'Index Pricing'!A24</f>
        <v>37213</v>
      </c>
      <c r="B33" s="41" t="n">
        <f aca="false">+'Index Pricing'!B24</f>
        <v>1.135</v>
      </c>
      <c r="C33" s="100" t="n">
        <f aca="false">+B33+$H$11</f>
        <v>0.6545</v>
      </c>
      <c r="D33" s="349" t="n">
        <f aca="false">+I33+H33-F33</f>
        <v>358</v>
      </c>
      <c r="E33" s="100" t="n">
        <f aca="false">+$B$8+$H$12</f>
        <v>2.0595</v>
      </c>
      <c r="F33" s="101" t="n">
        <f aca="false">ROUND(IF(I33+H33&gt;$F$15*$B$5,$F$15*$B$5,I33+H33),0)</f>
        <v>331</v>
      </c>
      <c r="G33" s="292"/>
      <c r="H33" s="350" t="n">
        <f aca="false">'[1]Enron Detail'!J31</f>
        <v>-1</v>
      </c>
      <c r="I33" s="351" t="n">
        <f aca="false">'[1]Enron Detail'!I31</f>
        <v>690</v>
      </c>
      <c r="J33" s="97" t="n">
        <f aca="false">+C33*D33</f>
        <v>234.311</v>
      </c>
      <c r="K33" s="99" t="n">
        <f aca="false">+E33*F33</f>
        <v>681.6945</v>
      </c>
      <c r="L33" s="54" t="n">
        <f aca="false">+D33*C33+E33*F33</f>
        <v>916.0055</v>
      </c>
    </row>
    <row r="34" customFormat="false" ht="12.75" hidden="false" customHeight="false" outlineLevel="0" collapsed="false">
      <c r="A34" s="8" t="n">
        <f aca="false">+'Index Pricing'!A25</f>
        <v>37214</v>
      </c>
      <c r="B34" s="41" t="n">
        <f aca="false">+'Index Pricing'!B25</f>
        <v>1.135</v>
      </c>
      <c r="C34" s="100" t="n">
        <f aca="false">+B34+$H$11</f>
        <v>0.6545</v>
      </c>
      <c r="D34" s="349" t="n">
        <f aca="false">+I34+H34-F34</f>
        <v>302</v>
      </c>
      <c r="E34" s="100" t="n">
        <f aca="false">+$B$8+$H$12</f>
        <v>2.0595</v>
      </c>
      <c r="F34" s="101" t="n">
        <f aca="false">ROUND(IF(I34+H34&gt;$F$15*$B$5,$F$15*$B$5,I34+H34),0)</f>
        <v>331</v>
      </c>
      <c r="G34" s="292"/>
      <c r="H34" s="350" t="n">
        <f aca="false">'[1]Enron Detail'!J32</f>
        <v>-1</v>
      </c>
      <c r="I34" s="351" t="n">
        <f aca="false">'[1]Enron Detail'!I32</f>
        <v>634</v>
      </c>
      <c r="J34" s="97" t="n">
        <f aca="false">+C34*D34</f>
        <v>197.659</v>
      </c>
      <c r="K34" s="99" t="n">
        <f aca="false">+E34*F34</f>
        <v>681.6945</v>
      </c>
      <c r="L34" s="54" t="n">
        <f aca="false">+D34*C34+E34*F34</f>
        <v>879.3535</v>
      </c>
    </row>
    <row r="35" customFormat="false" ht="12.75" hidden="false" customHeight="false" outlineLevel="0" collapsed="false">
      <c r="A35" s="8" t="n">
        <f aca="false">+'Index Pricing'!A26</f>
        <v>37215</v>
      </c>
      <c r="B35" s="41" t="n">
        <f aca="false">+'Index Pricing'!B26</f>
        <v>1.535</v>
      </c>
      <c r="C35" s="100" t="n">
        <f aca="false">+B35+$H$11</f>
        <v>1.0545</v>
      </c>
      <c r="D35" s="349" t="n">
        <f aca="false">+I35+H35-F35</f>
        <v>294</v>
      </c>
      <c r="E35" s="100" t="n">
        <f aca="false">+$B$8+$H$12</f>
        <v>2.0595</v>
      </c>
      <c r="F35" s="101" t="n">
        <f aca="false">ROUND(IF(I35+H35&gt;$F$15*$B$5,$F$15*$B$5,I35+H35),0)</f>
        <v>331</v>
      </c>
      <c r="G35" s="292"/>
      <c r="H35" s="350" t="n">
        <f aca="false">'[1]Enron Detail'!J33</f>
        <v>-1</v>
      </c>
      <c r="I35" s="351" t="n">
        <f aca="false">'[1]Enron Detail'!I33</f>
        <v>626</v>
      </c>
      <c r="J35" s="97" t="n">
        <f aca="false">+C35*D35</f>
        <v>310.023</v>
      </c>
      <c r="K35" s="99" t="n">
        <f aca="false">+E35*F35</f>
        <v>681.6945</v>
      </c>
      <c r="L35" s="54" t="n">
        <f aca="false">+D35*C35+E35*F35</f>
        <v>991.7175</v>
      </c>
    </row>
    <row r="36" customFormat="false" ht="12.75" hidden="false" customHeight="false" outlineLevel="0" collapsed="false">
      <c r="A36" s="8" t="n">
        <f aca="false">+'Index Pricing'!A27</f>
        <v>37216</v>
      </c>
      <c r="B36" s="41" t="n">
        <f aca="false">+'Index Pricing'!B27</f>
        <v>2.205</v>
      </c>
      <c r="C36" s="100" t="n">
        <f aca="false">+B36+$H$11</f>
        <v>1.7245</v>
      </c>
      <c r="D36" s="349" t="n">
        <f aca="false">+I36+H36-F36</f>
        <v>264</v>
      </c>
      <c r="E36" s="100" t="n">
        <f aca="false">+$B$8+$H$12</f>
        <v>2.0595</v>
      </c>
      <c r="F36" s="101" t="n">
        <f aca="false">ROUND(IF(I36+H36&gt;$F$15*$B$5,$F$15*$B$5,I36+H36),0)</f>
        <v>331</v>
      </c>
      <c r="G36" s="292"/>
      <c r="H36" s="350" t="n">
        <f aca="false">'[1]Enron Detail'!J34</f>
        <v>-1</v>
      </c>
      <c r="I36" s="351" t="n">
        <f aca="false">'[1]Enron Detail'!I34</f>
        <v>596</v>
      </c>
      <c r="J36" s="97" t="n">
        <f aca="false">+C36*D36</f>
        <v>455.268</v>
      </c>
      <c r="K36" s="99" t="n">
        <f aca="false">+E36*F36</f>
        <v>681.6945</v>
      </c>
      <c r="L36" s="54" t="n">
        <f aca="false">+D36*C36+E36*F36</f>
        <v>1136.9625</v>
      </c>
    </row>
    <row r="37" customFormat="false" ht="12.75" hidden="false" customHeight="false" outlineLevel="0" collapsed="false">
      <c r="A37" s="8" t="n">
        <f aca="false">+'Index Pricing'!A28</f>
        <v>37217</v>
      </c>
      <c r="B37" s="41" t="n">
        <f aca="false">+'Index Pricing'!B28</f>
        <v>1.43</v>
      </c>
      <c r="C37" s="100" t="n">
        <f aca="false">+B37+$H$11</f>
        <v>0.9495</v>
      </c>
      <c r="D37" s="349" t="n">
        <f aca="false">+I37+H37-F37</f>
        <v>275</v>
      </c>
      <c r="E37" s="100" t="n">
        <f aca="false">+$B$8+$H$12</f>
        <v>2.0595</v>
      </c>
      <c r="F37" s="101" t="n">
        <f aca="false">ROUND(IF(I37+H37&gt;$F$15*$B$5,$F$15*$B$5,I37+H37),0)</f>
        <v>331</v>
      </c>
      <c r="G37" s="292"/>
      <c r="H37" s="350" t="n">
        <f aca="false">'[1]Enron Detail'!J35</f>
        <v>-1</v>
      </c>
      <c r="I37" s="351" t="n">
        <f aca="false">'[1]Enron Detail'!I35</f>
        <v>607</v>
      </c>
      <c r="J37" s="97" t="n">
        <f aca="false">+C37*D37</f>
        <v>261.1125</v>
      </c>
      <c r="K37" s="99" t="n">
        <f aca="false">+E37*F37</f>
        <v>681.6945</v>
      </c>
      <c r="L37" s="54" t="n">
        <f aca="false">+D37*C37+E37*F37</f>
        <v>942.807</v>
      </c>
    </row>
    <row r="38" customFormat="false" ht="12.75" hidden="false" customHeight="false" outlineLevel="0" collapsed="false">
      <c r="A38" s="8" t="n">
        <f aca="false">+'Index Pricing'!A29</f>
        <v>37218</v>
      </c>
      <c r="B38" s="41" t="n">
        <f aca="false">+'Index Pricing'!B29</f>
        <v>1.43</v>
      </c>
      <c r="C38" s="100" t="n">
        <f aca="false">+B38+$H$11</f>
        <v>0.9495</v>
      </c>
      <c r="D38" s="349" t="n">
        <f aca="false">+I38+H38-F38</f>
        <v>299</v>
      </c>
      <c r="E38" s="100" t="n">
        <f aca="false">+$B$8+$H$12</f>
        <v>2.0595</v>
      </c>
      <c r="F38" s="101" t="n">
        <f aca="false">ROUND(IF(I38+H38&gt;$F$15*$B$5,$F$15*$B$5,I38+H38),0)</f>
        <v>331</v>
      </c>
      <c r="G38" s="292"/>
      <c r="H38" s="350" t="n">
        <f aca="false">'[1]Enron Detail'!J36</f>
        <v>-1</v>
      </c>
      <c r="I38" s="351" t="n">
        <f aca="false">'[1]Enron Detail'!I36</f>
        <v>631</v>
      </c>
      <c r="J38" s="97" t="n">
        <f aca="false">+C38*D38</f>
        <v>283.9005</v>
      </c>
      <c r="K38" s="99" t="n">
        <f aca="false">+E38*F38</f>
        <v>681.6945</v>
      </c>
      <c r="L38" s="54" t="n">
        <f aca="false">+D38*C38+E38*F38</f>
        <v>965.595</v>
      </c>
    </row>
    <row r="39" customFormat="false" ht="12.75" hidden="false" customHeight="false" outlineLevel="0" collapsed="false">
      <c r="A39" s="8" t="n">
        <f aca="false">+'Index Pricing'!A30</f>
        <v>37219</v>
      </c>
      <c r="B39" s="41" t="n">
        <f aca="false">+'Index Pricing'!B30</f>
        <v>1.43</v>
      </c>
      <c r="C39" s="100" t="n">
        <f aca="false">+B39+$H$11</f>
        <v>0.9495</v>
      </c>
      <c r="D39" s="349" t="n">
        <f aca="false">+I39+H39-F39</f>
        <v>287</v>
      </c>
      <c r="E39" s="100" t="n">
        <f aca="false">+$B$8+$H$12</f>
        <v>2.0595</v>
      </c>
      <c r="F39" s="101" t="n">
        <f aca="false">ROUND(IF(I39+H39&gt;$F$15*$B$5,$F$15*$B$5,I39+H39),0)</f>
        <v>331</v>
      </c>
      <c r="G39" s="292"/>
      <c r="H39" s="350" t="n">
        <f aca="false">'[1]Enron Detail'!J37</f>
        <v>-1</v>
      </c>
      <c r="I39" s="351" t="n">
        <f aca="false">'[1]Enron Detail'!I37</f>
        <v>619</v>
      </c>
      <c r="J39" s="97" t="n">
        <f aca="false">+C39*D39</f>
        <v>272.5065</v>
      </c>
      <c r="K39" s="99" t="n">
        <f aca="false">+E39*F39</f>
        <v>681.6945</v>
      </c>
      <c r="L39" s="54" t="n">
        <f aca="false">+D39*C39+E39*F39</f>
        <v>954.201</v>
      </c>
    </row>
    <row r="40" customFormat="false" ht="12.75" hidden="false" customHeight="false" outlineLevel="0" collapsed="false">
      <c r="A40" s="8" t="n">
        <f aca="false">+'Index Pricing'!A31</f>
        <v>37220</v>
      </c>
      <c r="B40" s="41" t="n">
        <f aca="false">+'Index Pricing'!B31</f>
        <v>1.43</v>
      </c>
      <c r="C40" s="100" t="n">
        <f aca="false">+B40+$H$11</f>
        <v>0.9495</v>
      </c>
      <c r="D40" s="349" t="n">
        <f aca="false">+I40+H40-F40</f>
        <v>298</v>
      </c>
      <c r="E40" s="100" t="n">
        <f aca="false">+$B$8+$H$12</f>
        <v>2.0595</v>
      </c>
      <c r="F40" s="101" t="n">
        <f aca="false">ROUND(IF(I40+H40&gt;$F$15*$B$5,$F$15*$B$5,I40+H40),0)</f>
        <v>331</v>
      </c>
      <c r="G40" s="292"/>
      <c r="H40" s="350" t="n">
        <f aca="false">'[1]Enron Detail'!J38</f>
        <v>-1</v>
      </c>
      <c r="I40" s="351" t="n">
        <f aca="false">'[1]Enron Detail'!I38</f>
        <v>630</v>
      </c>
      <c r="J40" s="97" t="n">
        <f aca="false">+C40*D40</f>
        <v>282.951</v>
      </c>
      <c r="K40" s="99" t="n">
        <f aca="false">+E40*F40</f>
        <v>681.6945</v>
      </c>
      <c r="L40" s="54" t="n">
        <f aca="false">+D40*C40+E40*F40</f>
        <v>964.6455</v>
      </c>
    </row>
    <row r="41" customFormat="false" ht="12.75" hidden="false" customHeight="false" outlineLevel="0" collapsed="false">
      <c r="A41" s="8" t="n">
        <f aca="false">+'Index Pricing'!A32</f>
        <v>37221</v>
      </c>
      <c r="B41" s="41" t="n">
        <f aca="false">+'Index Pricing'!B32</f>
        <v>1.43</v>
      </c>
      <c r="C41" s="100" t="n">
        <f aca="false">+B41+$H$11</f>
        <v>0.9495</v>
      </c>
      <c r="D41" s="349" t="n">
        <f aca="false">+I41+H41-F41</f>
        <v>283</v>
      </c>
      <c r="E41" s="100" t="n">
        <f aca="false">+$B$8+$H$12</f>
        <v>2.0595</v>
      </c>
      <c r="F41" s="101" t="n">
        <f aca="false">ROUND(IF(I41+H41&gt;$F$15*$B$5,$F$15*$B$5,I41+H41),0)</f>
        <v>331</v>
      </c>
      <c r="G41" s="292"/>
      <c r="H41" s="350" t="n">
        <f aca="false">'[1]Enron Detail'!J39</f>
        <v>-2</v>
      </c>
      <c r="I41" s="351" t="n">
        <f aca="false">'[1]Enron Detail'!I39</f>
        <v>616</v>
      </c>
      <c r="J41" s="97" t="n">
        <f aca="false">+C41*D41</f>
        <v>268.7085</v>
      </c>
      <c r="K41" s="99" t="n">
        <f aca="false">+E41*F41</f>
        <v>681.6945</v>
      </c>
      <c r="L41" s="54" t="n">
        <f aca="false">+D41*C41+E41*F41</f>
        <v>950.403</v>
      </c>
    </row>
    <row r="42" customFormat="false" ht="12.75" hidden="false" customHeight="false" outlineLevel="0" collapsed="false">
      <c r="A42" s="8" t="n">
        <f aca="false">+'Index Pricing'!A33</f>
        <v>37222</v>
      </c>
      <c r="B42" s="41" t="n">
        <f aca="false">+'Index Pricing'!B33</f>
        <v>1.88</v>
      </c>
      <c r="C42" s="100" t="n">
        <f aca="false">+B42+$H$11</f>
        <v>1.3995</v>
      </c>
      <c r="D42" s="349" t="n">
        <f aca="false">+I42+H42-F42</f>
        <v>0</v>
      </c>
      <c r="E42" s="100" t="n">
        <f aca="false">+$B$8+$H$12</f>
        <v>2.0595</v>
      </c>
      <c r="F42" s="101" t="n">
        <f aca="false">ROUND(IF(I42+H42&gt;$F$15*$B$5,$F$15*$B$5,I42+H42),0)</f>
        <v>204</v>
      </c>
      <c r="G42" s="292"/>
      <c r="H42" s="350" t="n">
        <f aca="false">'[1]Enron Detail'!J40</f>
        <v>0</v>
      </c>
      <c r="I42" s="351" t="n">
        <f aca="false">'[1]Enron Detail'!I40</f>
        <v>204</v>
      </c>
      <c r="J42" s="97" t="n">
        <f aca="false">+C42*D42</f>
        <v>0</v>
      </c>
      <c r="K42" s="99" t="n">
        <f aca="false">+E42*F42</f>
        <v>420.138</v>
      </c>
      <c r="L42" s="54" t="n">
        <f aca="false">+D42*C42+E42*F42</f>
        <v>420.138</v>
      </c>
    </row>
    <row r="43" customFormat="false" ht="12.75" hidden="false" customHeight="false" outlineLevel="0" collapsed="false">
      <c r="A43" s="8" t="n">
        <f aca="false">+'Index Pricing'!A34</f>
        <v>37223</v>
      </c>
      <c r="B43" s="41" t="n">
        <f aca="false">+'Index Pricing'!B34</f>
        <v>2.16</v>
      </c>
      <c r="C43" s="100" t="n">
        <f aca="false">+B43+$H$11</f>
        <v>1.6795</v>
      </c>
      <c r="D43" s="349" t="n">
        <f aca="false">+I43+H43-F43</f>
        <v>0</v>
      </c>
      <c r="E43" s="100" t="n">
        <f aca="false">+$B$8+$H$12</f>
        <v>2.0595</v>
      </c>
      <c r="F43" s="101" t="n">
        <f aca="false">ROUND(IF(I43+H43&gt;$F$15*$B$5,$F$15*$B$5,I43+H43),0)</f>
        <v>3</v>
      </c>
      <c r="G43" s="292"/>
      <c r="H43" s="350" t="n">
        <f aca="false">'[1]Enron Detail'!J41</f>
        <v>0</v>
      </c>
      <c r="I43" s="351" t="n">
        <f aca="false">'[1]Enron Detail'!I41</f>
        <v>3</v>
      </c>
      <c r="J43" s="97" t="n">
        <f aca="false">+C43*D43</f>
        <v>0</v>
      </c>
      <c r="K43" s="99" t="n">
        <f aca="false">+E43*F43</f>
        <v>6.1785</v>
      </c>
      <c r="L43" s="54" t="n">
        <f aca="false">+D43*C43+E43*F43</f>
        <v>6.1785</v>
      </c>
    </row>
    <row r="44" customFormat="false" ht="12.75" hidden="false" customHeight="false" outlineLevel="0" collapsed="false">
      <c r="A44" s="8" t="n">
        <f aca="false">+'Index Pricing'!A35</f>
        <v>37224</v>
      </c>
      <c r="B44" s="41" t="n">
        <f aca="false">+'Index Pricing'!B35</f>
        <v>2.38</v>
      </c>
      <c r="C44" s="100" t="n">
        <f aca="false">+B44+$H$11</f>
        <v>1.8995</v>
      </c>
      <c r="D44" s="349" t="n">
        <f aca="false">+I44+H44-F44</f>
        <v>87</v>
      </c>
      <c r="E44" s="100" t="n">
        <f aca="false">+$B$8+$H$12</f>
        <v>2.0595</v>
      </c>
      <c r="F44" s="101" t="n">
        <f aca="false">ROUND(IF(I44+H44&gt;$F$15*$B$5,$F$15*$B$5,I44+H44),0)</f>
        <v>331</v>
      </c>
      <c r="G44" s="292"/>
      <c r="H44" s="350" t="n">
        <f aca="false">'[1]Enron Detail'!J42</f>
        <v>-1</v>
      </c>
      <c r="I44" s="351" t="n">
        <f aca="false">'[1]Enron Detail'!I42</f>
        <v>419</v>
      </c>
      <c r="J44" s="97" t="n">
        <f aca="false">+C44*D44</f>
        <v>165.2565</v>
      </c>
      <c r="K44" s="99" t="n">
        <f aca="false">+E44*F44</f>
        <v>681.6945</v>
      </c>
      <c r="L44" s="54" t="n">
        <f aca="false">+D44*C44+E44*F44</f>
        <v>846.951</v>
      </c>
    </row>
    <row r="45" customFormat="false" ht="12.75" hidden="false" customHeight="false" outlineLevel="0" collapsed="false">
      <c r="A45" s="8" t="n">
        <f aca="false">+'Index Pricing'!A36</f>
        <v>37225</v>
      </c>
      <c r="B45" s="41" t="n">
        <f aca="false">+'Index Pricing'!B36</f>
        <v>2.025</v>
      </c>
      <c r="C45" s="100" t="n">
        <f aca="false">+B45+$H$11</f>
        <v>1.5445</v>
      </c>
      <c r="D45" s="349" t="n">
        <f aca="false">+I45+H45-F45</f>
        <v>101</v>
      </c>
      <c r="E45" s="100" t="n">
        <f aca="false">+$B$8+$H$12</f>
        <v>2.0595</v>
      </c>
      <c r="F45" s="101" t="n">
        <f aca="false">ROUND(IF(I45+H45&gt;$F$15*$B$5,$F$15*$B$5,I45+H45),0)</f>
        <v>331</v>
      </c>
      <c r="G45" s="292"/>
      <c r="H45" s="350" t="n">
        <f aca="false">'[1]Enron Detail'!J43</f>
        <v>-3</v>
      </c>
      <c r="I45" s="351" t="n">
        <f aca="false">'[1]Enron Detail'!I43</f>
        <v>435</v>
      </c>
      <c r="J45" s="97" t="n">
        <f aca="false">+C45*D45</f>
        <v>155.9945</v>
      </c>
      <c r="K45" s="99" t="n">
        <f aca="false">+E45*F45</f>
        <v>681.6945</v>
      </c>
      <c r="L45" s="54" t="n">
        <f aca="false">+D45*C45+E45*F45</f>
        <v>837.689</v>
      </c>
    </row>
    <row r="46" customFormat="false" ht="12.75" hidden="false" customHeight="false" outlineLevel="0" collapsed="false">
      <c r="A46" s="8"/>
      <c r="B46" s="41"/>
      <c r="C46" s="100"/>
      <c r="D46" s="349"/>
      <c r="E46" s="100"/>
      <c r="F46" s="101"/>
      <c r="G46" s="292"/>
      <c r="H46" s="350"/>
      <c r="I46" s="351"/>
      <c r="J46" s="97"/>
      <c r="K46" s="99"/>
      <c r="L46" s="54"/>
    </row>
    <row r="47" customFormat="false" ht="12.75" hidden="false" customHeight="false" outlineLevel="0" collapsed="false">
      <c r="A47" s="8"/>
      <c r="B47" s="41"/>
      <c r="C47" s="100"/>
      <c r="D47" s="349"/>
      <c r="E47" s="100"/>
      <c r="F47" s="101" t="n">
        <f aca="false">ROUND(IF(I47+H47&gt;$F$15*$B$5,$F$15*$B$5,I47+H47),0)</f>
        <v>0</v>
      </c>
      <c r="G47" s="292"/>
      <c r="H47" s="350"/>
      <c r="I47" s="351"/>
      <c r="J47" s="97"/>
      <c r="K47" s="99"/>
      <c r="L47" s="54"/>
    </row>
    <row r="48" customFormat="false" ht="13.5" hidden="false" customHeight="false" outlineLevel="0" collapsed="false">
      <c r="D48" s="352" t="n">
        <f aca="false">SUM(D16:D47)</f>
        <v>4881</v>
      </c>
      <c r="E48" s="31"/>
      <c r="F48" s="292" t="n">
        <f aca="false">SUM(F16:F47)</f>
        <v>7002</v>
      </c>
      <c r="G48" s="292"/>
      <c r="H48" s="353" t="n">
        <f aca="false">SUM(H16:H47)</f>
        <v>-24</v>
      </c>
      <c r="I48" s="351" t="n">
        <f aca="false">SUM(I16:I47)</f>
        <v>11907</v>
      </c>
      <c r="J48" s="110" t="n">
        <f aca="false">SUM(J16:J47)</f>
        <v>5762.7495</v>
      </c>
      <c r="K48" s="112" t="n">
        <f aca="false">SUM(K16:K47)</f>
        <v>14420.619</v>
      </c>
      <c r="L48" s="49" t="n">
        <f aca="false">SUM(L16:L47)</f>
        <v>20183.3685</v>
      </c>
      <c r="N48" s="113" t="n">
        <f aca="false">+D48+F48-H48</f>
        <v>11907</v>
      </c>
      <c r="O48" s="113" t="n">
        <f aca="false">+N48-I48</f>
        <v>0</v>
      </c>
    </row>
    <row r="49" customFormat="false" ht="12.75" hidden="false" customHeight="false" outlineLevel="0" collapsed="false">
      <c r="G49" s="0" t="s">
        <v>212</v>
      </c>
      <c r="H49" s="114" t="n">
        <f aca="false">+H48/I48</f>
        <v>-0.00201562106324011</v>
      </c>
    </row>
    <row r="50" customFormat="false" ht="12.75" hidden="false" customHeight="false" outlineLevel="0" collapsed="false">
      <c r="I50" s="5" t="s">
        <v>213</v>
      </c>
      <c r="J50" s="5"/>
      <c r="K50" s="5"/>
      <c r="L50" s="41" t="n">
        <f aca="false">+L48/(I48+H48)</f>
        <v>1.69850782630649</v>
      </c>
    </row>
    <row r="52" customFormat="false" ht="12.75" hidden="false" customHeight="false" outlineLevel="0" collapsed="false">
      <c r="A52" s="0" t="s">
        <v>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7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F48" activeCellId="0" sqref="F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4.13"/>
    <col collapsed="false" customWidth="true" hidden="false" outlineLevel="0" max="3" min="3" style="0" width="19.7"/>
    <col collapsed="false" customWidth="true" hidden="false" outlineLevel="0" max="5" min="4" style="0" width="19.56"/>
    <col collapsed="false" customWidth="true" hidden="false" outlineLevel="0" max="6" min="6" style="0" width="32.99"/>
    <col collapsed="false" customWidth="true" hidden="false" outlineLevel="0" max="7" min="7" style="0" width="29.41"/>
  </cols>
  <sheetData>
    <row r="1" customFormat="false" ht="12.75" hidden="false" customHeight="false" outlineLevel="0" collapsed="false">
      <c r="C1" s="12" t="s">
        <v>6</v>
      </c>
      <c r="D1" s="13"/>
      <c r="E1" s="13"/>
      <c r="F1" s="14" t="s">
        <v>7</v>
      </c>
      <c r="G1" s="15"/>
    </row>
    <row r="2" customFormat="false" ht="12.75" hidden="false" customHeight="false" outlineLevel="0" collapsed="false">
      <c r="C2" s="16"/>
      <c r="D2" s="17"/>
      <c r="E2" s="17"/>
      <c r="F2" s="18"/>
      <c r="G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18" t="s">
        <v>214</v>
      </c>
      <c r="G3" s="117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18" t="s">
        <v>215</v>
      </c>
      <c r="G4" s="18"/>
    </row>
    <row r="5" customFormat="false" ht="12.75" hidden="false" customHeight="false" outlineLevel="0" collapsed="false">
      <c r="B5" s="0" t="n">
        <v>11829</v>
      </c>
      <c r="C5" s="16"/>
      <c r="D5" s="17"/>
      <c r="E5" s="17"/>
      <c r="F5" s="18" t="s">
        <v>216</v>
      </c>
      <c r="G5" s="19" t="s">
        <v>13</v>
      </c>
    </row>
    <row r="6" customFormat="false" ht="12.75" hidden="false" customHeight="false" outlineLevel="0" collapsed="false">
      <c r="C6" s="16"/>
      <c r="D6" s="17"/>
      <c r="E6" s="17"/>
      <c r="F6" s="18" t="s">
        <v>217</v>
      </c>
      <c r="G6" s="21" t="n">
        <v>37195</v>
      </c>
    </row>
    <row r="7" customFormat="false" ht="12.75" hidden="false" customHeight="false" outlineLevel="0" collapsed="false">
      <c r="C7" s="16"/>
      <c r="D7" s="17"/>
      <c r="E7" s="17"/>
      <c r="F7" s="18"/>
      <c r="G7" s="18"/>
    </row>
    <row r="8" customFormat="false" ht="12.75" hidden="false" customHeight="false" outlineLevel="0" collapsed="false">
      <c r="C8" s="16"/>
      <c r="D8" s="17"/>
      <c r="E8" s="17"/>
      <c r="F8" s="18"/>
      <c r="G8" s="19" t="s">
        <v>17</v>
      </c>
    </row>
    <row r="9" customFormat="false" ht="12.75" hidden="false" customHeight="false" outlineLevel="0" collapsed="false">
      <c r="C9" s="16" t="s">
        <v>18</v>
      </c>
      <c r="D9" s="17"/>
      <c r="E9" s="17"/>
      <c r="F9" s="18" t="s">
        <v>218</v>
      </c>
      <c r="G9" s="22" t="s">
        <v>19</v>
      </c>
    </row>
    <row r="10" customFormat="false" ht="12.75" hidden="false" customHeight="false" outlineLevel="0" collapsed="false">
      <c r="C10" s="16" t="s">
        <v>20</v>
      </c>
      <c r="D10" s="17"/>
      <c r="E10" s="17"/>
      <c r="F10" s="18" t="s">
        <v>219</v>
      </c>
      <c r="G10" s="19" t="s">
        <v>21</v>
      </c>
    </row>
    <row r="11" customFormat="false" ht="12.75" hidden="false" customHeight="false" outlineLevel="0" collapsed="false">
      <c r="A11" s="23" t="s">
        <v>9</v>
      </c>
      <c r="B11" s="24"/>
      <c r="C11" s="25" t="s">
        <v>22</v>
      </c>
      <c r="D11" s="26"/>
      <c r="E11" s="26"/>
      <c r="F11" s="27" t="s">
        <v>220</v>
      </c>
      <c r="G11" s="28" t="s">
        <v>221</v>
      </c>
    </row>
    <row r="12" customFormat="false" ht="13.5" hidden="false" customHeight="false" outlineLevel="0" collapsed="false">
      <c r="A12" s="29" t="n">
        <f aca="true">NOW()</f>
        <v>45926.8884094857</v>
      </c>
      <c r="B12" s="30"/>
      <c r="C12" s="30"/>
      <c r="D12" s="30"/>
      <c r="E12" s="30"/>
      <c r="F12" s="30"/>
      <c r="G12" s="30"/>
      <c r="H12" s="31"/>
    </row>
    <row r="13" customFormat="false" ht="12.75" hidden="false" customHeight="false" outlineLevel="0" collapsed="false">
      <c r="A13" s="32" t="s">
        <v>25</v>
      </c>
      <c r="B13" s="32" t="s">
        <v>26</v>
      </c>
      <c r="C13" s="32" t="s">
        <v>27</v>
      </c>
      <c r="D13" s="32"/>
      <c r="E13" s="32"/>
    </row>
    <row r="14" customFormat="false" ht="12.75" hidden="false" customHeight="false" outlineLevel="0" collapsed="false">
      <c r="A14" s="33" t="n">
        <f aca="false">+'Index Pricing'!A1</f>
        <v>37196</v>
      </c>
      <c r="B14" s="34" t="n">
        <v>96028454</v>
      </c>
      <c r="C14" s="0" t="s">
        <v>222</v>
      </c>
    </row>
    <row r="15" customFormat="false" ht="12.75" hidden="false" customHeight="false" outlineLevel="0" collapsed="false">
      <c r="A15" s="33"/>
      <c r="B15" s="34"/>
      <c r="C15" s="0" t="s">
        <v>223</v>
      </c>
    </row>
    <row r="16" customFormat="false" ht="12.75" hidden="false" customHeight="false" outlineLevel="0" collapsed="false">
      <c r="A16" s="33"/>
      <c r="B16" s="34"/>
      <c r="C16" s="0" t="s">
        <v>224</v>
      </c>
    </row>
    <row r="17" customFormat="false" ht="12.75" hidden="false" customHeight="false" outlineLevel="0" collapsed="false">
      <c r="A17" s="33"/>
      <c r="B17" s="34"/>
      <c r="C17" s="0" t="s">
        <v>225</v>
      </c>
    </row>
    <row r="18" customFormat="false" ht="12.75" hidden="false" customHeight="false" outlineLevel="0" collapsed="false">
      <c r="C18" s="0" t="s">
        <v>226</v>
      </c>
    </row>
    <row r="19" customFormat="false" ht="12.75" hidden="false" customHeight="false" outlineLevel="0" collapsed="false">
      <c r="C19" s="0" t="s">
        <v>227</v>
      </c>
    </row>
    <row r="21" customFormat="false" ht="12.75" hidden="false" customHeight="false" outlineLevel="0" collapsed="false">
      <c r="B21" s="35" t="s">
        <v>29</v>
      </c>
      <c r="C21" s="36" t="s">
        <v>30</v>
      </c>
      <c r="D21" s="37" t="s">
        <v>31</v>
      </c>
      <c r="E21" s="38"/>
      <c r="F21" s="38" t="s">
        <v>33</v>
      </c>
      <c r="G21" s="37" t="s">
        <v>34</v>
      </c>
    </row>
    <row r="22" customFormat="false" ht="12.75" hidden="false" customHeight="false" outlineLevel="0" collapsed="false">
      <c r="A22" s="121" t="str">
        <f aca="false">+'Kennedy Summary'!A22</f>
        <v>11/01/01 - 11/30/01</v>
      </c>
      <c r="B22" s="0" t="s">
        <v>36</v>
      </c>
      <c r="C22" s="41" t="n">
        <f aca="false">+'Phillips Detail'!J12</f>
        <v>-0.5355</v>
      </c>
      <c r="D22" s="42" t="n">
        <f aca="false">+'Phillips Detail'!L53</f>
        <v>1.22339959348638</v>
      </c>
      <c r="E22" s="43"/>
      <c r="F22" s="43" t="n">
        <f aca="false">+'Phillips Detail'!D51</f>
        <v>42557</v>
      </c>
      <c r="G22" s="44" t="n">
        <f aca="false">+'Phillips Detail'!L51</f>
        <v>52064.2165</v>
      </c>
    </row>
    <row r="23" customFormat="false" ht="12.75" hidden="false" customHeight="false" outlineLevel="0" collapsed="false">
      <c r="A23" s="0" t="str">
        <f aca="false">+A22</f>
        <v>11/01/01 - 11/30/01</v>
      </c>
      <c r="B23" s="0" t="s">
        <v>37</v>
      </c>
      <c r="C23" s="41" t="n">
        <f aca="false">+'Phillips Detail'!J13</f>
        <v>-0.775</v>
      </c>
      <c r="D23" s="42" t="n">
        <f aca="false">+'Phillips Detail'!M53</f>
        <v>2.265</v>
      </c>
      <c r="E23" s="43"/>
      <c r="F23" s="43" t="n">
        <f aca="false">+'Phillips Detail'!F51</f>
        <v>253932</v>
      </c>
      <c r="G23" s="44" t="n">
        <f aca="false">+'Phillips Detail'!M51</f>
        <v>575155.98</v>
      </c>
    </row>
    <row r="24" customFormat="false" ht="12.75" hidden="false" customHeight="false" outlineLevel="0" collapsed="false">
      <c r="A24" s="0" t="str">
        <f aca="false">+A23</f>
        <v>11/01/01 - 11/30/01</v>
      </c>
      <c r="B24" s="0" t="s">
        <v>38</v>
      </c>
      <c r="C24" s="41" t="n">
        <f aca="false">+'Phillips Detail'!J14</f>
        <v>-0.6624</v>
      </c>
      <c r="D24" s="45" t="n">
        <v>0</v>
      </c>
      <c r="E24" s="43"/>
      <c r="F24" s="43" t="n">
        <f aca="false">+'Phillips Detail'!H51</f>
        <v>0</v>
      </c>
      <c r="G24" s="44" t="n">
        <f aca="false">+'Phillips Detail'!N51</f>
        <v>0</v>
      </c>
    </row>
    <row r="25" customFormat="false" ht="12.75" hidden="false" customHeight="false" outlineLevel="0" collapsed="false">
      <c r="A25" s="0" t="str">
        <f aca="false">+A24</f>
        <v>11/01/01 - 11/30/01</v>
      </c>
      <c r="C25" s="0" t="s">
        <v>39</v>
      </c>
      <c r="D25" s="46" t="s">
        <v>40</v>
      </c>
      <c r="E25" s="43"/>
      <c r="F25" s="43" t="n">
        <f aca="false">-+'Phillips Detail'!J51</f>
        <v>20919</v>
      </c>
      <c r="G25" s="47" t="s">
        <v>41</v>
      </c>
    </row>
    <row r="26" customFormat="false" ht="12.75" hidden="false" customHeight="false" outlineLevel="0" collapsed="false">
      <c r="A26" s="48" t="str">
        <f aca="false">+'MTG Summary'!A18</f>
        <v>11/01/01 - 11/30/01</v>
      </c>
      <c r="B26" s="32"/>
      <c r="C26" s="32"/>
      <c r="D26" s="49"/>
      <c r="E26" s="43"/>
      <c r="F26" s="48" t="n">
        <f aca="false">SUM(F22:F25)</f>
        <v>317408</v>
      </c>
      <c r="G26" s="50" t="n">
        <f aca="false">SUM(G22:G25)</f>
        <v>627220.1965</v>
      </c>
    </row>
    <row r="28" customFormat="false" ht="12.75" hidden="false" customHeight="false" outlineLevel="0" collapsed="false">
      <c r="G28" s="49"/>
    </row>
    <row r="29" customFormat="false" ht="12.75" hidden="false" customHeight="false" outlineLevel="0" collapsed="false">
      <c r="A29" s="32" t="s">
        <v>228</v>
      </c>
      <c r="D29" s="46"/>
      <c r="E29" s="46"/>
      <c r="F29" s="43"/>
      <c r="G29" s="50"/>
      <c r="H29" s="50"/>
    </row>
    <row r="30" customFormat="false" ht="15" hidden="false" customHeight="false" outlineLevel="0" collapsed="false">
      <c r="A30" s="32"/>
      <c r="C30" s="39"/>
      <c r="D30" s="51"/>
      <c r="E30" s="51"/>
      <c r="F30" s="52"/>
      <c r="G30" s="50"/>
      <c r="H30" s="50"/>
    </row>
    <row r="31" customFormat="false" ht="12.75" hidden="false" customHeight="false" outlineLevel="0" collapsed="false">
      <c r="A31" s="53"/>
      <c r="C31" s="1"/>
      <c r="D31" s="55"/>
      <c r="E31" s="43"/>
      <c r="F31" s="43"/>
      <c r="H31" s="50"/>
    </row>
    <row r="32" customFormat="false" ht="12.75" hidden="false" customHeight="false" outlineLevel="0" collapsed="false">
      <c r="A32" s="53"/>
      <c r="C32" s="1"/>
      <c r="D32" s="55"/>
      <c r="E32" s="43"/>
      <c r="G32" s="50"/>
      <c r="H32" s="50"/>
    </row>
    <row r="33" customFormat="false" ht="12.75" hidden="false" customHeight="false" outlineLevel="0" collapsed="false">
      <c r="A33" s="53"/>
      <c r="C33" s="1"/>
      <c r="D33" s="55"/>
      <c r="E33" s="43"/>
      <c r="G33" s="50"/>
      <c r="H33" s="50"/>
    </row>
    <row r="34" customFormat="false" ht="12.75" hidden="false" customHeight="false" outlineLevel="0" collapsed="false">
      <c r="A34" s="53"/>
      <c r="C34" s="1"/>
      <c r="D34" s="55"/>
      <c r="E34" s="43"/>
      <c r="F34" s="43"/>
      <c r="G34" s="50"/>
      <c r="H34" s="50"/>
    </row>
    <row r="35" customFormat="false" ht="12.75" hidden="false" customHeight="false" outlineLevel="0" collapsed="false">
      <c r="A35" s="53"/>
      <c r="C35" s="1"/>
      <c r="D35" s="55"/>
      <c r="E35" s="43"/>
      <c r="F35" s="43"/>
      <c r="G35" s="50"/>
      <c r="H35" s="50"/>
    </row>
    <row r="36" customFormat="false" ht="12.75" hidden="false" customHeight="false" outlineLevel="0" collapsed="false">
      <c r="A36" s="53"/>
      <c r="D36" s="46"/>
      <c r="E36" s="46"/>
      <c r="F36" s="43"/>
      <c r="G36" s="50"/>
    </row>
    <row r="37" customFormat="false" ht="12.75" hidden="false" customHeight="false" outlineLevel="0" collapsed="false">
      <c r="A37" s="53"/>
      <c r="D37" s="46"/>
      <c r="E37" s="46"/>
      <c r="F37" s="43"/>
      <c r="G37" s="50"/>
    </row>
    <row r="38" customFormat="false" ht="12.75" hidden="false" customHeight="false" outlineLevel="0" collapsed="false">
      <c r="D38" s="32" t="s">
        <v>47</v>
      </c>
      <c r="E38" s="32"/>
      <c r="F38" s="60"/>
      <c r="G38" s="61" t="n">
        <f aca="false">SUM(G26:G36)</f>
        <v>627220.1965</v>
      </c>
    </row>
    <row r="39" customFormat="false" ht="12.75" hidden="false" customHeight="false" outlineLevel="0" collapsed="false">
      <c r="B39" s="45"/>
    </row>
    <row r="40" customFormat="false" ht="12.75" hidden="false" customHeight="false" outlineLevel="0" collapsed="false">
      <c r="B40" s="32"/>
      <c r="C40" s="32"/>
    </row>
    <row r="41" customFormat="false" ht="12.75" hidden="false" customHeight="false" outlineLevel="0" collapsed="false">
      <c r="B41" s="34"/>
    </row>
    <row r="42" customFormat="false" ht="12.75" hidden="false" customHeight="false" outlineLevel="0" collapsed="false">
      <c r="B42" s="45"/>
    </row>
    <row r="43" customFormat="false" ht="12.75" hidden="false" customHeight="false" outlineLevel="0" collapsed="false">
      <c r="B43" s="45"/>
    </row>
    <row r="44" customFormat="false" ht="12.75" hidden="false" customHeight="false" outlineLevel="0" collapsed="false">
      <c r="A44" s="32"/>
      <c r="B44" s="32"/>
      <c r="C44" s="32"/>
    </row>
    <row r="45" customFormat="false" ht="12.75" hidden="false" customHeight="false" outlineLevel="0" collapsed="false">
      <c r="A45" s="62"/>
      <c r="B45" s="34"/>
    </row>
    <row r="46" customFormat="false" ht="12.75" hidden="false" customHeight="false" outlineLevel="0" collapsed="false">
      <c r="B46" s="45"/>
    </row>
    <row r="47" customFormat="false" ht="12.75" hidden="false" customHeight="false" outlineLevel="0" collapsed="false">
      <c r="B47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58"/>
  <sheetViews>
    <sheetView showFormulas="false" showGridLines="false" showRowColHeaders="true" showZeros="true" rightToLeft="false" tabSelected="false" showOutlineSymbols="true" defaultGridColor="true" view="normal" topLeftCell="C1" colorId="64" zoomScale="75" zoomScaleNormal="75" zoomScalePageLayoutView="100" workbookViewId="0">
      <selection pane="topLeft" activeCell="G47" activeCellId="0" sqref="G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16.99"/>
    <col collapsed="false" customWidth="true" hidden="false" outlineLevel="0" max="3" min="3" style="0" width="18.14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7.28"/>
    <col collapsed="false" customWidth="true" hidden="false" outlineLevel="0" max="7" min="7" style="0" width="16.7"/>
    <col collapsed="false" customWidth="true" hidden="false" outlineLevel="0" max="8" min="8" style="0" width="9.85"/>
    <col collapsed="false" customWidth="true" hidden="false" outlineLevel="0" max="9" min="9" style="0" width="14.14"/>
    <col collapsed="false" customWidth="true" hidden="false" outlineLevel="0" max="10" min="10" style="0" width="15.28"/>
    <col collapsed="false" customWidth="true" hidden="false" outlineLevel="0" max="11" min="11" style="0" width="10.56"/>
    <col collapsed="false" customWidth="true" hidden="false" outlineLevel="0" max="12" min="12" style="0" width="13.85"/>
    <col collapsed="false" customWidth="true" hidden="false" outlineLevel="0" max="13" min="13" style="0" width="16.28"/>
    <col collapsed="false" customWidth="true" hidden="false" outlineLevel="0" max="14" min="14" style="0" width="13.41"/>
    <col collapsed="false" customWidth="true" hidden="false" outlineLevel="0" max="15" min="15" style="0" width="15.56"/>
    <col collapsed="false" customWidth="true" hidden="false" outlineLevel="0" max="16" min="16" style="54" width="18.41"/>
    <col collapsed="false" customWidth="true" hidden="false" outlineLevel="0" max="17" min="17" style="0" width="18.99"/>
    <col collapsed="false" customWidth="true" hidden="false" outlineLevel="0" max="19" min="18" style="0" width="12.28"/>
    <col collapsed="false" customWidth="true" hidden="false" outlineLevel="0" max="21" min="20" style="0" width="18.7"/>
  </cols>
  <sheetData>
    <row r="1" customFormat="false" ht="12.75" hidden="false" customHeight="false" outlineLevel="0" collapsed="false">
      <c r="A1" s="32"/>
      <c r="B1" s="0" t="s">
        <v>49</v>
      </c>
      <c r="C1" s="0" t="s">
        <v>229</v>
      </c>
      <c r="H1" s="0" t="s">
        <v>51</v>
      </c>
      <c r="P1" s="3" t="n">
        <f aca="true">NOW()</f>
        <v>45926.8884095125</v>
      </c>
    </row>
    <row r="2" customFormat="false" ht="12.75" hidden="false" customHeight="false" outlineLevel="0" collapsed="false">
      <c r="A2" s="33" t="n">
        <f aca="false">+'Index Pricing'!A1</f>
        <v>37196</v>
      </c>
      <c r="B2" s="0" t="s">
        <v>230</v>
      </c>
      <c r="C2" s="0" t="s">
        <v>231</v>
      </c>
    </row>
    <row r="3" customFormat="false" ht="12.75" hidden="false" customHeight="false" outlineLevel="0" collapsed="false">
      <c r="A3" s="33"/>
      <c r="B3" s="0" t="s">
        <v>232</v>
      </c>
      <c r="C3" s="0" t="s">
        <v>233</v>
      </c>
      <c r="H3" s="0" t="s">
        <v>56</v>
      </c>
      <c r="K3" s="0" t="s">
        <v>57</v>
      </c>
    </row>
    <row r="4" customFormat="false" ht="12.75" hidden="false" customHeight="false" outlineLevel="0" collapsed="false">
      <c r="A4" s="33"/>
    </row>
    <row r="5" customFormat="false" ht="12.75" hidden="false" customHeight="false" outlineLevel="0" collapsed="false">
      <c r="A5" s="33" t="s">
        <v>119</v>
      </c>
      <c r="B5" s="354" t="n">
        <v>11336</v>
      </c>
      <c r="C5" s="0" t="s">
        <v>234</v>
      </c>
    </row>
    <row r="6" customFormat="false" ht="12.75" hidden="false" customHeight="false" outlineLevel="0" collapsed="false">
      <c r="A6" s="62" t="s">
        <v>235</v>
      </c>
      <c r="B6" s="254" t="n">
        <f aca="false">'[1]Enron Detail'!$O$9</f>
        <v>0.943774698503134</v>
      </c>
      <c r="G6" s="121" t="n">
        <v>37072</v>
      </c>
    </row>
    <row r="7" customFormat="false" ht="12.75" hidden="false" customHeight="false" outlineLevel="0" collapsed="false">
      <c r="A7" s="62" t="s">
        <v>236</v>
      </c>
      <c r="B7" s="54" t="n">
        <v>0.45</v>
      </c>
      <c r="C7" s="0" t="s">
        <v>60</v>
      </c>
      <c r="D7" s="0" t="n">
        <f aca="false">+B7/B6</f>
        <v>0.476808713683169</v>
      </c>
      <c r="E7" s="0" t="s">
        <v>162</v>
      </c>
    </row>
    <row r="8" customFormat="false" ht="12.75" hidden="false" customHeight="false" outlineLevel="0" collapsed="false">
      <c r="A8" s="62" t="str">
        <f aca="false">+'Index Pricing'!A3</f>
        <v>IF CIG Rockies</v>
      </c>
      <c r="B8" s="54" t="n">
        <f aca="false">+'Index Pricing'!B3</f>
        <v>2.54</v>
      </c>
    </row>
    <row r="9" customFormat="false" ht="12.75" hidden="false" customHeight="false" outlineLevel="0" collapsed="false">
      <c r="A9" s="62" t="str">
        <f aca="false">+'Index Pricing'!A4</f>
        <v>IF NGPL Midcont.</v>
      </c>
      <c r="B9" s="54" t="n">
        <f aca="false">+'Index Pricing'!B4</f>
        <v>3.04</v>
      </c>
    </row>
    <row r="10" customFormat="false" ht="13.5" hidden="false" customHeight="false" outlineLevel="0" collapsed="false">
      <c r="A10" s="62"/>
    </row>
    <row r="11" customFormat="false" ht="51" hidden="false" customHeight="false" outlineLevel="0" collapsed="false">
      <c r="A11" s="355"/>
      <c r="B11" s="67"/>
      <c r="C11" s="67" t="s">
        <v>237</v>
      </c>
      <c r="D11" s="67" t="s">
        <v>238</v>
      </c>
      <c r="E11" s="67" t="s">
        <v>63</v>
      </c>
      <c r="F11" s="68" t="str">
        <f aca="false">"WIC Med.Bow Fuel ("&amp;'Index Pricing'!$F$3*100&amp;"%*CIGindex)"</f>
        <v>WIC Med.Bow Fuel (0.68%*CIGindex)</v>
      </c>
      <c r="G11" s="67" t="s">
        <v>64</v>
      </c>
      <c r="H11" s="67" t="s">
        <v>128</v>
      </c>
      <c r="I11" s="67" t="s">
        <v>66</v>
      </c>
      <c r="J11" s="69" t="s">
        <v>67</v>
      </c>
      <c r="K11" s="24"/>
      <c r="L11" s="24"/>
      <c r="M11" s="24"/>
      <c r="N11" s="24"/>
      <c r="O11" s="24"/>
      <c r="P11" s="356"/>
      <c r="Q11" s="24"/>
      <c r="R11" s="24"/>
      <c r="S11" s="24"/>
      <c r="T11" s="24"/>
      <c r="U11" s="24"/>
    </row>
    <row r="12" customFormat="false" ht="12.75" hidden="false" customHeight="false" outlineLevel="0" collapsed="false">
      <c r="A12" s="339" t="s">
        <v>68</v>
      </c>
      <c r="B12" s="340" t="s">
        <v>36</v>
      </c>
      <c r="C12" s="341" t="n">
        <v>-0.025</v>
      </c>
      <c r="D12" s="340" t="n">
        <f aca="false">-B7/B6</f>
        <v>-0.476808713683169</v>
      </c>
      <c r="E12" s="340" t="n">
        <v>0</v>
      </c>
      <c r="F12" s="340" t="n">
        <v>0</v>
      </c>
      <c r="G12" s="340" t="n">
        <v>0</v>
      </c>
      <c r="H12" s="340" t="n">
        <v>0</v>
      </c>
      <c r="I12" s="340" t="n">
        <f aca="false">-J51*D12/(D51+F51+H51)</f>
        <v>-0.033641590350867</v>
      </c>
      <c r="J12" s="342" t="n">
        <f aca="false">ROUND(SUM(C12:I12),4)</f>
        <v>-0.5355</v>
      </c>
    </row>
    <row r="13" customFormat="false" ht="12.75" hidden="false" customHeight="false" outlineLevel="0" collapsed="false">
      <c r="A13" s="339"/>
      <c r="B13" s="340" t="s">
        <v>3</v>
      </c>
      <c r="C13" s="341" t="n">
        <v>0.01</v>
      </c>
      <c r="D13" s="340" t="n">
        <f aca="false">-B7/B6</f>
        <v>-0.476808713683169</v>
      </c>
      <c r="E13" s="340" t="n">
        <f aca="false">-0.13-0.0025-0.0022</f>
        <v>-0.1347</v>
      </c>
      <c r="F13" s="340" t="n">
        <f aca="false">-'Index Pricing'!$F$3*$B$8</f>
        <v>-0.017272</v>
      </c>
      <c r="G13" s="340" t="n">
        <v>-0.1226</v>
      </c>
      <c r="H13" s="340" t="n">
        <v>0</v>
      </c>
      <c r="I13" s="340" t="n">
        <f aca="false">+I12</f>
        <v>-0.033641590350867</v>
      </c>
      <c r="J13" s="342" t="n">
        <f aca="false">ROUND(SUM(C13:I13),4)</f>
        <v>-0.775</v>
      </c>
    </row>
    <row r="14" customFormat="false" ht="13.5" hidden="false" customHeight="false" outlineLevel="0" collapsed="false">
      <c r="A14" s="343"/>
      <c r="B14" s="344" t="s">
        <v>0</v>
      </c>
      <c r="C14" s="345"/>
      <c r="D14" s="344" t="n">
        <f aca="false">-B7/B6</f>
        <v>-0.476808713683169</v>
      </c>
      <c r="E14" s="344" t="n">
        <f aca="false">-0.13-0.0025-0.0022</f>
        <v>-0.1347</v>
      </c>
      <c r="F14" s="344" t="n">
        <f aca="false">-'Index Pricing'!$F$3*$B$8</f>
        <v>-0.017272</v>
      </c>
      <c r="G14" s="344"/>
      <c r="H14" s="344"/>
      <c r="I14" s="344" t="n">
        <f aca="false">+I13</f>
        <v>-0.033641590350867</v>
      </c>
      <c r="J14" s="346" t="n">
        <f aca="false">ROUND(SUM(C14:I14),4)</f>
        <v>-0.6624</v>
      </c>
    </row>
    <row r="15" customFormat="false" ht="13.5" hidden="false" customHeight="false" outlineLevel="0" collapsed="false"/>
    <row r="16" customFormat="false" ht="38.25" hidden="false" customHeight="false" outlineLevel="0" collapsed="false">
      <c r="A16" s="80"/>
      <c r="B16" s="84"/>
      <c r="C16" s="357" t="s">
        <v>133</v>
      </c>
      <c r="D16" s="85" t="s">
        <v>70</v>
      </c>
      <c r="E16" s="357" t="s">
        <v>239</v>
      </c>
      <c r="F16" s="85" t="s">
        <v>72</v>
      </c>
      <c r="G16" s="357" t="s">
        <v>240</v>
      </c>
      <c r="H16" s="82" t="s">
        <v>74</v>
      </c>
      <c r="I16" s="84"/>
      <c r="J16" s="85" t="s">
        <v>211</v>
      </c>
      <c r="K16" s="85" t="s">
        <v>76</v>
      </c>
      <c r="L16" s="84" t="s">
        <v>77</v>
      </c>
      <c r="M16" s="85" t="s">
        <v>78</v>
      </c>
      <c r="N16" s="82" t="s">
        <v>79</v>
      </c>
      <c r="O16" s="358" t="s">
        <v>80</v>
      </c>
      <c r="P16" s="0"/>
    </row>
    <row r="17" customFormat="false" ht="12.75" hidden="false" customHeight="false" outlineLevel="0" collapsed="false">
      <c r="A17" s="80"/>
      <c r="B17" s="265"/>
      <c r="C17" s="359"/>
      <c r="D17" s="83"/>
      <c r="E17" s="359"/>
      <c r="F17" s="292"/>
      <c r="G17" s="359"/>
      <c r="H17" s="169"/>
      <c r="I17" s="265"/>
      <c r="J17" s="83"/>
      <c r="K17" s="83"/>
      <c r="L17" s="90"/>
      <c r="M17" s="31"/>
      <c r="N17" s="91"/>
      <c r="O17" s="360"/>
      <c r="P17" s="0"/>
    </row>
    <row r="18" customFormat="false" ht="13.5" hidden="false" customHeight="false" outlineLevel="0" collapsed="false">
      <c r="B18" s="331" t="s">
        <v>81</v>
      </c>
      <c r="C18" s="361" t="s">
        <v>82</v>
      </c>
      <c r="D18" s="30"/>
      <c r="E18" s="361" t="s">
        <v>83</v>
      </c>
      <c r="F18" s="30"/>
      <c r="G18" s="361" t="s">
        <v>84</v>
      </c>
      <c r="H18" s="362"/>
      <c r="I18" s="331"/>
      <c r="J18" s="30"/>
      <c r="K18" s="30"/>
      <c r="L18" s="331"/>
      <c r="M18" s="30"/>
      <c r="N18" s="362"/>
      <c r="O18" s="363"/>
      <c r="P18" s="0"/>
    </row>
    <row r="19" customFormat="false" ht="12.75" hidden="false" customHeight="false" outlineLevel="0" collapsed="false">
      <c r="A19" s="8" t="n">
        <f aca="false">+'Index Pricing'!A7</f>
        <v>37196</v>
      </c>
      <c r="B19" s="41" t="n">
        <f aca="false">+'Index Pricing'!B7</f>
        <v>2.67</v>
      </c>
      <c r="C19" s="364" t="n">
        <f aca="false">+B19+$J$12</f>
        <v>2.1345</v>
      </c>
      <c r="D19" s="292" t="n">
        <f aca="false">(ROUND(MAX(0,SUM(J19:K19)-SUM(H19,F19)),0))</f>
        <v>1516</v>
      </c>
      <c r="E19" s="365" t="n">
        <f aca="false">+'Index Pricing'!$B$4+$J$13</f>
        <v>2.265</v>
      </c>
      <c r="F19" s="103" t="n">
        <f aca="false">ROUND(MIN(0.8*$B$5,10000,SUM(J19:K19)),0)</f>
        <v>9069</v>
      </c>
      <c r="G19" s="365" t="n">
        <f aca="false">+'Index Pricing'!$B$3+$J$14</f>
        <v>1.8776</v>
      </c>
      <c r="H19" s="366" t="n">
        <f aca="false">ROUND(MAX(0.8*$B$5-F19,0),0)</f>
        <v>0</v>
      </c>
      <c r="I19" s="31"/>
      <c r="J19" s="350" t="n">
        <f aca="false">'[1]Enron Detail'!P14</f>
        <v>-751</v>
      </c>
      <c r="K19" s="367" t="n">
        <f aca="false">'[1]Enron Detail'!O14</f>
        <v>11336</v>
      </c>
      <c r="L19" s="97" t="n">
        <f aca="false">+C19*D19</f>
        <v>3235.902</v>
      </c>
      <c r="M19" s="98" t="n">
        <f aca="false">+E19*F19</f>
        <v>20541.285</v>
      </c>
      <c r="N19" s="99" t="n">
        <f aca="false">+G19*H19</f>
        <v>0</v>
      </c>
      <c r="O19" s="54" t="n">
        <f aca="false">SUM(L19:N19)</f>
        <v>23777.187</v>
      </c>
    </row>
    <row r="20" customFormat="false" ht="12.75" hidden="false" customHeight="false" outlineLevel="0" collapsed="false">
      <c r="A20" s="8" t="n">
        <f aca="false">+'Index Pricing'!A8</f>
        <v>37197</v>
      </c>
      <c r="B20" s="41" t="n">
        <f aca="false">+'Index Pricing'!B8</f>
        <v>2.36</v>
      </c>
      <c r="C20" s="364" t="n">
        <f aca="false">+B20+$J$12</f>
        <v>1.8245</v>
      </c>
      <c r="D20" s="292" t="n">
        <f aca="false">(ROUND(MAX(0,SUM(J20:K20)-SUM(H20,F20)),0))</f>
        <v>1518</v>
      </c>
      <c r="E20" s="365" t="n">
        <f aca="false">+'Index Pricing'!$B$4+$J$13</f>
        <v>2.265</v>
      </c>
      <c r="F20" s="103" t="n">
        <f aca="false">ROUND(MIN(0.8*$B$5,10000,SUM(J20:K20)),0)</f>
        <v>9069</v>
      </c>
      <c r="G20" s="365" t="n">
        <f aca="false">+'Index Pricing'!$B$3+$J$14</f>
        <v>1.8776</v>
      </c>
      <c r="H20" s="366" t="n">
        <f aca="false">ROUND(MAX(0.8*$B$5-F20,0),0)</f>
        <v>0</v>
      </c>
      <c r="I20" s="31"/>
      <c r="J20" s="350" t="n">
        <f aca="false">'[1]Enron Detail'!P15</f>
        <v>-749</v>
      </c>
      <c r="K20" s="367" t="n">
        <f aca="false">'[1]Enron Detail'!O15</f>
        <v>11336</v>
      </c>
      <c r="L20" s="97" t="n">
        <f aca="false">+C20*D20</f>
        <v>2769.591</v>
      </c>
      <c r="M20" s="98" t="n">
        <f aca="false">+E20*F20</f>
        <v>20541.285</v>
      </c>
      <c r="N20" s="99" t="n">
        <f aca="false">+G20*H20</f>
        <v>0</v>
      </c>
      <c r="O20" s="54" t="n">
        <f aca="false">SUM(L20:N20)</f>
        <v>23310.876</v>
      </c>
      <c r="P20" s="0"/>
    </row>
    <row r="21" customFormat="false" ht="12.75" hidden="false" customHeight="false" outlineLevel="0" collapsed="false">
      <c r="A21" s="8" t="n">
        <f aca="false">+'Index Pricing'!A9</f>
        <v>37198</v>
      </c>
      <c r="B21" s="41" t="n">
        <f aca="false">+'Index Pricing'!B9</f>
        <v>2.015</v>
      </c>
      <c r="C21" s="364" t="n">
        <f aca="false">+B21+$J$12</f>
        <v>1.4795</v>
      </c>
      <c r="D21" s="292" t="n">
        <f aca="false">(ROUND(MAX(0,SUM(J21:K21)-SUM(H21,F21)),0))</f>
        <v>1511</v>
      </c>
      <c r="E21" s="365" t="n">
        <f aca="false">+'Index Pricing'!$B$4+$J$13</f>
        <v>2.265</v>
      </c>
      <c r="F21" s="103" t="n">
        <f aca="false">ROUND(MIN(0.8*$B$5,10000,SUM(J21:K21)),0)</f>
        <v>9069</v>
      </c>
      <c r="G21" s="365" t="n">
        <f aca="false">+'Index Pricing'!$B$3+$J$14</f>
        <v>1.8776</v>
      </c>
      <c r="H21" s="366" t="n">
        <f aca="false">ROUND(MAX(0.8*$B$5-F21,0),0)</f>
        <v>0</v>
      </c>
      <c r="I21" s="31"/>
      <c r="J21" s="350" t="n">
        <f aca="false">'[1]Enron Detail'!P16</f>
        <v>-756</v>
      </c>
      <c r="K21" s="367" t="n">
        <f aca="false">'[1]Enron Detail'!O16</f>
        <v>11336</v>
      </c>
      <c r="L21" s="97" t="n">
        <f aca="false">+C21*D21</f>
        <v>2235.5245</v>
      </c>
      <c r="M21" s="98" t="n">
        <f aca="false">+E21*F21</f>
        <v>20541.285</v>
      </c>
      <c r="N21" s="99" t="n">
        <f aca="false">+G21*H21</f>
        <v>0</v>
      </c>
      <c r="O21" s="54" t="n">
        <f aca="false">SUM(L21:N21)</f>
        <v>22776.8095</v>
      </c>
      <c r="P21" s="0"/>
    </row>
    <row r="22" customFormat="false" ht="12.75" hidden="false" customHeight="false" outlineLevel="0" collapsed="false">
      <c r="A22" s="8" t="n">
        <f aca="false">+'Index Pricing'!A10</f>
        <v>37199</v>
      </c>
      <c r="B22" s="41" t="n">
        <f aca="false">+'Index Pricing'!B10</f>
        <v>2.015</v>
      </c>
      <c r="C22" s="364" t="n">
        <f aca="false">+B22+$J$12</f>
        <v>1.4795</v>
      </c>
      <c r="D22" s="292" t="n">
        <f aca="false">(ROUND(MAX(0,SUM(J22:K22)-SUM(H22,F22)),0))</f>
        <v>1514</v>
      </c>
      <c r="E22" s="365" t="n">
        <f aca="false">+'Index Pricing'!$B$4+$J$13</f>
        <v>2.265</v>
      </c>
      <c r="F22" s="103" t="n">
        <f aca="false">ROUND(MIN(0.8*$B$5,10000,SUM(J22:K22)),0)</f>
        <v>9069</v>
      </c>
      <c r="G22" s="365" t="n">
        <f aca="false">+'Index Pricing'!$B$3+$J$14</f>
        <v>1.8776</v>
      </c>
      <c r="H22" s="366" t="n">
        <f aca="false">ROUND(MAX(0.8*$B$5-F22,0),0)</f>
        <v>0</v>
      </c>
      <c r="I22" s="31"/>
      <c r="J22" s="350" t="n">
        <f aca="false">'[1]Enron Detail'!P17</f>
        <v>-753</v>
      </c>
      <c r="K22" s="367" t="n">
        <f aca="false">'[1]Enron Detail'!O17</f>
        <v>11336</v>
      </c>
      <c r="L22" s="97" t="n">
        <f aca="false">+C22*D22</f>
        <v>2239.963</v>
      </c>
      <c r="M22" s="98" t="n">
        <f aca="false">+E22*F22</f>
        <v>20541.285</v>
      </c>
      <c r="N22" s="99" t="n">
        <f aca="false">+G22*H22</f>
        <v>0</v>
      </c>
      <c r="O22" s="54" t="n">
        <f aca="false">SUM(L22:N22)</f>
        <v>22781.248</v>
      </c>
      <c r="P22" s="0"/>
    </row>
    <row r="23" customFormat="false" ht="12.75" hidden="false" customHeight="false" outlineLevel="0" collapsed="false">
      <c r="A23" s="8" t="n">
        <f aca="false">+'Index Pricing'!A11</f>
        <v>37200</v>
      </c>
      <c r="B23" s="41" t="n">
        <f aca="false">+'Index Pricing'!B11</f>
        <v>2.015</v>
      </c>
      <c r="C23" s="364" t="n">
        <f aca="false">+B23+$J$12</f>
        <v>1.4795</v>
      </c>
      <c r="D23" s="292" t="n">
        <f aca="false">(ROUND(MAX(0,SUM(J23:K23)-SUM(H23,F23)),0))</f>
        <v>1515</v>
      </c>
      <c r="E23" s="365" t="n">
        <f aca="false">+'Index Pricing'!$B$4+$J$13</f>
        <v>2.265</v>
      </c>
      <c r="F23" s="103" t="n">
        <f aca="false">ROUND(MIN(0.8*$B$5,10000,SUM(J23:K23)),0)</f>
        <v>9069</v>
      </c>
      <c r="G23" s="365" t="n">
        <f aca="false">+'Index Pricing'!$B$3+$J$14</f>
        <v>1.8776</v>
      </c>
      <c r="H23" s="366" t="n">
        <f aca="false">ROUND(MAX(0.8*$B$5-F23,0),0)</f>
        <v>0</v>
      </c>
      <c r="I23" s="31"/>
      <c r="J23" s="350" t="n">
        <f aca="false">'[1]Enron Detail'!P18</f>
        <v>-752</v>
      </c>
      <c r="K23" s="367" t="n">
        <f aca="false">'[1]Enron Detail'!O18</f>
        <v>11336</v>
      </c>
      <c r="L23" s="97" t="n">
        <f aca="false">+C23*D23</f>
        <v>2241.4425</v>
      </c>
      <c r="M23" s="98" t="n">
        <f aca="false">+E23*F23</f>
        <v>20541.285</v>
      </c>
      <c r="N23" s="99" t="n">
        <f aca="false">+G23*H23</f>
        <v>0</v>
      </c>
      <c r="O23" s="54" t="n">
        <f aca="false">SUM(L23:N23)</f>
        <v>22782.7275</v>
      </c>
      <c r="P23" s="0"/>
    </row>
    <row r="24" customFormat="false" ht="12.75" hidden="false" customHeight="false" outlineLevel="0" collapsed="false">
      <c r="A24" s="8" t="n">
        <f aca="false">+'Index Pricing'!A12</f>
        <v>37201</v>
      </c>
      <c r="B24" s="41" t="n">
        <f aca="false">+'Index Pricing'!B12</f>
        <v>2.16</v>
      </c>
      <c r="C24" s="364" t="n">
        <f aca="false">+B24+$J$12</f>
        <v>1.6245</v>
      </c>
      <c r="D24" s="292" t="n">
        <f aca="false">(ROUND(MAX(0,SUM(J24:K24)-SUM(H24,F24)),0))</f>
        <v>1528</v>
      </c>
      <c r="E24" s="365" t="n">
        <f aca="false">+'Index Pricing'!$B$4+$J$13</f>
        <v>2.265</v>
      </c>
      <c r="F24" s="103" t="n">
        <f aca="false">ROUND(MIN(0.8*$B$5,10000,SUM(J24:K24)),0)</f>
        <v>9069</v>
      </c>
      <c r="G24" s="365" t="n">
        <f aca="false">+'Index Pricing'!$B$3+$J$14</f>
        <v>1.8776</v>
      </c>
      <c r="H24" s="366" t="n">
        <f aca="false">ROUND(MAX(0.8*$B$5-F24,0),0)</f>
        <v>0</v>
      </c>
      <c r="I24" s="31"/>
      <c r="J24" s="350" t="n">
        <f aca="false">'[1]Enron Detail'!P19</f>
        <v>-739</v>
      </c>
      <c r="K24" s="367" t="n">
        <f aca="false">'[1]Enron Detail'!O19</f>
        <v>11336</v>
      </c>
      <c r="L24" s="97" t="n">
        <f aca="false">+C24*D24</f>
        <v>2482.236</v>
      </c>
      <c r="M24" s="98" t="n">
        <f aca="false">+E24*F24</f>
        <v>20541.285</v>
      </c>
      <c r="N24" s="99" t="n">
        <f aca="false">+G24*H24</f>
        <v>0</v>
      </c>
      <c r="O24" s="54" t="n">
        <f aca="false">SUM(L24:N24)</f>
        <v>23023.521</v>
      </c>
      <c r="P24" s="0"/>
    </row>
    <row r="25" customFormat="false" ht="12.75" hidden="false" customHeight="false" outlineLevel="0" collapsed="false">
      <c r="A25" s="8" t="n">
        <f aca="false">+'Index Pricing'!A13</f>
        <v>37202</v>
      </c>
      <c r="B25" s="41" t="n">
        <f aca="false">+'Index Pricing'!B13</f>
        <v>2.135</v>
      </c>
      <c r="C25" s="364" t="n">
        <f aca="false">+B25+$J$12</f>
        <v>1.5995</v>
      </c>
      <c r="D25" s="292" t="n">
        <f aca="false">(ROUND(MAX(0,SUM(J25:K25)-SUM(H25,F25)),0))</f>
        <v>1530</v>
      </c>
      <c r="E25" s="365" t="n">
        <f aca="false">+'Index Pricing'!$B$4+$J$13</f>
        <v>2.265</v>
      </c>
      <c r="F25" s="103" t="n">
        <f aca="false">ROUND(MIN(0.8*$B$5,10000,SUM(J25:K25)),0)</f>
        <v>9069</v>
      </c>
      <c r="G25" s="365" t="n">
        <f aca="false">+'Index Pricing'!$B$3+$J$14</f>
        <v>1.8776</v>
      </c>
      <c r="H25" s="366" t="n">
        <f aca="false">ROUND(MAX(0.8*$B$5-F25,0),0)</f>
        <v>0</v>
      </c>
      <c r="I25" s="31"/>
      <c r="J25" s="350" t="n">
        <f aca="false">'[1]Enron Detail'!P20</f>
        <v>-737</v>
      </c>
      <c r="K25" s="367" t="n">
        <f aca="false">'[1]Enron Detail'!O20</f>
        <v>11336</v>
      </c>
      <c r="L25" s="97" t="n">
        <f aca="false">+C25*D25</f>
        <v>2447.235</v>
      </c>
      <c r="M25" s="98" t="n">
        <f aca="false">+E25*F25</f>
        <v>20541.285</v>
      </c>
      <c r="N25" s="99" t="n">
        <f aca="false">+G25*H25</f>
        <v>0</v>
      </c>
      <c r="O25" s="54" t="n">
        <f aca="false">SUM(L25:N25)</f>
        <v>22988.52</v>
      </c>
      <c r="P25" s="0"/>
    </row>
    <row r="26" customFormat="false" ht="12.75" hidden="false" customHeight="false" outlineLevel="0" collapsed="false">
      <c r="A26" s="8" t="n">
        <f aca="false">+'Index Pricing'!A14</f>
        <v>37203</v>
      </c>
      <c r="B26" s="41" t="n">
        <f aca="false">+'Index Pricing'!B14</f>
        <v>2.13</v>
      </c>
      <c r="C26" s="364" t="n">
        <f aca="false">+B26+$J$12</f>
        <v>1.5945</v>
      </c>
      <c r="D26" s="292" t="n">
        <f aca="false">(ROUND(MAX(0,SUM(J26:K26)-SUM(H26,F26)),0))</f>
        <v>1528</v>
      </c>
      <c r="E26" s="365" t="n">
        <f aca="false">+'Index Pricing'!$B$4+$J$13</f>
        <v>2.265</v>
      </c>
      <c r="F26" s="103" t="n">
        <f aca="false">ROUND(MIN(0.8*$B$5,10000,SUM(J26:K26)),0)</f>
        <v>9069</v>
      </c>
      <c r="G26" s="365" t="n">
        <f aca="false">+'Index Pricing'!$B$3+$J$14</f>
        <v>1.8776</v>
      </c>
      <c r="H26" s="366" t="n">
        <f aca="false">ROUND(MAX(0.8*$B$5-F26,0),0)</f>
        <v>0</v>
      </c>
      <c r="I26" s="31"/>
      <c r="J26" s="350" t="n">
        <f aca="false">'[1]Enron Detail'!P21</f>
        <v>-739</v>
      </c>
      <c r="K26" s="367" t="n">
        <f aca="false">'[1]Enron Detail'!O21</f>
        <v>11336</v>
      </c>
      <c r="L26" s="97" t="n">
        <f aca="false">+C26*D26</f>
        <v>2436.396</v>
      </c>
      <c r="M26" s="98" t="n">
        <f aca="false">+E26*F26</f>
        <v>20541.285</v>
      </c>
      <c r="N26" s="99" t="n">
        <f aca="false">+G26*H26</f>
        <v>0</v>
      </c>
      <c r="O26" s="54" t="n">
        <f aca="false">SUM(L26:N26)</f>
        <v>22977.681</v>
      </c>
      <c r="P26" s="0"/>
    </row>
    <row r="27" customFormat="false" ht="12.75" hidden="false" customHeight="false" outlineLevel="0" collapsed="false">
      <c r="A27" s="8" t="n">
        <f aca="false">+'Index Pricing'!A15</f>
        <v>37204</v>
      </c>
      <c r="B27" s="41" t="n">
        <f aca="false">+'Index Pricing'!B15</f>
        <v>1.935</v>
      </c>
      <c r="C27" s="364" t="n">
        <f aca="false">+B27+$J$12</f>
        <v>1.3995</v>
      </c>
      <c r="D27" s="292" t="n">
        <f aca="false">(ROUND(MAX(0,SUM(J27:K27)-SUM(H27,F27)),0))</f>
        <v>1528</v>
      </c>
      <c r="E27" s="365" t="n">
        <f aca="false">+'Index Pricing'!$B$4+$J$13</f>
        <v>2.265</v>
      </c>
      <c r="F27" s="103" t="n">
        <f aca="false">ROUND(MIN(0.8*$B$5,10000,SUM(J27:K27)),0)</f>
        <v>9069</v>
      </c>
      <c r="G27" s="365" t="n">
        <f aca="false">+'Index Pricing'!$B$3+$J$14</f>
        <v>1.8776</v>
      </c>
      <c r="H27" s="366" t="n">
        <f aca="false">ROUND(MAX(0.8*$B$5-F27,0),0)</f>
        <v>0</v>
      </c>
      <c r="I27" s="31"/>
      <c r="J27" s="350" t="n">
        <f aca="false">'[1]Enron Detail'!P22</f>
        <v>-739</v>
      </c>
      <c r="K27" s="367" t="n">
        <f aca="false">'[1]Enron Detail'!O22</f>
        <v>11336</v>
      </c>
      <c r="L27" s="97" t="n">
        <f aca="false">+C27*D27</f>
        <v>2138.436</v>
      </c>
      <c r="M27" s="98" t="n">
        <f aca="false">+E27*F27</f>
        <v>20541.285</v>
      </c>
      <c r="N27" s="99" t="n">
        <f aca="false">+G27*H27</f>
        <v>0</v>
      </c>
      <c r="O27" s="54" t="n">
        <f aca="false">SUM(L27:N27)</f>
        <v>22679.721</v>
      </c>
      <c r="P27" s="0"/>
    </row>
    <row r="28" customFormat="false" ht="12.75" hidden="false" customHeight="false" outlineLevel="0" collapsed="false">
      <c r="A28" s="8" t="n">
        <f aca="false">+'Index Pricing'!A16</f>
        <v>37205</v>
      </c>
      <c r="B28" s="41" t="n">
        <f aca="false">+'Index Pricing'!B16</f>
        <v>1.7</v>
      </c>
      <c r="C28" s="364" t="n">
        <f aca="false">+B28+$J$12</f>
        <v>1.1645</v>
      </c>
      <c r="D28" s="292" t="n">
        <f aca="false">(ROUND(MAX(0,SUM(J28:K28)-SUM(H28,F28)),0))</f>
        <v>1525</v>
      </c>
      <c r="E28" s="365" t="n">
        <f aca="false">+'Index Pricing'!$B$4+$J$13</f>
        <v>2.265</v>
      </c>
      <c r="F28" s="103" t="n">
        <f aca="false">ROUND(MIN(0.8*$B$5,10000,SUM(J28:K28)),0)</f>
        <v>9069</v>
      </c>
      <c r="G28" s="365" t="n">
        <f aca="false">+'Index Pricing'!$B$3+$J$14</f>
        <v>1.8776</v>
      </c>
      <c r="H28" s="366" t="n">
        <f aca="false">ROUND(MAX(0.8*$B$5-F28,0),0)</f>
        <v>0</v>
      </c>
      <c r="I28" s="31"/>
      <c r="J28" s="350" t="n">
        <f aca="false">'[1]Enron Detail'!P23</f>
        <v>-742</v>
      </c>
      <c r="K28" s="367" t="n">
        <f aca="false">'[1]Enron Detail'!O23</f>
        <v>11336</v>
      </c>
      <c r="L28" s="97" t="n">
        <f aca="false">+C28*D28</f>
        <v>1775.8625</v>
      </c>
      <c r="M28" s="98" t="n">
        <f aca="false">+E28*F28</f>
        <v>20541.285</v>
      </c>
      <c r="N28" s="99" t="n">
        <f aca="false">+G28*H28</f>
        <v>0</v>
      </c>
      <c r="O28" s="54" t="n">
        <f aca="false">SUM(L28:N28)</f>
        <v>22317.1475</v>
      </c>
      <c r="P28" s="0"/>
    </row>
    <row r="29" customFormat="false" ht="12.75" hidden="false" customHeight="false" outlineLevel="0" collapsed="false">
      <c r="A29" s="8" t="n">
        <f aca="false">+'Index Pricing'!A17</f>
        <v>37206</v>
      </c>
      <c r="B29" s="41" t="n">
        <f aca="false">+'Index Pricing'!B17</f>
        <v>1.7</v>
      </c>
      <c r="C29" s="364" t="n">
        <f aca="false">+B29+$J$12</f>
        <v>1.1645</v>
      </c>
      <c r="D29" s="292" t="n">
        <f aca="false">(ROUND(MAX(0,SUM(J29:K29)-SUM(H29,F29)),0))</f>
        <v>1525</v>
      </c>
      <c r="E29" s="365" t="n">
        <f aca="false">+'Index Pricing'!$B$4+$J$13</f>
        <v>2.265</v>
      </c>
      <c r="F29" s="103" t="n">
        <f aca="false">ROUND(MIN(0.8*$B$5,10000,SUM(J29:K29)),0)</f>
        <v>9069</v>
      </c>
      <c r="G29" s="365" t="n">
        <f aca="false">+'Index Pricing'!$B$3+$J$14</f>
        <v>1.8776</v>
      </c>
      <c r="H29" s="366" t="n">
        <f aca="false">ROUND(MAX(0.8*$B$5-F29,0),0)</f>
        <v>0</v>
      </c>
      <c r="I29" s="31"/>
      <c r="J29" s="350" t="n">
        <f aca="false">'[1]Enron Detail'!P24</f>
        <v>-742</v>
      </c>
      <c r="K29" s="367" t="n">
        <f aca="false">'[1]Enron Detail'!O24</f>
        <v>11336</v>
      </c>
      <c r="L29" s="97" t="n">
        <f aca="false">+C29*D29</f>
        <v>1775.8625</v>
      </c>
      <c r="M29" s="98" t="n">
        <f aca="false">+E29*F29</f>
        <v>20541.285</v>
      </c>
      <c r="N29" s="99" t="n">
        <f aca="false">+G29*H29</f>
        <v>0</v>
      </c>
      <c r="O29" s="54" t="n">
        <f aca="false">SUM(L29:N29)</f>
        <v>22317.1475</v>
      </c>
      <c r="P29" s="0"/>
    </row>
    <row r="30" customFormat="false" ht="12.75" hidden="false" customHeight="false" outlineLevel="0" collapsed="false">
      <c r="A30" s="8" t="n">
        <f aca="false">+'Index Pricing'!A18</f>
        <v>37207</v>
      </c>
      <c r="B30" s="41" t="n">
        <f aca="false">+'Index Pricing'!B18</f>
        <v>1.7</v>
      </c>
      <c r="C30" s="364" t="n">
        <f aca="false">+B30+$J$12</f>
        <v>1.1645</v>
      </c>
      <c r="D30" s="292" t="n">
        <f aca="false">(ROUND(MAX(0,SUM(J30:K30)-SUM(H30,F30)),0))</f>
        <v>1523</v>
      </c>
      <c r="E30" s="365" t="n">
        <f aca="false">+'Index Pricing'!$B$4+$J$13</f>
        <v>2.265</v>
      </c>
      <c r="F30" s="103" t="n">
        <f aca="false">ROUND(MIN(0.8*$B$5,10000,SUM(J30:K30)),0)</f>
        <v>9069</v>
      </c>
      <c r="G30" s="365" t="n">
        <f aca="false">+'Index Pricing'!$B$3+$J$14</f>
        <v>1.8776</v>
      </c>
      <c r="H30" s="366" t="n">
        <f aca="false">ROUND(MAX(0.8*$B$5-F30,0),0)</f>
        <v>0</v>
      </c>
      <c r="I30" s="31"/>
      <c r="J30" s="350" t="n">
        <f aca="false">'[1]Enron Detail'!P25</f>
        <v>-744</v>
      </c>
      <c r="K30" s="367" t="n">
        <f aca="false">'[1]Enron Detail'!O25</f>
        <v>11336</v>
      </c>
      <c r="L30" s="97" t="n">
        <f aca="false">+C30*D30</f>
        <v>1773.5335</v>
      </c>
      <c r="M30" s="98" t="n">
        <f aca="false">+E30*F30</f>
        <v>20541.285</v>
      </c>
      <c r="N30" s="99" t="n">
        <f aca="false">+G30*H30</f>
        <v>0</v>
      </c>
      <c r="O30" s="54" t="n">
        <f aca="false">SUM(L30:N30)</f>
        <v>22314.8185</v>
      </c>
      <c r="P30" s="0"/>
    </row>
    <row r="31" customFormat="false" ht="12.75" hidden="false" customHeight="false" outlineLevel="0" collapsed="false">
      <c r="A31" s="8" t="n">
        <f aca="false">+'Index Pricing'!A19</f>
        <v>37208</v>
      </c>
      <c r="B31" s="41" t="n">
        <f aca="false">+'Index Pricing'!B19</f>
        <v>1.52</v>
      </c>
      <c r="C31" s="364" t="n">
        <f aca="false">+B31+$J$12</f>
        <v>0.9845</v>
      </c>
      <c r="D31" s="292" t="n">
        <f aca="false">(ROUND(MAX(0,SUM(J31:K31)-SUM(H31,F31)),0))</f>
        <v>1525</v>
      </c>
      <c r="E31" s="365" t="n">
        <f aca="false">+'Index Pricing'!$B$4+$J$13</f>
        <v>2.265</v>
      </c>
      <c r="F31" s="103" t="n">
        <f aca="false">ROUND(MIN(0.8*$B$5,10000,SUM(J31:K31)),0)</f>
        <v>9069</v>
      </c>
      <c r="G31" s="365" t="n">
        <f aca="false">+'Index Pricing'!$B$3+$J$14</f>
        <v>1.8776</v>
      </c>
      <c r="H31" s="366" t="n">
        <f aca="false">ROUND(MAX(0.8*$B$5-F31,0),0)</f>
        <v>0</v>
      </c>
      <c r="I31" s="31"/>
      <c r="J31" s="350" t="n">
        <f aca="false">'[1]Enron Detail'!P26</f>
        <v>-742</v>
      </c>
      <c r="K31" s="367" t="n">
        <f aca="false">'[1]Enron Detail'!O26</f>
        <v>11336</v>
      </c>
      <c r="L31" s="97" t="n">
        <f aca="false">+C31*D31</f>
        <v>1501.3625</v>
      </c>
      <c r="M31" s="98" t="n">
        <f aca="false">+E31*F31</f>
        <v>20541.285</v>
      </c>
      <c r="N31" s="99" t="n">
        <f aca="false">+G31*H31</f>
        <v>0</v>
      </c>
      <c r="O31" s="54" t="n">
        <f aca="false">SUM(L31:N31)</f>
        <v>22042.6475</v>
      </c>
      <c r="P31" s="0"/>
    </row>
    <row r="32" customFormat="false" ht="12.75" hidden="false" customHeight="false" outlineLevel="0" collapsed="false">
      <c r="A32" s="8" t="n">
        <f aca="false">+'Index Pricing'!A20</f>
        <v>37209</v>
      </c>
      <c r="B32" s="41" t="n">
        <f aca="false">+'Index Pricing'!B20</f>
        <v>1.595</v>
      </c>
      <c r="C32" s="364" t="n">
        <f aca="false">+B32+$J$12</f>
        <v>1.0595</v>
      </c>
      <c r="D32" s="292" t="n">
        <f aca="false">(ROUND(MAX(0,SUM(J32:K32)-SUM(H32,F32)),0))</f>
        <v>1520</v>
      </c>
      <c r="E32" s="365" t="n">
        <f aca="false">+'Index Pricing'!$B$4+$J$13</f>
        <v>2.265</v>
      </c>
      <c r="F32" s="103" t="n">
        <f aca="false">ROUND(MIN(0.8*$B$5,10000,SUM(J32:K32)),0)</f>
        <v>9069</v>
      </c>
      <c r="G32" s="365" t="n">
        <f aca="false">+'Index Pricing'!$B$3+$J$14</f>
        <v>1.8776</v>
      </c>
      <c r="H32" s="366" t="n">
        <f aca="false">ROUND(MAX(0.8*$B$5-F32,0),0)</f>
        <v>0</v>
      </c>
      <c r="I32" s="31"/>
      <c r="J32" s="350" t="n">
        <f aca="false">'[1]Enron Detail'!P27</f>
        <v>-747</v>
      </c>
      <c r="K32" s="367" t="n">
        <f aca="false">'[1]Enron Detail'!O27</f>
        <v>11336</v>
      </c>
      <c r="L32" s="97" t="n">
        <f aca="false">+C32*D32</f>
        <v>1610.44</v>
      </c>
      <c r="M32" s="98" t="n">
        <f aca="false">+E32*F32</f>
        <v>20541.285</v>
      </c>
      <c r="N32" s="99" t="n">
        <f aca="false">+G32*H32</f>
        <v>0</v>
      </c>
      <c r="O32" s="54" t="n">
        <f aca="false">SUM(L32:N32)</f>
        <v>22151.725</v>
      </c>
      <c r="P32" s="0"/>
    </row>
    <row r="33" customFormat="false" ht="12.75" hidden="false" customHeight="false" outlineLevel="0" collapsed="false">
      <c r="A33" s="8" t="n">
        <f aca="false">+'Index Pricing'!A21</f>
        <v>37210</v>
      </c>
      <c r="B33" s="41" t="n">
        <f aca="false">+'Index Pricing'!B21</f>
        <v>1.84</v>
      </c>
      <c r="C33" s="364" t="n">
        <f aca="false">+B33+$J$12</f>
        <v>1.3045</v>
      </c>
      <c r="D33" s="292" t="n">
        <f aca="false">(ROUND(MAX(0,SUM(J33:K33)-SUM(H33,F33)),0))</f>
        <v>1516</v>
      </c>
      <c r="E33" s="365" t="n">
        <f aca="false">+'Index Pricing'!$B$4+$J$13</f>
        <v>2.265</v>
      </c>
      <c r="F33" s="103" t="n">
        <f aca="false">ROUND(MIN(0.8*$B$5,10000,SUM(J33:K33)),0)</f>
        <v>9069</v>
      </c>
      <c r="G33" s="365" t="n">
        <f aca="false">+'Index Pricing'!$B$3+$J$14</f>
        <v>1.8776</v>
      </c>
      <c r="H33" s="366" t="n">
        <f aca="false">ROUND(MAX(0.8*$B$5-F33,0),0)</f>
        <v>0</v>
      </c>
      <c r="I33" s="31"/>
      <c r="J33" s="350" t="n">
        <f aca="false">'[1]Enron Detail'!P28</f>
        <v>-751</v>
      </c>
      <c r="K33" s="367" t="n">
        <f aca="false">'[1]Enron Detail'!O28</f>
        <v>11336</v>
      </c>
      <c r="L33" s="97" t="n">
        <f aca="false">+C33*D33</f>
        <v>1977.622</v>
      </c>
      <c r="M33" s="98" t="n">
        <f aca="false">+E33*F33</f>
        <v>20541.285</v>
      </c>
      <c r="N33" s="99" t="n">
        <f aca="false">+G33*H33</f>
        <v>0</v>
      </c>
      <c r="O33" s="54" t="n">
        <f aca="false">SUM(L33:N33)</f>
        <v>22518.907</v>
      </c>
      <c r="P33" s="0"/>
    </row>
    <row r="34" customFormat="false" ht="12.75" hidden="false" customHeight="false" outlineLevel="0" collapsed="false">
      <c r="A34" s="8" t="n">
        <f aca="false">+'Index Pricing'!A22</f>
        <v>37211</v>
      </c>
      <c r="B34" s="41" t="n">
        <f aca="false">+'Index Pricing'!B22</f>
        <v>1.435</v>
      </c>
      <c r="C34" s="364" t="n">
        <f aca="false">+B34+$J$12</f>
        <v>0.8995</v>
      </c>
      <c r="D34" s="292" t="n">
        <f aca="false">(ROUND(MAX(0,SUM(J34:K34)-SUM(H34,F34)),0))</f>
        <v>1520</v>
      </c>
      <c r="E34" s="365" t="n">
        <f aca="false">+'Index Pricing'!$B$4+$J$13</f>
        <v>2.265</v>
      </c>
      <c r="F34" s="103" t="n">
        <f aca="false">ROUND(MIN(0.8*$B$5,10000,SUM(J34:K34)),0)</f>
        <v>9069</v>
      </c>
      <c r="G34" s="365" t="n">
        <f aca="false">+'Index Pricing'!$B$3+$J$14</f>
        <v>1.8776</v>
      </c>
      <c r="H34" s="366" t="n">
        <f aca="false">ROUND(MAX(0.8*$B$5-F34,0),0)</f>
        <v>0</v>
      </c>
      <c r="I34" s="31"/>
      <c r="J34" s="350" t="n">
        <f aca="false">'[1]Enron Detail'!P29</f>
        <v>-747</v>
      </c>
      <c r="K34" s="367" t="n">
        <f aca="false">'[1]Enron Detail'!O29</f>
        <v>11336</v>
      </c>
      <c r="L34" s="97" t="n">
        <f aca="false">+C34*D34</f>
        <v>1367.24</v>
      </c>
      <c r="M34" s="98" t="n">
        <f aca="false">+E34*F34</f>
        <v>20541.285</v>
      </c>
      <c r="N34" s="99" t="n">
        <f aca="false">+G34*H34</f>
        <v>0</v>
      </c>
      <c r="O34" s="54" t="n">
        <f aca="false">SUM(L34:N34)</f>
        <v>21908.525</v>
      </c>
      <c r="P34" s="0"/>
    </row>
    <row r="35" customFormat="false" ht="12.75" hidden="false" customHeight="false" outlineLevel="0" collapsed="false">
      <c r="A35" s="8" t="n">
        <f aca="false">+'Index Pricing'!A23</f>
        <v>37212</v>
      </c>
      <c r="B35" s="41" t="n">
        <f aca="false">+'Index Pricing'!B23</f>
        <v>1.135</v>
      </c>
      <c r="C35" s="364" t="n">
        <f aca="false">+B35+$J$12</f>
        <v>0.5995</v>
      </c>
      <c r="D35" s="292" t="n">
        <f aca="false">(ROUND(MAX(0,SUM(J35:K35)-SUM(H35,F35)),0))</f>
        <v>1527</v>
      </c>
      <c r="E35" s="365" t="n">
        <f aca="false">+'Index Pricing'!$B$4+$J$13</f>
        <v>2.265</v>
      </c>
      <c r="F35" s="103" t="n">
        <f aca="false">ROUND(MIN(0.8*$B$5,10000,SUM(J35:K35)),0)</f>
        <v>9069</v>
      </c>
      <c r="G35" s="365" t="n">
        <f aca="false">+'Index Pricing'!$B$3+$J$14</f>
        <v>1.8776</v>
      </c>
      <c r="H35" s="366" t="n">
        <f aca="false">ROUND(MAX(0.8*$B$5-F35,0),0)</f>
        <v>0</v>
      </c>
      <c r="I35" s="31"/>
      <c r="J35" s="350" t="n">
        <f aca="false">'[1]Enron Detail'!P30</f>
        <v>-740</v>
      </c>
      <c r="K35" s="367" t="n">
        <f aca="false">'[1]Enron Detail'!O30</f>
        <v>11336</v>
      </c>
      <c r="L35" s="97" t="n">
        <f aca="false">+C35*D35</f>
        <v>915.4365</v>
      </c>
      <c r="M35" s="98" t="n">
        <f aca="false">+E35*F35</f>
        <v>20541.285</v>
      </c>
      <c r="N35" s="99" t="n">
        <f aca="false">+G35*H35</f>
        <v>0</v>
      </c>
      <c r="O35" s="54" t="n">
        <f aca="false">SUM(L35:N35)</f>
        <v>21456.7215</v>
      </c>
      <c r="P35" s="0"/>
    </row>
    <row r="36" customFormat="false" ht="12.75" hidden="false" customHeight="false" outlineLevel="0" collapsed="false">
      <c r="A36" s="8" t="n">
        <f aca="false">+'Index Pricing'!A24</f>
        <v>37213</v>
      </c>
      <c r="B36" s="41" t="n">
        <f aca="false">+'Index Pricing'!B24</f>
        <v>1.135</v>
      </c>
      <c r="C36" s="364" t="n">
        <f aca="false">+B36+$J$12</f>
        <v>0.5995</v>
      </c>
      <c r="D36" s="292" t="n">
        <f aca="false">(ROUND(MAX(0,SUM(J36:K36)-SUM(H36,F36)),0))</f>
        <v>1521</v>
      </c>
      <c r="E36" s="365" t="n">
        <f aca="false">+'Index Pricing'!$B$4+$J$13</f>
        <v>2.265</v>
      </c>
      <c r="F36" s="103" t="n">
        <f aca="false">ROUND(MIN(0.8*$B$5,10000,SUM(J36:K36)),0)</f>
        <v>9069</v>
      </c>
      <c r="G36" s="365" t="n">
        <f aca="false">+'Index Pricing'!$B$3+$J$14</f>
        <v>1.8776</v>
      </c>
      <c r="H36" s="366" t="n">
        <f aca="false">ROUND(MAX(0.8*$B$5-F36,0),0)</f>
        <v>0</v>
      </c>
      <c r="I36" s="31"/>
      <c r="J36" s="350" t="n">
        <f aca="false">'[1]Enron Detail'!P31</f>
        <v>-746</v>
      </c>
      <c r="K36" s="367" t="n">
        <f aca="false">'[1]Enron Detail'!O31</f>
        <v>11336</v>
      </c>
      <c r="L36" s="97" t="n">
        <f aca="false">+C36*D36</f>
        <v>911.8395</v>
      </c>
      <c r="M36" s="98" t="n">
        <f aca="false">+E36*F36</f>
        <v>20541.285</v>
      </c>
      <c r="N36" s="99" t="n">
        <f aca="false">+G36*H36</f>
        <v>0</v>
      </c>
      <c r="O36" s="54" t="n">
        <f aca="false">SUM(L36:N36)</f>
        <v>21453.1245</v>
      </c>
      <c r="P36" s="0"/>
    </row>
    <row r="37" customFormat="false" ht="12.75" hidden="false" customHeight="false" outlineLevel="0" collapsed="false">
      <c r="A37" s="8" t="n">
        <f aca="false">+'Index Pricing'!A25</f>
        <v>37214</v>
      </c>
      <c r="B37" s="41" t="n">
        <f aca="false">+'Index Pricing'!B25</f>
        <v>1.135</v>
      </c>
      <c r="C37" s="364" t="n">
        <f aca="false">+B37+$J$12</f>
        <v>0.5995</v>
      </c>
      <c r="D37" s="292" t="n">
        <f aca="false">(ROUND(MAX(0,SUM(J37:K37)-SUM(H37,F37)),0))</f>
        <v>1526</v>
      </c>
      <c r="E37" s="365" t="n">
        <f aca="false">+'Index Pricing'!$B$4+$J$13</f>
        <v>2.265</v>
      </c>
      <c r="F37" s="103" t="n">
        <f aca="false">ROUND(MIN(0.8*$B$5,10000,SUM(J37:K37)),0)</f>
        <v>9069</v>
      </c>
      <c r="G37" s="365" t="n">
        <f aca="false">+'Index Pricing'!$B$3+$J$14</f>
        <v>1.8776</v>
      </c>
      <c r="H37" s="366" t="n">
        <f aca="false">ROUND(MAX(0.8*$B$5-F37,0),0)</f>
        <v>0</v>
      </c>
      <c r="I37" s="31"/>
      <c r="J37" s="350" t="n">
        <f aca="false">'[1]Enron Detail'!P32</f>
        <v>-741</v>
      </c>
      <c r="K37" s="367" t="n">
        <f aca="false">'[1]Enron Detail'!O32</f>
        <v>11336</v>
      </c>
      <c r="L37" s="97" t="n">
        <f aca="false">+C37*D37</f>
        <v>914.837</v>
      </c>
      <c r="M37" s="98" t="n">
        <f aca="false">+E37*F37</f>
        <v>20541.285</v>
      </c>
      <c r="N37" s="99" t="n">
        <f aca="false">+G37*H37</f>
        <v>0</v>
      </c>
      <c r="O37" s="54" t="n">
        <f aca="false">SUM(L37:N37)</f>
        <v>21456.122</v>
      </c>
      <c r="P37" s="0"/>
    </row>
    <row r="38" customFormat="false" ht="12.75" hidden="false" customHeight="false" outlineLevel="0" collapsed="false">
      <c r="A38" s="8" t="n">
        <f aca="false">+'Index Pricing'!A26</f>
        <v>37215</v>
      </c>
      <c r="B38" s="41" t="n">
        <f aca="false">+'Index Pricing'!B26</f>
        <v>1.535</v>
      </c>
      <c r="C38" s="364" t="n">
        <f aca="false">+B38+$J$12</f>
        <v>0.9995</v>
      </c>
      <c r="D38" s="292" t="n">
        <f aca="false">(ROUND(MAX(0,SUM(J38:K38)-SUM(H38,F38)),0))</f>
        <v>1528</v>
      </c>
      <c r="E38" s="365" t="n">
        <f aca="false">+'Index Pricing'!$B$4+$J$13</f>
        <v>2.265</v>
      </c>
      <c r="F38" s="103" t="n">
        <f aca="false">ROUND(MIN(0.8*$B$5,10000,SUM(J38:K38)),0)</f>
        <v>9069</v>
      </c>
      <c r="G38" s="365" t="n">
        <f aca="false">+'Index Pricing'!$B$3+$J$14</f>
        <v>1.8776</v>
      </c>
      <c r="H38" s="366" t="n">
        <f aca="false">ROUND(MAX(0.8*$B$5-F38,0),0)</f>
        <v>0</v>
      </c>
      <c r="I38" s="31"/>
      <c r="J38" s="350" t="n">
        <f aca="false">'[1]Enron Detail'!P33</f>
        <v>-739</v>
      </c>
      <c r="K38" s="367" t="n">
        <f aca="false">'[1]Enron Detail'!O33</f>
        <v>11336</v>
      </c>
      <c r="L38" s="97" t="n">
        <f aca="false">+C38*D38</f>
        <v>1527.236</v>
      </c>
      <c r="M38" s="98" t="n">
        <f aca="false">+E38*F38</f>
        <v>20541.285</v>
      </c>
      <c r="N38" s="99" t="n">
        <f aca="false">+G38*H38</f>
        <v>0</v>
      </c>
      <c r="O38" s="54" t="n">
        <f aca="false">SUM(L38:N38)</f>
        <v>22068.521</v>
      </c>
      <c r="P38" s="0"/>
    </row>
    <row r="39" customFormat="false" ht="12.75" hidden="false" customHeight="false" outlineLevel="0" collapsed="false">
      <c r="A39" s="8" t="n">
        <f aca="false">+'Index Pricing'!A27</f>
        <v>37216</v>
      </c>
      <c r="B39" s="41" t="n">
        <f aca="false">+'Index Pricing'!B27</f>
        <v>2.205</v>
      </c>
      <c r="C39" s="364" t="n">
        <f aca="false">+B39+$J$12</f>
        <v>1.6695</v>
      </c>
      <c r="D39" s="292" t="n">
        <f aca="false">(ROUND(MAX(0,SUM(J39:K39)-SUM(H39,F39)),0))</f>
        <v>1516</v>
      </c>
      <c r="E39" s="365" t="n">
        <f aca="false">+'Index Pricing'!$B$4+$J$13</f>
        <v>2.265</v>
      </c>
      <c r="F39" s="103" t="n">
        <f aca="false">ROUND(MIN(0.8*$B$5,10000,SUM(J39:K39)),0)</f>
        <v>9069</v>
      </c>
      <c r="G39" s="365" t="n">
        <f aca="false">+'Index Pricing'!$B$3+$J$14</f>
        <v>1.8776</v>
      </c>
      <c r="H39" s="366" t="n">
        <f aca="false">ROUND(MAX(0.8*$B$5-F39,0),0)</f>
        <v>0</v>
      </c>
      <c r="I39" s="31"/>
      <c r="J39" s="350" t="n">
        <f aca="false">'[1]Enron Detail'!P34</f>
        <v>-751</v>
      </c>
      <c r="K39" s="367" t="n">
        <f aca="false">'[1]Enron Detail'!O34</f>
        <v>11336</v>
      </c>
      <c r="L39" s="97" t="n">
        <f aca="false">+C39*D39</f>
        <v>2530.962</v>
      </c>
      <c r="M39" s="98" t="n">
        <f aca="false">+E39*F39</f>
        <v>20541.285</v>
      </c>
      <c r="N39" s="99" t="n">
        <f aca="false">+G39*H39</f>
        <v>0</v>
      </c>
      <c r="O39" s="54" t="n">
        <f aca="false">SUM(L39:N39)</f>
        <v>23072.247</v>
      </c>
      <c r="P39" s="0"/>
    </row>
    <row r="40" customFormat="false" ht="12.75" hidden="false" customHeight="false" outlineLevel="0" collapsed="false">
      <c r="A40" s="8" t="n">
        <f aca="false">+'Index Pricing'!A28</f>
        <v>37217</v>
      </c>
      <c r="B40" s="41" t="n">
        <f aca="false">+'Index Pricing'!B28</f>
        <v>1.43</v>
      </c>
      <c r="C40" s="364" t="n">
        <f aca="false">+B40+$J$12</f>
        <v>0.8945</v>
      </c>
      <c r="D40" s="292" t="n">
        <f aca="false">(ROUND(MAX(0,SUM(J40:K40)-SUM(H40,F40)),0))</f>
        <v>1514</v>
      </c>
      <c r="E40" s="365" t="n">
        <f aca="false">+'Index Pricing'!$B$4+$J$13</f>
        <v>2.265</v>
      </c>
      <c r="F40" s="103" t="n">
        <f aca="false">ROUND(MIN(0.8*$B$5,10000,SUM(J40:K40)),0)</f>
        <v>9069</v>
      </c>
      <c r="G40" s="365" t="n">
        <f aca="false">+'Index Pricing'!$B$3+$J$14</f>
        <v>1.8776</v>
      </c>
      <c r="H40" s="366" t="n">
        <f aca="false">ROUND(MAX(0.8*$B$5-F40,0),0)</f>
        <v>0</v>
      </c>
      <c r="I40" s="31"/>
      <c r="J40" s="350" t="n">
        <f aca="false">'[1]Enron Detail'!P35</f>
        <v>-753</v>
      </c>
      <c r="K40" s="367" t="n">
        <f aca="false">'[1]Enron Detail'!O35</f>
        <v>11336</v>
      </c>
      <c r="L40" s="97" t="n">
        <f aca="false">+C40*D40</f>
        <v>1354.273</v>
      </c>
      <c r="M40" s="98" t="n">
        <f aca="false">+E40*F40</f>
        <v>20541.285</v>
      </c>
      <c r="N40" s="99" t="n">
        <f aca="false">+G40*H40</f>
        <v>0</v>
      </c>
      <c r="O40" s="54" t="n">
        <f aca="false">SUM(L40:N40)</f>
        <v>21895.558</v>
      </c>
      <c r="P40" s="0"/>
    </row>
    <row r="41" customFormat="false" ht="12.75" hidden="false" customHeight="false" outlineLevel="0" collapsed="false">
      <c r="A41" s="8" t="n">
        <f aca="false">+'Index Pricing'!A29</f>
        <v>37218</v>
      </c>
      <c r="B41" s="41" t="n">
        <f aca="false">+'Index Pricing'!B29</f>
        <v>1.43</v>
      </c>
      <c r="C41" s="364" t="n">
        <f aca="false">+B41+$J$12</f>
        <v>0.8945</v>
      </c>
      <c r="D41" s="292" t="n">
        <f aca="false">(ROUND(MAX(0,SUM(J41:K41)-SUM(H41,F41)),0))</f>
        <v>1516</v>
      </c>
      <c r="E41" s="365" t="n">
        <f aca="false">+'Index Pricing'!$B$4+$J$13</f>
        <v>2.265</v>
      </c>
      <c r="F41" s="103" t="n">
        <f aca="false">ROUND(MIN(0.8*$B$5,10000,SUM(J41:K41)),0)</f>
        <v>9069</v>
      </c>
      <c r="G41" s="365" t="n">
        <f aca="false">+'Index Pricing'!$B$3+$J$14</f>
        <v>1.8776</v>
      </c>
      <c r="H41" s="366" t="n">
        <f aca="false">ROUND(MAX(0.8*$B$5-F41,0),0)</f>
        <v>0</v>
      </c>
      <c r="I41" s="31"/>
      <c r="J41" s="350" t="n">
        <f aca="false">'[1]Enron Detail'!P36</f>
        <v>-751</v>
      </c>
      <c r="K41" s="367" t="n">
        <f aca="false">'[1]Enron Detail'!O36</f>
        <v>11336</v>
      </c>
      <c r="L41" s="97" t="n">
        <f aca="false">+C41*D41</f>
        <v>1356.062</v>
      </c>
      <c r="M41" s="98" t="n">
        <f aca="false">+E41*F41</f>
        <v>20541.285</v>
      </c>
      <c r="N41" s="99" t="n">
        <f aca="false">+G41*H41</f>
        <v>0</v>
      </c>
      <c r="O41" s="54" t="n">
        <f aca="false">SUM(L41:N41)</f>
        <v>21897.347</v>
      </c>
      <c r="P41" s="0"/>
    </row>
    <row r="42" customFormat="false" ht="12.75" hidden="false" customHeight="false" outlineLevel="0" collapsed="false">
      <c r="A42" s="8" t="n">
        <f aca="false">+'Index Pricing'!A30</f>
        <v>37219</v>
      </c>
      <c r="B42" s="41" t="n">
        <f aca="false">+'Index Pricing'!B30</f>
        <v>1.43</v>
      </c>
      <c r="C42" s="364" t="n">
        <f aca="false">+B42+$J$12</f>
        <v>0.8945</v>
      </c>
      <c r="D42" s="292" t="n">
        <f aca="false">(ROUND(MAX(0,SUM(J42:K42)-SUM(H42,F42)),0))</f>
        <v>1516</v>
      </c>
      <c r="E42" s="365" t="n">
        <f aca="false">+'Index Pricing'!$B$4+$J$13</f>
        <v>2.265</v>
      </c>
      <c r="F42" s="103" t="n">
        <f aca="false">ROUND(MIN(0.8*$B$5,10000,SUM(J42:K42)),0)</f>
        <v>9069</v>
      </c>
      <c r="G42" s="365" t="n">
        <f aca="false">+'Index Pricing'!$B$3+$J$14</f>
        <v>1.8776</v>
      </c>
      <c r="H42" s="366" t="n">
        <f aca="false">ROUND(MAX(0.8*$B$5-F42,0),0)</f>
        <v>0</v>
      </c>
      <c r="I42" s="31"/>
      <c r="J42" s="350" t="n">
        <f aca="false">'[1]Enron Detail'!P37</f>
        <v>-751</v>
      </c>
      <c r="K42" s="367" t="n">
        <f aca="false">'[1]Enron Detail'!O37</f>
        <v>11336</v>
      </c>
      <c r="L42" s="97" t="n">
        <f aca="false">+C42*D42</f>
        <v>1356.062</v>
      </c>
      <c r="M42" s="98" t="n">
        <f aca="false">+E42*F42</f>
        <v>20541.285</v>
      </c>
      <c r="N42" s="99" t="n">
        <f aca="false">+G42*H42</f>
        <v>0</v>
      </c>
      <c r="O42" s="54" t="n">
        <f aca="false">SUM(L42:N42)</f>
        <v>21897.347</v>
      </c>
      <c r="P42" s="0"/>
    </row>
    <row r="43" customFormat="false" ht="12.75" hidden="false" customHeight="false" outlineLevel="0" collapsed="false">
      <c r="A43" s="8" t="n">
        <f aca="false">+'Index Pricing'!A31</f>
        <v>37220</v>
      </c>
      <c r="B43" s="41" t="n">
        <f aca="false">+'Index Pricing'!B31</f>
        <v>1.43</v>
      </c>
      <c r="C43" s="364" t="n">
        <f aca="false">+B43+$J$12</f>
        <v>0.8945</v>
      </c>
      <c r="D43" s="292" t="n">
        <f aca="false">(ROUND(MAX(0,SUM(J43:K43)-SUM(H43,F43)),0))</f>
        <v>1518</v>
      </c>
      <c r="E43" s="365" t="n">
        <f aca="false">+'Index Pricing'!$B$4+$J$13</f>
        <v>2.265</v>
      </c>
      <c r="F43" s="103" t="n">
        <f aca="false">ROUND(MIN(0.8*$B$5,10000,SUM(J43:K43)),0)</f>
        <v>9069</v>
      </c>
      <c r="G43" s="365" t="n">
        <f aca="false">+'Index Pricing'!$B$3+$J$14</f>
        <v>1.8776</v>
      </c>
      <c r="H43" s="366" t="n">
        <f aca="false">ROUND(MAX(0.8*$B$5-F43,0),0)</f>
        <v>0</v>
      </c>
      <c r="I43" s="31"/>
      <c r="J43" s="350" t="n">
        <f aca="false">'[1]Enron Detail'!P38</f>
        <v>-749</v>
      </c>
      <c r="K43" s="367" t="n">
        <f aca="false">'[1]Enron Detail'!O38</f>
        <v>11336</v>
      </c>
      <c r="L43" s="97" t="n">
        <f aca="false">+C43*D43</f>
        <v>1357.851</v>
      </c>
      <c r="M43" s="98" t="n">
        <f aca="false">+E43*F43</f>
        <v>20541.285</v>
      </c>
      <c r="N43" s="99" t="n">
        <f aca="false">+G43*H43</f>
        <v>0</v>
      </c>
      <c r="O43" s="54" t="n">
        <f aca="false">SUM(L43:N43)</f>
        <v>21899.136</v>
      </c>
      <c r="P43" s="0"/>
    </row>
    <row r="44" customFormat="false" ht="12.75" hidden="false" customHeight="false" outlineLevel="0" collapsed="false">
      <c r="A44" s="8" t="n">
        <f aca="false">+'Index Pricing'!A32</f>
        <v>37221</v>
      </c>
      <c r="B44" s="41" t="n">
        <f aca="false">+'Index Pricing'!B32</f>
        <v>1.43</v>
      </c>
      <c r="C44" s="364" t="n">
        <f aca="false">+B44+$J$12</f>
        <v>0.8945</v>
      </c>
      <c r="D44" s="292" t="n">
        <f aca="false">(ROUND(MAX(0,SUM(J44:K44)-SUM(H44,F44)),0))</f>
        <v>1521</v>
      </c>
      <c r="E44" s="365" t="n">
        <f aca="false">+'Index Pricing'!$B$4+$J$13</f>
        <v>2.265</v>
      </c>
      <c r="F44" s="103" t="n">
        <f aca="false">ROUND(MIN(0.8*$B$5,10000,SUM(J44:K44)),0)</f>
        <v>9069</v>
      </c>
      <c r="G44" s="365" t="n">
        <f aca="false">+'Index Pricing'!$B$3+$J$14</f>
        <v>1.8776</v>
      </c>
      <c r="H44" s="366" t="n">
        <f aca="false">ROUND(MAX(0.8*$B$5-F44,0),0)</f>
        <v>0</v>
      </c>
      <c r="I44" s="31"/>
      <c r="J44" s="350" t="n">
        <f aca="false">'[1]Enron Detail'!P39</f>
        <v>-746</v>
      </c>
      <c r="K44" s="367" t="n">
        <f aca="false">'[1]Enron Detail'!O39</f>
        <v>11336</v>
      </c>
      <c r="L44" s="97" t="n">
        <f aca="false">+C44*D44</f>
        <v>1360.5345</v>
      </c>
      <c r="M44" s="98" t="n">
        <f aca="false">+E44*F44</f>
        <v>20541.285</v>
      </c>
      <c r="N44" s="99" t="n">
        <f aca="false">+G44*H44</f>
        <v>0</v>
      </c>
      <c r="O44" s="54" t="n">
        <f aca="false">SUM(L44:N44)</f>
        <v>21901.8195</v>
      </c>
      <c r="P44" s="0"/>
    </row>
    <row r="45" customFormat="false" ht="12.75" hidden="false" customHeight="false" outlineLevel="0" collapsed="false">
      <c r="A45" s="8" t="n">
        <f aca="false">+'Index Pricing'!A33</f>
        <v>37222</v>
      </c>
      <c r="B45" s="41" t="n">
        <f aca="false">+'Index Pricing'!B33</f>
        <v>1.88</v>
      </c>
      <c r="C45" s="364" t="n">
        <f aca="false">+B45+$J$12</f>
        <v>1.3445</v>
      </c>
      <c r="D45" s="292" t="n">
        <f aca="false">(ROUND(MAX(0,SUM(J45:K45)-SUM(H45,F45)),0))</f>
        <v>1509</v>
      </c>
      <c r="E45" s="365" t="n">
        <f aca="false">+'Index Pricing'!$B$4+$J$13</f>
        <v>2.265</v>
      </c>
      <c r="F45" s="103" t="n">
        <f aca="false">ROUND(MIN(0.8*$B$5,10000,SUM(J45:K45)),0)</f>
        <v>9069</v>
      </c>
      <c r="G45" s="365" t="n">
        <f aca="false">+'Index Pricing'!$B$3+$J$14</f>
        <v>1.8776</v>
      </c>
      <c r="H45" s="366" t="n">
        <f aca="false">ROUND(MAX(0.8*$B$5-F45,0),0)</f>
        <v>0</v>
      </c>
      <c r="I45" s="31"/>
      <c r="J45" s="350" t="n">
        <f aca="false">'[1]Enron Detail'!P40</f>
        <v>-758</v>
      </c>
      <c r="K45" s="367" t="n">
        <f aca="false">'[1]Enron Detail'!O40</f>
        <v>11336</v>
      </c>
      <c r="L45" s="97" t="n">
        <f aca="false">+C45*D45</f>
        <v>2028.8505</v>
      </c>
      <c r="M45" s="98" t="n">
        <f aca="false">+E45*F45</f>
        <v>20541.285</v>
      </c>
      <c r="N45" s="99" t="n">
        <f aca="false">+G45*H45</f>
        <v>0</v>
      </c>
      <c r="O45" s="54" t="n">
        <f aca="false">SUM(L45:N45)</f>
        <v>22570.1355</v>
      </c>
      <c r="P45" s="0"/>
    </row>
    <row r="46" customFormat="false" ht="12.75" hidden="false" customHeight="false" outlineLevel="0" collapsed="false">
      <c r="A46" s="8" t="n">
        <f aca="false">+'Index Pricing'!A34</f>
        <v>37223</v>
      </c>
      <c r="B46" s="41" t="n">
        <f aca="false">+'Index Pricing'!B34</f>
        <v>2.16</v>
      </c>
      <c r="C46" s="364" t="n">
        <f aca="false">+B46+$J$12</f>
        <v>1.6245</v>
      </c>
      <c r="D46" s="292" t="n">
        <f aca="false">(ROUND(MAX(0,SUM(J46:K46)-SUM(H46,F46)),0))</f>
        <v>1503</v>
      </c>
      <c r="E46" s="365" t="n">
        <f aca="false">+'Index Pricing'!$B$4+$J$13</f>
        <v>2.265</v>
      </c>
      <c r="F46" s="103" t="n">
        <f aca="false">ROUND(MIN(0.8*$B$5,10000,SUM(J46:K46)),0)</f>
        <v>9069</v>
      </c>
      <c r="G46" s="365" t="n">
        <f aca="false">+'Index Pricing'!$B$3+$J$14</f>
        <v>1.8776</v>
      </c>
      <c r="H46" s="366" t="n">
        <f aca="false">ROUND(MAX(0.8*$B$5-F46,0),0)</f>
        <v>0</v>
      </c>
      <c r="I46" s="31"/>
      <c r="J46" s="350" t="n">
        <f aca="false">'[1]Enron Detail'!P41</f>
        <v>-764</v>
      </c>
      <c r="K46" s="367" t="n">
        <f aca="false">'[1]Enron Detail'!O41</f>
        <v>11336</v>
      </c>
      <c r="L46" s="97" t="n">
        <f aca="false">+C46*D46</f>
        <v>2441.6235</v>
      </c>
      <c r="M46" s="98" t="n">
        <f aca="false">+E46*F46</f>
        <v>20541.285</v>
      </c>
      <c r="N46" s="99" t="n">
        <f aca="false">+G46*H46</f>
        <v>0</v>
      </c>
      <c r="O46" s="54" t="n">
        <f aca="false">SUM(L46:N46)</f>
        <v>22982.9085</v>
      </c>
      <c r="P46" s="0"/>
    </row>
    <row r="47" customFormat="false" ht="12.75" hidden="false" customHeight="false" outlineLevel="0" collapsed="false">
      <c r="A47" s="8" t="n">
        <f aca="false">+'Index Pricing'!A35</f>
        <v>37224</v>
      </c>
      <c r="B47" s="41" t="n">
        <f aca="false">+'Index Pricing'!B35</f>
        <v>2.38</v>
      </c>
      <c r="C47" s="364" t="n">
        <f aca="false">+B47+$J$12</f>
        <v>1.8445</v>
      </c>
      <c r="D47" s="292" t="n">
        <v>0</v>
      </c>
      <c r="E47" s="365" t="n">
        <f aca="false">+'Index Pricing'!$B$4+$J$13</f>
        <v>2.265</v>
      </c>
      <c r="F47" s="103" t="n">
        <v>0</v>
      </c>
      <c r="G47" s="365" t="n">
        <f aca="false">+'Index Pricing'!$B$3+$J$14</f>
        <v>1.8776</v>
      </c>
      <c r="H47" s="366" t="n">
        <v>0</v>
      </c>
      <c r="I47" s="31"/>
      <c r="J47" s="350" t="n">
        <v>0</v>
      </c>
      <c r="K47" s="367" t="n">
        <v>0</v>
      </c>
      <c r="L47" s="97" t="n">
        <f aca="false">+C47*D47</f>
        <v>0</v>
      </c>
      <c r="M47" s="98" t="n">
        <f aca="false">+E47*F47</f>
        <v>0</v>
      </c>
      <c r="N47" s="99" t="n">
        <f aca="false">+G47*H47</f>
        <v>0</v>
      </c>
      <c r="O47" s="54" t="n">
        <f aca="false">SUM(L47:N47)</f>
        <v>0</v>
      </c>
      <c r="P47" s="0"/>
    </row>
    <row r="48" customFormat="false" ht="12.75" hidden="false" customHeight="false" outlineLevel="0" collapsed="false">
      <c r="A48" s="8" t="n">
        <f aca="false">+'Index Pricing'!A36</f>
        <v>37225</v>
      </c>
      <c r="B48" s="41" t="n">
        <f aca="false">+'Index Pricing'!B36</f>
        <v>2.025</v>
      </c>
      <c r="C48" s="364" t="n">
        <f aca="false">+B48+$J$12</f>
        <v>1.4895</v>
      </c>
      <c r="D48" s="292" t="n">
        <f aca="false">(ROUND(MAX(0,SUM(J48:K48)-SUM(H48,F48)),0))</f>
        <v>0</v>
      </c>
      <c r="E48" s="365" t="n">
        <f aca="false">+'Index Pricing'!$B$4+$J$13</f>
        <v>2.265</v>
      </c>
      <c r="F48" s="103" t="n">
        <f aca="false">ROUND(MIN(0.8*$B$5,10000,SUM(J48:K48)),0)</f>
        <v>0</v>
      </c>
      <c r="G48" s="365" t="n">
        <f aca="false">+'Index Pricing'!$B$3+$J$14</f>
        <v>1.8776</v>
      </c>
      <c r="H48" s="366" t="n">
        <v>0</v>
      </c>
      <c r="I48" s="31"/>
      <c r="J48" s="350" t="n">
        <f aca="false">'[1]Enron Detail'!P43</f>
        <v>0</v>
      </c>
      <c r="K48" s="367" t="n">
        <f aca="false">'[1]Enron Detail'!O43</f>
        <v>0</v>
      </c>
      <c r="L48" s="97" t="n">
        <f aca="false">+C48*D48</f>
        <v>0</v>
      </c>
      <c r="M48" s="98" t="n">
        <f aca="false">+E48*F48</f>
        <v>0</v>
      </c>
      <c r="N48" s="99" t="n">
        <f aca="false">+G48*H48</f>
        <v>0</v>
      </c>
      <c r="O48" s="54" t="n">
        <f aca="false">SUM(L48:N48)</f>
        <v>0</v>
      </c>
      <c r="P48" s="0"/>
    </row>
    <row r="49" customFormat="false" ht="12.75" hidden="false" customHeight="false" outlineLevel="0" collapsed="false">
      <c r="A49" s="8"/>
      <c r="B49" s="41"/>
      <c r="C49" s="364"/>
      <c r="D49" s="292"/>
      <c r="E49" s="365"/>
      <c r="F49" s="103"/>
      <c r="G49" s="365"/>
      <c r="H49" s="366"/>
      <c r="I49" s="31"/>
      <c r="J49" s="350"/>
      <c r="K49" s="367"/>
      <c r="L49" s="97"/>
      <c r="M49" s="98"/>
      <c r="N49" s="99"/>
      <c r="O49" s="54"/>
      <c r="P49" s="0"/>
    </row>
    <row r="50" customFormat="false" ht="12.75" hidden="false" customHeight="false" outlineLevel="0" collapsed="false">
      <c r="A50" s="8"/>
      <c r="B50" s="41"/>
      <c r="C50" s="364"/>
      <c r="D50" s="292"/>
      <c r="E50" s="365"/>
      <c r="F50" s="103"/>
      <c r="G50" s="365"/>
      <c r="H50" s="366"/>
      <c r="I50" s="31"/>
      <c r="J50" s="350"/>
      <c r="K50" s="367"/>
      <c r="L50" s="97" t="n">
        <f aca="false">+C50*D50</f>
        <v>0</v>
      </c>
      <c r="M50" s="98" t="n">
        <f aca="false">+E50*F50</f>
        <v>0</v>
      </c>
      <c r="N50" s="99" t="n">
        <f aca="false">+G50*H50</f>
        <v>0</v>
      </c>
      <c r="O50" s="54" t="n">
        <f aca="false">SUM(L50:N50)</f>
        <v>0</v>
      </c>
      <c r="P50" s="0"/>
    </row>
    <row r="51" customFormat="false" ht="13.5" hidden="false" customHeight="false" outlineLevel="0" collapsed="false">
      <c r="A51" s="0" t="s">
        <v>100</v>
      </c>
      <c r="C51" s="368"/>
      <c r="D51" s="297" t="n">
        <f aca="false">SUM(D19:D50)</f>
        <v>42557</v>
      </c>
      <c r="E51" s="368"/>
      <c r="F51" s="297" t="n">
        <f aca="false">SUM(F19:F50)</f>
        <v>253932</v>
      </c>
      <c r="G51" s="368"/>
      <c r="H51" s="298" t="n">
        <v>0</v>
      </c>
      <c r="I51" s="31"/>
      <c r="J51" s="350" t="n">
        <f aca="false">SUM(J19:J50)</f>
        <v>-20919</v>
      </c>
      <c r="K51" s="367" t="n">
        <f aca="false">SUM(K19:K50)</f>
        <v>317408</v>
      </c>
      <c r="L51" s="110" t="n">
        <f aca="false">SUM(L19:L50)</f>
        <v>52064.2165</v>
      </c>
      <c r="M51" s="111" t="n">
        <f aca="false">SUM(M19:M50)</f>
        <v>575155.98</v>
      </c>
      <c r="N51" s="112" t="n">
        <f aca="false">SUM(N19:N50)</f>
        <v>0</v>
      </c>
      <c r="O51" s="49" t="n">
        <f aca="false">SUM(O19:O50)</f>
        <v>627220.1965</v>
      </c>
      <c r="P51" s="0"/>
    </row>
    <row r="52" customFormat="false" ht="12.75" hidden="false" customHeight="false" outlineLevel="0" collapsed="false">
      <c r="I52" s="0" t="s">
        <v>241</v>
      </c>
      <c r="J52" s="114" t="n">
        <f aca="false">+J51/K51</f>
        <v>-0.0659057112612159</v>
      </c>
      <c r="O52" s="54"/>
      <c r="P52" s="0"/>
    </row>
    <row r="53" customFormat="false" ht="12.75" hidden="false" customHeight="false" outlineLevel="0" collapsed="false">
      <c r="I53" s="113"/>
      <c r="L53" s="369" t="n">
        <f aca="false">+L51/D51</f>
        <v>1.22339959348638</v>
      </c>
      <c r="M53" s="41" t="n">
        <f aca="false">+M51/(F51)</f>
        <v>2.265</v>
      </c>
      <c r="N53" s="41" t="n">
        <v>0</v>
      </c>
      <c r="O53" s="41"/>
    </row>
    <row r="54" customFormat="false" ht="12.75" hidden="false" customHeight="false" outlineLevel="0" collapsed="false">
      <c r="I54" s="118"/>
    </row>
    <row r="55" customFormat="false" ht="12.75" hidden="false" customHeight="false" outlineLevel="0" collapsed="false">
      <c r="A55" s="0" t="s">
        <v>87</v>
      </c>
      <c r="M55" s="118"/>
    </row>
    <row r="56" customFormat="false" ht="12.75" hidden="false" customHeight="false" outlineLevel="0" collapsed="false">
      <c r="M56" s="113"/>
    </row>
    <row r="58" customFormat="false" ht="12.75" hidden="false" customHeight="false" outlineLevel="0" collapsed="false">
      <c r="L58" s="113"/>
      <c r="M58" s="118"/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0"/>
  <sheetViews>
    <sheetView showFormulas="false" showGridLines="fals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I41" activeCellId="0" sqref="I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16.99"/>
    <col collapsed="false" customWidth="true" hidden="false" outlineLevel="0" max="3" min="3" style="0" width="20.7"/>
    <col collapsed="false" customWidth="true" hidden="false" outlineLevel="0" max="4" min="4" style="0" width="17.42"/>
    <col collapsed="false" customWidth="true" hidden="false" outlineLevel="0" max="5" min="5" style="0" width="16.99"/>
    <col collapsed="false" customWidth="true" hidden="false" outlineLevel="0" max="6" min="6" style="0" width="18.14"/>
    <col collapsed="false" customWidth="true" hidden="false" outlineLevel="0" max="7" min="7" style="0" width="15.13"/>
    <col collapsed="false" customWidth="true" hidden="false" outlineLevel="0" max="8" min="8" style="0" width="9.85"/>
    <col collapsed="false" customWidth="true" hidden="false" outlineLevel="0" max="9" min="9" style="0" width="14.14"/>
    <col collapsed="false" customWidth="true" hidden="false" outlineLevel="0" max="10" min="10" style="0" width="15.28"/>
    <col collapsed="false" customWidth="true" hidden="false" outlineLevel="0" max="11" min="11" style="0" width="1.56"/>
    <col collapsed="false" customWidth="true" hidden="false" outlineLevel="0" max="12" min="12" style="0" width="10.71"/>
    <col collapsed="false" customWidth="true" hidden="false" outlineLevel="0" max="13" min="13" style="0" width="11.85"/>
    <col collapsed="false" customWidth="true" hidden="false" outlineLevel="0" max="14" min="14" style="0" width="9.85"/>
    <col collapsed="false" customWidth="true" hidden="false" outlineLevel="0" max="15" min="15" style="0" width="10.13"/>
    <col collapsed="false" customWidth="true" hidden="false" outlineLevel="0" max="16" min="16" style="54" width="18.41"/>
    <col collapsed="false" customWidth="true" hidden="false" outlineLevel="0" max="17" min="17" style="0" width="18.99"/>
    <col collapsed="false" customWidth="true" hidden="false" outlineLevel="0" max="18" min="18" style="0" width="10.41"/>
    <col collapsed="false" customWidth="true" hidden="false" outlineLevel="0" max="20" min="19" style="0" width="18.7"/>
  </cols>
  <sheetData>
    <row r="1" customFormat="false" ht="18" hidden="false" customHeight="false" outlineLevel="0" collapsed="false">
      <c r="A1" s="250" t="s">
        <v>158</v>
      </c>
      <c r="P1" s="3" t="n">
        <f aca="true">NOW()</f>
        <v>45926.8884095417</v>
      </c>
    </row>
    <row r="2" customFormat="false" ht="12.75" hidden="false" customHeight="false" outlineLevel="0" collapsed="false">
      <c r="A2" s="33"/>
    </row>
    <row r="3" customFormat="false" ht="12.75" hidden="false" customHeight="false" outlineLevel="0" collapsed="false">
      <c r="A3" s="33"/>
    </row>
    <row r="4" customFormat="false" ht="12.75" hidden="false" customHeight="false" outlineLevel="0" collapsed="false">
      <c r="A4" s="33"/>
    </row>
    <row r="5" customFormat="false" ht="12.75" hidden="false" customHeight="false" outlineLevel="0" collapsed="false">
      <c r="A5" s="33" t="s">
        <v>119</v>
      </c>
      <c r="B5" s="354" t="n">
        <f aca="false">'Phillips Detail'!B5</f>
        <v>11336</v>
      </c>
    </row>
    <row r="6" customFormat="false" ht="12.75" hidden="false" customHeight="false" outlineLevel="0" collapsed="false">
      <c r="A6" s="62" t="s">
        <v>206</v>
      </c>
      <c r="B6" s="254" t="n">
        <f aca="false">'Phillips Detail'!B6</f>
        <v>0.943774698503134</v>
      </c>
    </row>
    <row r="7" customFormat="false" ht="12.75" hidden="false" customHeight="false" outlineLevel="0" collapsed="false">
      <c r="A7" s="62" t="s">
        <v>236</v>
      </c>
      <c r="B7" s="54" t="n">
        <f aca="false">'Phillips Detail'!B7</f>
        <v>0.45</v>
      </c>
      <c r="C7" s="0" t="s">
        <v>60</v>
      </c>
      <c r="D7" s="0" t="n">
        <f aca="false">'Phillips Detail'!D7</f>
        <v>0.476808713683169</v>
      </c>
      <c r="E7" s="0" t="s">
        <v>162</v>
      </c>
    </row>
    <row r="8" customFormat="false" ht="12.75" hidden="false" customHeight="false" outlineLevel="0" collapsed="false">
      <c r="A8" s="62" t="str">
        <f aca="false">+'Index Pricing'!A3</f>
        <v>IF CIG Rockies</v>
      </c>
      <c r="B8" s="54" t="n">
        <f aca="false">'Phillips Detail'!B8</f>
        <v>2.54</v>
      </c>
    </row>
    <row r="9" customFormat="false" ht="12.75" hidden="false" customHeight="false" outlineLevel="0" collapsed="false">
      <c r="A9" s="62" t="str">
        <f aca="false">+'Index Pricing'!A4</f>
        <v>IF NGPL Midcont.</v>
      </c>
      <c r="B9" s="54" t="n">
        <f aca="false">'Phillips Detail'!B9</f>
        <v>3.04</v>
      </c>
    </row>
    <row r="10" customFormat="false" ht="12.75" hidden="false" customHeight="false" outlineLevel="0" collapsed="false">
      <c r="A10" s="62"/>
    </row>
    <row r="11" customFormat="false" ht="13.5" hidden="false" customHeight="false" outlineLevel="0" collapsed="false">
      <c r="C11" s="0" t="s">
        <v>242</v>
      </c>
      <c r="E11" s="0" t="s">
        <v>243</v>
      </c>
      <c r="G11" s="0" t="s">
        <v>244</v>
      </c>
      <c r="I11" s="0" t="s">
        <v>245</v>
      </c>
      <c r="L11" s="0" t="s">
        <v>246</v>
      </c>
    </row>
    <row r="12" customFormat="false" ht="51" hidden="false" customHeight="false" outlineLevel="0" collapsed="false">
      <c r="A12" s="80"/>
      <c r="B12" s="84"/>
      <c r="C12" s="370" t="s">
        <v>133</v>
      </c>
      <c r="D12" s="82" t="s">
        <v>70</v>
      </c>
      <c r="E12" s="370" t="s">
        <v>239</v>
      </c>
      <c r="F12" s="82" t="s">
        <v>72</v>
      </c>
      <c r="G12" s="370" t="s">
        <v>240</v>
      </c>
      <c r="H12" s="82" t="s">
        <v>74</v>
      </c>
      <c r="I12" s="370" t="s">
        <v>247</v>
      </c>
      <c r="J12" s="82" t="s">
        <v>74</v>
      </c>
      <c r="L12" s="370" t="s">
        <v>248</v>
      </c>
      <c r="M12" s="82" t="s">
        <v>74</v>
      </c>
      <c r="P12" s="0"/>
    </row>
    <row r="13" customFormat="false" ht="12.75" hidden="false" customHeight="false" outlineLevel="0" collapsed="false">
      <c r="A13" s="80"/>
      <c r="B13" s="265"/>
      <c r="C13" s="371"/>
      <c r="D13" s="169"/>
      <c r="E13" s="371"/>
      <c r="F13" s="43" t="n">
        <f aca="false">+B5*0.8</f>
        <v>9068.8</v>
      </c>
      <c r="G13" s="371"/>
      <c r="H13" s="169"/>
      <c r="I13" s="371"/>
      <c r="J13" s="169"/>
      <c r="L13" s="371"/>
      <c r="M13" s="169"/>
      <c r="P13" s="0"/>
    </row>
    <row r="14" customFormat="false" ht="13.5" hidden="false" customHeight="false" outlineLevel="0" collapsed="false">
      <c r="B14" s="331" t="s">
        <v>81</v>
      </c>
      <c r="C14" s="372" t="s">
        <v>82</v>
      </c>
      <c r="D14" s="362"/>
      <c r="E14" s="372" t="s">
        <v>83</v>
      </c>
      <c r="F14" s="362"/>
      <c r="G14" s="372" t="s">
        <v>84</v>
      </c>
      <c r="H14" s="362"/>
      <c r="I14" s="372" t="s">
        <v>249</v>
      </c>
      <c r="J14" s="362"/>
      <c r="L14" s="372" t="s">
        <v>249</v>
      </c>
      <c r="M14" s="362"/>
      <c r="P14" s="0"/>
    </row>
    <row r="15" customFormat="false" ht="12.75" hidden="false" customHeight="false" outlineLevel="0" collapsed="false">
      <c r="A15" s="8" t="n">
        <f aca="false">+'Index Pricing'!A7</f>
        <v>37196</v>
      </c>
      <c r="B15" s="41" t="n">
        <f aca="false">+'Index Pricing'!B7</f>
        <v>2.67</v>
      </c>
      <c r="C15" s="373" t="n">
        <f aca="false">'Phillips Detail'!C19</f>
        <v>2.1345</v>
      </c>
      <c r="D15" s="293" t="n">
        <f aca="false">'Phillips Detail'!D19</f>
        <v>1516</v>
      </c>
      <c r="E15" s="374" t="n">
        <f aca="false">'Phillips Detail'!E19</f>
        <v>2.265</v>
      </c>
      <c r="F15" s="101" t="n">
        <f aca="false">'Phillips Detail'!F19</f>
        <v>9069</v>
      </c>
      <c r="G15" s="374" t="n">
        <f aca="false">'Phillips Detail'!G19</f>
        <v>1.8776</v>
      </c>
      <c r="H15" s="91" t="n">
        <f aca="false">'Phillips Detail'!H19</f>
        <v>0</v>
      </c>
      <c r="I15" s="374" t="e">
        <f aca="false">#REF!</f>
        <v>#REF!</v>
      </c>
      <c r="J15" s="101" t="e">
        <f aca="false">#REF!</f>
        <v>#REF!</v>
      </c>
      <c r="L15" s="374" t="n">
        <v>0</v>
      </c>
      <c r="M15" s="101" t="n">
        <v>0</v>
      </c>
      <c r="P15" s="0"/>
    </row>
    <row r="16" customFormat="false" ht="12.75" hidden="false" customHeight="false" outlineLevel="0" collapsed="false">
      <c r="A16" s="8" t="n">
        <f aca="false">+'Index Pricing'!A8</f>
        <v>37197</v>
      </c>
      <c r="B16" s="41" t="n">
        <f aca="false">+'Index Pricing'!B8</f>
        <v>2.36</v>
      </c>
      <c r="C16" s="375" t="n">
        <f aca="false">'Phillips Detail'!C20</f>
        <v>1.8245</v>
      </c>
      <c r="D16" s="293" t="n">
        <f aca="false">'Phillips Detail'!D20</f>
        <v>1518</v>
      </c>
      <c r="E16" s="374" t="n">
        <f aca="false">'Phillips Detail'!E20</f>
        <v>2.265</v>
      </c>
      <c r="F16" s="101" t="n">
        <f aca="false">'Phillips Detail'!F20</f>
        <v>9069</v>
      </c>
      <c r="G16" s="376" t="n">
        <f aca="false">'Phillips Detail'!G20</f>
        <v>1.8776</v>
      </c>
      <c r="H16" s="91" t="n">
        <f aca="false">'Phillips Detail'!H20</f>
        <v>0</v>
      </c>
      <c r="I16" s="374" t="e">
        <f aca="false">#REF!</f>
        <v>#REF!</v>
      </c>
      <c r="J16" s="101" t="e">
        <f aca="false">#REF!</f>
        <v>#REF!</v>
      </c>
      <c r="L16" s="374" t="n">
        <v>0</v>
      </c>
      <c r="M16" s="101" t="n">
        <v>0</v>
      </c>
      <c r="P16" s="0"/>
    </row>
    <row r="17" customFormat="false" ht="12.75" hidden="false" customHeight="false" outlineLevel="0" collapsed="false">
      <c r="A17" s="8" t="n">
        <f aca="false">+'Index Pricing'!A9</f>
        <v>37198</v>
      </c>
      <c r="B17" s="41" t="n">
        <f aca="false">+'Index Pricing'!B9</f>
        <v>2.015</v>
      </c>
      <c r="C17" s="375" t="n">
        <f aca="false">'Phillips Detail'!C21</f>
        <v>1.4795</v>
      </c>
      <c r="D17" s="293" t="n">
        <f aca="false">'Phillips Detail'!D21</f>
        <v>1511</v>
      </c>
      <c r="E17" s="374" t="n">
        <f aca="false">'Phillips Detail'!E21</f>
        <v>2.265</v>
      </c>
      <c r="F17" s="101" t="n">
        <f aca="false">'Phillips Detail'!F21</f>
        <v>9069</v>
      </c>
      <c r="G17" s="376" t="n">
        <f aca="false">'Phillips Detail'!G21</f>
        <v>1.8776</v>
      </c>
      <c r="H17" s="91" t="n">
        <f aca="false">'Phillips Detail'!H21</f>
        <v>0</v>
      </c>
      <c r="I17" s="374" t="e">
        <f aca="false">#REF!</f>
        <v>#REF!</v>
      </c>
      <c r="J17" s="101" t="e">
        <f aca="false">#REF!</f>
        <v>#REF!</v>
      </c>
      <c r="L17" s="374" t="n">
        <v>0</v>
      </c>
      <c r="M17" s="101" t="n">
        <v>0</v>
      </c>
      <c r="P17" s="0"/>
    </row>
    <row r="18" customFormat="false" ht="12.75" hidden="false" customHeight="false" outlineLevel="0" collapsed="false">
      <c r="A18" s="8" t="n">
        <f aca="false">+'Index Pricing'!A10</f>
        <v>37199</v>
      </c>
      <c r="B18" s="41" t="n">
        <f aca="false">+'Index Pricing'!B10</f>
        <v>2.015</v>
      </c>
      <c r="C18" s="375" t="n">
        <f aca="false">'Phillips Detail'!C22</f>
        <v>1.4795</v>
      </c>
      <c r="D18" s="293" t="n">
        <f aca="false">'Phillips Detail'!D22</f>
        <v>1514</v>
      </c>
      <c r="E18" s="374" t="n">
        <f aca="false">'Phillips Detail'!E22</f>
        <v>2.265</v>
      </c>
      <c r="F18" s="101" t="n">
        <f aca="false">'Phillips Detail'!F22</f>
        <v>9069</v>
      </c>
      <c r="G18" s="376" t="n">
        <f aca="false">'Phillips Detail'!G22</f>
        <v>1.8776</v>
      </c>
      <c r="H18" s="91" t="n">
        <f aca="false">'Phillips Detail'!H22</f>
        <v>0</v>
      </c>
      <c r="I18" s="374" t="e">
        <f aca="false">#REF!</f>
        <v>#REF!</v>
      </c>
      <c r="J18" s="101" t="e">
        <f aca="false">#REF!</f>
        <v>#REF!</v>
      </c>
      <c r="L18" s="374" t="n">
        <v>0</v>
      </c>
      <c r="M18" s="101" t="n">
        <v>0</v>
      </c>
      <c r="P18" s="0"/>
    </row>
    <row r="19" customFormat="false" ht="12.75" hidden="false" customHeight="false" outlineLevel="0" collapsed="false">
      <c r="A19" s="8" t="n">
        <f aca="false">+'Index Pricing'!A11</f>
        <v>37200</v>
      </c>
      <c r="B19" s="41" t="n">
        <f aca="false">+'Index Pricing'!B11</f>
        <v>2.015</v>
      </c>
      <c r="C19" s="375" t="n">
        <f aca="false">'Phillips Detail'!C23</f>
        <v>1.4795</v>
      </c>
      <c r="D19" s="293" t="n">
        <f aca="false">'Phillips Detail'!D23</f>
        <v>1515</v>
      </c>
      <c r="E19" s="374" t="n">
        <f aca="false">'Phillips Detail'!E23</f>
        <v>2.265</v>
      </c>
      <c r="F19" s="101" t="n">
        <f aca="false">'Phillips Detail'!F23</f>
        <v>9069</v>
      </c>
      <c r="G19" s="376" t="n">
        <f aca="false">'Phillips Detail'!G23</f>
        <v>1.8776</v>
      </c>
      <c r="H19" s="91" t="n">
        <f aca="false">'Phillips Detail'!H23</f>
        <v>0</v>
      </c>
      <c r="I19" s="374" t="e">
        <f aca="false">#REF!</f>
        <v>#REF!</v>
      </c>
      <c r="J19" s="101" t="e">
        <f aca="false">#REF!</f>
        <v>#REF!</v>
      </c>
      <c r="L19" s="374" t="n">
        <v>0</v>
      </c>
      <c r="M19" s="101" t="n">
        <v>0</v>
      </c>
      <c r="P19" s="0"/>
    </row>
    <row r="20" customFormat="false" ht="12.75" hidden="false" customHeight="false" outlineLevel="0" collapsed="false">
      <c r="A20" s="8" t="n">
        <f aca="false">+'Index Pricing'!A12</f>
        <v>37201</v>
      </c>
      <c r="B20" s="41" t="n">
        <f aca="false">+'Index Pricing'!B12</f>
        <v>2.16</v>
      </c>
      <c r="C20" s="375" t="n">
        <f aca="false">'Phillips Detail'!C24</f>
        <v>1.6245</v>
      </c>
      <c r="D20" s="293" t="n">
        <f aca="false">'Phillips Detail'!D24</f>
        <v>1528</v>
      </c>
      <c r="E20" s="374" t="n">
        <f aca="false">'Phillips Detail'!E24</f>
        <v>2.265</v>
      </c>
      <c r="F20" s="101" t="n">
        <f aca="false">'Phillips Detail'!F24</f>
        <v>9069</v>
      </c>
      <c r="G20" s="376" t="n">
        <f aca="false">'Phillips Detail'!G24</f>
        <v>1.8776</v>
      </c>
      <c r="H20" s="91" t="n">
        <f aca="false">'Phillips Detail'!H24</f>
        <v>0</v>
      </c>
      <c r="I20" s="374" t="e">
        <f aca="false">#REF!</f>
        <v>#REF!</v>
      </c>
      <c r="J20" s="101" t="e">
        <f aca="false">#REF!</f>
        <v>#REF!</v>
      </c>
      <c r="L20" s="374" t="n">
        <v>0</v>
      </c>
      <c r="M20" s="101" t="n">
        <v>0</v>
      </c>
      <c r="P20" s="0"/>
    </row>
    <row r="21" customFormat="false" ht="12.75" hidden="false" customHeight="false" outlineLevel="0" collapsed="false">
      <c r="A21" s="8" t="n">
        <f aca="false">+'Index Pricing'!A13</f>
        <v>37202</v>
      </c>
      <c r="B21" s="41" t="n">
        <f aca="false">+'Index Pricing'!B13</f>
        <v>2.135</v>
      </c>
      <c r="C21" s="375" t="n">
        <f aca="false">'Phillips Detail'!C25</f>
        <v>1.5995</v>
      </c>
      <c r="D21" s="293" t="n">
        <f aca="false">'Phillips Detail'!D25</f>
        <v>1530</v>
      </c>
      <c r="E21" s="374" t="n">
        <f aca="false">'Phillips Detail'!E25</f>
        <v>2.265</v>
      </c>
      <c r="F21" s="101" t="n">
        <f aca="false">'Phillips Detail'!F25</f>
        <v>9069</v>
      </c>
      <c r="G21" s="376" t="n">
        <f aca="false">'Phillips Detail'!G25</f>
        <v>1.8776</v>
      </c>
      <c r="H21" s="91" t="n">
        <f aca="false">'Phillips Detail'!H25</f>
        <v>0</v>
      </c>
      <c r="I21" s="374" t="e">
        <f aca="false">#REF!</f>
        <v>#REF!</v>
      </c>
      <c r="J21" s="101" t="e">
        <f aca="false">#REF!</f>
        <v>#REF!</v>
      </c>
      <c r="L21" s="374" t="n">
        <v>0</v>
      </c>
      <c r="M21" s="101" t="n">
        <v>0</v>
      </c>
      <c r="P21" s="0"/>
    </row>
    <row r="22" customFormat="false" ht="12.75" hidden="false" customHeight="false" outlineLevel="0" collapsed="false">
      <c r="A22" s="8" t="n">
        <f aca="false">+'Index Pricing'!A14</f>
        <v>37203</v>
      </c>
      <c r="B22" s="41" t="n">
        <f aca="false">+'Index Pricing'!B14</f>
        <v>2.13</v>
      </c>
      <c r="C22" s="375" t="n">
        <f aca="false">'Phillips Detail'!C26</f>
        <v>1.5945</v>
      </c>
      <c r="D22" s="293" t="n">
        <f aca="false">'Phillips Detail'!D26</f>
        <v>1528</v>
      </c>
      <c r="E22" s="374" t="n">
        <f aca="false">'Phillips Detail'!E26</f>
        <v>2.265</v>
      </c>
      <c r="F22" s="101" t="n">
        <f aca="false">'Phillips Detail'!F26</f>
        <v>9069</v>
      </c>
      <c r="G22" s="376" t="n">
        <f aca="false">'Phillips Detail'!G26</f>
        <v>1.8776</v>
      </c>
      <c r="H22" s="91" t="n">
        <f aca="false">'Phillips Detail'!H26</f>
        <v>0</v>
      </c>
      <c r="I22" s="374" t="e">
        <f aca="false">#REF!</f>
        <v>#REF!</v>
      </c>
      <c r="J22" s="101" t="e">
        <f aca="false">#REF!</f>
        <v>#REF!</v>
      </c>
      <c r="L22" s="374" t="n">
        <v>0</v>
      </c>
      <c r="M22" s="101" t="n">
        <v>0</v>
      </c>
      <c r="P22" s="0"/>
    </row>
    <row r="23" customFormat="false" ht="12.75" hidden="false" customHeight="false" outlineLevel="0" collapsed="false">
      <c r="A23" s="8" t="n">
        <f aca="false">+'Index Pricing'!A15</f>
        <v>37204</v>
      </c>
      <c r="B23" s="41" t="n">
        <f aca="false">+'Index Pricing'!B15</f>
        <v>1.935</v>
      </c>
      <c r="C23" s="375" t="n">
        <f aca="false">'Phillips Detail'!C27</f>
        <v>1.3995</v>
      </c>
      <c r="D23" s="293" t="n">
        <f aca="false">'Phillips Detail'!D27</f>
        <v>1528</v>
      </c>
      <c r="E23" s="374" t="n">
        <f aca="false">'Phillips Detail'!E27</f>
        <v>2.265</v>
      </c>
      <c r="F23" s="101" t="n">
        <f aca="false">'Phillips Detail'!F27</f>
        <v>9069</v>
      </c>
      <c r="G23" s="376" t="n">
        <f aca="false">'Phillips Detail'!G27</f>
        <v>1.8776</v>
      </c>
      <c r="H23" s="91" t="n">
        <f aca="false">'Phillips Detail'!H27</f>
        <v>0</v>
      </c>
      <c r="I23" s="374" t="e">
        <f aca="false">#REF!</f>
        <v>#REF!</v>
      </c>
      <c r="J23" s="101" t="e">
        <f aca="false">#REF!</f>
        <v>#REF!</v>
      </c>
      <c r="L23" s="374" t="n">
        <v>0</v>
      </c>
      <c r="M23" s="101" t="n">
        <v>0</v>
      </c>
      <c r="P23" s="0"/>
    </row>
    <row r="24" customFormat="false" ht="12.75" hidden="false" customHeight="false" outlineLevel="0" collapsed="false">
      <c r="A24" s="8" t="n">
        <f aca="false">+'Index Pricing'!A16</f>
        <v>37205</v>
      </c>
      <c r="B24" s="41" t="n">
        <f aca="false">+'Index Pricing'!B16</f>
        <v>1.7</v>
      </c>
      <c r="C24" s="375" t="n">
        <f aca="false">'Phillips Detail'!C28</f>
        <v>1.1645</v>
      </c>
      <c r="D24" s="293" t="n">
        <f aca="false">'Phillips Detail'!D28</f>
        <v>1525</v>
      </c>
      <c r="E24" s="374" t="n">
        <f aca="false">'Phillips Detail'!E28</f>
        <v>2.265</v>
      </c>
      <c r="F24" s="101" t="n">
        <f aca="false">'Phillips Detail'!F28</f>
        <v>9069</v>
      </c>
      <c r="G24" s="376" t="n">
        <f aca="false">'Phillips Detail'!G28</f>
        <v>1.8776</v>
      </c>
      <c r="H24" s="91" t="n">
        <f aca="false">'Phillips Detail'!H28</f>
        <v>0</v>
      </c>
      <c r="I24" s="374" t="e">
        <f aca="false">#REF!</f>
        <v>#REF!</v>
      </c>
      <c r="J24" s="101" t="e">
        <f aca="false">#REF!</f>
        <v>#REF!</v>
      </c>
      <c r="L24" s="374" t="n">
        <v>0</v>
      </c>
      <c r="M24" s="101" t="n">
        <v>0</v>
      </c>
      <c r="P24" s="0"/>
    </row>
    <row r="25" customFormat="false" ht="12.75" hidden="false" customHeight="false" outlineLevel="0" collapsed="false">
      <c r="A25" s="8" t="n">
        <f aca="false">+'Index Pricing'!A17</f>
        <v>37206</v>
      </c>
      <c r="B25" s="41" t="n">
        <f aca="false">+'Index Pricing'!B17</f>
        <v>1.7</v>
      </c>
      <c r="C25" s="375" t="n">
        <f aca="false">'Phillips Detail'!C29</f>
        <v>1.1645</v>
      </c>
      <c r="D25" s="293" t="n">
        <f aca="false">'Phillips Detail'!D29</f>
        <v>1525</v>
      </c>
      <c r="E25" s="374" t="n">
        <f aca="false">'Phillips Detail'!E29</f>
        <v>2.265</v>
      </c>
      <c r="F25" s="101" t="n">
        <f aca="false">'Phillips Detail'!F29</f>
        <v>9069</v>
      </c>
      <c r="G25" s="376" t="n">
        <f aca="false">'Phillips Detail'!G29</f>
        <v>1.8776</v>
      </c>
      <c r="H25" s="91" t="n">
        <f aca="false">'Phillips Detail'!H29</f>
        <v>0</v>
      </c>
      <c r="I25" s="374" t="e">
        <f aca="false">#REF!</f>
        <v>#REF!</v>
      </c>
      <c r="J25" s="101" t="e">
        <f aca="false">#REF!</f>
        <v>#REF!</v>
      </c>
      <c r="L25" s="374" t="n">
        <v>0</v>
      </c>
      <c r="M25" s="101" t="n">
        <v>0</v>
      </c>
      <c r="P25" s="0"/>
    </row>
    <row r="26" customFormat="false" ht="12.75" hidden="false" customHeight="false" outlineLevel="0" collapsed="false">
      <c r="A26" s="8" t="n">
        <f aca="false">+'Index Pricing'!A18</f>
        <v>37207</v>
      </c>
      <c r="B26" s="41" t="n">
        <f aca="false">+'Index Pricing'!B18</f>
        <v>1.7</v>
      </c>
      <c r="C26" s="375" t="n">
        <f aca="false">'Phillips Detail'!C30</f>
        <v>1.1645</v>
      </c>
      <c r="D26" s="293" t="n">
        <f aca="false">'Phillips Detail'!D30</f>
        <v>1523</v>
      </c>
      <c r="E26" s="374" t="n">
        <f aca="false">'Phillips Detail'!E30</f>
        <v>2.265</v>
      </c>
      <c r="F26" s="101" t="n">
        <f aca="false">'Phillips Detail'!F30</f>
        <v>9069</v>
      </c>
      <c r="G26" s="376" t="n">
        <f aca="false">'Phillips Detail'!G30</f>
        <v>1.8776</v>
      </c>
      <c r="H26" s="91" t="n">
        <f aca="false">'Phillips Detail'!H30</f>
        <v>0</v>
      </c>
      <c r="I26" s="374" t="e">
        <f aca="false">#REF!</f>
        <v>#REF!</v>
      </c>
      <c r="J26" s="101" t="e">
        <f aca="false">#REF!</f>
        <v>#REF!</v>
      </c>
      <c r="L26" s="374" t="n">
        <v>0</v>
      </c>
      <c r="M26" s="101" t="n">
        <v>0</v>
      </c>
      <c r="P26" s="0"/>
    </row>
    <row r="27" customFormat="false" ht="12.75" hidden="false" customHeight="false" outlineLevel="0" collapsed="false">
      <c r="A27" s="8" t="n">
        <f aca="false">+'Index Pricing'!A19</f>
        <v>37208</v>
      </c>
      <c r="B27" s="41" t="n">
        <f aca="false">+'Index Pricing'!B19</f>
        <v>1.52</v>
      </c>
      <c r="C27" s="375" t="n">
        <f aca="false">'Phillips Detail'!C31</f>
        <v>0.9845</v>
      </c>
      <c r="D27" s="293" t="n">
        <f aca="false">'Phillips Detail'!D31</f>
        <v>1525</v>
      </c>
      <c r="E27" s="374" t="n">
        <f aca="false">'Phillips Detail'!E31</f>
        <v>2.265</v>
      </c>
      <c r="F27" s="101" t="n">
        <f aca="false">'Phillips Detail'!F31</f>
        <v>9069</v>
      </c>
      <c r="G27" s="376" t="n">
        <f aca="false">'Phillips Detail'!G31</f>
        <v>1.8776</v>
      </c>
      <c r="H27" s="91" t="n">
        <f aca="false">'Phillips Detail'!H31</f>
        <v>0</v>
      </c>
      <c r="I27" s="374" t="e">
        <f aca="false">#REF!</f>
        <v>#REF!</v>
      </c>
      <c r="J27" s="101" t="e">
        <f aca="false">#REF!</f>
        <v>#REF!</v>
      </c>
      <c r="L27" s="374" t="n">
        <v>0</v>
      </c>
      <c r="M27" s="101" t="n">
        <v>0</v>
      </c>
      <c r="P27" s="0"/>
    </row>
    <row r="28" customFormat="false" ht="12.75" hidden="false" customHeight="false" outlineLevel="0" collapsed="false">
      <c r="A28" s="8" t="n">
        <f aca="false">+'Index Pricing'!A20</f>
        <v>37209</v>
      </c>
      <c r="B28" s="41" t="n">
        <f aca="false">+'Index Pricing'!B20</f>
        <v>1.595</v>
      </c>
      <c r="C28" s="375" t="n">
        <f aca="false">'Phillips Detail'!C32</f>
        <v>1.0595</v>
      </c>
      <c r="D28" s="293" t="n">
        <f aca="false">'Phillips Detail'!D32</f>
        <v>1520</v>
      </c>
      <c r="E28" s="374" t="n">
        <f aca="false">'Phillips Detail'!E32</f>
        <v>2.265</v>
      </c>
      <c r="F28" s="101" t="n">
        <f aca="false">'Phillips Detail'!F32</f>
        <v>9069</v>
      </c>
      <c r="G28" s="376" t="n">
        <f aca="false">'Phillips Detail'!G32</f>
        <v>1.8776</v>
      </c>
      <c r="H28" s="91" t="n">
        <f aca="false">'Phillips Detail'!H32</f>
        <v>0</v>
      </c>
      <c r="I28" s="374" t="e">
        <f aca="false">#REF!</f>
        <v>#REF!</v>
      </c>
      <c r="J28" s="101" t="e">
        <f aca="false">#REF!</f>
        <v>#REF!</v>
      </c>
      <c r="L28" s="374" t="n">
        <v>0</v>
      </c>
      <c r="M28" s="101" t="n">
        <v>0</v>
      </c>
      <c r="P28" s="0"/>
    </row>
    <row r="29" customFormat="false" ht="12.75" hidden="false" customHeight="false" outlineLevel="0" collapsed="false">
      <c r="A29" s="8" t="n">
        <f aca="false">+'Index Pricing'!A21</f>
        <v>37210</v>
      </c>
      <c r="B29" s="41" t="n">
        <f aca="false">+'Index Pricing'!B21</f>
        <v>1.84</v>
      </c>
      <c r="C29" s="375" t="n">
        <f aca="false">'Phillips Detail'!C33</f>
        <v>1.3045</v>
      </c>
      <c r="D29" s="293" t="n">
        <f aca="false">'Phillips Detail'!D33</f>
        <v>1516</v>
      </c>
      <c r="E29" s="374" t="n">
        <f aca="false">'Phillips Detail'!E33</f>
        <v>2.265</v>
      </c>
      <c r="F29" s="101" t="n">
        <f aca="false">'Phillips Detail'!F33</f>
        <v>9069</v>
      </c>
      <c r="G29" s="376" t="n">
        <f aca="false">'Phillips Detail'!G33</f>
        <v>1.8776</v>
      </c>
      <c r="H29" s="91" t="n">
        <f aca="false">'Phillips Detail'!H33</f>
        <v>0</v>
      </c>
      <c r="I29" s="374" t="e">
        <f aca="false">#REF!</f>
        <v>#REF!</v>
      </c>
      <c r="J29" s="101" t="e">
        <f aca="false">#REF!</f>
        <v>#REF!</v>
      </c>
      <c r="L29" s="374" t="n">
        <v>0</v>
      </c>
      <c r="M29" s="101" t="n">
        <v>0</v>
      </c>
      <c r="P29" s="0"/>
    </row>
    <row r="30" customFormat="false" ht="12.75" hidden="false" customHeight="false" outlineLevel="0" collapsed="false">
      <c r="A30" s="8" t="n">
        <f aca="false">+'Index Pricing'!A22</f>
        <v>37211</v>
      </c>
      <c r="B30" s="41" t="n">
        <f aca="false">+'Index Pricing'!B22</f>
        <v>1.435</v>
      </c>
      <c r="C30" s="375" t="n">
        <f aca="false">'Phillips Detail'!C34</f>
        <v>0.8995</v>
      </c>
      <c r="D30" s="293" t="n">
        <f aca="false">'Phillips Detail'!D34</f>
        <v>1520</v>
      </c>
      <c r="E30" s="374" t="n">
        <f aca="false">'Phillips Detail'!E34</f>
        <v>2.265</v>
      </c>
      <c r="F30" s="101" t="n">
        <f aca="false">'Phillips Detail'!F34</f>
        <v>9069</v>
      </c>
      <c r="G30" s="376" t="n">
        <f aca="false">'Phillips Detail'!G34</f>
        <v>1.8776</v>
      </c>
      <c r="H30" s="91" t="n">
        <f aca="false">'Phillips Detail'!H34</f>
        <v>0</v>
      </c>
      <c r="I30" s="374" t="e">
        <f aca="false">#REF!</f>
        <v>#REF!</v>
      </c>
      <c r="J30" s="101" t="e">
        <f aca="false">#REF!</f>
        <v>#REF!</v>
      </c>
      <c r="L30" s="374" t="n">
        <v>0</v>
      </c>
      <c r="M30" s="101" t="n">
        <v>0</v>
      </c>
      <c r="P30" s="0"/>
    </row>
    <row r="31" customFormat="false" ht="12.75" hidden="false" customHeight="false" outlineLevel="0" collapsed="false">
      <c r="A31" s="8" t="n">
        <f aca="false">+'Index Pricing'!A23</f>
        <v>37212</v>
      </c>
      <c r="B31" s="41" t="n">
        <f aca="false">+'Index Pricing'!B23</f>
        <v>1.135</v>
      </c>
      <c r="C31" s="375" t="n">
        <f aca="false">'Phillips Detail'!C35</f>
        <v>0.5995</v>
      </c>
      <c r="D31" s="293" t="n">
        <f aca="false">'Phillips Detail'!D35</f>
        <v>1527</v>
      </c>
      <c r="E31" s="374" t="n">
        <f aca="false">'Phillips Detail'!E35</f>
        <v>2.265</v>
      </c>
      <c r="F31" s="101" t="n">
        <f aca="false">'Phillips Detail'!F35</f>
        <v>9069</v>
      </c>
      <c r="G31" s="376" t="n">
        <f aca="false">'Phillips Detail'!G35</f>
        <v>1.8776</v>
      </c>
      <c r="H31" s="91" t="n">
        <f aca="false">'Phillips Detail'!H35</f>
        <v>0</v>
      </c>
      <c r="I31" s="374" t="e">
        <f aca="false">#REF!</f>
        <v>#REF!</v>
      </c>
      <c r="J31" s="101" t="e">
        <f aca="false">#REF!</f>
        <v>#REF!</v>
      </c>
      <c r="L31" s="374" t="n">
        <v>0</v>
      </c>
      <c r="M31" s="101" t="n">
        <v>0</v>
      </c>
      <c r="P31" s="0"/>
    </row>
    <row r="32" customFormat="false" ht="12.75" hidden="false" customHeight="false" outlineLevel="0" collapsed="false">
      <c r="A32" s="8" t="n">
        <f aca="false">+'Index Pricing'!A24</f>
        <v>37213</v>
      </c>
      <c r="B32" s="41" t="n">
        <f aca="false">+'Index Pricing'!B24</f>
        <v>1.135</v>
      </c>
      <c r="C32" s="375" t="n">
        <f aca="false">'Phillips Detail'!C36</f>
        <v>0.5995</v>
      </c>
      <c r="D32" s="293" t="n">
        <f aca="false">'Phillips Detail'!D36</f>
        <v>1521</v>
      </c>
      <c r="E32" s="374" t="n">
        <f aca="false">'Phillips Detail'!E36</f>
        <v>2.265</v>
      </c>
      <c r="F32" s="101" t="n">
        <f aca="false">'Phillips Detail'!F36</f>
        <v>9069</v>
      </c>
      <c r="G32" s="376" t="n">
        <f aca="false">'Phillips Detail'!G36</f>
        <v>1.8776</v>
      </c>
      <c r="H32" s="91" t="n">
        <f aca="false">'Phillips Detail'!H36</f>
        <v>0</v>
      </c>
      <c r="I32" s="374" t="e">
        <f aca="false">#REF!</f>
        <v>#REF!</v>
      </c>
      <c r="J32" s="101" t="e">
        <f aca="false">#REF!</f>
        <v>#REF!</v>
      </c>
      <c r="L32" s="374" t="n">
        <v>0</v>
      </c>
      <c r="M32" s="101" t="n">
        <v>0</v>
      </c>
      <c r="P32" s="0"/>
    </row>
    <row r="33" customFormat="false" ht="12.75" hidden="false" customHeight="false" outlineLevel="0" collapsed="false">
      <c r="A33" s="8" t="n">
        <f aca="false">+'Index Pricing'!A25</f>
        <v>37214</v>
      </c>
      <c r="B33" s="41" t="n">
        <f aca="false">+'Index Pricing'!B25</f>
        <v>1.135</v>
      </c>
      <c r="C33" s="375" t="n">
        <f aca="false">'Phillips Detail'!C37</f>
        <v>0.5995</v>
      </c>
      <c r="D33" s="293" t="n">
        <f aca="false">'Phillips Detail'!D37</f>
        <v>1526</v>
      </c>
      <c r="E33" s="374" t="n">
        <f aca="false">'Phillips Detail'!E37</f>
        <v>2.265</v>
      </c>
      <c r="F33" s="101" t="n">
        <f aca="false">'Phillips Detail'!F37</f>
        <v>9069</v>
      </c>
      <c r="G33" s="376" t="n">
        <f aca="false">'Phillips Detail'!G37</f>
        <v>1.8776</v>
      </c>
      <c r="H33" s="91" t="n">
        <f aca="false">'Phillips Detail'!H37</f>
        <v>0</v>
      </c>
      <c r="I33" s="374" t="e">
        <f aca="false">#REF!</f>
        <v>#REF!</v>
      </c>
      <c r="J33" s="101" t="e">
        <f aca="false">#REF!</f>
        <v>#REF!</v>
      </c>
      <c r="L33" s="374" t="n">
        <v>0</v>
      </c>
      <c r="M33" s="101" t="n">
        <v>0</v>
      </c>
      <c r="P33" s="0"/>
    </row>
    <row r="34" customFormat="false" ht="12.75" hidden="false" customHeight="false" outlineLevel="0" collapsed="false">
      <c r="A34" s="8" t="n">
        <f aca="false">+'Index Pricing'!A26</f>
        <v>37215</v>
      </c>
      <c r="B34" s="41" t="n">
        <f aca="false">+'Index Pricing'!B26</f>
        <v>1.535</v>
      </c>
      <c r="C34" s="375" t="n">
        <f aca="false">'Phillips Detail'!C38</f>
        <v>0.9995</v>
      </c>
      <c r="D34" s="293" t="n">
        <f aca="false">'Phillips Detail'!D38</f>
        <v>1528</v>
      </c>
      <c r="E34" s="374" t="n">
        <f aca="false">'Phillips Detail'!E38</f>
        <v>2.265</v>
      </c>
      <c r="F34" s="101" t="n">
        <f aca="false">'Phillips Detail'!F38</f>
        <v>9069</v>
      </c>
      <c r="G34" s="376" t="n">
        <f aca="false">'Phillips Detail'!G38</f>
        <v>1.8776</v>
      </c>
      <c r="H34" s="91" t="n">
        <f aca="false">'Phillips Detail'!H38</f>
        <v>0</v>
      </c>
      <c r="I34" s="374" t="e">
        <f aca="false">#REF!</f>
        <v>#REF!</v>
      </c>
      <c r="J34" s="101" t="e">
        <f aca="false">#REF!</f>
        <v>#REF!</v>
      </c>
      <c r="L34" s="374" t="n">
        <v>0</v>
      </c>
      <c r="M34" s="101" t="n">
        <v>0</v>
      </c>
      <c r="P34" s="0"/>
    </row>
    <row r="35" customFormat="false" ht="12.75" hidden="false" customHeight="false" outlineLevel="0" collapsed="false">
      <c r="A35" s="8" t="n">
        <f aca="false">+'Index Pricing'!A27</f>
        <v>37216</v>
      </c>
      <c r="B35" s="41" t="n">
        <f aca="false">+'Index Pricing'!B27</f>
        <v>2.205</v>
      </c>
      <c r="C35" s="375" t="n">
        <f aca="false">'Phillips Detail'!C39</f>
        <v>1.6695</v>
      </c>
      <c r="D35" s="293" t="n">
        <f aca="false">'Phillips Detail'!D39</f>
        <v>1516</v>
      </c>
      <c r="E35" s="374" t="n">
        <f aca="false">'Phillips Detail'!E39</f>
        <v>2.265</v>
      </c>
      <c r="F35" s="101" t="n">
        <f aca="false">'Phillips Detail'!F39</f>
        <v>9069</v>
      </c>
      <c r="G35" s="376" t="n">
        <f aca="false">'Phillips Detail'!G39</f>
        <v>1.8776</v>
      </c>
      <c r="H35" s="91" t="n">
        <f aca="false">'Phillips Detail'!H39</f>
        <v>0</v>
      </c>
      <c r="I35" s="374" t="e">
        <f aca="false">#REF!</f>
        <v>#REF!</v>
      </c>
      <c r="J35" s="101" t="e">
        <f aca="false">#REF!</f>
        <v>#REF!</v>
      </c>
      <c r="L35" s="374" t="n">
        <v>0</v>
      </c>
      <c r="M35" s="101" t="n">
        <v>0</v>
      </c>
      <c r="P35" s="0"/>
    </row>
    <row r="36" customFormat="false" ht="12.75" hidden="false" customHeight="false" outlineLevel="0" collapsed="false">
      <c r="A36" s="8" t="n">
        <f aca="false">+'Index Pricing'!A28</f>
        <v>37217</v>
      </c>
      <c r="B36" s="41" t="n">
        <f aca="false">+'Index Pricing'!B28</f>
        <v>1.43</v>
      </c>
      <c r="C36" s="375" t="n">
        <f aca="false">'Phillips Detail'!C40</f>
        <v>0.8945</v>
      </c>
      <c r="D36" s="293" t="n">
        <f aca="false">'Phillips Detail'!D40</f>
        <v>1514</v>
      </c>
      <c r="E36" s="374" t="n">
        <f aca="false">'Phillips Detail'!E40</f>
        <v>2.265</v>
      </c>
      <c r="F36" s="101" t="n">
        <f aca="false">'Phillips Detail'!F40</f>
        <v>9069</v>
      </c>
      <c r="G36" s="376" t="n">
        <f aca="false">'Phillips Detail'!G40</f>
        <v>1.8776</v>
      </c>
      <c r="H36" s="91" t="n">
        <f aca="false">'Phillips Detail'!H40</f>
        <v>0</v>
      </c>
      <c r="I36" s="374" t="e">
        <f aca="false">#REF!</f>
        <v>#REF!</v>
      </c>
      <c r="J36" s="101" t="e">
        <f aca="false">#REF!</f>
        <v>#REF!</v>
      </c>
      <c r="L36" s="374" t="n">
        <v>0</v>
      </c>
      <c r="M36" s="101" t="n">
        <v>0</v>
      </c>
      <c r="P36" s="0"/>
    </row>
    <row r="37" customFormat="false" ht="12.75" hidden="false" customHeight="false" outlineLevel="0" collapsed="false">
      <c r="A37" s="8" t="n">
        <f aca="false">+'Index Pricing'!A29</f>
        <v>37218</v>
      </c>
      <c r="B37" s="41" t="n">
        <f aca="false">+'Index Pricing'!B29</f>
        <v>1.43</v>
      </c>
      <c r="C37" s="375" t="n">
        <f aca="false">'Phillips Detail'!C41</f>
        <v>0.8945</v>
      </c>
      <c r="D37" s="293" t="n">
        <f aca="false">'Phillips Detail'!D41</f>
        <v>1516</v>
      </c>
      <c r="E37" s="374" t="n">
        <f aca="false">'Phillips Detail'!E41</f>
        <v>2.265</v>
      </c>
      <c r="F37" s="101" t="n">
        <f aca="false">'Phillips Detail'!F41</f>
        <v>9069</v>
      </c>
      <c r="G37" s="376" t="n">
        <f aca="false">'Phillips Detail'!G41</f>
        <v>1.8776</v>
      </c>
      <c r="H37" s="91" t="n">
        <f aca="false">'Phillips Detail'!H41</f>
        <v>0</v>
      </c>
      <c r="I37" s="374" t="e">
        <f aca="false">#REF!</f>
        <v>#REF!</v>
      </c>
      <c r="J37" s="101" t="e">
        <f aca="false">#REF!</f>
        <v>#REF!</v>
      </c>
      <c r="L37" s="374" t="n">
        <v>0</v>
      </c>
      <c r="M37" s="101" t="n">
        <v>0</v>
      </c>
      <c r="P37" s="0"/>
    </row>
    <row r="38" customFormat="false" ht="12.75" hidden="false" customHeight="false" outlineLevel="0" collapsed="false">
      <c r="A38" s="8" t="n">
        <f aca="false">+'Index Pricing'!A30</f>
        <v>37219</v>
      </c>
      <c r="B38" s="41" t="n">
        <f aca="false">+'Index Pricing'!B30</f>
        <v>1.43</v>
      </c>
      <c r="C38" s="375" t="n">
        <f aca="false">'Phillips Detail'!C42</f>
        <v>0.8945</v>
      </c>
      <c r="D38" s="293" t="n">
        <f aca="false">'Phillips Detail'!D42</f>
        <v>1516</v>
      </c>
      <c r="E38" s="374" t="n">
        <f aca="false">'Phillips Detail'!E42</f>
        <v>2.265</v>
      </c>
      <c r="F38" s="101" t="n">
        <f aca="false">'Phillips Detail'!F42</f>
        <v>9069</v>
      </c>
      <c r="G38" s="376" t="n">
        <f aca="false">'Phillips Detail'!G42</f>
        <v>1.8776</v>
      </c>
      <c r="H38" s="91" t="n">
        <f aca="false">'Phillips Detail'!H42</f>
        <v>0</v>
      </c>
      <c r="I38" s="374" t="e">
        <f aca="false">#REF!</f>
        <v>#REF!</v>
      </c>
      <c r="J38" s="101" t="e">
        <f aca="false">#REF!</f>
        <v>#REF!</v>
      </c>
      <c r="L38" s="374" t="n">
        <v>0</v>
      </c>
      <c r="M38" s="101" t="n">
        <v>0</v>
      </c>
      <c r="P38" s="0"/>
    </row>
    <row r="39" customFormat="false" ht="12.75" hidden="false" customHeight="false" outlineLevel="0" collapsed="false">
      <c r="A39" s="8" t="n">
        <f aca="false">+'Index Pricing'!A31</f>
        <v>37220</v>
      </c>
      <c r="B39" s="41" t="n">
        <f aca="false">+'Index Pricing'!B31</f>
        <v>1.43</v>
      </c>
      <c r="C39" s="375" t="n">
        <f aca="false">'Phillips Detail'!C43</f>
        <v>0.8945</v>
      </c>
      <c r="D39" s="293" t="n">
        <f aca="false">'Phillips Detail'!D43</f>
        <v>1518</v>
      </c>
      <c r="E39" s="374" t="n">
        <f aca="false">'Phillips Detail'!E43</f>
        <v>2.265</v>
      </c>
      <c r="F39" s="101" t="n">
        <f aca="false">'Phillips Detail'!F43</f>
        <v>9069</v>
      </c>
      <c r="G39" s="376" t="n">
        <f aca="false">'Phillips Detail'!G43</f>
        <v>1.8776</v>
      </c>
      <c r="H39" s="91" t="n">
        <f aca="false">'Phillips Detail'!H43</f>
        <v>0</v>
      </c>
      <c r="I39" s="374" t="e">
        <f aca="false">#REF!</f>
        <v>#REF!</v>
      </c>
      <c r="J39" s="101" t="e">
        <f aca="false">#REF!</f>
        <v>#REF!</v>
      </c>
      <c r="L39" s="374" t="n">
        <v>0</v>
      </c>
      <c r="M39" s="101" t="n">
        <v>0</v>
      </c>
      <c r="P39" s="0"/>
    </row>
    <row r="40" customFormat="false" ht="12.75" hidden="false" customHeight="false" outlineLevel="0" collapsed="false">
      <c r="A40" s="8" t="n">
        <f aca="false">+'Index Pricing'!A32</f>
        <v>37221</v>
      </c>
      <c r="B40" s="41" t="n">
        <f aca="false">+'Index Pricing'!B32</f>
        <v>1.43</v>
      </c>
      <c r="C40" s="375" t="n">
        <f aca="false">'Phillips Detail'!C44</f>
        <v>0.8945</v>
      </c>
      <c r="D40" s="293" t="n">
        <f aca="false">'Phillips Detail'!D44</f>
        <v>1521</v>
      </c>
      <c r="E40" s="374" t="n">
        <f aca="false">'Phillips Detail'!E44</f>
        <v>2.265</v>
      </c>
      <c r="F40" s="101" t="n">
        <f aca="false">'Phillips Detail'!F44</f>
        <v>9069</v>
      </c>
      <c r="G40" s="376" t="n">
        <f aca="false">'Phillips Detail'!G44</f>
        <v>1.8776</v>
      </c>
      <c r="H40" s="91" t="n">
        <f aca="false">'Phillips Detail'!H44</f>
        <v>0</v>
      </c>
      <c r="I40" s="374" t="e">
        <f aca="false">#REF!</f>
        <v>#REF!</v>
      </c>
      <c r="J40" s="101" t="e">
        <f aca="false">#REF!</f>
        <v>#REF!</v>
      </c>
      <c r="L40" s="374" t="n">
        <v>0</v>
      </c>
      <c r="M40" s="101" t="n">
        <v>0</v>
      </c>
      <c r="P40" s="0"/>
    </row>
    <row r="41" customFormat="false" ht="12.75" hidden="false" customHeight="false" outlineLevel="0" collapsed="false">
      <c r="A41" s="8" t="n">
        <f aca="false">+'Index Pricing'!A33</f>
        <v>37222</v>
      </c>
      <c r="B41" s="41" t="n">
        <f aca="false">+'Index Pricing'!B33</f>
        <v>1.88</v>
      </c>
      <c r="C41" s="375" t="n">
        <f aca="false">'Phillips Detail'!C45</f>
        <v>1.3445</v>
      </c>
      <c r="D41" s="293" t="n">
        <f aca="false">'Phillips Detail'!D45</f>
        <v>1509</v>
      </c>
      <c r="E41" s="374" t="n">
        <f aca="false">'Phillips Detail'!E45</f>
        <v>2.265</v>
      </c>
      <c r="F41" s="101" t="n">
        <f aca="false">'Phillips Detail'!F45</f>
        <v>9069</v>
      </c>
      <c r="G41" s="376" t="n">
        <f aca="false">'Phillips Detail'!G45</f>
        <v>1.8776</v>
      </c>
      <c r="H41" s="91" t="n">
        <f aca="false">'Phillips Detail'!H45</f>
        <v>0</v>
      </c>
      <c r="I41" s="374" t="e">
        <f aca="false">#REF!</f>
        <v>#REF!</v>
      </c>
      <c r="J41" s="101" t="e">
        <f aca="false">#REF!</f>
        <v>#REF!</v>
      </c>
      <c r="L41" s="374" t="n">
        <v>0</v>
      </c>
      <c r="M41" s="101" t="n">
        <v>0</v>
      </c>
      <c r="P41" s="0"/>
    </row>
    <row r="42" customFormat="false" ht="12.75" hidden="false" customHeight="false" outlineLevel="0" collapsed="false">
      <c r="A42" s="8" t="n">
        <f aca="false">+'Index Pricing'!A34</f>
        <v>37223</v>
      </c>
      <c r="B42" s="41" t="n">
        <f aca="false">+'Index Pricing'!B34</f>
        <v>2.16</v>
      </c>
      <c r="C42" s="375" t="n">
        <f aca="false">'Phillips Detail'!C46</f>
        <v>1.6245</v>
      </c>
      <c r="D42" s="293" t="n">
        <f aca="false">'Phillips Detail'!D46</f>
        <v>1503</v>
      </c>
      <c r="E42" s="374" t="n">
        <f aca="false">'Phillips Detail'!E46</f>
        <v>2.265</v>
      </c>
      <c r="F42" s="101" t="n">
        <f aca="false">'Phillips Detail'!F46</f>
        <v>9069</v>
      </c>
      <c r="G42" s="376" t="n">
        <f aca="false">'Phillips Detail'!G46</f>
        <v>1.8776</v>
      </c>
      <c r="H42" s="91" t="n">
        <f aca="false">'Phillips Detail'!H46</f>
        <v>0</v>
      </c>
      <c r="I42" s="374" t="e">
        <f aca="false">#REF!</f>
        <v>#REF!</v>
      </c>
      <c r="J42" s="101" t="e">
        <f aca="false">#REF!</f>
        <v>#REF!</v>
      </c>
      <c r="L42" s="374" t="n">
        <v>0</v>
      </c>
      <c r="M42" s="101" t="n">
        <v>0</v>
      </c>
      <c r="P42" s="0"/>
    </row>
    <row r="43" customFormat="false" ht="12.75" hidden="false" customHeight="false" outlineLevel="0" collapsed="false">
      <c r="A43" s="8" t="n">
        <f aca="false">+'Index Pricing'!A35</f>
        <v>37224</v>
      </c>
      <c r="B43" s="41" t="n">
        <f aca="false">+'Index Pricing'!B35</f>
        <v>2.38</v>
      </c>
      <c r="C43" s="375" t="n">
        <f aca="false">'Phillips Detail'!C47</f>
        <v>1.8445</v>
      </c>
      <c r="D43" s="293" t="n">
        <f aca="false">'Phillips Detail'!D47</f>
        <v>0</v>
      </c>
      <c r="E43" s="374" t="n">
        <f aca="false">'Phillips Detail'!E47</f>
        <v>2.265</v>
      </c>
      <c r="F43" s="101" t="n">
        <f aca="false">'Phillips Detail'!F47</f>
        <v>0</v>
      </c>
      <c r="G43" s="376" t="n">
        <f aca="false">'Phillips Detail'!G47</f>
        <v>1.8776</v>
      </c>
      <c r="H43" s="91" t="n">
        <f aca="false">'Phillips Detail'!H47</f>
        <v>0</v>
      </c>
      <c r="I43" s="374" t="e">
        <f aca="false">#REF!</f>
        <v>#REF!</v>
      </c>
      <c r="J43" s="101" t="e">
        <f aca="false">#REF!</f>
        <v>#REF!</v>
      </c>
      <c r="L43" s="374" t="n">
        <v>0</v>
      </c>
      <c r="M43" s="101" t="n">
        <v>0</v>
      </c>
      <c r="P43" s="0"/>
    </row>
    <row r="44" customFormat="false" ht="12.75" hidden="false" customHeight="false" outlineLevel="0" collapsed="false">
      <c r="A44" s="8" t="n">
        <f aca="false">+'Index Pricing'!A36</f>
        <v>37225</v>
      </c>
      <c r="B44" s="41" t="n">
        <f aca="false">+'Index Pricing'!B36</f>
        <v>2.025</v>
      </c>
      <c r="C44" s="375" t="n">
        <f aca="false">'Phillips Detail'!C48</f>
        <v>1.4895</v>
      </c>
      <c r="D44" s="293" t="n">
        <f aca="false">'Phillips Detail'!D48</f>
        <v>0</v>
      </c>
      <c r="E44" s="374" t="n">
        <f aca="false">'Phillips Detail'!E48</f>
        <v>2.265</v>
      </c>
      <c r="F44" s="101" t="n">
        <f aca="false">'Phillips Detail'!F48</f>
        <v>0</v>
      </c>
      <c r="G44" s="376" t="n">
        <f aca="false">'Phillips Detail'!G48</f>
        <v>1.8776</v>
      </c>
      <c r="H44" s="91" t="n">
        <f aca="false">'Phillips Detail'!H48</f>
        <v>0</v>
      </c>
      <c r="I44" s="374" t="e">
        <f aca="false">#REF!</f>
        <v>#REF!</v>
      </c>
      <c r="J44" s="101" t="e">
        <f aca="false">#REF!</f>
        <v>#REF!</v>
      </c>
      <c r="L44" s="374" t="n">
        <v>0</v>
      </c>
      <c r="M44" s="101" t="n">
        <v>0</v>
      </c>
      <c r="P44" s="0"/>
    </row>
    <row r="45" customFormat="false" ht="12.75" hidden="false" customHeight="false" outlineLevel="0" collapsed="false">
      <c r="A45" s="8" t="n">
        <f aca="false">+'Index Pricing'!A37</f>
        <v>0</v>
      </c>
      <c r="B45" s="41" t="n">
        <f aca="false">+'Index Pricing'!B37</f>
        <v>0</v>
      </c>
      <c r="C45" s="375" t="n">
        <f aca="false">'Phillips Detail'!C49</f>
        <v>0</v>
      </c>
      <c r="D45" s="293" t="n">
        <f aca="false">'Phillips Detail'!D49</f>
        <v>0</v>
      </c>
      <c r="E45" s="374" t="n">
        <f aca="false">'Phillips Detail'!E49</f>
        <v>0</v>
      </c>
      <c r="F45" s="101" t="n">
        <f aca="false">'Phillips Detail'!F49</f>
        <v>0</v>
      </c>
      <c r="G45" s="376" t="n">
        <f aca="false">'Phillips Detail'!G49</f>
        <v>0</v>
      </c>
      <c r="H45" s="91" t="n">
        <f aca="false">'Phillips Detail'!H49</f>
        <v>0</v>
      </c>
      <c r="I45" s="374" t="e">
        <f aca="false">#REF!</f>
        <v>#REF!</v>
      </c>
      <c r="J45" s="101" t="e">
        <f aca="false">#REF!</f>
        <v>#REF!</v>
      </c>
      <c r="L45" s="374" t="n">
        <v>0</v>
      </c>
      <c r="M45" s="101" t="n">
        <v>0</v>
      </c>
      <c r="P45" s="0"/>
    </row>
    <row r="46" customFormat="false" ht="12.75" hidden="false" customHeight="false" outlineLevel="0" collapsed="false">
      <c r="A46" s="307" t="s">
        <v>179</v>
      </c>
      <c r="B46" s="308" t="n">
        <f aca="false">IF(D46=0,AVERAGE(B15:B45),SUMPRODUCT(B15:B45,D15:D45)/D46)</f>
        <v>1.75889959348638</v>
      </c>
      <c r="C46" s="308" t="n">
        <f aca="false">IF(D46=0,AVERAGE(C15:C45),SUMPRODUCT(C15:C45,D15:D45)/D46)</f>
        <v>1.22339959348638</v>
      </c>
      <c r="D46" s="309" t="n">
        <f aca="false">SUM(D15:D45)</f>
        <v>42557</v>
      </c>
      <c r="E46" s="308" t="n">
        <f aca="false">IF(F46=0,AVERAGE(E15:E45),SUMPRODUCT(E15:E45,F15:F45)/F46)</f>
        <v>2.265</v>
      </c>
      <c r="F46" s="310" t="n">
        <f aca="false">SUM(F15:F45)</f>
        <v>253932</v>
      </c>
      <c r="G46" s="308" t="n">
        <f aca="false">IF(H46=0,AVERAGE(G15:G45),SUMPRODUCT(G15:G45,H15:H45)/H46)</f>
        <v>1.81703225806452</v>
      </c>
      <c r="H46" s="309" t="n">
        <f aca="false">SUM(H15:H45)</f>
        <v>0</v>
      </c>
      <c r="I46" s="308" t="e">
        <f aca="false">IF(J46=0,AVERAGE(I15:I45),SUMPRODUCT(I15:I45,J15:J45)/J46)</f>
        <v>#REF!</v>
      </c>
      <c r="J46" s="309" t="e">
        <f aca="false">SUM(J15:J45)</f>
        <v>#REF!</v>
      </c>
      <c r="L46" s="308" t="n">
        <f aca="false">IF(M46=0,AVERAGE(L15:L45),SUMPRODUCT(L15:L45,M15:M45)/M46)</f>
        <v>0</v>
      </c>
      <c r="M46" s="309" t="n">
        <f aca="false">SUM(M15:M45)</f>
        <v>0</v>
      </c>
      <c r="P46" s="0"/>
    </row>
    <row r="47" customFormat="false" ht="12.75" hidden="false" customHeight="false" outlineLevel="0" collapsed="false">
      <c r="A47" s="307" t="s">
        <v>180</v>
      </c>
      <c r="B47" s="308"/>
      <c r="C47" s="308" t="n">
        <f aca="false">C46-B46</f>
        <v>-0.5355</v>
      </c>
      <c r="D47" s="309"/>
      <c r="E47" s="308" t="n">
        <f aca="false">E46-B9</f>
        <v>-0.775</v>
      </c>
      <c r="F47" s="310"/>
      <c r="G47" s="308" t="n">
        <f aca="false">G46-B8</f>
        <v>-0.722967741935484</v>
      </c>
      <c r="H47" s="309"/>
      <c r="I47" s="308" t="e">
        <f aca="false">I46-D8</f>
        <v>#REF!</v>
      </c>
      <c r="J47" s="309"/>
      <c r="L47" s="308" t="n">
        <f aca="false">L46-G8</f>
        <v>0</v>
      </c>
      <c r="M47" s="309"/>
      <c r="P47" s="0"/>
    </row>
    <row r="48" customFormat="false" ht="12.75" hidden="false" customHeight="false" outlineLevel="0" collapsed="false">
      <c r="P48" s="0"/>
    </row>
    <row r="49" customFormat="false" ht="12.75" hidden="false" customHeight="false" outlineLevel="0" collapsed="false">
      <c r="P49" s="0"/>
    </row>
    <row r="50" customFormat="false" ht="12.75" hidden="false" customHeight="false" outlineLevel="0" collapsed="false">
      <c r="A50" s="0" t="s">
        <v>87</v>
      </c>
      <c r="P50" s="0"/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fals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E38" activeCellId="0" sqref="E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4.13"/>
    <col collapsed="false" customWidth="true" hidden="false" outlineLevel="0" max="3" min="3" style="0" width="19.7"/>
    <col collapsed="false" customWidth="true" hidden="false" outlineLevel="0" max="4" min="4" style="0" width="34.13"/>
    <col collapsed="false" customWidth="true" hidden="false" outlineLevel="0" max="5" min="5" style="0" width="17.14"/>
    <col collapsed="false" customWidth="true" hidden="false" outlineLevel="0" max="6" min="6" style="0" width="29.28"/>
    <col collapsed="false" customWidth="true" hidden="false" outlineLevel="0" max="7" min="7" style="0" width="24.41"/>
    <col collapsed="false" customWidth="true" hidden="false" outlineLevel="0" max="8" min="8" style="0" width="46.56"/>
    <col collapsed="false" customWidth="true" hidden="false" outlineLevel="0" max="9" min="9" style="0" width="14.28"/>
  </cols>
  <sheetData>
    <row r="1" customFormat="false" ht="12.75" hidden="false" customHeight="false" outlineLevel="0" collapsed="false">
      <c r="C1" s="12" t="s">
        <v>6</v>
      </c>
      <c r="D1" s="13"/>
      <c r="E1" s="13"/>
      <c r="F1" s="14" t="s">
        <v>7</v>
      </c>
      <c r="G1" s="14"/>
      <c r="H1" s="15"/>
    </row>
    <row r="2" customFormat="false" ht="12.75" hidden="false" customHeight="false" outlineLevel="0" collapsed="false">
      <c r="C2" s="16"/>
      <c r="D2" s="17"/>
      <c r="E2" s="17"/>
      <c r="F2" s="18"/>
      <c r="G2" s="18" t="s">
        <v>250</v>
      </c>
      <c r="H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18" t="s">
        <v>251</v>
      </c>
      <c r="G3" s="18" t="s">
        <v>252</v>
      </c>
      <c r="H3" s="117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18" t="s">
        <v>253</v>
      </c>
      <c r="G4" s="18" t="s">
        <v>254</v>
      </c>
      <c r="H4" s="18"/>
    </row>
    <row r="5" customFormat="false" ht="12.75" hidden="false" customHeight="false" outlineLevel="0" collapsed="false">
      <c r="C5" s="16"/>
      <c r="D5" s="17"/>
      <c r="E5" s="17"/>
      <c r="F5" s="18" t="s">
        <v>255</v>
      </c>
      <c r="G5" s="18" t="s">
        <v>256</v>
      </c>
      <c r="H5" s="19" t="s">
        <v>13</v>
      </c>
    </row>
    <row r="6" customFormat="false" ht="12.75" hidden="false" customHeight="false" outlineLevel="0" collapsed="false">
      <c r="C6" s="16"/>
      <c r="D6" s="17"/>
      <c r="E6" s="17"/>
      <c r="F6" s="18" t="s">
        <v>257</v>
      </c>
      <c r="G6" s="18"/>
      <c r="H6" s="21" t="n">
        <v>37256</v>
      </c>
    </row>
    <row r="7" customFormat="false" ht="12.75" hidden="false" customHeight="false" outlineLevel="0" collapsed="false">
      <c r="C7" s="16"/>
      <c r="D7" s="17"/>
      <c r="E7" s="17"/>
      <c r="F7" s="18" t="s">
        <v>258</v>
      </c>
      <c r="G7" s="18" t="s">
        <v>259</v>
      </c>
      <c r="H7" s="18"/>
    </row>
    <row r="8" customFormat="false" ht="12.75" hidden="false" customHeight="false" outlineLevel="0" collapsed="false">
      <c r="C8" s="16"/>
      <c r="D8" s="17"/>
      <c r="E8" s="17"/>
      <c r="F8" s="18" t="s">
        <v>260</v>
      </c>
      <c r="G8" s="18" t="s">
        <v>261</v>
      </c>
      <c r="H8" s="19" t="s">
        <v>17</v>
      </c>
    </row>
    <row r="9" customFormat="false" ht="12.75" hidden="false" customHeight="false" outlineLevel="0" collapsed="false">
      <c r="C9" s="16" t="s">
        <v>18</v>
      </c>
      <c r="D9" s="17"/>
      <c r="E9" s="17"/>
      <c r="F9" s="18" t="s">
        <v>262</v>
      </c>
      <c r="G9" s="377" t="s">
        <v>263</v>
      </c>
      <c r="H9" s="22" t="s">
        <v>264</v>
      </c>
    </row>
    <row r="10" customFormat="false" ht="12.75" hidden="false" customHeight="false" outlineLevel="0" collapsed="false">
      <c r="C10" s="16" t="s">
        <v>20</v>
      </c>
      <c r="D10" s="17"/>
      <c r="E10" s="17"/>
      <c r="F10" s="18" t="s">
        <v>265</v>
      </c>
      <c r="G10" s="377" t="s">
        <v>266</v>
      </c>
      <c r="H10" s="19" t="s">
        <v>21</v>
      </c>
    </row>
    <row r="11" customFormat="false" ht="12.75" hidden="false" customHeight="false" outlineLevel="0" collapsed="false">
      <c r="A11" s="23" t="s">
        <v>9</v>
      </c>
      <c r="B11" s="24"/>
      <c r="C11" s="25" t="s">
        <v>22</v>
      </c>
      <c r="D11" s="26"/>
      <c r="E11" s="26"/>
      <c r="F11" s="378" t="s">
        <v>267</v>
      </c>
      <c r="G11" s="378" t="s">
        <v>268</v>
      </c>
      <c r="H11" s="28" t="s">
        <v>221</v>
      </c>
    </row>
    <row r="12" customFormat="false" ht="13.5" hidden="false" customHeight="false" outlineLevel="0" collapsed="false">
      <c r="A12" s="29" t="n">
        <f aca="true">NOW()</f>
        <v>45926.8884095697</v>
      </c>
      <c r="B12" s="30"/>
      <c r="C12" s="30"/>
      <c r="D12" s="30"/>
      <c r="E12" s="30"/>
      <c r="F12" s="30"/>
      <c r="G12" s="30"/>
      <c r="H12" s="30"/>
      <c r="I12" s="31"/>
    </row>
    <row r="13" customFormat="false" ht="12.75" hidden="false" customHeight="false" outlineLevel="0" collapsed="false">
      <c r="A13" s="32" t="s">
        <v>25</v>
      </c>
      <c r="B13" s="32" t="s">
        <v>26</v>
      </c>
      <c r="C13" s="32" t="s">
        <v>27</v>
      </c>
      <c r="D13" s="32"/>
      <c r="E13" s="32"/>
    </row>
    <row r="14" customFormat="false" ht="12.75" hidden="false" customHeight="false" outlineLevel="0" collapsed="false">
      <c r="A14" s="33" t="n">
        <f aca="false">+'Index Pricing'!A1</f>
        <v>37196</v>
      </c>
      <c r="B14" s="34" t="n">
        <v>96040979</v>
      </c>
      <c r="C14" s="0" t="s">
        <v>269</v>
      </c>
      <c r="F14" s="31"/>
    </row>
    <row r="15" customFormat="false" ht="12.75" hidden="false" customHeight="false" outlineLevel="0" collapsed="false">
      <c r="A15" s="33"/>
      <c r="B15" s="34"/>
      <c r="C15" s="0" t="s">
        <v>270</v>
      </c>
      <c r="F15" s="31"/>
    </row>
    <row r="16" customFormat="false" ht="12.75" hidden="false" customHeight="false" outlineLevel="0" collapsed="false">
      <c r="A16" s="33"/>
      <c r="B16" s="34"/>
      <c r="C16" s="0" t="s">
        <v>271</v>
      </c>
      <c r="F16" s="31"/>
    </row>
    <row r="18" customFormat="false" ht="12.75" hidden="false" customHeight="false" outlineLevel="0" collapsed="false">
      <c r="B18" s="35" t="s">
        <v>29</v>
      </c>
      <c r="C18" s="36" t="s">
        <v>30</v>
      </c>
      <c r="D18" s="37" t="s">
        <v>31</v>
      </c>
      <c r="E18" s="38" t="s">
        <v>32</v>
      </c>
      <c r="F18" s="38" t="s">
        <v>33</v>
      </c>
      <c r="G18" s="38"/>
      <c r="H18" s="37" t="s">
        <v>34</v>
      </c>
    </row>
    <row r="19" customFormat="false" ht="12.75" hidden="false" customHeight="false" outlineLevel="0" collapsed="false">
      <c r="A19" s="121" t="str">
        <f aca="false">+'Kennedy Summary'!A22</f>
        <v>11/01/01 - 11/30/01</v>
      </c>
      <c r="B19" s="0" t="str">
        <f aca="false">'Quantum Detail'!B15</f>
        <v>FOM CIG GD</v>
      </c>
      <c r="C19" s="41" t="n">
        <f aca="false">+'Quantum Detail'!I15</f>
        <v>-0.6906</v>
      </c>
      <c r="D19" s="42" t="n">
        <f aca="false">+H19/F19</f>
        <v>1.20090485436893</v>
      </c>
      <c r="E19" s="43" t="n">
        <f aca="false">+F19/'Quantum Detail'!B$7</f>
        <v>213.030420493806</v>
      </c>
      <c r="F19" s="43" t="n">
        <f aca="false">+'Quantum Detail'!D53</f>
        <v>206</v>
      </c>
      <c r="G19" s="43"/>
      <c r="H19" s="44" t="n">
        <f aca="false">+'Quantum Detail'!K53</f>
        <v>247.3864</v>
      </c>
    </row>
    <row r="20" customFormat="false" ht="12.75" hidden="false" customHeight="false" outlineLevel="0" collapsed="false">
      <c r="A20" s="0" t="str">
        <f aca="false">+A19</f>
        <v>11/01/01 - 11/30/01</v>
      </c>
      <c r="B20" s="0" t="str">
        <f aca="false">'Quantum Detail'!B16</f>
        <v>FOM IF CIG</v>
      </c>
      <c r="C20" s="41" t="n">
        <f aca="false">+'Quantum Detail'!I16</f>
        <v>-0.7026</v>
      </c>
      <c r="D20" s="42" t="n">
        <f aca="false">+H20/F20</f>
        <v>1.8374</v>
      </c>
      <c r="E20" s="43" t="n">
        <f aca="false">+F20/'Quantum Detail'!B$7</f>
        <v>21330.9635122609</v>
      </c>
      <c r="F20" s="43" t="n">
        <f aca="false">+'Quantum Detail'!F53</f>
        <v>20627</v>
      </c>
      <c r="G20" s="43"/>
      <c r="H20" s="44" t="n">
        <f aca="false">+'Quantum Detail'!L53</f>
        <v>37900.0498</v>
      </c>
    </row>
    <row r="21" customFormat="false" ht="12.75" hidden="false" customHeight="false" outlineLevel="0" collapsed="false">
      <c r="A21" s="0" t="str">
        <f aca="false">+A20</f>
        <v>11/01/01 - 11/30/01</v>
      </c>
      <c r="B21" s="0" t="str">
        <f aca="false">'Quantum Detail'!B17</f>
        <v>Add'l  CIG GD</v>
      </c>
      <c r="C21" s="41" t="n">
        <f aca="false">+'Quantum Detail'!I17</f>
        <v>-0.6656</v>
      </c>
      <c r="D21" s="42" t="e">
        <f aca="false">+H21/F21</f>
        <v>#DIV/0!</v>
      </c>
      <c r="E21" s="43" t="n">
        <f aca="false">+F21/'Quantum Detail'!B$7</f>
        <v>0</v>
      </c>
      <c r="F21" s="43" t="n">
        <f aca="false">'Quantum Detail'!H53</f>
        <v>0</v>
      </c>
      <c r="G21" s="43"/>
      <c r="H21" s="44" t="n">
        <f aca="false">'Quantum Detail'!M53</f>
        <v>0</v>
      </c>
    </row>
    <row r="22" customFormat="false" ht="12.75" hidden="false" customHeight="false" outlineLevel="0" collapsed="false">
      <c r="A22" s="0" t="str">
        <f aca="false">+A20</f>
        <v>11/01/01 - 11/30/01</v>
      </c>
      <c r="C22" s="0" t="s">
        <v>39</v>
      </c>
      <c r="D22" s="46" t="n">
        <v>0</v>
      </c>
      <c r="E22" s="379" t="n">
        <f aca="false">+F22/'Quantum Detail'!B$7</f>
        <v>3000.0060672453</v>
      </c>
      <c r="F22" s="379" t="n">
        <f aca="false">+-'Quantum Detail'!I53</f>
        <v>2901</v>
      </c>
      <c r="G22" s="43"/>
      <c r="H22" s="47" t="n">
        <f aca="false">+F22*D22</f>
        <v>0</v>
      </c>
    </row>
    <row r="23" customFormat="false" ht="12.75" hidden="false" customHeight="false" outlineLevel="0" collapsed="false">
      <c r="D23" s="57" t="s">
        <v>272</v>
      </c>
      <c r="E23" s="57" t="n">
        <f aca="false">+F23/'Quantum Detail'!B$7</f>
        <v>24544</v>
      </c>
      <c r="F23" s="57" t="n">
        <f aca="false">SUM(F19:F22)</f>
        <v>23734</v>
      </c>
      <c r="G23" s="57" t="s">
        <v>273</v>
      </c>
      <c r="H23" s="50"/>
      <c r="I23" s="61" t="n">
        <f aca="false">SUM(H19:H22)</f>
        <v>38147.4362</v>
      </c>
    </row>
    <row r="24" customFormat="false" ht="12.75" hidden="false" customHeight="false" outlineLevel="0" collapsed="false">
      <c r="D24" s="46"/>
      <c r="E24" s="43"/>
      <c r="F24" s="43"/>
      <c r="G24" s="43"/>
      <c r="H24" s="47"/>
    </row>
    <row r="25" customFormat="false" ht="12.75" hidden="false" customHeight="false" outlineLevel="0" collapsed="false">
      <c r="B25" s="45"/>
    </row>
    <row r="26" customFormat="false" ht="12.75" hidden="false" customHeight="false" outlineLevel="0" collapsed="false">
      <c r="A26" s="32"/>
      <c r="B26" s="32"/>
      <c r="C26" s="32"/>
      <c r="G26" s="59" t="s">
        <v>274</v>
      </c>
      <c r="H26" s="44" t="n">
        <f aca="false">SUM(H19:H24)</f>
        <v>38147.4362</v>
      </c>
    </row>
    <row r="27" customFormat="false" ht="12.75" hidden="false" customHeight="false" outlineLevel="0" collapsed="false">
      <c r="A27" s="62"/>
      <c r="B27" s="34"/>
      <c r="C27" s="53"/>
      <c r="E27" s="54"/>
      <c r="F27" s="55"/>
      <c r="G27" s="43"/>
      <c r="H27" s="43"/>
      <c r="I27" s="50"/>
    </row>
    <row r="28" customFormat="false" ht="12.75" hidden="false" customHeight="false" outlineLevel="0" collapsed="false">
      <c r="A28" s="32"/>
      <c r="C28" s="53"/>
      <c r="E28" s="54"/>
      <c r="F28" s="55"/>
      <c r="G28" s="43"/>
      <c r="H28" s="56"/>
    </row>
    <row r="29" customFormat="false" ht="12.75" hidden="false" customHeight="false" outlineLevel="0" collapsed="false">
      <c r="C29" s="53"/>
      <c r="E29" s="54"/>
      <c r="F29" s="55"/>
      <c r="G29" s="43"/>
      <c r="H29" s="56"/>
    </row>
    <row r="30" customFormat="false" ht="12.75" hidden="false" customHeight="false" outlineLevel="0" collapsed="false">
      <c r="C30" s="53"/>
      <c r="E30" s="54"/>
      <c r="F30" s="55"/>
      <c r="G30" s="43"/>
      <c r="H30" s="57" t="s">
        <v>46</v>
      </c>
      <c r="I30" s="50" t="n">
        <f aca="false">SUM(H28:H29)</f>
        <v>0</v>
      </c>
    </row>
    <row r="31" customFormat="false" ht="12.75" hidden="false" customHeight="false" outlineLevel="0" collapsed="false">
      <c r="C31" s="53"/>
      <c r="E31" s="1"/>
      <c r="F31" s="380"/>
      <c r="G31" s="43"/>
      <c r="H31" s="43"/>
      <c r="I31" s="50"/>
    </row>
    <row r="32" customFormat="false" ht="12.75" hidden="false" customHeight="false" outlineLevel="0" collapsed="false">
      <c r="C32" s="53"/>
      <c r="E32" s="1"/>
      <c r="F32" s="380"/>
      <c r="G32" s="43"/>
      <c r="H32" s="43"/>
      <c r="I32" s="50"/>
    </row>
    <row r="33" customFormat="false" ht="12.75" hidden="false" customHeight="false" outlineLevel="0" collapsed="false">
      <c r="C33" s="53"/>
      <c r="E33" s="1"/>
      <c r="F33" s="380"/>
      <c r="G33" s="43"/>
      <c r="H33" s="43"/>
      <c r="I33" s="50"/>
    </row>
    <row r="34" customFormat="false" ht="12.75" hidden="false" customHeight="false" outlineLevel="0" collapsed="false">
      <c r="C34" s="53"/>
      <c r="E34" s="1"/>
      <c r="F34" s="380"/>
      <c r="G34" s="43"/>
      <c r="H34" s="43"/>
      <c r="I34" s="50"/>
    </row>
    <row r="35" customFormat="false" ht="12.75" hidden="false" customHeight="false" outlineLevel="0" collapsed="false">
      <c r="C35" s="53"/>
      <c r="E35" s="1"/>
      <c r="F35" s="380"/>
      <c r="G35" s="43"/>
      <c r="H35" s="43"/>
      <c r="I35" s="50"/>
    </row>
    <row r="36" customFormat="false" ht="12.75" hidden="false" customHeight="false" outlineLevel="0" collapsed="false">
      <c r="B36" s="45"/>
      <c r="H36" s="32" t="s">
        <v>275</v>
      </c>
      <c r="I36" s="61" t="n">
        <f aca="false">SUM(I23:I33)</f>
        <v>38147.4362</v>
      </c>
    </row>
    <row r="37" customFormat="false" ht="12.75" hidden="false" customHeight="false" outlineLevel="0" collapsed="false">
      <c r="B37" s="45"/>
    </row>
  </sheetData>
  <hyperlinks>
    <hyperlink ref="F11" r:id="rId1" display="wnicholson@quantumenergyllc.com"/>
    <hyperlink ref="G11" r:id="rId2" display="rosco@cyberhighway.ne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2" activeCellId="0" sqref="H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14"/>
    <col collapsed="false" customWidth="true" hidden="false" outlineLevel="0" max="2" min="2" style="0" width="16.13"/>
    <col collapsed="false" customWidth="true" hidden="false" outlineLevel="0" max="3" min="3" style="0" width="17.42"/>
    <col collapsed="false" customWidth="true" hidden="false" outlineLevel="0" max="4" min="4" style="0" width="18.14"/>
    <col collapsed="false" customWidth="true" hidden="false" outlineLevel="0" max="5" min="5" style="0" width="17.42"/>
    <col collapsed="false" customWidth="true" hidden="false" outlineLevel="0" max="6" min="6" style="0" width="22.7"/>
    <col collapsed="false" customWidth="true" hidden="false" outlineLevel="0" max="7" min="7" style="0" width="16.13"/>
    <col collapsed="false" customWidth="true" hidden="false" outlineLevel="0" max="8" min="8" style="0" width="16.56"/>
    <col collapsed="false" customWidth="true" hidden="false" outlineLevel="0" max="9" min="9" style="0" width="12.42"/>
    <col collapsed="false" customWidth="true" hidden="false" outlineLevel="0" max="10" min="10" style="0" width="12.28"/>
    <col collapsed="false" customWidth="true" hidden="false" outlineLevel="0" max="11" min="11" style="0" width="17.85"/>
    <col collapsed="false" customWidth="true" hidden="false" outlineLevel="0" max="13" min="12" style="0" width="13.56"/>
    <col collapsed="false" customWidth="true" hidden="false" outlineLevel="0" max="14" min="14" style="0" width="14.56"/>
    <col collapsed="false" customWidth="true" hidden="false" outlineLevel="0" max="15" min="15" style="0" width="11.56"/>
  </cols>
  <sheetData>
    <row r="1" customFormat="false" ht="12.75" hidden="false" customHeight="false" outlineLevel="0" collapsed="false">
      <c r="A1" s="32" t="s">
        <v>276</v>
      </c>
      <c r="B1" s="32" t="s">
        <v>49</v>
      </c>
      <c r="C1" s="32" t="s">
        <v>277</v>
      </c>
      <c r="F1" s="0" t="s">
        <v>51</v>
      </c>
      <c r="H1" s="32"/>
      <c r="I1" s="32"/>
      <c r="J1" s="32"/>
      <c r="K1" s="32"/>
      <c r="M1" s="3" t="n">
        <f aca="true">NOW()</f>
        <v>45926.8884095922</v>
      </c>
    </row>
    <row r="2" customFormat="false" ht="12.75" hidden="false" customHeight="false" outlineLevel="0" collapsed="false">
      <c r="A2" s="33" t="n">
        <f aca="false">+'Index Pricing'!A1</f>
        <v>37196</v>
      </c>
      <c r="B2" s="32" t="s">
        <v>52</v>
      </c>
      <c r="C2" s="32" t="s">
        <v>278</v>
      </c>
      <c r="H2" s="32"/>
      <c r="I2" s="32"/>
      <c r="J2" s="32"/>
      <c r="K2" s="32"/>
    </row>
    <row r="3" customFormat="false" ht="12.75" hidden="false" customHeight="false" outlineLevel="0" collapsed="false">
      <c r="A3" s="33"/>
      <c r="B3" s="32" t="s">
        <v>54</v>
      </c>
      <c r="C3" s="32" t="s">
        <v>279</v>
      </c>
      <c r="F3" s="0" t="s">
        <v>56</v>
      </c>
      <c r="G3" s="0" t="s">
        <v>57</v>
      </c>
      <c r="H3" s="32"/>
      <c r="I3" s="32"/>
      <c r="J3" s="32"/>
      <c r="K3" s="32"/>
    </row>
    <row r="4" customFormat="false" ht="12.75" hidden="false" customHeight="false" outlineLevel="0" collapsed="false">
      <c r="A4" s="33"/>
      <c r="B4" s="32"/>
      <c r="C4" s="32"/>
      <c r="H4" s="32"/>
      <c r="I4" s="32"/>
      <c r="J4" s="32"/>
      <c r="K4" s="32"/>
    </row>
    <row r="5" customFormat="false" ht="12.75" hidden="false" customHeight="false" outlineLevel="0" collapsed="false">
      <c r="A5" s="33" t="s">
        <v>119</v>
      </c>
      <c r="B5" s="354" t="n">
        <v>967</v>
      </c>
      <c r="C5" s="32"/>
      <c r="H5" s="32"/>
      <c r="I5" s="32"/>
      <c r="J5" s="32"/>
      <c r="K5" s="32"/>
    </row>
    <row r="6" customFormat="false" ht="12.75" hidden="false" customHeight="false" outlineLevel="0" collapsed="false">
      <c r="A6" s="33" t="s">
        <v>121</v>
      </c>
      <c r="B6" s="354" t="n">
        <v>0</v>
      </c>
      <c r="C6" s="32"/>
      <c r="H6" s="32"/>
      <c r="I6" s="32"/>
      <c r="J6" s="32"/>
      <c r="K6" s="32"/>
    </row>
    <row r="7" customFormat="false" ht="12.75" hidden="false" customHeight="false" outlineLevel="0" collapsed="false">
      <c r="A7" s="62" t="s">
        <v>280</v>
      </c>
      <c r="B7" s="254" t="n">
        <f aca="false">'[1]Enron Detail'!$R$9</f>
        <v>0.966998044328553</v>
      </c>
    </row>
    <row r="8" customFormat="false" ht="12.75" hidden="false" customHeight="false" outlineLevel="0" collapsed="false">
      <c r="A8" s="62" t="s">
        <v>281</v>
      </c>
      <c r="B8" s="1" t="n">
        <v>0.565</v>
      </c>
      <c r="C8" s="0" t="s">
        <v>60</v>
      </c>
    </row>
    <row r="9" customFormat="false" ht="12.75" hidden="false" customHeight="false" outlineLevel="0" collapsed="false">
      <c r="A9" s="62" t="str">
        <f aca="false">+'Index Pricing'!A3</f>
        <v>IF CIG Rockies</v>
      </c>
      <c r="B9" s="1" t="n">
        <f aca="false">+'Index Pricing'!B3</f>
        <v>2.54</v>
      </c>
    </row>
    <row r="10" customFormat="false" ht="12.75" hidden="false" customHeight="false" outlineLevel="0" collapsed="false">
      <c r="A10" s="62" t="str">
        <f aca="false">+'Index Pricing'!A4</f>
        <v>IF NGPL Midcont.</v>
      </c>
      <c r="B10" s="1" t="n">
        <f aca="false">+'Index Pricing'!B4</f>
        <v>3.04</v>
      </c>
    </row>
    <row r="11" customFormat="false" ht="12.75" hidden="false" customHeight="false" outlineLevel="0" collapsed="false">
      <c r="A11" s="62"/>
      <c r="B11" s="58"/>
    </row>
    <row r="12" customFormat="false" ht="12.75" hidden="false" customHeight="false" outlineLevel="0" collapsed="false">
      <c r="A12" s="62"/>
      <c r="B12" s="54"/>
    </row>
    <row r="13" customFormat="false" ht="13.5" hidden="false" customHeight="false" outlineLevel="0" collapsed="false">
      <c r="A13" s="62"/>
    </row>
    <row r="14" customFormat="false" ht="25.5" hidden="false" customHeight="false" outlineLevel="0" collapsed="false">
      <c r="A14" s="355"/>
      <c r="B14" s="67"/>
      <c r="C14" s="67" t="s">
        <v>61</v>
      </c>
      <c r="D14" s="67" t="s">
        <v>153</v>
      </c>
      <c r="E14" s="67" t="s">
        <v>63</v>
      </c>
      <c r="F14" s="68" t="str">
        <f aca="false">"WIC Med.Bow Fuel ("&amp;'Index Pricing'!$F$3*100&amp;"%*CIGindex)"</f>
        <v>WIC Med.Bow Fuel (0.68%*CIGindex)</v>
      </c>
      <c r="G14" s="67" t="s">
        <v>66</v>
      </c>
      <c r="H14" s="67"/>
      <c r="I14" s="69" t="s">
        <v>67</v>
      </c>
      <c r="J14" s="70"/>
      <c r="K14" s="70"/>
      <c r="L14" s="70"/>
      <c r="M14" s="70"/>
      <c r="N14" s="24"/>
      <c r="O14" s="24"/>
    </row>
    <row r="15" customFormat="false" ht="12.75" hidden="false" customHeight="false" outlineLevel="0" collapsed="false">
      <c r="A15" s="339" t="s">
        <v>68</v>
      </c>
      <c r="B15" s="340" t="s">
        <v>282</v>
      </c>
      <c r="C15" s="381" t="n">
        <v>-0.025</v>
      </c>
      <c r="D15" s="340" t="n">
        <f aca="false">-B8/B7</f>
        <v>-0.584282463975731</v>
      </c>
      <c r="E15" s="381" t="n">
        <v>0</v>
      </c>
      <c r="F15" s="381" t="n">
        <v>0</v>
      </c>
      <c r="G15" s="340" t="n">
        <f aca="false">-+I53*D15/(D53+F53+H53)</f>
        <v>-0.0813614663271538</v>
      </c>
      <c r="H15" s="340"/>
      <c r="I15" s="342" t="n">
        <f aca="false">ROUND(SUM(C15:G15),4)</f>
        <v>-0.6906</v>
      </c>
    </row>
    <row r="16" customFormat="false" ht="12.75" hidden="false" customHeight="false" outlineLevel="0" collapsed="false">
      <c r="A16" s="339"/>
      <c r="B16" s="340" t="s">
        <v>283</v>
      </c>
      <c r="C16" s="381" t="n">
        <v>0.115</v>
      </c>
      <c r="D16" s="340" t="n">
        <f aca="false">-B8/B7</f>
        <v>-0.584282463975731</v>
      </c>
      <c r="E16" s="340" t="n">
        <f aca="false">-0.13-0.0025-0.0022</f>
        <v>-0.1347</v>
      </c>
      <c r="F16" s="340" t="n">
        <f aca="false">-'Index Pricing'!$F$3*'Index Pricing'!$B$3</f>
        <v>-0.017272</v>
      </c>
      <c r="G16" s="340" t="n">
        <f aca="false">+G15</f>
        <v>-0.0813614663271538</v>
      </c>
      <c r="H16" s="340"/>
      <c r="I16" s="342" t="n">
        <f aca="false">ROUND(SUM(C16:G16),4)</f>
        <v>-0.7026</v>
      </c>
    </row>
    <row r="17" customFormat="false" ht="13.5" hidden="false" customHeight="false" outlineLevel="0" collapsed="false">
      <c r="A17" s="343"/>
      <c r="B17" s="344" t="s">
        <v>284</v>
      </c>
      <c r="C17" s="382"/>
      <c r="D17" s="344" t="n">
        <f aca="false">-B8/B7</f>
        <v>-0.584282463975731</v>
      </c>
      <c r="E17" s="382" t="n">
        <v>0</v>
      </c>
      <c r="F17" s="382" t="n">
        <v>0</v>
      </c>
      <c r="G17" s="344" t="n">
        <f aca="false">+G16</f>
        <v>-0.0813614663271538</v>
      </c>
      <c r="H17" s="344"/>
      <c r="I17" s="346" t="n">
        <f aca="false">ROUND(SUM(C17:G17),4)</f>
        <v>-0.6656</v>
      </c>
      <c r="J17" s="288"/>
    </row>
    <row r="18" customFormat="false" ht="13.5" hidden="false" customHeight="false" outlineLevel="0" collapsed="false"/>
    <row r="19" customFormat="false" ht="38.25" hidden="false" customHeight="false" outlineLevel="0" collapsed="false">
      <c r="A19" s="80"/>
      <c r="B19" s="84"/>
      <c r="C19" s="163" t="s">
        <v>285</v>
      </c>
      <c r="D19" s="164" t="s">
        <v>134</v>
      </c>
      <c r="E19" s="163" t="s">
        <v>286</v>
      </c>
      <c r="F19" s="383" t="s">
        <v>137</v>
      </c>
      <c r="G19" s="163" t="s">
        <v>287</v>
      </c>
      <c r="H19" s="164" t="s">
        <v>288</v>
      </c>
      <c r="I19" s="383" t="s">
        <v>211</v>
      </c>
      <c r="J19" s="164" t="s">
        <v>76</v>
      </c>
      <c r="K19" s="384" t="s">
        <v>147</v>
      </c>
      <c r="L19" s="383" t="s">
        <v>79</v>
      </c>
      <c r="M19" s="164" t="s">
        <v>289</v>
      </c>
      <c r="N19" s="385" t="s">
        <v>80</v>
      </c>
    </row>
    <row r="20" customFormat="false" ht="26.25" hidden="false" customHeight="false" outlineLevel="0" collapsed="false">
      <c r="A20" s="80"/>
      <c r="B20" s="386" t="s">
        <v>81</v>
      </c>
      <c r="C20" s="178" t="s">
        <v>175</v>
      </c>
      <c r="D20" s="162"/>
      <c r="E20" s="178" t="s">
        <v>84</v>
      </c>
      <c r="F20" s="387" t="n">
        <f aca="false">0.8*B5</f>
        <v>773.6</v>
      </c>
      <c r="G20" s="178" t="s">
        <v>84</v>
      </c>
      <c r="H20" s="162"/>
      <c r="I20" s="276"/>
      <c r="J20" s="180"/>
      <c r="K20" s="270"/>
      <c r="L20" s="276"/>
      <c r="M20" s="180"/>
      <c r="N20" s="388"/>
      <c r="O20" s="80"/>
    </row>
    <row r="21" customFormat="false" ht="12.75" hidden="false" customHeight="false" outlineLevel="0" collapsed="false">
      <c r="A21" s="8" t="n">
        <f aca="false">+'Index Pricing'!A7</f>
        <v>37196</v>
      </c>
      <c r="B21" s="41" t="n">
        <f aca="false">+'Index Pricing'!B7</f>
        <v>2.67</v>
      </c>
      <c r="C21" s="92" t="n">
        <f aca="false">+B21+$I$15</f>
        <v>1.9794</v>
      </c>
      <c r="D21" s="278" t="n">
        <f aca="false">MIN($B$5-F21,IF((-F21+I21+J21)&gt;0,-F21+I21+J21,0))</f>
        <v>0</v>
      </c>
      <c r="E21" s="94" t="n">
        <f aca="false">+'Index Pricing'!$B$3+$I$16</f>
        <v>1.8374</v>
      </c>
      <c r="F21" s="93" t="n">
        <f aca="false">ROUND(IF(J21+I21&gt;$F$20,$F$20,IF(J21+I21&gt;0,J21+I21,0)),0)</f>
        <v>594</v>
      </c>
      <c r="G21" s="389" t="n">
        <f aca="false">+B21+$I$17</f>
        <v>2.0044</v>
      </c>
      <c r="H21" s="279" t="n">
        <f aca="false">MAX(0,J21+I21-F21-D21)</f>
        <v>0</v>
      </c>
      <c r="I21" s="390" t="n">
        <f aca="false">'[1]Enron Detail'!S14</f>
        <v>-75</v>
      </c>
      <c r="J21" s="391" t="n">
        <f aca="false">'[1]Enron Detail'!R14</f>
        <v>669</v>
      </c>
      <c r="K21" s="98" t="n">
        <f aca="false">+C21*D21</f>
        <v>0</v>
      </c>
      <c r="L21" s="98" t="n">
        <f aca="false">+E21*F21</f>
        <v>1091.4156</v>
      </c>
      <c r="M21" s="99" t="n">
        <f aca="false">G21*H21</f>
        <v>0</v>
      </c>
      <c r="N21" s="392" t="n">
        <f aca="false">SUM(K21:L21)</f>
        <v>1091.4156</v>
      </c>
    </row>
    <row r="22" customFormat="false" ht="12.75" hidden="false" customHeight="false" outlineLevel="0" collapsed="false">
      <c r="A22" s="8" t="n">
        <f aca="false">+'Index Pricing'!A8</f>
        <v>37197</v>
      </c>
      <c r="B22" s="41" t="n">
        <f aca="false">+'Index Pricing'!B8</f>
        <v>2.36</v>
      </c>
      <c r="C22" s="100" t="n">
        <f aca="false">+B22+$I$15</f>
        <v>1.6694</v>
      </c>
      <c r="D22" s="292" t="n">
        <f aca="false">MIN($B$5-F22,IF((-F22+I22+J22)&gt;0,-F22+I22+J22,0))</f>
        <v>0</v>
      </c>
      <c r="E22" s="102" t="n">
        <f aca="false">+'Index Pricing'!$B$3+$I$16</f>
        <v>1.8374</v>
      </c>
      <c r="F22" s="101" t="n">
        <f aca="false">ROUND(IF(J22+I22&gt;$F$20,$F$20,IF(J22+I22&gt;0,J22+I22,0)),0)</f>
        <v>699</v>
      </c>
      <c r="G22" s="393" t="n">
        <f aca="false">+B22+$I$17</f>
        <v>1.6944</v>
      </c>
      <c r="H22" s="293" t="n">
        <f aca="false">MAX(0,J22+I22-F22-D22)</f>
        <v>0</v>
      </c>
      <c r="I22" s="394" t="n">
        <f aca="false">'[1]Enron Detail'!S15</f>
        <v>-92</v>
      </c>
      <c r="J22" s="395" t="n">
        <f aca="false">'[1]Enron Detail'!R15</f>
        <v>791</v>
      </c>
      <c r="K22" s="98" t="n">
        <f aca="false">+C22*D22</f>
        <v>0</v>
      </c>
      <c r="L22" s="98" t="n">
        <f aca="false">+E22*F22</f>
        <v>1284.3426</v>
      </c>
      <c r="M22" s="99" t="n">
        <f aca="false">G22*H22</f>
        <v>0</v>
      </c>
      <c r="N22" s="396" t="n">
        <f aca="false">SUM(K22:L22)</f>
        <v>1284.3426</v>
      </c>
    </row>
    <row r="23" customFormat="false" ht="12.75" hidden="false" customHeight="false" outlineLevel="0" collapsed="false">
      <c r="A23" s="8" t="n">
        <f aca="false">+'Index Pricing'!A9</f>
        <v>37198</v>
      </c>
      <c r="B23" s="41" t="n">
        <f aca="false">+'Index Pricing'!B9</f>
        <v>2.015</v>
      </c>
      <c r="C23" s="100" t="n">
        <f aca="false">+B23+$I$15</f>
        <v>1.3244</v>
      </c>
      <c r="D23" s="292" t="n">
        <f aca="false">MIN($B$5-F23,IF((-F23+I23+J23)&gt;0,-F23+I23+J23,0))</f>
        <v>12</v>
      </c>
      <c r="E23" s="102" t="n">
        <f aca="false">+'Index Pricing'!$B$3+$I$16</f>
        <v>1.8374</v>
      </c>
      <c r="F23" s="101" t="n">
        <f aca="false">ROUND(IF(J23+I23&gt;$F$20,$F$20,IF(J23+I23&gt;0,J23+I23,0)),0)</f>
        <v>774</v>
      </c>
      <c r="G23" s="393" t="n">
        <f aca="false">+B23+$I$17</f>
        <v>1.3494</v>
      </c>
      <c r="H23" s="293" t="n">
        <f aca="false">MAX(0,J23+I23-F23-D23)</f>
        <v>0</v>
      </c>
      <c r="I23" s="394" t="n">
        <f aca="false">'[1]Enron Detail'!S16</f>
        <v>-102</v>
      </c>
      <c r="J23" s="395" t="n">
        <f aca="false">'[1]Enron Detail'!R16</f>
        <v>888</v>
      </c>
      <c r="K23" s="98" t="n">
        <f aca="false">+C23*D23</f>
        <v>15.8928</v>
      </c>
      <c r="L23" s="98" t="n">
        <f aca="false">+E23*F23</f>
        <v>1422.1476</v>
      </c>
      <c r="M23" s="99" t="n">
        <f aca="false">G23*H23</f>
        <v>0</v>
      </c>
      <c r="N23" s="396" t="n">
        <f aca="false">SUM(K23:L23)</f>
        <v>1438.0404</v>
      </c>
    </row>
    <row r="24" customFormat="false" ht="12.75" hidden="false" customHeight="false" outlineLevel="0" collapsed="false">
      <c r="A24" s="8" t="n">
        <f aca="false">+'Index Pricing'!A10</f>
        <v>37199</v>
      </c>
      <c r="B24" s="41" t="n">
        <f aca="false">+'Index Pricing'!B10</f>
        <v>2.015</v>
      </c>
      <c r="C24" s="100" t="n">
        <f aca="false">+B24+$I$15</f>
        <v>1.3244</v>
      </c>
      <c r="D24" s="292" t="n">
        <f aca="false">MIN($B$5-F24,IF((-F24+I24+J24)&gt;0,-F24+I24+J24,0))</f>
        <v>0</v>
      </c>
      <c r="E24" s="102" t="n">
        <f aca="false">+'Index Pricing'!$B$3+$I$16</f>
        <v>1.8374</v>
      </c>
      <c r="F24" s="101" t="n">
        <f aca="false">ROUND(IF(J24+I24&gt;$F$20,$F$20,IF(J24+I24&gt;0,J24+I24,0)),0)</f>
        <v>717</v>
      </c>
      <c r="G24" s="393" t="n">
        <f aca="false">+B24+$I$17</f>
        <v>1.3494</v>
      </c>
      <c r="H24" s="293" t="n">
        <f aca="false">MAX(0,J24+I24-F24-D24)</f>
        <v>0</v>
      </c>
      <c r="I24" s="394" t="n">
        <f aca="false">'[1]Enron Detail'!S17</f>
        <v>-97</v>
      </c>
      <c r="J24" s="395" t="n">
        <f aca="false">'[1]Enron Detail'!R17</f>
        <v>814</v>
      </c>
      <c r="K24" s="98" t="n">
        <f aca="false">+C24*D24</f>
        <v>0</v>
      </c>
      <c r="L24" s="98" t="n">
        <f aca="false">+E24*F24</f>
        <v>1317.4158</v>
      </c>
      <c r="M24" s="99" t="n">
        <f aca="false">G24*H24</f>
        <v>0</v>
      </c>
      <c r="N24" s="396" t="n">
        <f aca="false">SUM(K24:L24)</f>
        <v>1317.4158</v>
      </c>
    </row>
    <row r="25" customFormat="false" ht="12.75" hidden="false" customHeight="false" outlineLevel="0" collapsed="false">
      <c r="A25" s="8" t="n">
        <f aca="false">+'Index Pricing'!A11</f>
        <v>37200</v>
      </c>
      <c r="B25" s="41" t="n">
        <f aca="false">+'Index Pricing'!B11</f>
        <v>2.015</v>
      </c>
      <c r="C25" s="100" t="n">
        <f aca="false">+B25+$I$15</f>
        <v>1.3244</v>
      </c>
      <c r="D25" s="292" t="n">
        <f aca="false">MIN($B$5-F25,IF((-F25+I25+J25)&gt;0,-F25+I25+J25,0))</f>
        <v>0</v>
      </c>
      <c r="E25" s="102" t="n">
        <f aca="false">+'Index Pricing'!$B$3+$I$16</f>
        <v>1.8374</v>
      </c>
      <c r="F25" s="101" t="n">
        <f aca="false">ROUND(IF(J25+I25&gt;$F$20,$F$20,IF(J25+I25&gt;0,J25+I25,0)),0)</f>
        <v>707</v>
      </c>
      <c r="G25" s="393" t="n">
        <f aca="false">+B25+$I$17</f>
        <v>1.3494</v>
      </c>
      <c r="H25" s="293" t="n">
        <f aca="false">MAX(0,J25+I25-F25-D25)</f>
        <v>0</v>
      </c>
      <c r="I25" s="394" t="n">
        <f aca="false">'[1]Enron Detail'!S18</f>
        <v>-94</v>
      </c>
      <c r="J25" s="395" t="n">
        <f aca="false">'[1]Enron Detail'!R18</f>
        <v>801</v>
      </c>
      <c r="K25" s="98" t="n">
        <f aca="false">+C25*D25</f>
        <v>0</v>
      </c>
      <c r="L25" s="98" t="n">
        <f aca="false">+E25*F25</f>
        <v>1299.0418</v>
      </c>
      <c r="M25" s="99" t="n">
        <f aca="false">G25*H25</f>
        <v>0</v>
      </c>
      <c r="N25" s="396" t="n">
        <f aca="false">SUM(K25:L25)</f>
        <v>1299.0418</v>
      </c>
    </row>
    <row r="26" customFormat="false" ht="12.75" hidden="false" customHeight="false" outlineLevel="0" collapsed="false">
      <c r="A26" s="8" t="n">
        <f aca="false">+'Index Pricing'!A12</f>
        <v>37201</v>
      </c>
      <c r="B26" s="41" t="n">
        <f aca="false">+'Index Pricing'!B12</f>
        <v>2.16</v>
      </c>
      <c r="C26" s="100" t="n">
        <f aca="false">+B26+$I$15</f>
        <v>1.4694</v>
      </c>
      <c r="D26" s="292" t="n">
        <f aca="false">MIN($B$5-F26,IF((-F26+I26+J26)&gt;0,-F26+I26+J26,0))</f>
        <v>48</v>
      </c>
      <c r="E26" s="102" t="n">
        <f aca="false">+'Index Pricing'!$B$3+$I$16</f>
        <v>1.8374</v>
      </c>
      <c r="F26" s="101" t="n">
        <f aca="false">ROUND(IF(J26+I26&gt;$F$20,$F$20,IF(J26+I26&gt;0,J26+I26,0)),0)</f>
        <v>774</v>
      </c>
      <c r="G26" s="393" t="n">
        <f aca="false">+B26+$I$17</f>
        <v>1.4944</v>
      </c>
      <c r="H26" s="293" t="n">
        <f aca="false">MAX(0,J26+I26-F26-D26)</f>
        <v>0</v>
      </c>
      <c r="I26" s="394" t="n">
        <f aca="false">'[1]Enron Detail'!S19</f>
        <v>-103</v>
      </c>
      <c r="J26" s="395" t="n">
        <f aca="false">'[1]Enron Detail'!R19</f>
        <v>925</v>
      </c>
      <c r="K26" s="98" t="n">
        <f aca="false">+C26*D26</f>
        <v>70.5312</v>
      </c>
      <c r="L26" s="98" t="n">
        <f aca="false">+E26*F26</f>
        <v>1422.1476</v>
      </c>
      <c r="M26" s="99" t="n">
        <f aca="false">G26*H26</f>
        <v>0</v>
      </c>
      <c r="N26" s="396" t="n">
        <f aca="false">SUM(K26:L26)</f>
        <v>1492.6788</v>
      </c>
    </row>
    <row r="27" customFormat="false" ht="12.75" hidden="false" customHeight="false" outlineLevel="0" collapsed="false">
      <c r="A27" s="8" t="n">
        <f aca="false">+'Index Pricing'!A13</f>
        <v>37202</v>
      </c>
      <c r="B27" s="41" t="n">
        <f aca="false">+'Index Pricing'!B13</f>
        <v>2.135</v>
      </c>
      <c r="C27" s="100" t="n">
        <f aca="false">+B27+$I$15</f>
        <v>1.4444</v>
      </c>
      <c r="D27" s="292" t="n">
        <f aca="false">MIN($B$5-F27,IF((-F27+I27+J27)&gt;0,-F27+I27+J27,0))</f>
        <v>22</v>
      </c>
      <c r="E27" s="102" t="n">
        <f aca="false">+'Index Pricing'!$B$3+$I$16</f>
        <v>1.8374</v>
      </c>
      <c r="F27" s="101" t="n">
        <f aca="false">ROUND(IF(J27+I27&gt;$F$20,$F$20,IF(J27+I27&gt;0,J27+I27,0)),0)</f>
        <v>774</v>
      </c>
      <c r="G27" s="393" t="n">
        <f aca="false">+B27+$I$17</f>
        <v>1.4694</v>
      </c>
      <c r="H27" s="293" t="n">
        <f aca="false">MAX(0,J27+I27-F27-D27)</f>
        <v>0</v>
      </c>
      <c r="I27" s="394" t="n">
        <f aca="false">'[1]Enron Detail'!S20</f>
        <v>-103</v>
      </c>
      <c r="J27" s="395" t="n">
        <f aca="false">'[1]Enron Detail'!R20</f>
        <v>899</v>
      </c>
      <c r="K27" s="98" t="n">
        <f aca="false">+C27*D27</f>
        <v>31.7768</v>
      </c>
      <c r="L27" s="98" t="n">
        <f aca="false">+E27*F27</f>
        <v>1422.1476</v>
      </c>
      <c r="M27" s="99" t="n">
        <f aca="false">G27*H27</f>
        <v>0</v>
      </c>
      <c r="N27" s="396" t="n">
        <f aca="false">SUM(K27:L27)</f>
        <v>1453.9244</v>
      </c>
    </row>
    <row r="28" customFormat="false" ht="12.75" hidden="false" customHeight="false" outlineLevel="0" collapsed="false">
      <c r="A28" s="8" t="n">
        <f aca="false">+'Index Pricing'!A14</f>
        <v>37203</v>
      </c>
      <c r="B28" s="41" t="n">
        <f aca="false">+'Index Pricing'!B14</f>
        <v>2.13</v>
      </c>
      <c r="C28" s="100" t="n">
        <f aca="false">+B28+$I$15</f>
        <v>1.4394</v>
      </c>
      <c r="D28" s="292" t="n">
        <f aca="false">MIN($B$5-F28,IF((-F28+I28+J28)&gt;0,-F28+I28+J28,0))</f>
        <v>0</v>
      </c>
      <c r="E28" s="102" t="n">
        <f aca="false">+'Index Pricing'!$B$3+$I$16</f>
        <v>1.8374</v>
      </c>
      <c r="F28" s="101" t="n">
        <f aca="false">ROUND(IF(J28+I28&gt;$F$20,$F$20,IF(J28+I28&gt;0,J28+I28,0)),0)</f>
        <v>760</v>
      </c>
      <c r="G28" s="393" t="n">
        <f aca="false">+B28+$I$17</f>
        <v>1.4644</v>
      </c>
      <c r="H28" s="293" t="n">
        <f aca="false">MAX(0,J28+I28-F28-D28)</f>
        <v>0</v>
      </c>
      <c r="I28" s="394" t="n">
        <f aca="false">'[1]Enron Detail'!S21</f>
        <v>-103</v>
      </c>
      <c r="J28" s="395" t="n">
        <f aca="false">'[1]Enron Detail'!R21</f>
        <v>863</v>
      </c>
      <c r="K28" s="98" t="n">
        <f aca="false">+C28*D28</f>
        <v>0</v>
      </c>
      <c r="L28" s="98" t="n">
        <f aca="false">+E28*F28</f>
        <v>1396.424</v>
      </c>
      <c r="M28" s="99" t="n">
        <f aca="false">G28*H28</f>
        <v>0</v>
      </c>
      <c r="N28" s="396" t="n">
        <f aca="false">SUM(K28:L28)</f>
        <v>1396.424</v>
      </c>
    </row>
    <row r="29" customFormat="false" ht="12.75" hidden="false" customHeight="false" outlineLevel="0" collapsed="false">
      <c r="A29" s="8" t="n">
        <f aca="false">+'Index Pricing'!A15</f>
        <v>37204</v>
      </c>
      <c r="B29" s="41" t="n">
        <f aca="false">+'Index Pricing'!B15</f>
        <v>1.935</v>
      </c>
      <c r="C29" s="100" t="n">
        <f aca="false">+B29+$I$15</f>
        <v>1.2444</v>
      </c>
      <c r="D29" s="292" t="n">
        <f aca="false">MIN($B$5-F29,IF((-F29+I29+J29)&gt;0,-F29+I29+J29,0))</f>
        <v>0</v>
      </c>
      <c r="E29" s="102" t="n">
        <f aca="false">+'Index Pricing'!$B$3+$I$16</f>
        <v>1.8374</v>
      </c>
      <c r="F29" s="101" t="n">
        <f aca="false">ROUND(IF(J29+I29&gt;$F$20,$F$20,IF(J29+I29&gt;0,J29+I29,0)),0)</f>
        <v>751</v>
      </c>
      <c r="G29" s="393" t="n">
        <f aca="false">+B29+$I$17</f>
        <v>1.2694</v>
      </c>
      <c r="H29" s="293" t="n">
        <f aca="false">MAX(0,J29+I29-F29-D29)</f>
        <v>0</v>
      </c>
      <c r="I29" s="394" t="n">
        <f aca="false">'[1]Enron Detail'!S22</f>
        <v>-104</v>
      </c>
      <c r="J29" s="395" t="n">
        <f aca="false">'[1]Enron Detail'!R22</f>
        <v>855</v>
      </c>
      <c r="K29" s="98" t="n">
        <f aca="false">+C29*D29</f>
        <v>0</v>
      </c>
      <c r="L29" s="98" t="n">
        <f aca="false">+E29*F29</f>
        <v>1379.8874</v>
      </c>
      <c r="M29" s="99" t="n">
        <f aca="false">G29*H29</f>
        <v>0</v>
      </c>
      <c r="N29" s="396" t="n">
        <f aca="false">SUM(K29:L29)</f>
        <v>1379.8874</v>
      </c>
    </row>
    <row r="30" customFormat="false" ht="12.75" hidden="false" customHeight="false" outlineLevel="0" collapsed="false">
      <c r="A30" s="8" t="n">
        <f aca="false">+'Index Pricing'!A16</f>
        <v>37205</v>
      </c>
      <c r="B30" s="41" t="n">
        <f aca="false">+'Index Pricing'!B16</f>
        <v>1.7</v>
      </c>
      <c r="C30" s="100" t="n">
        <f aca="false">+B30+$I$15</f>
        <v>1.0094</v>
      </c>
      <c r="D30" s="292" t="n">
        <f aca="false">MIN($B$5-F30,IF((-F30+I30+J30)&gt;0,-F30+I30+J30,0))</f>
        <v>0</v>
      </c>
      <c r="E30" s="102" t="n">
        <f aca="false">+'Index Pricing'!$B$3+$I$16</f>
        <v>1.8374</v>
      </c>
      <c r="F30" s="101" t="n">
        <f aca="false">ROUND(IF(J30+I30&gt;$F$20,$F$20,IF(J30+I30&gt;0,J30+I30,0)),0)</f>
        <v>761</v>
      </c>
      <c r="G30" s="393" t="n">
        <f aca="false">+B30+$I$17</f>
        <v>1.0344</v>
      </c>
      <c r="H30" s="293" t="n">
        <f aca="false">MAX(0,J30+I30-F30-D30)</f>
        <v>0</v>
      </c>
      <c r="I30" s="394" t="n">
        <f aca="false">'[1]Enron Detail'!S23</f>
        <v>-105</v>
      </c>
      <c r="J30" s="395" t="n">
        <f aca="false">'[1]Enron Detail'!R23</f>
        <v>866</v>
      </c>
      <c r="K30" s="98" t="n">
        <f aca="false">+C30*D30</f>
        <v>0</v>
      </c>
      <c r="L30" s="98" t="n">
        <f aca="false">+E30*F30</f>
        <v>1398.2614</v>
      </c>
      <c r="M30" s="99" t="n">
        <f aca="false">G30*H30</f>
        <v>0</v>
      </c>
      <c r="N30" s="396" t="n">
        <f aca="false">SUM(K30:L30)</f>
        <v>1398.2614</v>
      </c>
    </row>
    <row r="31" customFormat="false" ht="12.75" hidden="false" customHeight="false" outlineLevel="0" collapsed="false">
      <c r="A31" s="8" t="n">
        <f aca="false">+'Index Pricing'!A17</f>
        <v>37206</v>
      </c>
      <c r="B31" s="41" t="n">
        <f aca="false">+'Index Pricing'!B17</f>
        <v>1.7</v>
      </c>
      <c r="C31" s="100" t="n">
        <f aca="false">+B31+$I$15</f>
        <v>1.0094</v>
      </c>
      <c r="D31" s="292" t="n">
        <f aca="false">MIN($B$5-F31,IF((-F31+I31+J31)&gt;0,-F31+I31+J31,0))</f>
        <v>0</v>
      </c>
      <c r="E31" s="102" t="n">
        <f aca="false">+'Index Pricing'!$B$3+$I$16</f>
        <v>1.8374</v>
      </c>
      <c r="F31" s="101" t="n">
        <f aca="false">ROUND(IF(J31+I31&gt;$F$20,$F$20,IF(J31+I31&gt;0,J31+I31,0)),0)</f>
        <v>761</v>
      </c>
      <c r="G31" s="393" t="n">
        <f aca="false">+B31+$I$17</f>
        <v>1.0344</v>
      </c>
      <c r="H31" s="293" t="n">
        <f aca="false">MAX(0,J31+I31-F31-D31)</f>
        <v>0</v>
      </c>
      <c r="I31" s="394" t="n">
        <f aca="false">'[1]Enron Detail'!S24</f>
        <v>-106</v>
      </c>
      <c r="J31" s="395" t="n">
        <f aca="false">'[1]Enron Detail'!R24</f>
        <v>867</v>
      </c>
      <c r="K31" s="98" t="n">
        <f aca="false">+C31*D31</f>
        <v>0</v>
      </c>
      <c r="L31" s="98" t="n">
        <f aca="false">+E31*F31</f>
        <v>1398.2614</v>
      </c>
      <c r="M31" s="99" t="n">
        <f aca="false">G31*H31</f>
        <v>0</v>
      </c>
      <c r="N31" s="396" t="n">
        <f aca="false">SUM(K31:L31)</f>
        <v>1398.2614</v>
      </c>
    </row>
    <row r="32" customFormat="false" ht="12.75" hidden="false" customHeight="false" outlineLevel="0" collapsed="false">
      <c r="A32" s="8" t="n">
        <f aca="false">+'Index Pricing'!A18</f>
        <v>37207</v>
      </c>
      <c r="B32" s="41" t="n">
        <f aca="false">+'Index Pricing'!B18</f>
        <v>1.7</v>
      </c>
      <c r="C32" s="100" t="n">
        <f aca="false">+B32+$I$15</f>
        <v>1.0094</v>
      </c>
      <c r="D32" s="292" t="n">
        <f aca="false">MIN($B$5-F32,IF((-F32+I32+J32)&gt;0,-F32+I32+J32,0))</f>
        <v>0</v>
      </c>
      <c r="E32" s="102" t="n">
        <f aca="false">+'Index Pricing'!$B$3+$I$16</f>
        <v>1.8374</v>
      </c>
      <c r="F32" s="101" t="n">
        <f aca="false">ROUND(IF(J32+I32&gt;$F$20,$F$20,IF(J32+I32&gt;0,J32+I32,0)),0)</f>
        <v>757</v>
      </c>
      <c r="G32" s="393" t="n">
        <f aca="false">+B32+$I$17</f>
        <v>1.0344</v>
      </c>
      <c r="H32" s="293" t="n">
        <f aca="false">MAX(0,J32+I32-F32-D32)</f>
        <v>0</v>
      </c>
      <c r="I32" s="394" t="n">
        <f aca="false">'[1]Enron Detail'!S25</f>
        <v>-109</v>
      </c>
      <c r="J32" s="395" t="n">
        <f aca="false">'[1]Enron Detail'!R25</f>
        <v>866</v>
      </c>
      <c r="K32" s="98" t="n">
        <f aca="false">+C32*D32</f>
        <v>0</v>
      </c>
      <c r="L32" s="98" t="n">
        <f aca="false">+E32*F32</f>
        <v>1390.9118</v>
      </c>
      <c r="M32" s="99" t="n">
        <f aca="false">G32*H32</f>
        <v>0</v>
      </c>
      <c r="N32" s="396" t="n">
        <f aca="false">SUM(K32:L32)</f>
        <v>1390.9118</v>
      </c>
    </row>
    <row r="33" customFormat="false" ht="12.75" hidden="false" customHeight="false" outlineLevel="0" collapsed="false">
      <c r="A33" s="8" t="n">
        <f aca="false">+'Index Pricing'!A19</f>
        <v>37208</v>
      </c>
      <c r="B33" s="41" t="n">
        <f aca="false">+'Index Pricing'!B19</f>
        <v>1.52</v>
      </c>
      <c r="C33" s="100" t="n">
        <f aca="false">+B33+$I$15</f>
        <v>0.8294</v>
      </c>
      <c r="D33" s="292" t="n">
        <f aca="false">MIN($B$5-F33,IF((-F33+I33+J33)&gt;0,-F33+I33+J33,0))</f>
        <v>0</v>
      </c>
      <c r="E33" s="102" t="n">
        <f aca="false">+'Index Pricing'!$B$3+$I$16</f>
        <v>1.8374</v>
      </c>
      <c r="F33" s="101" t="n">
        <f aca="false">ROUND(IF(J33+I33&gt;$F$20,$F$20,IF(J33+I33&gt;0,J33+I33,0)),0)</f>
        <v>65</v>
      </c>
      <c r="G33" s="393" t="n">
        <f aca="false">+B33+$I$17</f>
        <v>0.8544</v>
      </c>
      <c r="H33" s="293" t="n">
        <f aca="false">MAX(0,J33+I33-F33-D33)</f>
        <v>0</v>
      </c>
      <c r="I33" s="394" t="n">
        <f aca="false">'[1]Enron Detail'!S26</f>
        <v>-20</v>
      </c>
      <c r="J33" s="395" t="n">
        <f aca="false">'[1]Enron Detail'!R26</f>
        <v>85</v>
      </c>
      <c r="K33" s="98" t="n">
        <f aca="false">+C33*D33</f>
        <v>0</v>
      </c>
      <c r="L33" s="98" t="n">
        <f aca="false">+E33*F33</f>
        <v>119.431</v>
      </c>
      <c r="M33" s="99" t="n">
        <f aca="false">G33*H33</f>
        <v>0</v>
      </c>
      <c r="N33" s="396" t="n">
        <f aca="false">SUM(K33:L33)</f>
        <v>119.431</v>
      </c>
    </row>
    <row r="34" customFormat="false" ht="12.75" hidden="false" customHeight="false" outlineLevel="0" collapsed="false">
      <c r="A34" s="8" t="n">
        <f aca="false">+'Index Pricing'!A20</f>
        <v>37209</v>
      </c>
      <c r="B34" s="41" t="n">
        <f aca="false">+'Index Pricing'!B20</f>
        <v>1.595</v>
      </c>
      <c r="C34" s="100" t="n">
        <f aca="false">+B34+$I$15</f>
        <v>0.9044</v>
      </c>
      <c r="D34" s="292" t="n">
        <f aca="false">MIN($B$5-F34,IF((-F34+I34+J34)&gt;0,-F34+I34+J34,0))</f>
        <v>0</v>
      </c>
      <c r="E34" s="102" t="n">
        <f aca="false">+'Index Pricing'!$B$3+$I$16</f>
        <v>1.8374</v>
      </c>
      <c r="F34" s="101" t="n">
        <f aca="false">ROUND(IF(J34+I34&gt;$F$20,$F$20,IF(J34+I34&gt;0,J34+I34,0)),0)</f>
        <v>763</v>
      </c>
      <c r="G34" s="393" t="n">
        <f aca="false">+B34+$I$17</f>
        <v>0.9294</v>
      </c>
      <c r="H34" s="293" t="n">
        <f aca="false">MAX(0,J34+I34-F34-D34)</f>
        <v>0</v>
      </c>
      <c r="I34" s="394" t="n">
        <f aca="false">'[1]Enron Detail'!S27</f>
        <v>-97</v>
      </c>
      <c r="J34" s="395" t="n">
        <f aca="false">'[1]Enron Detail'!R27</f>
        <v>860</v>
      </c>
      <c r="K34" s="98" t="n">
        <f aca="false">+C34*D34</f>
        <v>0</v>
      </c>
      <c r="L34" s="98" t="n">
        <f aca="false">+E34*F34</f>
        <v>1401.9362</v>
      </c>
      <c r="M34" s="99" t="n">
        <f aca="false">G34*H34</f>
        <v>0</v>
      </c>
      <c r="N34" s="396" t="n">
        <f aca="false">SUM(K34:L34)</f>
        <v>1401.9362</v>
      </c>
    </row>
    <row r="35" customFormat="false" ht="12.75" hidden="false" customHeight="false" outlineLevel="0" collapsed="false">
      <c r="A35" s="8" t="n">
        <f aca="false">+'Index Pricing'!A21</f>
        <v>37210</v>
      </c>
      <c r="B35" s="41" t="n">
        <f aca="false">+'Index Pricing'!B21</f>
        <v>1.84</v>
      </c>
      <c r="C35" s="100" t="n">
        <f aca="false">+B35+$I$15</f>
        <v>1.1494</v>
      </c>
      <c r="D35" s="292" t="n">
        <f aca="false">MIN($B$5-F35,IF((-F35+I35+J35)&gt;0,-F35+I35+J35,0))</f>
        <v>0</v>
      </c>
      <c r="E35" s="102" t="n">
        <f aca="false">+'Index Pricing'!$B$3+$I$16</f>
        <v>1.8374</v>
      </c>
      <c r="F35" s="101" t="n">
        <f aca="false">ROUND(IF(J35+I35&gt;$F$20,$F$20,IF(J35+I35&gt;0,J35+I35,0)),0)</f>
        <v>704</v>
      </c>
      <c r="G35" s="393" t="n">
        <f aca="false">+B35+$I$17</f>
        <v>1.1744</v>
      </c>
      <c r="H35" s="293" t="n">
        <f aca="false">MAX(0,J35+I35-F35-D35)</f>
        <v>0</v>
      </c>
      <c r="I35" s="394" t="n">
        <f aca="false">'[1]Enron Detail'!S28</f>
        <v>-106</v>
      </c>
      <c r="J35" s="395" t="n">
        <f aca="false">'[1]Enron Detail'!R28</f>
        <v>810</v>
      </c>
      <c r="K35" s="98" t="n">
        <f aca="false">+C35*D35</f>
        <v>0</v>
      </c>
      <c r="L35" s="98" t="n">
        <f aca="false">+E35*F35</f>
        <v>1293.5296</v>
      </c>
      <c r="M35" s="99" t="n">
        <f aca="false">G35*H35</f>
        <v>0</v>
      </c>
      <c r="N35" s="396" t="n">
        <f aca="false">SUM(K35:L35)</f>
        <v>1293.5296</v>
      </c>
    </row>
    <row r="36" customFormat="false" ht="12.75" hidden="false" customHeight="false" outlineLevel="0" collapsed="false">
      <c r="A36" s="8" t="n">
        <f aca="false">+'Index Pricing'!A22</f>
        <v>37211</v>
      </c>
      <c r="B36" s="41" t="n">
        <f aca="false">+'Index Pricing'!B22</f>
        <v>1.435</v>
      </c>
      <c r="C36" s="100" t="n">
        <f aca="false">+B36+$I$15</f>
        <v>0.7444</v>
      </c>
      <c r="D36" s="292" t="n">
        <f aca="false">MIN($B$5-F36,IF((-F36+I36+J36)&gt;0,-F36+I36+J36,0))</f>
        <v>0</v>
      </c>
      <c r="E36" s="102" t="n">
        <f aca="false">+'Index Pricing'!$B$3+$I$16</f>
        <v>1.8374</v>
      </c>
      <c r="F36" s="101" t="n">
        <f aca="false">ROUND(IF(J36+I36&gt;$F$20,$F$20,IF(J36+I36&gt;0,J36+I36,0)),0)</f>
        <v>742</v>
      </c>
      <c r="G36" s="393" t="n">
        <f aca="false">+B36+$I$17</f>
        <v>0.7694</v>
      </c>
      <c r="H36" s="293" t="n">
        <f aca="false">MAX(0,J36+I36-F36-D36)</f>
        <v>0</v>
      </c>
      <c r="I36" s="394" t="n">
        <f aca="false">'[1]Enron Detail'!S29</f>
        <v>-106</v>
      </c>
      <c r="J36" s="395" t="n">
        <f aca="false">'[1]Enron Detail'!R29</f>
        <v>848</v>
      </c>
      <c r="K36" s="98" t="n">
        <f aca="false">+C36*D36</f>
        <v>0</v>
      </c>
      <c r="L36" s="98" t="n">
        <f aca="false">+E36*F36</f>
        <v>1363.3508</v>
      </c>
      <c r="M36" s="99" t="n">
        <f aca="false">G36*H36</f>
        <v>0</v>
      </c>
      <c r="N36" s="396" t="n">
        <f aca="false">SUM(K36:L36)</f>
        <v>1363.3508</v>
      </c>
    </row>
    <row r="37" customFormat="false" ht="12.75" hidden="false" customHeight="false" outlineLevel="0" collapsed="false">
      <c r="A37" s="8" t="n">
        <f aca="false">+'Index Pricing'!A23</f>
        <v>37212</v>
      </c>
      <c r="B37" s="41" t="n">
        <f aca="false">+'Index Pricing'!B23</f>
        <v>1.135</v>
      </c>
      <c r="C37" s="100" t="n">
        <f aca="false">+B37+$I$15</f>
        <v>0.4444</v>
      </c>
      <c r="D37" s="292" t="n">
        <f aca="false">MIN($B$5-F37,IF((-F37+I37+J37)&gt;0,-F37+I37+J37,0))</f>
        <v>0</v>
      </c>
      <c r="E37" s="102" t="n">
        <f aca="false">+'Index Pricing'!$B$3+$I$16</f>
        <v>1.8374</v>
      </c>
      <c r="F37" s="101" t="n">
        <f aca="false">ROUND(IF(J37+I37&gt;$F$20,$F$20,IF(J37+I37&gt;0,J37+I37,0)),0)</f>
        <v>659</v>
      </c>
      <c r="G37" s="393" t="n">
        <f aca="false">+B37+$I$17</f>
        <v>0.4694</v>
      </c>
      <c r="H37" s="293" t="n">
        <f aca="false">MAX(0,J37+I37-F37-D37)</f>
        <v>0</v>
      </c>
      <c r="I37" s="394" t="n">
        <f aca="false">'[1]Enron Detail'!S30</f>
        <v>-98</v>
      </c>
      <c r="J37" s="395" t="n">
        <f aca="false">'[1]Enron Detail'!R30</f>
        <v>757</v>
      </c>
      <c r="K37" s="98" t="n">
        <f aca="false">+C37*D37</f>
        <v>0</v>
      </c>
      <c r="L37" s="98" t="n">
        <f aca="false">+E37*F37</f>
        <v>1210.8466</v>
      </c>
      <c r="M37" s="99" t="n">
        <f aca="false">G37*H37</f>
        <v>0</v>
      </c>
      <c r="N37" s="396" t="n">
        <f aca="false">SUM(K37:L37)</f>
        <v>1210.8466</v>
      </c>
    </row>
    <row r="38" customFormat="false" ht="12.75" hidden="false" customHeight="false" outlineLevel="0" collapsed="false">
      <c r="A38" s="8" t="n">
        <f aca="false">+'Index Pricing'!A24</f>
        <v>37213</v>
      </c>
      <c r="B38" s="41" t="n">
        <f aca="false">+'Index Pricing'!B24</f>
        <v>1.135</v>
      </c>
      <c r="C38" s="100" t="n">
        <f aca="false">+B38+$I$15</f>
        <v>0.4444</v>
      </c>
      <c r="D38" s="292" t="n">
        <f aca="false">MIN($B$5-F38,IF((-F38+I38+J38)&gt;0,-F38+I38+J38,0))</f>
        <v>0</v>
      </c>
      <c r="E38" s="102" t="n">
        <f aca="false">+'Index Pricing'!$B$3+$I$16</f>
        <v>1.8374</v>
      </c>
      <c r="F38" s="101" t="n">
        <f aca="false">ROUND(IF(J38+I38&gt;$F$20,$F$20,IF(J38+I38&gt;0,J38+I38,0)),0)</f>
        <v>562</v>
      </c>
      <c r="G38" s="393" t="n">
        <f aca="false">+B38+$I$17</f>
        <v>0.4694</v>
      </c>
      <c r="H38" s="293" t="n">
        <f aca="false">MAX(0,J38+I38-F38-D38)</f>
        <v>0</v>
      </c>
      <c r="I38" s="394" t="n">
        <f aca="false">'[1]Enron Detail'!S31</f>
        <v>-86</v>
      </c>
      <c r="J38" s="395" t="n">
        <f aca="false">'[1]Enron Detail'!R31</f>
        <v>648</v>
      </c>
      <c r="K38" s="98" t="n">
        <f aca="false">+C38*D38</f>
        <v>0</v>
      </c>
      <c r="L38" s="98" t="n">
        <f aca="false">+E38*F38</f>
        <v>1032.6188</v>
      </c>
      <c r="M38" s="99" t="n">
        <f aca="false">G38*H38</f>
        <v>0</v>
      </c>
      <c r="N38" s="396" t="n">
        <f aca="false">SUM(K38:L38)</f>
        <v>1032.6188</v>
      </c>
    </row>
    <row r="39" customFormat="false" ht="12.75" hidden="false" customHeight="false" outlineLevel="0" collapsed="false">
      <c r="A39" s="8" t="n">
        <f aca="false">+'Index Pricing'!A25</f>
        <v>37214</v>
      </c>
      <c r="B39" s="41" t="n">
        <f aca="false">+'Index Pricing'!B25</f>
        <v>1.135</v>
      </c>
      <c r="C39" s="100" t="n">
        <f aca="false">+B39+$I$15</f>
        <v>0.4444</v>
      </c>
      <c r="D39" s="292" t="n">
        <f aca="false">MIN($B$5-F39,IF((-F39+I39+J39)&gt;0,-F39+I39+J39,0))</f>
        <v>2</v>
      </c>
      <c r="E39" s="102" t="n">
        <f aca="false">+'Index Pricing'!$B$3+$I$16</f>
        <v>1.8374</v>
      </c>
      <c r="F39" s="101" t="n">
        <f aca="false">ROUND(IF(J39+I39&gt;$F$20,$F$20,IF(J39+I39&gt;0,J39+I39,0)),0)</f>
        <v>774</v>
      </c>
      <c r="G39" s="393" t="n">
        <f aca="false">+B39+$I$17</f>
        <v>0.4694</v>
      </c>
      <c r="H39" s="293" t="n">
        <f aca="false">MAX(0,J39+I39-F39-D39)</f>
        <v>0</v>
      </c>
      <c r="I39" s="394" t="n">
        <f aca="false">'[1]Enron Detail'!S32</f>
        <v>-107</v>
      </c>
      <c r="J39" s="395" t="n">
        <f aca="false">'[1]Enron Detail'!R32</f>
        <v>883</v>
      </c>
      <c r="K39" s="98" t="n">
        <f aca="false">+C39*D39</f>
        <v>0.8888</v>
      </c>
      <c r="L39" s="98" t="n">
        <f aca="false">+E39*F39</f>
        <v>1422.1476</v>
      </c>
      <c r="M39" s="99" t="n">
        <f aca="false">G39*H39</f>
        <v>0</v>
      </c>
      <c r="N39" s="396" t="n">
        <f aca="false">SUM(K39:L39)</f>
        <v>1423.0364</v>
      </c>
    </row>
    <row r="40" customFormat="false" ht="12.75" hidden="false" customHeight="false" outlineLevel="0" collapsed="false">
      <c r="A40" s="8" t="n">
        <f aca="false">+'Index Pricing'!A26</f>
        <v>37215</v>
      </c>
      <c r="B40" s="41" t="n">
        <f aca="false">+'Index Pricing'!B26</f>
        <v>1.535</v>
      </c>
      <c r="C40" s="100" t="n">
        <f aca="false">+B40+$I$15</f>
        <v>0.8444</v>
      </c>
      <c r="D40" s="292" t="n">
        <f aca="false">MIN($B$5-F40,IF((-F40+I40+J40)&gt;0,-F40+I40+J40,0))</f>
        <v>38</v>
      </c>
      <c r="E40" s="102" t="n">
        <f aca="false">+'Index Pricing'!$B$3+$I$16</f>
        <v>1.8374</v>
      </c>
      <c r="F40" s="101" t="n">
        <f aca="false">ROUND(IF(J40+I40&gt;$F$20,$F$20,IF(J40+I40&gt;0,J40+I40,0)),0)</f>
        <v>774</v>
      </c>
      <c r="G40" s="393" t="n">
        <f aca="false">+B40+$I$17</f>
        <v>0.8694</v>
      </c>
      <c r="H40" s="293" t="n">
        <f aca="false">MAX(0,J40+I40-F40-D40)</f>
        <v>0</v>
      </c>
      <c r="I40" s="394" t="n">
        <f aca="false">'[1]Enron Detail'!S33</f>
        <v>-108</v>
      </c>
      <c r="J40" s="395" t="n">
        <f aca="false">'[1]Enron Detail'!R33</f>
        <v>920</v>
      </c>
      <c r="K40" s="98" t="n">
        <f aca="false">+C40*D40</f>
        <v>32.0872</v>
      </c>
      <c r="L40" s="98" t="n">
        <f aca="false">+E40*F40</f>
        <v>1422.1476</v>
      </c>
      <c r="M40" s="99" t="n">
        <f aca="false">G40*H40</f>
        <v>0</v>
      </c>
      <c r="N40" s="396" t="n">
        <f aca="false">SUM(K40:L40)</f>
        <v>1454.2348</v>
      </c>
    </row>
    <row r="41" customFormat="false" ht="12.75" hidden="false" customHeight="false" outlineLevel="0" collapsed="false">
      <c r="A41" s="8" t="n">
        <f aca="false">+'Index Pricing'!A27</f>
        <v>37216</v>
      </c>
      <c r="B41" s="41" t="n">
        <f aca="false">+'Index Pricing'!B27</f>
        <v>2.205</v>
      </c>
      <c r="C41" s="100" t="n">
        <f aca="false">+B41+$I$15</f>
        <v>1.5144</v>
      </c>
      <c r="D41" s="292" t="n">
        <f aca="false">MIN($B$5-F41,IF((-F41+I41+J41)&gt;0,-F41+I41+J41,0))</f>
        <v>44</v>
      </c>
      <c r="E41" s="102" t="n">
        <f aca="false">+'Index Pricing'!$B$3+$I$16</f>
        <v>1.8374</v>
      </c>
      <c r="F41" s="101" t="n">
        <f aca="false">ROUND(IF(J41+I41&gt;$F$20,$F$20,IF(J41+I41&gt;0,J41+I41,0)),0)</f>
        <v>774</v>
      </c>
      <c r="G41" s="393" t="n">
        <f aca="false">+B41+$I$17</f>
        <v>1.5394</v>
      </c>
      <c r="H41" s="293" t="n">
        <f aca="false">MAX(0,J41+I41-F41-D41)</f>
        <v>0</v>
      </c>
      <c r="I41" s="394" t="n">
        <f aca="false">'[1]Enron Detail'!S34</f>
        <v>-109</v>
      </c>
      <c r="J41" s="395" t="n">
        <f aca="false">'[1]Enron Detail'!R34</f>
        <v>927</v>
      </c>
      <c r="K41" s="98" t="n">
        <f aca="false">+C41*D41</f>
        <v>66.6336</v>
      </c>
      <c r="L41" s="98" t="n">
        <f aca="false">+E41*F41</f>
        <v>1422.1476</v>
      </c>
      <c r="M41" s="99" t="n">
        <f aca="false">G41*H41</f>
        <v>0</v>
      </c>
      <c r="N41" s="396" t="n">
        <f aca="false">SUM(K41:L41)</f>
        <v>1488.7812</v>
      </c>
    </row>
    <row r="42" customFormat="false" ht="12.75" hidden="false" customHeight="false" outlineLevel="0" collapsed="false">
      <c r="A42" s="8" t="n">
        <f aca="false">+'Index Pricing'!A28</f>
        <v>37217</v>
      </c>
      <c r="B42" s="41" t="n">
        <f aca="false">+'Index Pricing'!B28</f>
        <v>1.43</v>
      </c>
      <c r="C42" s="100" t="n">
        <f aca="false">+B42+$I$15</f>
        <v>0.7394</v>
      </c>
      <c r="D42" s="292" t="n">
        <f aca="false">MIN($B$5-F42,IF((-F42+I42+J42)&gt;0,-F42+I42+J42,0))</f>
        <v>40</v>
      </c>
      <c r="E42" s="102" t="n">
        <f aca="false">+'Index Pricing'!$B$3+$I$16</f>
        <v>1.8374</v>
      </c>
      <c r="F42" s="101" t="n">
        <f aca="false">ROUND(IF(J42+I42&gt;$F$20,$F$20,IF(J42+I42&gt;0,J42+I42,0)),0)</f>
        <v>774</v>
      </c>
      <c r="G42" s="393" t="n">
        <f aca="false">+B42+$I$17</f>
        <v>0.7644</v>
      </c>
      <c r="H42" s="293" t="n">
        <f aca="false">MAX(0,J42+I42-F42-D42)</f>
        <v>0</v>
      </c>
      <c r="I42" s="394" t="n">
        <f aca="false">'[1]Enron Detail'!S35</f>
        <v>-109</v>
      </c>
      <c r="J42" s="395" t="n">
        <f aca="false">'[1]Enron Detail'!R35</f>
        <v>923</v>
      </c>
      <c r="K42" s="98" t="n">
        <f aca="false">+C42*D42</f>
        <v>29.576</v>
      </c>
      <c r="L42" s="98" t="n">
        <f aca="false">+E42*F42</f>
        <v>1422.1476</v>
      </c>
      <c r="M42" s="99" t="n">
        <f aca="false">G42*H42</f>
        <v>0</v>
      </c>
      <c r="N42" s="396" t="n">
        <f aca="false">SUM(K42:L42)</f>
        <v>1451.7236</v>
      </c>
    </row>
    <row r="43" customFormat="false" ht="12.75" hidden="false" customHeight="false" outlineLevel="0" collapsed="false">
      <c r="A43" s="8" t="n">
        <f aca="false">+'Index Pricing'!A29</f>
        <v>37218</v>
      </c>
      <c r="B43" s="41" t="n">
        <f aca="false">+'Index Pricing'!B29</f>
        <v>1.43</v>
      </c>
      <c r="C43" s="100" t="n">
        <f aca="false">+B43+$I$15</f>
        <v>0.7394</v>
      </c>
      <c r="D43" s="292" t="n">
        <f aca="false">MIN($B$5-F43,IF((-F43+I43+J43)&gt;0,-F43+I43+J43,0))</f>
        <v>0</v>
      </c>
      <c r="E43" s="102" t="n">
        <f aca="false">+'Index Pricing'!$B$3+$I$16</f>
        <v>1.8374</v>
      </c>
      <c r="F43" s="101" t="n">
        <f aca="false">ROUND(IF(J43+I43&gt;$F$20,$F$20,IF(J43+I43&gt;0,J43+I43,0)),0)</f>
        <v>749</v>
      </c>
      <c r="G43" s="393" t="n">
        <f aca="false">+B43+$I$17</f>
        <v>0.7644</v>
      </c>
      <c r="H43" s="293" t="n">
        <f aca="false">MAX(0,J43+I43-F43-D43)</f>
        <v>0</v>
      </c>
      <c r="I43" s="394" t="n">
        <f aca="false">'[1]Enron Detail'!S36</f>
        <v>-103</v>
      </c>
      <c r="J43" s="395" t="n">
        <f aca="false">'[1]Enron Detail'!R36</f>
        <v>852</v>
      </c>
      <c r="K43" s="98" t="n">
        <f aca="false">+C43*D43</f>
        <v>0</v>
      </c>
      <c r="L43" s="98" t="n">
        <f aca="false">+E43*F43</f>
        <v>1376.2126</v>
      </c>
      <c r="M43" s="99" t="n">
        <f aca="false">G43*H43</f>
        <v>0</v>
      </c>
      <c r="N43" s="396" t="n">
        <f aca="false">SUM(K43:L43)</f>
        <v>1376.2126</v>
      </c>
    </row>
    <row r="44" customFormat="false" ht="12.75" hidden="false" customHeight="false" outlineLevel="0" collapsed="false">
      <c r="A44" s="8" t="n">
        <f aca="false">+'Index Pricing'!A30</f>
        <v>37219</v>
      </c>
      <c r="B44" s="41" t="n">
        <f aca="false">+'Index Pricing'!B30</f>
        <v>1.43</v>
      </c>
      <c r="C44" s="100" t="n">
        <f aca="false">+B44+$I$15</f>
        <v>0.7394</v>
      </c>
      <c r="D44" s="292" t="n">
        <f aca="false">MIN($B$5-F44,IF((-F44+I44+J44)&gt;0,-F44+I44+J44,0))</f>
        <v>0</v>
      </c>
      <c r="E44" s="102" t="n">
        <f aca="false">+'Index Pricing'!$B$3+$I$16</f>
        <v>1.8374</v>
      </c>
      <c r="F44" s="101" t="n">
        <f aca="false">ROUND(IF(J44+I44&gt;$F$20,$F$20,IF(J44+I44&gt;0,J44+I44,0)),0)</f>
        <v>755</v>
      </c>
      <c r="G44" s="393" t="n">
        <f aca="false">+B44+$I$17</f>
        <v>0.7644</v>
      </c>
      <c r="H44" s="293" t="n">
        <f aca="false">MAX(0,J44+I44-F44-D44)</f>
        <v>0</v>
      </c>
      <c r="I44" s="394" t="n">
        <f aca="false">'[1]Enron Detail'!S37</f>
        <v>-106</v>
      </c>
      <c r="J44" s="395" t="n">
        <f aca="false">'[1]Enron Detail'!R37</f>
        <v>861</v>
      </c>
      <c r="K44" s="98" t="n">
        <f aca="false">+C44*D44</f>
        <v>0</v>
      </c>
      <c r="L44" s="98" t="n">
        <f aca="false">+E44*F44</f>
        <v>1387.237</v>
      </c>
      <c r="M44" s="99" t="n">
        <f aca="false">G44*H44</f>
        <v>0</v>
      </c>
      <c r="N44" s="396" t="n">
        <f aca="false">SUM(K44:L44)</f>
        <v>1387.237</v>
      </c>
    </row>
    <row r="45" customFormat="false" ht="12.75" hidden="false" customHeight="false" outlineLevel="0" collapsed="false">
      <c r="A45" s="8" t="n">
        <f aca="false">+'Index Pricing'!A31</f>
        <v>37220</v>
      </c>
      <c r="B45" s="41" t="n">
        <f aca="false">+'Index Pricing'!B31</f>
        <v>1.43</v>
      </c>
      <c r="C45" s="100" t="n">
        <f aca="false">+B45+$I$15</f>
        <v>0.7394</v>
      </c>
      <c r="D45" s="292" t="n">
        <f aca="false">MIN($B$5-F45,IF((-F45+I45+J45)&gt;0,-F45+I45+J45,0))</f>
        <v>0</v>
      </c>
      <c r="E45" s="102" t="n">
        <f aca="false">+'Index Pricing'!$B$3+$I$16</f>
        <v>1.8374</v>
      </c>
      <c r="F45" s="101" t="n">
        <f aca="false">ROUND(IF(J45+I45&gt;$F$20,$F$20,IF(J45+I45&gt;0,J45+I45,0)),0)</f>
        <v>712</v>
      </c>
      <c r="G45" s="393" t="n">
        <f aca="false">+B45+$I$17</f>
        <v>0.7644</v>
      </c>
      <c r="H45" s="293" t="n">
        <f aca="false">MAX(0,J45+I45-F45-D45)</f>
        <v>0</v>
      </c>
      <c r="I45" s="394" t="n">
        <f aca="false">'[1]Enron Detail'!S38</f>
        <v>-102</v>
      </c>
      <c r="J45" s="395" t="n">
        <f aca="false">'[1]Enron Detail'!R38</f>
        <v>814</v>
      </c>
      <c r="K45" s="98" t="n">
        <f aca="false">+C45*D45</f>
        <v>0</v>
      </c>
      <c r="L45" s="98" t="n">
        <f aca="false">+E45*F45</f>
        <v>1308.2288</v>
      </c>
      <c r="M45" s="99" t="n">
        <f aca="false">G45*H45</f>
        <v>0</v>
      </c>
      <c r="N45" s="396" t="n">
        <f aca="false">SUM(K45:L45)</f>
        <v>1308.2288</v>
      </c>
    </row>
    <row r="46" customFormat="false" ht="12.75" hidden="false" customHeight="false" outlineLevel="0" collapsed="false">
      <c r="A46" s="8" t="n">
        <f aca="false">+'Index Pricing'!A32</f>
        <v>37221</v>
      </c>
      <c r="B46" s="41" t="n">
        <f aca="false">+'Index Pricing'!B32</f>
        <v>1.43</v>
      </c>
      <c r="C46" s="100" t="n">
        <f aca="false">+B46+$I$15</f>
        <v>0.7394</v>
      </c>
      <c r="D46" s="292" t="n">
        <f aca="false">MIN($B$5-F46,IF((-F46+I46+J46)&gt;0,-F46+I46+J46,0))</f>
        <v>0</v>
      </c>
      <c r="E46" s="102" t="n">
        <f aca="false">+'Index Pricing'!$B$3+$I$16</f>
        <v>1.8374</v>
      </c>
      <c r="F46" s="101" t="n">
        <f aca="false">ROUND(IF(J46+I46&gt;$F$20,$F$20,IF(J46+I46&gt;0,J46+I46,0)),0)</f>
        <v>655</v>
      </c>
      <c r="G46" s="393" t="n">
        <f aca="false">+B46+$I$17</f>
        <v>0.7644</v>
      </c>
      <c r="H46" s="293" t="n">
        <f aca="false">MAX(0,J46+I46-F46-D46)</f>
        <v>0</v>
      </c>
      <c r="I46" s="394" t="n">
        <f aca="false">'[1]Enron Detail'!S39</f>
        <v>-93</v>
      </c>
      <c r="J46" s="395" t="n">
        <f aca="false">'[1]Enron Detail'!R39</f>
        <v>748</v>
      </c>
      <c r="K46" s="98" t="n">
        <f aca="false">+C46*D46</f>
        <v>0</v>
      </c>
      <c r="L46" s="98" t="n">
        <f aca="false">+E46*F46</f>
        <v>1203.497</v>
      </c>
      <c r="M46" s="99" t="n">
        <f aca="false">G46*H46</f>
        <v>0</v>
      </c>
      <c r="N46" s="396" t="n">
        <f aca="false">SUM(K46:L46)</f>
        <v>1203.497</v>
      </c>
    </row>
    <row r="47" customFormat="false" ht="12.75" hidden="false" customHeight="false" outlineLevel="0" collapsed="false">
      <c r="A47" s="8" t="n">
        <f aca="false">+'Index Pricing'!A33</f>
        <v>37222</v>
      </c>
      <c r="B47" s="41" t="n">
        <f aca="false">+'Index Pricing'!B33</f>
        <v>1.88</v>
      </c>
      <c r="C47" s="100" t="n">
        <f aca="false">+B47+$I$15</f>
        <v>1.1894</v>
      </c>
      <c r="D47" s="292" t="n">
        <f aca="false">MIN($B$5-F47,IF((-F47+I47+J47)&gt;0,-F47+I47+J47,0))</f>
        <v>0</v>
      </c>
      <c r="E47" s="102" t="n">
        <f aca="false">+'Index Pricing'!$B$3+$I$16</f>
        <v>1.8374</v>
      </c>
      <c r="F47" s="101" t="n">
        <f aca="false">ROUND(IF(J47+I47&gt;$F$20,$F$20,IF(J47+I47&gt;0,J47+I47,0)),0)</f>
        <v>279</v>
      </c>
      <c r="G47" s="393" t="n">
        <f aca="false">+B47+$I$17</f>
        <v>1.2144</v>
      </c>
      <c r="H47" s="293" t="n">
        <f aca="false">MAX(0,J47+I47-F47-D47)</f>
        <v>0</v>
      </c>
      <c r="I47" s="394" t="n">
        <f aca="false">'[1]Enron Detail'!S40</f>
        <v>-75</v>
      </c>
      <c r="J47" s="395" t="n">
        <f aca="false">'[1]Enron Detail'!R40</f>
        <v>354</v>
      </c>
      <c r="K47" s="98" t="n">
        <f aca="false">+C47*D47</f>
        <v>0</v>
      </c>
      <c r="L47" s="98" t="n">
        <f aca="false">+E47*F47</f>
        <v>512.6346</v>
      </c>
      <c r="M47" s="99" t="n">
        <f aca="false">G47*H47</f>
        <v>0</v>
      </c>
      <c r="N47" s="396" t="n">
        <f aca="false">SUM(K47:L47)</f>
        <v>512.6346</v>
      </c>
    </row>
    <row r="48" customFormat="false" ht="12.75" hidden="false" customHeight="false" outlineLevel="0" collapsed="false">
      <c r="A48" s="8" t="n">
        <f aca="false">+'Index Pricing'!A34</f>
        <v>37223</v>
      </c>
      <c r="B48" s="41" t="n">
        <f aca="false">+'Index Pricing'!B34</f>
        <v>2.16</v>
      </c>
      <c r="C48" s="100" t="n">
        <f aca="false">+B48+$I$15</f>
        <v>1.4694</v>
      </c>
      <c r="D48" s="292" t="n">
        <f aca="false">MIN($B$5-F48,IF((-F48+I48+J48)&gt;0,-F48+I48+J48,0))</f>
        <v>0</v>
      </c>
      <c r="E48" s="102" t="n">
        <f aca="false">+'Index Pricing'!$B$3+$I$16</f>
        <v>1.8374</v>
      </c>
      <c r="F48" s="101" t="n">
        <f aca="false">ROUND(IF(J48+I48&gt;$F$20,$F$20,IF(J48+I48&gt;0,J48+I48,0)),0)</f>
        <v>751</v>
      </c>
      <c r="G48" s="393" t="n">
        <f aca="false">+B48+$I$17</f>
        <v>1.4944</v>
      </c>
      <c r="H48" s="293" t="n">
        <f aca="false">MAX(0,J48+I48-F48-D48)</f>
        <v>0</v>
      </c>
      <c r="I48" s="394" t="n">
        <f aca="false">'[1]Enron Detail'!S41</f>
        <v>-102</v>
      </c>
      <c r="J48" s="395" t="n">
        <f aca="false">'[1]Enron Detail'!R41</f>
        <v>853</v>
      </c>
      <c r="K48" s="98" t="n">
        <f aca="false">+C48*D48</f>
        <v>0</v>
      </c>
      <c r="L48" s="98" t="n">
        <f aca="false">+E48*F48</f>
        <v>1379.8874</v>
      </c>
      <c r="M48" s="99" t="n">
        <f aca="false">G48*H48</f>
        <v>0</v>
      </c>
      <c r="N48" s="396" t="n">
        <f aca="false">SUM(K48:L48)</f>
        <v>1379.8874</v>
      </c>
    </row>
    <row r="49" customFormat="false" ht="12.75" hidden="false" customHeight="false" outlineLevel="0" collapsed="false">
      <c r="A49" s="8" t="n">
        <f aca="false">+'Index Pricing'!A35</f>
        <v>37224</v>
      </c>
      <c r="B49" s="41" t="n">
        <f aca="false">+'Index Pricing'!B35</f>
        <v>2.38</v>
      </c>
      <c r="C49" s="100" t="n">
        <f aca="false">+B49+$I$15</f>
        <v>1.6894</v>
      </c>
      <c r="D49" s="292" t="n">
        <f aca="false">MIN($B$5-F49,IF((-F49+I49+J49)&gt;0,-F49+I49+J49,0))</f>
        <v>0</v>
      </c>
      <c r="E49" s="102" t="n">
        <f aca="false">+'Index Pricing'!$B$3+$I$16</f>
        <v>1.8374</v>
      </c>
      <c r="F49" s="101" t="n">
        <f aca="false">ROUND(IF(J49+I49&gt;$F$20,$F$20,IF(J49+I49&gt;0,J49+I49,0)),0)</f>
        <v>629</v>
      </c>
      <c r="G49" s="393" t="n">
        <f aca="false">+B49+$I$17</f>
        <v>1.7144</v>
      </c>
      <c r="H49" s="293" t="n">
        <f aca="false">MAX(0,J49+I49-F49-D49)</f>
        <v>0</v>
      </c>
      <c r="I49" s="394" t="n">
        <f aca="false">'[1]Enron Detail'!S42</f>
        <v>-88</v>
      </c>
      <c r="J49" s="395" t="n">
        <f aca="false">'[1]Enron Detail'!R42</f>
        <v>717</v>
      </c>
      <c r="K49" s="98" t="n">
        <f aca="false">+C49*D49</f>
        <v>0</v>
      </c>
      <c r="L49" s="98" t="n">
        <f aca="false">+E49*F49</f>
        <v>1155.7246</v>
      </c>
      <c r="M49" s="99" t="n">
        <f aca="false">G49*H49</f>
        <v>0</v>
      </c>
      <c r="N49" s="396" t="n">
        <f aca="false">SUM(K49:L49)</f>
        <v>1155.7246</v>
      </c>
    </row>
    <row r="50" customFormat="false" ht="12.75" hidden="false" customHeight="false" outlineLevel="0" collapsed="false">
      <c r="A50" s="8" t="n">
        <f aca="false">+'Index Pricing'!A36</f>
        <v>37225</v>
      </c>
      <c r="B50" s="41" t="n">
        <f aca="false">+'Index Pricing'!B36</f>
        <v>2.025</v>
      </c>
      <c r="C50" s="100" t="n">
        <f aca="false">+B50+$I$15</f>
        <v>1.3344</v>
      </c>
      <c r="D50" s="292" t="n">
        <f aca="false">MIN($B$5-F50,IF((-F50+I50+J50)&gt;0,-F50+I50+J50,0))</f>
        <v>0</v>
      </c>
      <c r="E50" s="102" t="n">
        <f aca="false">+'Index Pricing'!$B$3+$I$16</f>
        <v>1.8374</v>
      </c>
      <c r="F50" s="101" t="n">
        <f aca="false">ROUND(IF(J50+I50&gt;$F$20,$F$20,IF(J50+I50&gt;0,J50+I50,0)),0)</f>
        <v>677</v>
      </c>
      <c r="G50" s="393" t="n">
        <f aca="false">+B50+$I$17</f>
        <v>1.3594</v>
      </c>
      <c r="H50" s="293" t="n">
        <f aca="false">MAX(0,J50+I50-F50-D50)</f>
        <v>0</v>
      </c>
      <c r="I50" s="394" t="n">
        <f aca="false">'[1]Enron Detail'!S43</f>
        <v>-93</v>
      </c>
      <c r="J50" s="395" t="n">
        <f aca="false">'[1]Enron Detail'!R43</f>
        <v>770</v>
      </c>
      <c r="K50" s="98" t="n">
        <f aca="false">+C50*D50</f>
        <v>0</v>
      </c>
      <c r="L50" s="98" t="n">
        <f aca="false">+E50*F50</f>
        <v>1243.9198</v>
      </c>
      <c r="M50" s="99" t="n">
        <f aca="false">G50*H50</f>
        <v>0</v>
      </c>
      <c r="N50" s="396" t="n">
        <f aca="false">SUM(K50:L50)</f>
        <v>1243.9198</v>
      </c>
    </row>
    <row r="51" customFormat="false" ht="12.75" hidden="false" customHeight="false" outlineLevel="0" collapsed="false">
      <c r="A51" s="8"/>
      <c r="B51" s="41"/>
      <c r="C51" s="100"/>
      <c r="D51" s="292"/>
      <c r="E51" s="102"/>
      <c r="F51" s="101"/>
      <c r="G51" s="393"/>
      <c r="H51" s="293"/>
      <c r="I51" s="394"/>
      <c r="J51" s="395"/>
      <c r="K51" s="98"/>
      <c r="L51" s="98"/>
      <c r="M51" s="99"/>
      <c r="N51" s="396"/>
    </row>
    <row r="52" customFormat="false" ht="12.75" hidden="false" customHeight="false" outlineLevel="0" collapsed="false">
      <c r="A52" s="8"/>
      <c r="B52" s="41"/>
      <c r="C52" s="100"/>
      <c r="D52" s="292"/>
      <c r="E52" s="102"/>
      <c r="F52" s="101"/>
      <c r="G52" s="393"/>
      <c r="H52" s="293"/>
      <c r="I52" s="394"/>
      <c r="J52" s="395"/>
      <c r="K52" s="98"/>
      <c r="L52" s="98"/>
      <c r="M52" s="99"/>
      <c r="N52" s="396"/>
    </row>
    <row r="53" customFormat="false" ht="13.5" hidden="false" customHeight="false" outlineLevel="0" collapsed="false">
      <c r="A53" s="59" t="s">
        <v>290</v>
      </c>
      <c r="B53" s="32"/>
      <c r="C53" s="397"/>
      <c r="D53" s="398" t="n">
        <f aca="false">SUM(D21:D52)</f>
        <v>206</v>
      </c>
      <c r="E53" s="397"/>
      <c r="F53" s="399" t="n">
        <f aca="false">SUM(F21:F52)</f>
        <v>20627</v>
      </c>
      <c r="G53" s="400"/>
      <c r="H53" s="399" t="n">
        <f aca="false">SUM(H21:H52)</f>
        <v>0</v>
      </c>
      <c r="I53" s="401" t="n">
        <f aca="false">SUM(I21:I52)</f>
        <v>-2901</v>
      </c>
      <c r="J53" s="399" t="n">
        <f aca="false">SUM(J21:J52)</f>
        <v>23734</v>
      </c>
      <c r="K53" s="111" t="n">
        <f aca="false">SUM(K21:K52)</f>
        <v>247.3864</v>
      </c>
      <c r="L53" s="111" t="n">
        <f aca="false">SUM(L21:L52)</f>
        <v>37900.0498</v>
      </c>
      <c r="M53" s="112" t="n">
        <f aca="false">SUM(M21:M52)</f>
        <v>0</v>
      </c>
      <c r="N53" s="402" t="n">
        <f aca="false">SUM(K53:M53)</f>
        <v>38147.4362</v>
      </c>
      <c r="O53" s="32"/>
      <c r="P53" s="32"/>
      <c r="Q53" s="32"/>
      <c r="R53" s="32"/>
    </row>
    <row r="55" customFormat="false" ht="12.75" hidden="false" customHeight="false" outlineLevel="0" collapsed="false">
      <c r="H55" s="118"/>
      <c r="J55" s="0" t="s">
        <v>213</v>
      </c>
      <c r="K55" s="41" t="n">
        <f aca="false">+K53/D53</f>
        <v>1.20090485436893</v>
      </c>
      <c r="L55" s="41" t="n">
        <f aca="false">+L53/F53</f>
        <v>1.8374</v>
      </c>
      <c r="M55" s="41" t="n">
        <f aca="false">+N53/(J53+I53)</f>
        <v>1.83110623529977</v>
      </c>
    </row>
    <row r="57" customFormat="false" ht="12.75" hidden="false" customHeight="false" outlineLevel="0" collapsed="false">
      <c r="A57" s="0" t="s">
        <v>87</v>
      </c>
    </row>
    <row r="59" customFormat="false" ht="12.75" hidden="false" customHeight="false" outlineLevel="0" collapsed="false">
      <c r="F59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4.13"/>
    <col collapsed="false" customWidth="true" hidden="false" outlineLevel="0" max="3" min="3" style="0" width="32.85"/>
    <col collapsed="false" customWidth="true" hidden="false" outlineLevel="0" max="5" min="4" style="0" width="19.56"/>
    <col collapsed="false" customWidth="true" hidden="false" outlineLevel="0" max="6" min="6" style="0" width="46.42"/>
    <col collapsed="false" customWidth="true" hidden="false" outlineLevel="0" max="7" min="7" style="0" width="29.41"/>
  </cols>
  <sheetData>
    <row r="1" customFormat="false" ht="12.75" hidden="false" customHeight="false" outlineLevel="0" collapsed="false">
      <c r="C1" s="12" t="s">
        <v>6</v>
      </c>
      <c r="D1" s="13"/>
      <c r="E1" s="13"/>
      <c r="F1" s="14" t="s">
        <v>7</v>
      </c>
      <c r="G1" s="15"/>
    </row>
    <row r="2" customFormat="false" ht="12.75" hidden="false" customHeight="false" outlineLevel="0" collapsed="false">
      <c r="C2" s="16"/>
      <c r="D2" s="17"/>
      <c r="E2" s="17"/>
      <c r="F2" s="18"/>
      <c r="G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18" t="s">
        <v>291</v>
      </c>
      <c r="G3" s="403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18" t="s">
        <v>292</v>
      </c>
      <c r="G4" s="18"/>
    </row>
    <row r="5" customFormat="false" ht="12.75" hidden="false" customHeight="false" outlineLevel="0" collapsed="false">
      <c r="C5" s="16"/>
      <c r="D5" s="17"/>
      <c r="E5" s="17"/>
      <c r="F5" s="18" t="s">
        <v>293</v>
      </c>
      <c r="G5" s="19" t="s">
        <v>13</v>
      </c>
    </row>
    <row r="6" customFormat="false" ht="12.75" hidden="false" customHeight="false" outlineLevel="0" collapsed="false">
      <c r="C6" s="16"/>
      <c r="D6" s="17"/>
      <c r="E6" s="17"/>
      <c r="F6" s="18" t="s">
        <v>294</v>
      </c>
      <c r="G6" s="404" t="n">
        <v>37256</v>
      </c>
    </row>
    <row r="7" customFormat="false" ht="12.75" hidden="false" customHeight="false" outlineLevel="0" collapsed="false">
      <c r="C7" s="16"/>
      <c r="D7" s="17"/>
      <c r="E7" s="17"/>
      <c r="F7" s="18"/>
      <c r="G7" s="18"/>
    </row>
    <row r="8" customFormat="false" ht="12.75" hidden="false" customHeight="false" outlineLevel="0" collapsed="false">
      <c r="C8" s="16"/>
      <c r="D8" s="17"/>
      <c r="E8" s="17"/>
      <c r="F8" s="18"/>
      <c r="G8" s="19" t="s">
        <v>17</v>
      </c>
    </row>
    <row r="9" customFormat="false" ht="12.75" hidden="false" customHeight="false" outlineLevel="0" collapsed="false">
      <c r="C9" s="16" t="s">
        <v>295</v>
      </c>
      <c r="D9" s="17"/>
      <c r="E9" s="17"/>
      <c r="F9" s="18" t="s">
        <v>296</v>
      </c>
      <c r="G9" s="22" t="s">
        <v>19</v>
      </c>
    </row>
    <row r="10" customFormat="false" ht="12.75" hidden="false" customHeight="false" outlineLevel="0" collapsed="false">
      <c r="C10" s="16" t="s">
        <v>20</v>
      </c>
      <c r="D10" s="17"/>
      <c r="E10" s="17"/>
      <c r="F10" s="18" t="s">
        <v>297</v>
      </c>
      <c r="G10" s="19" t="s">
        <v>21</v>
      </c>
    </row>
    <row r="11" customFormat="false" ht="12.75" hidden="false" customHeight="false" outlineLevel="0" collapsed="false">
      <c r="A11" s="23" t="s">
        <v>9</v>
      </c>
      <c r="B11" s="24"/>
      <c r="C11" s="25" t="s">
        <v>22</v>
      </c>
      <c r="D11" s="26"/>
      <c r="E11" s="26"/>
      <c r="F11" s="27" t="s">
        <v>298</v>
      </c>
      <c r="G11" s="28" t="s">
        <v>299</v>
      </c>
    </row>
    <row r="12" customFormat="false" ht="13.5" hidden="false" customHeight="false" outlineLevel="0" collapsed="false">
      <c r="A12" s="29" t="n">
        <f aca="true">NOW()</f>
        <v>45926.8884096135</v>
      </c>
      <c r="B12" s="30"/>
      <c r="C12" s="30"/>
      <c r="D12" s="30"/>
      <c r="E12" s="30"/>
      <c r="F12" s="30"/>
      <c r="G12" s="30"/>
      <c r="H12" s="31"/>
    </row>
    <row r="13" customFormat="false" ht="12.75" hidden="false" customHeight="false" outlineLevel="0" collapsed="false">
      <c r="A13" s="32" t="s">
        <v>25</v>
      </c>
      <c r="B13" s="32" t="s">
        <v>26</v>
      </c>
      <c r="C13" s="32" t="s">
        <v>27</v>
      </c>
      <c r="D13" s="32"/>
      <c r="E13" s="32"/>
    </row>
    <row r="14" customFormat="false" ht="12.75" hidden="false" customHeight="false" outlineLevel="0" collapsed="false">
      <c r="A14" s="33" t="n">
        <f aca="false">+'Index Pricing'!A1</f>
        <v>37196</v>
      </c>
      <c r="B14" s="34" t="n">
        <v>96027277</v>
      </c>
      <c r="C14" s="0" t="s">
        <v>300</v>
      </c>
    </row>
    <row r="15" customFormat="false" ht="12.75" hidden="false" customHeight="false" outlineLevel="0" collapsed="false">
      <c r="C15" s="0" t="s">
        <v>301</v>
      </c>
    </row>
    <row r="18" customFormat="false" ht="12.75" hidden="false" customHeight="false" outlineLevel="0" collapsed="false">
      <c r="B18" s="35" t="s">
        <v>29</v>
      </c>
      <c r="C18" s="36" t="s">
        <v>30</v>
      </c>
      <c r="D18" s="37" t="s">
        <v>31</v>
      </c>
      <c r="E18" s="38" t="s">
        <v>32</v>
      </c>
      <c r="F18" s="38" t="s">
        <v>33</v>
      </c>
      <c r="G18" s="37" t="s">
        <v>34</v>
      </c>
    </row>
    <row r="19" customFormat="false" ht="12.75" hidden="false" customHeight="false" outlineLevel="0" collapsed="false">
      <c r="A19" s="0" t="str">
        <f aca="false">+'Phillips Summary'!A22</f>
        <v>11/01/01 - 11/30/01</v>
      </c>
      <c r="B19" s="0" t="s">
        <v>282</v>
      </c>
      <c r="C19" s="41" t="n">
        <f aca="false">+'Wellstar Detail'!J15</f>
        <v>-0.4654</v>
      </c>
      <c r="D19" s="42" t="n">
        <f aca="false">+'Wellstar Detail'!N56</f>
        <v>1.27250828640386</v>
      </c>
      <c r="E19" s="43" t="n">
        <f aca="false">+F19/'Wellstar Detail'!B$7</f>
        <v>4017.60394916024</v>
      </c>
      <c r="F19" s="43" t="n">
        <f aca="false">+'Wellstar Detail'!D54</f>
        <v>3729</v>
      </c>
      <c r="G19" s="44" t="n">
        <f aca="false">+'Wellstar Detail'!N54</f>
        <v>4745.1834</v>
      </c>
    </row>
    <row r="20" customFormat="false" ht="12.75" hidden="false" customHeight="false" outlineLevel="0" collapsed="false">
      <c r="A20" s="0" t="str">
        <f aca="false">+A19</f>
        <v>11/01/01 - 11/30/01</v>
      </c>
      <c r="B20" s="0" t="s">
        <v>302</v>
      </c>
      <c r="C20" s="41" t="n">
        <f aca="false">+'Wellstar Detail'!J16</f>
        <v>-0.715</v>
      </c>
      <c r="D20" s="45" t="n">
        <f aca="false">+'Wellstar Detail'!O56</f>
        <v>2.325</v>
      </c>
      <c r="E20" s="43" t="n">
        <f aca="false">+F20/'Wellstar Detail'!B$7</f>
        <v>49124.8778937812</v>
      </c>
      <c r="F20" s="43" t="n">
        <f aca="false">+'Wellstar Detail'!F54</f>
        <v>45596</v>
      </c>
      <c r="G20" s="44" t="n">
        <f aca="false">+'Wellstar Detail'!O54</f>
        <v>106010.7</v>
      </c>
    </row>
    <row r="21" customFormat="false" ht="12.75" hidden="false" customHeight="false" outlineLevel="0" collapsed="false">
      <c r="A21" s="0" t="str">
        <f aca="false">+A20</f>
        <v>11/01/01 - 11/30/01</v>
      </c>
      <c r="B21" s="0" t="s">
        <v>303</v>
      </c>
      <c r="C21" s="41" t="n">
        <f aca="false">+'Wellstar Detail'!J17</f>
        <v>-0.4924</v>
      </c>
      <c r="D21" s="0" t="n">
        <v>0</v>
      </c>
      <c r="E21" s="43" t="n">
        <f aca="false">+F21/'Wellstar Detail'!B$7</f>
        <v>0</v>
      </c>
      <c r="F21" s="43" t="n">
        <f aca="false">+'Wellstar Detail'!H54</f>
        <v>0</v>
      </c>
      <c r="G21" s="44" t="n">
        <f aca="false">+'Wellstar Detail'!P54</f>
        <v>0</v>
      </c>
    </row>
    <row r="22" customFormat="false" ht="12.75" hidden="false" customHeight="false" outlineLevel="0" collapsed="false">
      <c r="A22" s="0" t="str">
        <f aca="false">+A21</f>
        <v>11/01/01 - 11/30/01</v>
      </c>
      <c r="B22" s="0" t="s">
        <v>304</v>
      </c>
      <c r="C22" s="41" t="n">
        <f aca="false">+'Wellstar Detail'!J18</f>
        <v>-0.6004</v>
      </c>
      <c r="D22" s="0" t="e">
        <f aca="false">+'Wellstar Detail'!Q56</f>
        <v>#DIV/0!</v>
      </c>
      <c r="E22" s="43" t="n">
        <f aca="false">+F22/'Wellstar Detail'!B$7</f>
        <v>0</v>
      </c>
      <c r="F22" s="43" t="n">
        <f aca="false">+'Wellstar Detail'!J54</f>
        <v>0</v>
      </c>
      <c r="G22" s="44" t="n">
        <f aca="false">+'Wellstar Detail'!Q54</f>
        <v>0</v>
      </c>
    </row>
    <row r="23" customFormat="false" ht="12.75" hidden="false" customHeight="false" outlineLevel="0" collapsed="false">
      <c r="A23" s="0" t="str">
        <f aca="false">+A21</f>
        <v>11/01/01 - 11/30/01</v>
      </c>
      <c r="C23" s="0" t="s">
        <v>39</v>
      </c>
      <c r="D23" s="46" t="s">
        <v>40</v>
      </c>
      <c r="E23" s="43" t="n">
        <f aca="false">+F23/'Wellstar Detail'!B$7</f>
        <v>3821.51815705856</v>
      </c>
      <c r="F23" s="43" t="n">
        <f aca="false">-'Wellstar Detail'!L54</f>
        <v>3547</v>
      </c>
      <c r="G23" s="47" t="s">
        <v>41</v>
      </c>
    </row>
    <row r="24" customFormat="false" ht="12.75" hidden="false" customHeight="false" outlineLevel="0" collapsed="false">
      <c r="A24" s="48" t="str">
        <f aca="false">+'Phillips Summary'!A26</f>
        <v>11/01/01 - 11/30/01</v>
      </c>
      <c r="B24" s="32"/>
      <c r="C24" s="32"/>
      <c r="D24" s="49"/>
      <c r="E24" s="43" t="n">
        <f aca="false">+F24/'Wellstar Detail'!B$7</f>
        <v>56964</v>
      </c>
      <c r="F24" s="48" t="n">
        <f aca="false">SUM(F19:F23)</f>
        <v>52872</v>
      </c>
      <c r="G24" s="50" t="n">
        <f aca="false">SUM(G19:G23)</f>
        <v>110755.8834</v>
      </c>
    </row>
    <row r="26" customFormat="false" ht="12.75" hidden="false" customHeight="false" outlineLevel="0" collapsed="false">
      <c r="A26" s="32"/>
      <c r="D26" s="46"/>
      <c r="E26" s="46"/>
      <c r="F26" s="43"/>
      <c r="G26" s="50"/>
    </row>
    <row r="27" customFormat="false" ht="15" hidden="false" customHeight="false" outlineLevel="0" collapsed="false">
      <c r="A27" s="32"/>
      <c r="C27" s="39"/>
      <c r="D27" s="51"/>
      <c r="E27" s="51"/>
      <c r="F27" s="52"/>
      <c r="G27" s="50"/>
    </row>
    <row r="28" customFormat="false" ht="12.75" hidden="false" customHeight="false" outlineLevel="0" collapsed="false">
      <c r="A28" s="53"/>
      <c r="C28" s="58"/>
      <c r="D28" s="55"/>
      <c r="E28" s="43"/>
      <c r="F28" s="43"/>
      <c r="G28" s="50"/>
    </row>
    <row r="29" customFormat="false" ht="12.75" hidden="false" customHeight="false" outlineLevel="0" collapsed="false">
      <c r="A29" s="53"/>
      <c r="C29" s="58"/>
      <c r="D29" s="55"/>
      <c r="E29" s="43"/>
      <c r="F29" s="43"/>
      <c r="G29" s="50"/>
    </row>
    <row r="30" customFormat="false" ht="12.75" hidden="false" customHeight="false" outlineLevel="0" collapsed="false">
      <c r="A30" s="53"/>
      <c r="C30" s="58"/>
      <c r="D30" s="55"/>
      <c r="E30" s="43"/>
      <c r="F30" s="43"/>
      <c r="G30" s="50"/>
    </row>
    <row r="31" customFormat="false" ht="12.75" hidden="false" customHeight="false" outlineLevel="0" collapsed="false">
      <c r="A31" s="53"/>
      <c r="C31" s="58"/>
      <c r="D31" s="55"/>
      <c r="E31" s="43"/>
      <c r="F31" s="43"/>
      <c r="G31" s="50"/>
    </row>
    <row r="32" customFormat="false" ht="12.75" hidden="false" customHeight="false" outlineLevel="0" collapsed="false">
      <c r="A32" s="53"/>
      <c r="C32" s="58"/>
      <c r="D32" s="55"/>
      <c r="E32" s="43"/>
      <c r="F32" s="43"/>
      <c r="G32" s="50"/>
    </row>
    <row r="33" customFormat="false" ht="12.75" hidden="false" customHeight="false" outlineLevel="0" collapsed="false">
      <c r="A33" s="53"/>
      <c r="C33" s="58"/>
      <c r="D33" s="55"/>
      <c r="E33" s="43"/>
      <c r="F33" s="43"/>
      <c r="G33" s="50"/>
    </row>
    <row r="34" customFormat="false" ht="12.75" hidden="false" customHeight="false" outlineLevel="0" collapsed="false">
      <c r="A34" s="53"/>
      <c r="C34" s="58"/>
      <c r="D34" s="55"/>
      <c r="E34" s="43"/>
      <c r="F34" s="43"/>
      <c r="G34" s="50"/>
    </row>
    <row r="35" customFormat="false" ht="12.75" hidden="false" customHeight="false" outlineLevel="0" collapsed="false">
      <c r="A35" s="53"/>
      <c r="C35" s="58"/>
      <c r="D35" s="55"/>
      <c r="E35" s="43"/>
      <c r="F35" s="43"/>
      <c r="G35" s="50"/>
    </row>
    <row r="36" customFormat="false" ht="12.75" hidden="false" customHeight="false" outlineLevel="0" collapsed="false">
      <c r="B36" s="45"/>
      <c r="C36" s="32"/>
    </row>
    <row r="37" customFormat="false" ht="12.75" hidden="false" customHeight="false" outlineLevel="0" collapsed="false">
      <c r="A37" s="62"/>
      <c r="B37" s="34"/>
    </row>
    <row r="38" customFormat="false" ht="12.75" hidden="false" customHeight="false" outlineLevel="0" collapsed="false">
      <c r="D38" s="32" t="s">
        <v>47</v>
      </c>
      <c r="E38" s="32"/>
      <c r="F38" s="60"/>
      <c r="G38" s="61" t="n">
        <f aca="false">SUM(G24:G35)</f>
        <v>110755.8834</v>
      </c>
    </row>
    <row r="39" customFormat="false" ht="12.75" hidden="false" customHeight="false" outlineLevel="0" collapsed="false">
      <c r="B39" s="45"/>
    </row>
    <row r="40" customFormat="false" ht="12.75" hidden="false" customHeight="false" outlineLevel="0" collapsed="false">
      <c r="B40" s="32"/>
      <c r="C40" s="32"/>
    </row>
    <row r="41" customFormat="false" ht="12.75" hidden="false" customHeight="false" outlineLevel="0" collapsed="false">
      <c r="B41" s="34"/>
    </row>
    <row r="42" customFormat="false" ht="12.75" hidden="false" customHeight="false" outlineLevel="0" collapsed="false">
      <c r="B42" s="45"/>
    </row>
    <row r="43" customFormat="false" ht="12.75" hidden="false" customHeight="false" outlineLevel="0" collapsed="false">
      <c r="B43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20.85"/>
    <col collapsed="false" customWidth="true" hidden="false" outlineLevel="0" max="3" min="3" style="0" width="17.85"/>
    <col collapsed="false" customWidth="true" hidden="false" outlineLevel="0" max="4" min="4" style="0" width="18.14"/>
    <col collapsed="false" customWidth="true" hidden="false" outlineLevel="0" max="5" min="5" style="0" width="17.42"/>
    <col collapsed="false" customWidth="true" hidden="false" outlineLevel="0" max="6" min="6" style="0" width="22.7"/>
    <col collapsed="false" customWidth="true" hidden="false" outlineLevel="0" max="7" min="7" style="0" width="15.56"/>
    <col collapsed="false" customWidth="true" hidden="false" outlineLevel="0" max="8" min="8" style="0" width="10.71"/>
    <col collapsed="false" customWidth="true" hidden="false" outlineLevel="0" max="9" min="9" style="0" width="12.85"/>
    <col collapsed="false" customWidth="true" hidden="false" outlineLevel="0" max="10" min="10" style="0" width="17.56"/>
    <col collapsed="false" customWidth="true" hidden="false" outlineLevel="0" max="11" min="11" style="0" width="12.42"/>
    <col collapsed="false" customWidth="true" hidden="false" outlineLevel="0" max="13" min="12" style="0" width="19.28"/>
    <col collapsed="false" customWidth="true" hidden="false" outlineLevel="0" max="14" min="14" style="0" width="18.7"/>
    <col collapsed="false" customWidth="true" hidden="false" outlineLevel="0" max="15" min="15" style="0" width="19.28"/>
    <col collapsed="false" customWidth="true" hidden="false" outlineLevel="0" max="16" min="16" style="0" width="11.28"/>
    <col collapsed="false" customWidth="true" hidden="false" outlineLevel="0" max="17" min="17" style="0" width="13.85"/>
    <col collapsed="false" customWidth="true" hidden="false" outlineLevel="0" max="18" min="18" style="0" width="14.99"/>
  </cols>
  <sheetData>
    <row r="1" customFormat="false" ht="12.75" hidden="false" customHeight="false" outlineLevel="0" collapsed="false">
      <c r="A1" s="32" t="s">
        <v>305</v>
      </c>
      <c r="B1" s="32" t="s">
        <v>49</v>
      </c>
      <c r="C1" s="32" t="s">
        <v>306</v>
      </c>
      <c r="F1" s="0" t="s">
        <v>51</v>
      </c>
      <c r="H1" s="32"/>
      <c r="I1" s="32"/>
      <c r="J1" s="32"/>
      <c r="O1" s="3" t="n">
        <f aca="true">NOW()</f>
        <v>45926.8884096355</v>
      </c>
    </row>
    <row r="2" customFormat="false" ht="12.75" hidden="false" customHeight="false" outlineLevel="0" collapsed="false">
      <c r="A2" s="33" t="n">
        <f aca="false">+'Index Pricing'!A1</f>
        <v>37196</v>
      </c>
      <c r="B2" s="32" t="s">
        <v>52</v>
      </c>
      <c r="C2" s="32" t="s">
        <v>307</v>
      </c>
      <c r="H2" s="32"/>
      <c r="I2" s="32"/>
      <c r="J2" s="32"/>
    </row>
    <row r="3" customFormat="false" ht="12.75" hidden="false" customHeight="false" outlineLevel="0" collapsed="false">
      <c r="A3" s="33"/>
      <c r="B3" s="32" t="s">
        <v>54</v>
      </c>
      <c r="C3" s="32" t="s">
        <v>308</v>
      </c>
      <c r="F3" s="0" t="s">
        <v>56</v>
      </c>
      <c r="G3" s="0" t="s">
        <v>57</v>
      </c>
      <c r="H3" s="32"/>
      <c r="I3" s="32"/>
      <c r="J3" s="32"/>
    </row>
    <row r="4" customFormat="false" ht="12.75" hidden="false" customHeight="false" outlineLevel="0" collapsed="false">
      <c r="A4" s="33"/>
      <c r="B4" s="32"/>
      <c r="C4" s="32"/>
      <c r="H4" s="32"/>
      <c r="I4" s="32"/>
      <c r="J4" s="32"/>
    </row>
    <row r="5" customFormat="false" ht="12.75" hidden="false" customHeight="false" outlineLevel="0" collapsed="false">
      <c r="A5" s="33" t="s">
        <v>119</v>
      </c>
      <c r="B5" s="354" t="n">
        <v>1949</v>
      </c>
      <c r="C5" s="32"/>
      <c r="H5" s="32"/>
      <c r="I5" s="32"/>
      <c r="J5" s="32"/>
    </row>
    <row r="6" customFormat="false" ht="12.75" hidden="false" customHeight="false" outlineLevel="0" collapsed="false">
      <c r="A6" s="33" t="s">
        <v>121</v>
      </c>
      <c r="B6" s="354" t="n">
        <v>0</v>
      </c>
      <c r="C6" s="32"/>
      <c r="H6" s="32"/>
      <c r="I6" s="32"/>
      <c r="J6" s="32"/>
    </row>
    <row r="7" customFormat="false" ht="12.75" hidden="false" customHeight="false" outlineLevel="0" collapsed="false">
      <c r="A7" s="62" t="s">
        <v>280</v>
      </c>
      <c r="B7" s="405" t="n">
        <f aca="false">'[1]Enron Detail'!$U$9</f>
        <v>0.928165156941226</v>
      </c>
      <c r="D7" s="288"/>
    </row>
    <row r="8" customFormat="false" ht="12.75" hidden="false" customHeight="false" outlineLevel="0" collapsed="false">
      <c r="A8" s="62" t="s">
        <v>59</v>
      </c>
      <c r="B8" s="54" t="n">
        <v>0.39</v>
      </c>
      <c r="C8" s="0" t="s">
        <v>60</v>
      </c>
    </row>
    <row r="9" customFormat="false" ht="12.75" hidden="false" customHeight="false" outlineLevel="0" collapsed="false">
      <c r="A9" s="62" t="str">
        <f aca="false">+'Index Pricing'!A3</f>
        <v>IF CIG Rockies</v>
      </c>
      <c r="B9" s="54" t="n">
        <f aca="false">+'Index Pricing'!B3</f>
        <v>2.54</v>
      </c>
    </row>
    <row r="10" customFormat="false" ht="12.75" hidden="false" customHeight="false" outlineLevel="0" collapsed="false">
      <c r="A10" s="62" t="str">
        <f aca="false">+'Index Pricing'!A4</f>
        <v>IF NGPL Midcont.</v>
      </c>
      <c r="B10" s="54" t="n">
        <f aca="false">+'Index Pricing'!B4</f>
        <v>3.04</v>
      </c>
    </row>
    <row r="11" customFormat="false" ht="12.75" hidden="false" customHeight="false" outlineLevel="0" collapsed="false">
      <c r="A11" s="62"/>
      <c r="B11" s="54"/>
    </row>
    <row r="12" customFormat="false" ht="12.75" hidden="false" customHeight="false" outlineLevel="0" collapsed="false">
      <c r="A12" s="62"/>
      <c r="B12" s="54"/>
    </row>
    <row r="13" customFormat="false" ht="13.5" hidden="false" customHeight="false" outlineLevel="0" collapsed="false">
      <c r="A13" s="62"/>
    </row>
    <row r="14" customFormat="false" ht="51" hidden="false" customHeight="false" outlineLevel="0" collapsed="false">
      <c r="A14" s="65"/>
      <c r="B14" s="66"/>
      <c r="C14" s="67" t="s">
        <v>61</v>
      </c>
      <c r="D14" s="67" t="s">
        <v>309</v>
      </c>
      <c r="E14" s="67" t="s">
        <v>63</v>
      </c>
      <c r="F14" s="68" t="str">
        <f aca="false">"WIC Med.Bow Fuel ("&amp;'Index Pricing'!$F$3*100&amp;"%*CIGindex)"</f>
        <v>WIC Med.Bow Fuel (0.68%*CIGindex)</v>
      </c>
      <c r="G14" s="67" t="s">
        <v>64</v>
      </c>
      <c r="H14" s="67" t="s">
        <v>65</v>
      </c>
      <c r="I14" s="67" t="s">
        <v>66</v>
      </c>
      <c r="J14" s="69" t="s">
        <v>67</v>
      </c>
      <c r="K14" s="70"/>
      <c r="L14" s="70"/>
      <c r="M14" s="70"/>
      <c r="N14" s="70"/>
      <c r="O14" s="70"/>
      <c r="P14" s="24"/>
      <c r="Q14" s="24"/>
      <c r="R14" s="24"/>
    </row>
    <row r="15" customFormat="false" ht="12.75" hidden="false" customHeight="false" outlineLevel="0" collapsed="false">
      <c r="A15" s="71" t="s">
        <v>68</v>
      </c>
      <c r="B15" s="72" t="s">
        <v>282</v>
      </c>
      <c r="C15" s="73" t="n">
        <v>-0.015</v>
      </c>
      <c r="D15" s="72" t="n">
        <f aca="false">-B8/B7</f>
        <v>-0.420183840217885</v>
      </c>
      <c r="E15" s="72"/>
      <c r="F15" s="72"/>
      <c r="G15" s="72"/>
      <c r="H15" s="72"/>
      <c r="I15" s="72" t="n">
        <f aca="false">-L54*D15/(D54+F54+H54+J54)</f>
        <v>-0.0302157543082177</v>
      </c>
      <c r="J15" s="75" t="n">
        <f aca="false">ROUND(SUM(C15:I15),4)</f>
        <v>-0.4654</v>
      </c>
    </row>
    <row r="16" customFormat="false" ht="12.75" hidden="false" customHeight="false" outlineLevel="0" collapsed="false">
      <c r="A16" s="71"/>
      <c r="B16" s="72" t="s">
        <v>310</v>
      </c>
      <c r="C16" s="73" t="n">
        <v>0.01</v>
      </c>
      <c r="D16" s="72" t="n">
        <f aca="false">-B8/B7</f>
        <v>-0.420183840217885</v>
      </c>
      <c r="E16" s="72" t="n">
        <f aca="false">-0.13-0.0025-0.0022</f>
        <v>-0.1347</v>
      </c>
      <c r="F16" s="72" t="n">
        <f aca="false">-'Index Pricing'!$F$3*'Index Pricing'!$B$3</f>
        <v>-0.017272</v>
      </c>
      <c r="G16" s="72" t="n">
        <v>-0.1226</v>
      </c>
      <c r="H16" s="72" t="n">
        <v>0</v>
      </c>
      <c r="I16" s="72" t="n">
        <f aca="false">+I15</f>
        <v>-0.0302157543082177</v>
      </c>
      <c r="J16" s="75" t="n">
        <f aca="false">ROUND(SUM(C16:I16),4)</f>
        <v>-0.715</v>
      </c>
    </row>
    <row r="17" customFormat="false" ht="12.75" hidden="false" customHeight="false" outlineLevel="0" collapsed="false">
      <c r="A17" s="71"/>
      <c r="B17" s="72" t="s">
        <v>311</v>
      </c>
      <c r="C17" s="73" t="n">
        <v>0.11</v>
      </c>
      <c r="D17" s="72" t="n">
        <f aca="false">-B8/B7</f>
        <v>-0.420183840217885</v>
      </c>
      <c r="E17" s="72" t="n">
        <f aca="false">-0.13-0.0025-0.0022</f>
        <v>-0.1347</v>
      </c>
      <c r="F17" s="72" t="n">
        <f aca="false">-'Index Pricing'!$F$3*'Index Pricing'!$B$3</f>
        <v>-0.017272</v>
      </c>
      <c r="G17" s="72"/>
      <c r="H17" s="72"/>
      <c r="I17" s="72" t="n">
        <f aca="false">+I16</f>
        <v>-0.0302157543082177</v>
      </c>
      <c r="J17" s="75" t="n">
        <f aca="false">ROUND(SUM(C17:I17),4)</f>
        <v>-0.4924</v>
      </c>
    </row>
    <row r="18" customFormat="false" ht="13.5" hidden="false" customHeight="false" outlineLevel="0" collapsed="false">
      <c r="A18" s="76"/>
      <c r="B18" s="77" t="s">
        <v>312</v>
      </c>
      <c r="C18" s="78" t="n">
        <v>-0.15</v>
      </c>
      <c r="D18" s="77" t="n">
        <f aca="false">-B8/B7</f>
        <v>-0.420183840217885</v>
      </c>
      <c r="E18" s="77"/>
      <c r="F18" s="77"/>
      <c r="G18" s="77"/>
      <c r="H18" s="77"/>
      <c r="I18" s="77" t="n">
        <f aca="false">+I17</f>
        <v>-0.0302157543082177</v>
      </c>
      <c r="J18" s="79" t="n">
        <f aca="false">ROUND(SUM(C18:I18),4)</f>
        <v>-0.6004</v>
      </c>
    </row>
    <row r="19" customFormat="false" ht="13.5" hidden="false" customHeight="false" outlineLevel="0" collapsed="false"/>
    <row r="20" customFormat="false" ht="38.25" hidden="false" customHeight="false" outlineLevel="0" collapsed="false">
      <c r="A20" s="80"/>
      <c r="B20" s="406"/>
      <c r="C20" s="81" t="s">
        <v>133</v>
      </c>
      <c r="D20" s="82" t="s">
        <v>70</v>
      </c>
      <c r="E20" s="407" t="s">
        <v>313</v>
      </c>
      <c r="F20" s="82" t="s">
        <v>72</v>
      </c>
      <c r="G20" s="81" t="s">
        <v>314</v>
      </c>
      <c r="H20" s="82" t="s">
        <v>74</v>
      </c>
      <c r="I20" s="408" t="s">
        <v>287</v>
      </c>
      <c r="J20" s="164" t="s">
        <v>315</v>
      </c>
      <c r="K20" s="84"/>
      <c r="L20" s="85" t="s">
        <v>316</v>
      </c>
      <c r="M20" s="82" t="s">
        <v>76</v>
      </c>
      <c r="N20" s="384" t="s">
        <v>147</v>
      </c>
      <c r="O20" s="383" t="s">
        <v>317</v>
      </c>
      <c r="P20" s="383" t="s">
        <v>148</v>
      </c>
      <c r="Q20" s="164" t="s">
        <v>318</v>
      </c>
      <c r="R20" s="409" t="s">
        <v>80</v>
      </c>
    </row>
    <row r="21" customFormat="false" ht="26.25" hidden="false" customHeight="false" outlineLevel="0" collapsed="false">
      <c r="B21" s="368" t="s">
        <v>81</v>
      </c>
      <c r="C21" s="347" t="s">
        <v>82</v>
      </c>
      <c r="D21" s="91"/>
      <c r="E21" s="410" t="s">
        <v>83</v>
      </c>
      <c r="F21" s="411"/>
      <c r="G21" s="412" t="s">
        <v>84</v>
      </c>
      <c r="H21" s="362"/>
      <c r="I21" s="413" t="s">
        <v>319</v>
      </c>
      <c r="J21" s="162"/>
      <c r="K21" s="331"/>
      <c r="L21" s="30"/>
      <c r="M21" s="362"/>
      <c r="N21" s="331"/>
      <c r="O21" s="30"/>
      <c r="P21" s="30"/>
      <c r="Q21" s="362"/>
      <c r="R21" s="414"/>
    </row>
    <row r="22" customFormat="false" ht="12.75" hidden="false" customHeight="false" outlineLevel="0" collapsed="false">
      <c r="A22" s="8" t="n">
        <f aca="false">+'Index Pricing'!A7</f>
        <v>37196</v>
      </c>
      <c r="B22" s="415" t="n">
        <f aca="false">+'Index Pricing'!B7</f>
        <v>2.67</v>
      </c>
      <c r="C22" s="92" t="n">
        <f aca="false">+B22+$J$15</f>
        <v>2.2046</v>
      </c>
      <c r="D22" s="416" t="n">
        <f aca="false">ROUND(MIN(0.2*$B$5,SUM(L22:M22)-F22),0)</f>
        <v>112</v>
      </c>
      <c r="E22" s="417" t="n">
        <f aca="false">+'Index Pricing'!$B$4+$J$16</f>
        <v>2.325</v>
      </c>
      <c r="F22" s="418" t="n">
        <f aca="false">ROUND(MIN(0.8*$B$5,SUM(L22:M22),2000),0)</f>
        <v>1559</v>
      </c>
      <c r="G22" s="102" t="n">
        <f aca="false">+'Index Pricing'!$B$3+$J$17</f>
        <v>2.0476</v>
      </c>
      <c r="H22" s="293" t="n">
        <f aca="false">ROUND(IF(F22&gt;=2000,IF(0.8*($B$5)&lt;(L22+M22),0.8*($B$5)-2000,(L22+M22)-2000),0),0)</f>
        <v>0</v>
      </c>
      <c r="I22" s="419" t="n">
        <f aca="false">$B22+$J$18</f>
        <v>2.0696</v>
      </c>
      <c r="J22" s="190" t="n">
        <f aca="false">ROUND(MAX(0,SUM(L22:M22)-H22-F22-D22),0)</f>
        <v>0</v>
      </c>
      <c r="K22" s="90"/>
      <c r="L22" s="394" t="n">
        <f aca="false">'[1]Enron Detail'!V14</f>
        <v>-133</v>
      </c>
      <c r="M22" s="395" t="n">
        <f aca="false">'[1]Enron Detail'!U14</f>
        <v>1804</v>
      </c>
      <c r="N22" s="97" t="n">
        <f aca="false">+C22*D22</f>
        <v>246.9152</v>
      </c>
      <c r="O22" s="98" t="n">
        <f aca="false">+E22*F22</f>
        <v>3624.675</v>
      </c>
      <c r="P22" s="98" t="n">
        <f aca="false">+G22*H22</f>
        <v>0</v>
      </c>
      <c r="Q22" s="99" t="n">
        <f aca="false">I22*J22</f>
        <v>0</v>
      </c>
      <c r="R22" s="396" t="n">
        <f aca="false">SUM(N22:Q22)</f>
        <v>3871.5902</v>
      </c>
    </row>
    <row r="23" customFormat="false" ht="12.75" hidden="false" customHeight="false" outlineLevel="0" collapsed="false">
      <c r="A23" s="8" t="n">
        <f aca="false">+'Index Pricing'!A8</f>
        <v>37197</v>
      </c>
      <c r="B23" s="420" t="n">
        <f aca="false">+'Index Pricing'!B8</f>
        <v>2.36</v>
      </c>
      <c r="C23" s="100" t="n">
        <f aca="false">+B23+$J$15</f>
        <v>1.8946</v>
      </c>
      <c r="D23" s="421" t="n">
        <f aca="false">ROUND(MIN(0.2*$B$5,SUM(L23:M23)-F23),0)</f>
        <v>155</v>
      </c>
      <c r="E23" s="422" t="n">
        <f aca="false">+'Index Pricing'!$B$4+$J$16</f>
        <v>2.325</v>
      </c>
      <c r="F23" s="423" t="n">
        <f aca="false">ROUND(MIN(0.8*$B$5,SUM(L23:M23),2000),0)</f>
        <v>1559</v>
      </c>
      <c r="G23" s="102" t="n">
        <f aca="false">+'Index Pricing'!$B$3+$J$17</f>
        <v>2.0476</v>
      </c>
      <c r="H23" s="293" t="n">
        <f aca="false">ROUND(IF(F23&gt;=2000,IF(0.8*($B$5)&lt;(L23+M23),0.8*($B$5)-2000,(L23+M23)-2000),0),0)</f>
        <v>0</v>
      </c>
      <c r="I23" s="424" t="n">
        <f aca="false">$B23+$J$18</f>
        <v>1.7596</v>
      </c>
      <c r="J23" s="202" t="n">
        <f aca="false">ROUND(MAX(0,SUM(L23:M23)-H23-F23-D23),0)</f>
        <v>0</v>
      </c>
      <c r="K23" s="90"/>
      <c r="L23" s="394" t="n">
        <f aca="false">'[1]Enron Detail'!V15</f>
        <v>-140</v>
      </c>
      <c r="M23" s="395" t="n">
        <f aca="false">'[1]Enron Detail'!U15</f>
        <v>1854</v>
      </c>
      <c r="N23" s="97" t="n">
        <f aca="false">+C23*D23</f>
        <v>293.663</v>
      </c>
      <c r="O23" s="98" t="n">
        <f aca="false">+E23*F23</f>
        <v>3624.675</v>
      </c>
      <c r="P23" s="98" t="n">
        <f aca="false">+G23*H23</f>
        <v>0</v>
      </c>
      <c r="Q23" s="99" t="n">
        <f aca="false">I23*J23</f>
        <v>0</v>
      </c>
      <c r="R23" s="396" t="n">
        <f aca="false">SUM(N23:Q23)</f>
        <v>3918.338</v>
      </c>
    </row>
    <row r="24" customFormat="false" ht="12.75" hidden="false" customHeight="false" outlineLevel="0" collapsed="false">
      <c r="A24" s="8" t="n">
        <f aca="false">+'Index Pricing'!A9</f>
        <v>37198</v>
      </c>
      <c r="B24" s="420" t="n">
        <f aca="false">+'Index Pricing'!B9</f>
        <v>2.015</v>
      </c>
      <c r="C24" s="100" t="n">
        <f aca="false">+B24+$J$15</f>
        <v>1.5496</v>
      </c>
      <c r="D24" s="421" t="n">
        <f aca="false">ROUND(MIN(0.2*$B$5,SUM(L24:M24)-F24),0)</f>
        <v>114</v>
      </c>
      <c r="E24" s="422" t="n">
        <f aca="false">+'Index Pricing'!$B$4+$J$16</f>
        <v>2.325</v>
      </c>
      <c r="F24" s="423" t="n">
        <f aca="false">ROUND(MIN(0.8*$B$5,SUM(L24:M24),2000),0)</f>
        <v>1559</v>
      </c>
      <c r="G24" s="102" t="n">
        <f aca="false">+'Index Pricing'!$B$3+$J$17</f>
        <v>2.0476</v>
      </c>
      <c r="H24" s="293" t="n">
        <f aca="false">ROUND(IF(F24&gt;=2000,IF(0.8*($B$5)&lt;(L24+M24),0.8*($B$5)-2000,(L24+M24)-2000),0),0)</f>
        <v>0</v>
      </c>
      <c r="I24" s="424" t="n">
        <f aca="false">$B24+$J$18</f>
        <v>1.4146</v>
      </c>
      <c r="J24" s="202" t="n">
        <f aca="false">ROUND(MAX(0,SUM(L24:M24)-H24-F24-D24),0)</f>
        <v>0</v>
      </c>
      <c r="K24" s="90"/>
      <c r="L24" s="394" t="n">
        <f aca="false">'[1]Enron Detail'!V16</f>
        <v>-121</v>
      </c>
      <c r="M24" s="395" t="n">
        <f aca="false">'[1]Enron Detail'!U16</f>
        <v>1794</v>
      </c>
      <c r="N24" s="97" t="n">
        <f aca="false">+C24*D24</f>
        <v>176.6544</v>
      </c>
      <c r="O24" s="98" t="n">
        <f aca="false">+E24*F24</f>
        <v>3624.675</v>
      </c>
      <c r="P24" s="98" t="n">
        <f aca="false">+G24*H24</f>
        <v>0</v>
      </c>
      <c r="Q24" s="99" t="n">
        <f aca="false">I24*J24</f>
        <v>0</v>
      </c>
      <c r="R24" s="396" t="n">
        <f aca="false">SUM(N24:Q24)</f>
        <v>3801.3294</v>
      </c>
    </row>
    <row r="25" customFormat="false" ht="12.75" hidden="false" customHeight="false" outlineLevel="0" collapsed="false">
      <c r="A25" s="8" t="n">
        <f aca="false">+'Index Pricing'!A10</f>
        <v>37199</v>
      </c>
      <c r="B25" s="420" t="n">
        <f aca="false">+'Index Pricing'!B10</f>
        <v>2.015</v>
      </c>
      <c r="C25" s="100" t="n">
        <f aca="false">+B25+$J$15</f>
        <v>1.5496</v>
      </c>
      <c r="D25" s="421" t="n">
        <f aca="false">ROUND(MIN(0.2*$B$5,SUM(L25:M25)-F25),0)</f>
        <v>109</v>
      </c>
      <c r="E25" s="422" t="n">
        <f aca="false">+'Index Pricing'!$B$4+$J$16</f>
        <v>2.325</v>
      </c>
      <c r="F25" s="423" t="n">
        <f aca="false">ROUND(MIN(0.8*$B$5,SUM(L25:M25),2000),0)</f>
        <v>1559</v>
      </c>
      <c r="G25" s="102" t="n">
        <f aca="false">+'Index Pricing'!$B$3+$J$17</f>
        <v>2.0476</v>
      </c>
      <c r="H25" s="293" t="n">
        <f aca="false">ROUND(IF(F25&gt;=2000,IF(0.8*($B$5)&lt;(L25+M25),0.8*($B$5)-2000,(L25+M25)-2000),0),0)</f>
        <v>0</v>
      </c>
      <c r="I25" s="424" t="n">
        <f aca="false">$B25+$J$18</f>
        <v>1.4146</v>
      </c>
      <c r="J25" s="202" t="n">
        <f aca="false">ROUND(MAX(0,SUM(L25:M25)-H25-F25-D25),0)</f>
        <v>0</v>
      </c>
      <c r="K25" s="90"/>
      <c r="L25" s="394" t="n">
        <f aca="false">'[1]Enron Detail'!V17</f>
        <v>-129</v>
      </c>
      <c r="M25" s="395" t="n">
        <f aca="false">'[1]Enron Detail'!U17</f>
        <v>1797</v>
      </c>
      <c r="N25" s="97" t="n">
        <f aca="false">+C25*D25</f>
        <v>168.9064</v>
      </c>
      <c r="O25" s="98" t="n">
        <f aca="false">+E25*F25</f>
        <v>3624.675</v>
      </c>
      <c r="P25" s="98" t="n">
        <f aca="false">+G25*H25</f>
        <v>0</v>
      </c>
      <c r="Q25" s="99" t="n">
        <f aca="false">I25*J25</f>
        <v>0</v>
      </c>
      <c r="R25" s="396" t="n">
        <f aca="false">SUM(N25:Q25)</f>
        <v>3793.5814</v>
      </c>
    </row>
    <row r="26" customFormat="false" ht="12.75" hidden="false" customHeight="false" outlineLevel="0" collapsed="false">
      <c r="A26" s="8" t="n">
        <f aca="false">+'Index Pricing'!A11</f>
        <v>37200</v>
      </c>
      <c r="B26" s="420" t="n">
        <f aca="false">+'Index Pricing'!B11</f>
        <v>2.015</v>
      </c>
      <c r="C26" s="100" t="n">
        <f aca="false">+B26+$J$15</f>
        <v>1.5496</v>
      </c>
      <c r="D26" s="421" t="n">
        <f aca="false">ROUND(MIN(0.2*$B$5,SUM(L26:M26)-F26),0)</f>
        <v>97</v>
      </c>
      <c r="E26" s="422" t="n">
        <f aca="false">+'Index Pricing'!$B$4+$J$16</f>
        <v>2.325</v>
      </c>
      <c r="F26" s="423" t="n">
        <f aca="false">ROUND(MIN(0.8*$B$5,SUM(L26:M26),2000),0)</f>
        <v>1559</v>
      </c>
      <c r="G26" s="102" t="n">
        <f aca="false">+'Index Pricing'!$B$3+$J$17</f>
        <v>2.0476</v>
      </c>
      <c r="H26" s="293" t="n">
        <f aca="false">ROUND(IF(F26&gt;=2000,IF(0.8*($B$5)&lt;(L26+M26),0.8*($B$5)-2000,(L26+M26)-2000),0),0)</f>
        <v>0</v>
      </c>
      <c r="I26" s="424" t="n">
        <f aca="false">$B26+$J$18</f>
        <v>1.4146</v>
      </c>
      <c r="J26" s="202" t="n">
        <f aca="false">ROUND(MAX(0,SUM(L26:M26)-H26-F26-D26),0)</f>
        <v>0</v>
      </c>
      <c r="K26" s="90"/>
      <c r="L26" s="394" t="n">
        <f aca="false">'[1]Enron Detail'!V18</f>
        <v>-132</v>
      </c>
      <c r="M26" s="395" t="n">
        <f aca="false">'[1]Enron Detail'!U18</f>
        <v>1788</v>
      </c>
      <c r="N26" s="97" t="n">
        <f aca="false">+C26*D26</f>
        <v>150.3112</v>
      </c>
      <c r="O26" s="98" t="n">
        <f aca="false">+E26*F26</f>
        <v>3624.675</v>
      </c>
      <c r="P26" s="98" t="n">
        <f aca="false">+G26*H26</f>
        <v>0</v>
      </c>
      <c r="Q26" s="99" t="n">
        <f aca="false">I26*J26</f>
        <v>0</v>
      </c>
      <c r="R26" s="396" t="n">
        <f aca="false">SUM(N26:Q26)</f>
        <v>3774.9862</v>
      </c>
    </row>
    <row r="27" customFormat="false" ht="12.75" hidden="false" customHeight="false" outlineLevel="0" collapsed="false">
      <c r="A27" s="8" t="n">
        <f aca="false">+'Index Pricing'!A12</f>
        <v>37201</v>
      </c>
      <c r="B27" s="420" t="n">
        <f aca="false">+'Index Pricing'!B12</f>
        <v>2.16</v>
      </c>
      <c r="C27" s="100" t="n">
        <f aca="false">+B27+$J$15</f>
        <v>1.6946</v>
      </c>
      <c r="D27" s="421" t="n">
        <f aca="false">ROUND(MIN(0.2*$B$5,SUM(L27:M27)-F27),0)</f>
        <v>135</v>
      </c>
      <c r="E27" s="422" t="n">
        <f aca="false">+'Index Pricing'!$B$4+$J$16</f>
        <v>2.325</v>
      </c>
      <c r="F27" s="423" t="n">
        <f aca="false">ROUND(MIN(0.8*$B$5,SUM(L27:M27),2000),0)</f>
        <v>1559</v>
      </c>
      <c r="G27" s="102" t="n">
        <f aca="false">+'Index Pricing'!$B$3+$J$17</f>
        <v>2.0476</v>
      </c>
      <c r="H27" s="293" t="n">
        <f aca="false">ROUND(IF(F27&gt;=2000,IF(0.8*($B$5)&lt;(L27+M27),0.8*($B$5)-2000,(L27+M27)-2000),0),0)</f>
        <v>0</v>
      </c>
      <c r="I27" s="424" t="n">
        <f aca="false">$B27+$J$18</f>
        <v>1.5596</v>
      </c>
      <c r="J27" s="202" t="n">
        <f aca="false">ROUND(MAX(0,SUM(L27:M27)-H27-F27-D27),0)</f>
        <v>0</v>
      </c>
      <c r="K27" s="90"/>
      <c r="L27" s="394" t="n">
        <f aca="false">'[1]Enron Detail'!V19</f>
        <v>-128</v>
      </c>
      <c r="M27" s="395" t="n">
        <f aca="false">'[1]Enron Detail'!U19</f>
        <v>1822</v>
      </c>
      <c r="N27" s="97" t="n">
        <f aca="false">+C27*D27</f>
        <v>228.771</v>
      </c>
      <c r="O27" s="98" t="n">
        <f aca="false">+E27*F27</f>
        <v>3624.675</v>
      </c>
      <c r="P27" s="98" t="n">
        <f aca="false">+G27*H27</f>
        <v>0</v>
      </c>
      <c r="Q27" s="99" t="n">
        <f aca="false">I27*J27</f>
        <v>0</v>
      </c>
      <c r="R27" s="396" t="n">
        <f aca="false">SUM(N27:Q27)</f>
        <v>3853.446</v>
      </c>
    </row>
    <row r="28" customFormat="false" ht="12.75" hidden="false" customHeight="false" outlineLevel="0" collapsed="false">
      <c r="A28" s="8" t="n">
        <f aca="false">+'Index Pricing'!A13</f>
        <v>37202</v>
      </c>
      <c r="B28" s="420" t="n">
        <f aca="false">+'Index Pricing'!B13</f>
        <v>2.135</v>
      </c>
      <c r="C28" s="100" t="n">
        <f aca="false">+B28+$J$15</f>
        <v>1.6696</v>
      </c>
      <c r="D28" s="421" t="n">
        <f aca="false">ROUND(MIN(0.2*$B$5,SUM(L28:M28)-F28),0)</f>
        <v>75</v>
      </c>
      <c r="E28" s="422" t="n">
        <f aca="false">+'Index Pricing'!$B$4+$J$16</f>
        <v>2.325</v>
      </c>
      <c r="F28" s="423" t="n">
        <f aca="false">ROUND(MIN(0.8*$B$5,SUM(L28:M28),2000),0)</f>
        <v>1559</v>
      </c>
      <c r="G28" s="102" t="n">
        <f aca="false">+'Index Pricing'!$B$3+$J$17</f>
        <v>2.0476</v>
      </c>
      <c r="H28" s="293" t="n">
        <f aca="false">ROUND(IF(F28&gt;=2000,IF(0.8*($B$5)&lt;(L28+M28),0.8*($B$5)-2000,(L28+M28)-2000),0),0)</f>
        <v>0</v>
      </c>
      <c r="I28" s="424" t="n">
        <f aca="false">$B28+$J$18</f>
        <v>1.5346</v>
      </c>
      <c r="J28" s="202" t="n">
        <f aca="false">ROUND(MAX(0,SUM(L28:M28)-H28-F28-D28),0)</f>
        <v>0</v>
      </c>
      <c r="K28" s="90"/>
      <c r="L28" s="394" t="n">
        <f aca="false">'[1]Enron Detail'!V20</f>
        <v>-128</v>
      </c>
      <c r="M28" s="395" t="n">
        <f aca="false">'[1]Enron Detail'!U20</f>
        <v>1762</v>
      </c>
      <c r="N28" s="97" t="n">
        <f aca="false">+C28*D28</f>
        <v>125.22</v>
      </c>
      <c r="O28" s="98" t="n">
        <f aca="false">+E28*F28</f>
        <v>3624.675</v>
      </c>
      <c r="P28" s="98" t="n">
        <f aca="false">+G28*H28</f>
        <v>0</v>
      </c>
      <c r="Q28" s="99" t="n">
        <f aca="false">I28*J28</f>
        <v>0</v>
      </c>
      <c r="R28" s="396" t="n">
        <f aca="false">SUM(N28:Q28)</f>
        <v>3749.895</v>
      </c>
    </row>
    <row r="29" customFormat="false" ht="12.75" hidden="false" customHeight="false" outlineLevel="0" collapsed="false">
      <c r="A29" s="8" t="n">
        <f aca="false">+'Index Pricing'!A14</f>
        <v>37203</v>
      </c>
      <c r="B29" s="420" t="n">
        <f aca="false">+'Index Pricing'!B14</f>
        <v>2.13</v>
      </c>
      <c r="C29" s="100" t="n">
        <f aca="false">+B29+$J$15</f>
        <v>1.6646</v>
      </c>
      <c r="D29" s="421" t="n">
        <f aca="false">ROUND(MIN(0.2*$B$5,SUM(L29:M29)-F29),0)</f>
        <v>129</v>
      </c>
      <c r="E29" s="422" t="n">
        <f aca="false">+'Index Pricing'!$B$4+$J$16</f>
        <v>2.325</v>
      </c>
      <c r="F29" s="423" t="n">
        <f aca="false">ROUND(MIN(0.8*$B$5,SUM(L29:M29),2000),0)</f>
        <v>1559</v>
      </c>
      <c r="G29" s="102" t="n">
        <f aca="false">+'Index Pricing'!$B$3+$J$17</f>
        <v>2.0476</v>
      </c>
      <c r="H29" s="293" t="n">
        <f aca="false">ROUND(IF(F29&gt;=2000,IF(0.8*($B$5)&lt;(L29+M29),0.8*($B$5)-2000,(L29+M29)-2000),0),0)</f>
        <v>0</v>
      </c>
      <c r="I29" s="424" t="n">
        <f aca="false">$B29+$J$18</f>
        <v>1.5296</v>
      </c>
      <c r="J29" s="202" t="n">
        <f aca="false">ROUND(MAX(0,SUM(L29:M29)-H29-F29-D29),0)</f>
        <v>0</v>
      </c>
      <c r="K29" s="90"/>
      <c r="L29" s="394" t="n">
        <f aca="false">'[1]Enron Detail'!V21</f>
        <v>-119</v>
      </c>
      <c r="M29" s="395" t="n">
        <f aca="false">'[1]Enron Detail'!U21</f>
        <v>1807</v>
      </c>
      <c r="N29" s="97" t="n">
        <f aca="false">+C29*D29</f>
        <v>214.7334</v>
      </c>
      <c r="O29" s="98" t="n">
        <f aca="false">+E29*F29</f>
        <v>3624.675</v>
      </c>
      <c r="P29" s="98" t="n">
        <f aca="false">+G29*H29</f>
        <v>0</v>
      </c>
      <c r="Q29" s="99" t="n">
        <f aca="false">I29*J29</f>
        <v>0</v>
      </c>
      <c r="R29" s="396" t="n">
        <f aca="false">SUM(N29:Q29)</f>
        <v>3839.4084</v>
      </c>
    </row>
    <row r="30" customFormat="false" ht="12.75" hidden="false" customHeight="false" outlineLevel="0" collapsed="false">
      <c r="A30" s="8" t="n">
        <f aca="false">+'Index Pricing'!A15</f>
        <v>37204</v>
      </c>
      <c r="B30" s="420" t="n">
        <f aca="false">+'Index Pricing'!B15</f>
        <v>1.935</v>
      </c>
      <c r="C30" s="100" t="n">
        <f aca="false">+B30+$J$15</f>
        <v>1.4696</v>
      </c>
      <c r="D30" s="421" t="n">
        <f aca="false">ROUND(MIN(0.2*$B$5,SUM(L30:M30)-F30),0)</f>
        <v>102</v>
      </c>
      <c r="E30" s="422" t="n">
        <f aca="false">+'Index Pricing'!$B$4+$J$16</f>
        <v>2.325</v>
      </c>
      <c r="F30" s="423" t="n">
        <f aca="false">ROUND(MIN(0.8*$B$5,SUM(L30:M30),2000),0)</f>
        <v>1559</v>
      </c>
      <c r="G30" s="102" t="n">
        <f aca="false">+'Index Pricing'!$B$3+$J$17</f>
        <v>2.0476</v>
      </c>
      <c r="H30" s="293" t="n">
        <f aca="false">ROUND(IF(F30&gt;=2000,IF(0.8*($B$5)&lt;(L30+M30),0.8*($B$5)-2000,(L30+M30)-2000),0),0)</f>
        <v>0</v>
      </c>
      <c r="I30" s="424" t="n">
        <f aca="false">$B30+$J$18</f>
        <v>1.3346</v>
      </c>
      <c r="J30" s="202" t="n">
        <f aca="false">ROUND(MAX(0,SUM(L30:M30)-H30-F30-D30),0)</f>
        <v>0</v>
      </c>
      <c r="K30" s="90"/>
      <c r="L30" s="394" t="n">
        <f aca="false">'[1]Enron Detail'!V22</f>
        <v>-117</v>
      </c>
      <c r="M30" s="395" t="n">
        <f aca="false">'[1]Enron Detail'!U22</f>
        <v>1778</v>
      </c>
      <c r="N30" s="97" t="n">
        <f aca="false">+C30*D30</f>
        <v>149.8992</v>
      </c>
      <c r="O30" s="98" t="n">
        <f aca="false">+E30*F30</f>
        <v>3624.675</v>
      </c>
      <c r="P30" s="98" t="n">
        <f aca="false">+G30*H30</f>
        <v>0</v>
      </c>
      <c r="Q30" s="99" t="n">
        <f aca="false">I30*J30</f>
        <v>0</v>
      </c>
      <c r="R30" s="396" t="n">
        <f aca="false">SUM(N30:Q30)</f>
        <v>3774.5742</v>
      </c>
    </row>
    <row r="31" customFormat="false" ht="12.75" hidden="false" customHeight="false" outlineLevel="0" collapsed="false">
      <c r="A31" s="8" t="n">
        <f aca="false">+'Index Pricing'!A16</f>
        <v>37205</v>
      </c>
      <c r="B31" s="420" t="n">
        <f aca="false">+'Index Pricing'!B16</f>
        <v>1.7</v>
      </c>
      <c r="C31" s="100" t="n">
        <f aca="false">+B31+$J$15</f>
        <v>1.2346</v>
      </c>
      <c r="D31" s="421" t="n">
        <f aca="false">ROUND(MIN(0.2*$B$5,SUM(L31:M31)-F31),0)</f>
        <v>90</v>
      </c>
      <c r="E31" s="422" t="n">
        <f aca="false">+'Index Pricing'!$B$4+$J$16</f>
        <v>2.325</v>
      </c>
      <c r="F31" s="423" t="n">
        <f aca="false">ROUND(MIN(0.8*$B$5,SUM(L31:M31),2000),0)</f>
        <v>1559</v>
      </c>
      <c r="G31" s="102" t="n">
        <f aca="false">+'Index Pricing'!$B$3+$J$17</f>
        <v>2.0476</v>
      </c>
      <c r="H31" s="293" t="n">
        <f aca="false">ROUND(IF(F31&gt;=2000,IF(0.8*($B$5)&lt;(L31+M31),0.8*($B$5)-2000,(L31+M31)-2000),0),0)</f>
        <v>0</v>
      </c>
      <c r="I31" s="424" t="n">
        <f aca="false">$B31+$J$18</f>
        <v>1.0996</v>
      </c>
      <c r="J31" s="202" t="n">
        <f aca="false">ROUND(MAX(0,SUM(L31:M31)-H31-F31-D31),0)</f>
        <v>0</v>
      </c>
      <c r="K31" s="90"/>
      <c r="L31" s="394" t="n">
        <f aca="false">'[1]Enron Detail'!V23</f>
        <v>-123</v>
      </c>
      <c r="M31" s="395" t="n">
        <f aca="false">'[1]Enron Detail'!U23</f>
        <v>1772</v>
      </c>
      <c r="N31" s="97" t="n">
        <f aca="false">+C31*D31</f>
        <v>111.114</v>
      </c>
      <c r="O31" s="98" t="n">
        <f aca="false">+E31*F31</f>
        <v>3624.675</v>
      </c>
      <c r="P31" s="98" t="n">
        <f aca="false">+G31*H31</f>
        <v>0</v>
      </c>
      <c r="Q31" s="99" t="n">
        <f aca="false">I31*J31</f>
        <v>0</v>
      </c>
      <c r="R31" s="396" t="n">
        <f aca="false">SUM(N31:Q31)</f>
        <v>3735.789</v>
      </c>
    </row>
    <row r="32" customFormat="false" ht="12.75" hidden="false" customHeight="false" outlineLevel="0" collapsed="false">
      <c r="A32" s="8" t="n">
        <f aca="false">+'Index Pricing'!A17</f>
        <v>37206</v>
      </c>
      <c r="B32" s="420" t="n">
        <f aca="false">+'Index Pricing'!B17</f>
        <v>1.7</v>
      </c>
      <c r="C32" s="100" t="n">
        <f aca="false">+B32+$J$15</f>
        <v>1.2346</v>
      </c>
      <c r="D32" s="421" t="n">
        <f aca="false">ROUND(MIN(0.2*$B$5,SUM(L32:M32)-F32),0)</f>
        <v>79</v>
      </c>
      <c r="E32" s="422" t="n">
        <f aca="false">+'Index Pricing'!$B$4+$J$16</f>
        <v>2.325</v>
      </c>
      <c r="F32" s="423" t="n">
        <f aca="false">ROUND(MIN(0.8*$B$5,SUM(L32:M32),2000),0)</f>
        <v>1559</v>
      </c>
      <c r="G32" s="102" t="n">
        <f aca="false">+'Index Pricing'!$B$3+$J$17</f>
        <v>2.0476</v>
      </c>
      <c r="H32" s="293" t="n">
        <f aca="false">ROUND(IF(F32&gt;=2000,IF(0.8*($B$5)&lt;(L32+M32),0.8*($B$5)-2000,(L32+M32)-2000),0),0)</f>
        <v>0</v>
      </c>
      <c r="I32" s="424" t="n">
        <f aca="false">$B32+$J$18</f>
        <v>1.0996</v>
      </c>
      <c r="J32" s="202" t="n">
        <f aca="false">ROUND(MAX(0,SUM(L32:M32)-H32-F32-D32),0)</f>
        <v>0</v>
      </c>
      <c r="K32" s="90"/>
      <c r="L32" s="394" t="n">
        <f aca="false">'[1]Enron Detail'!V24</f>
        <v>-122</v>
      </c>
      <c r="M32" s="395" t="n">
        <f aca="false">'[1]Enron Detail'!U24</f>
        <v>1760</v>
      </c>
      <c r="N32" s="97" t="n">
        <f aca="false">+C32*D32</f>
        <v>97.5334</v>
      </c>
      <c r="O32" s="98" t="n">
        <f aca="false">+E32*F32</f>
        <v>3624.675</v>
      </c>
      <c r="P32" s="98" t="n">
        <f aca="false">+G32*H32</f>
        <v>0</v>
      </c>
      <c r="Q32" s="99" t="n">
        <f aca="false">I32*J32</f>
        <v>0</v>
      </c>
      <c r="R32" s="396" t="n">
        <f aca="false">SUM(N32:Q32)</f>
        <v>3722.2084</v>
      </c>
    </row>
    <row r="33" customFormat="false" ht="12.75" hidden="false" customHeight="false" outlineLevel="0" collapsed="false">
      <c r="A33" s="8" t="n">
        <f aca="false">+'Index Pricing'!A18</f>
        <v>37207</v>
      </c>
      <c r="B33" s="420" t="n">
        <f aca="false">+'Index Pricing'!B18</f>
        <v>1.7</v>
      </c>
      <c r="C33" s="100" t="n">
        <f aca="false">+B33+$J$15</f>
        <v>1.2346</v>
      </c>
      <c r="D33" s="421" t="n">
        <f aca="false">ROUND(MIN(0.2*$B$5,SUM(L33:M33)-F33),0)</f>
        <v>79</v>
      </c>
      <c r="E33" s="422" t="n">
        <f aca="false">+'Index Pricing'!$B$4+$J$16</f>
        <v>2.325</v>
      </c>
      <c r="F33" s="423" t="n">
        <f aca="false">ROUND(MIN(0.8*$B$5,SUM(L33:M33),2000),0)</f>
        <v>1559</v>
      </c>
      <c r="G33" s="102" t="n">
        <f aca="false">+'Index Pricing'!$B$3+$J$17</f>
        <v>2.0476</v>
      </c>
      <c r="H33" s="293" t="n">
        <f aca="false">ROUND(IF(F33&gt;=2000,IF(0.8*($B$5)&lt;(L33+M33),0.8*($B$5)-2000,(L33+M33)-2000),0),0)</f>
        <v>0</v>
      </c>
      <c r="I33" s="424" t="n">
        <f aca="false">$B33+$J$18</f>
        <v>1.0996</v>
      </c>
      <c r="J33" s="202" t="n">
        <f aca="false">ROUND(MAX(0,SUM(L33:M33)-H33-F33-D33),0)</f>
        <v>0</v>
      </c>
      <c r="K33" s="90"/>
      <c r="L33" s="394" t="n">
        <f aca="false">'[1]Enron Detail'!V25</f>
        <v>-120</v>
      </c>
      <c r="M33" s="395" t="n">
        <f aca="false">'[1]Enron Detail'!U25</f>
        <v>1758</v>
      </c>
      <c r="N33" s="97" t="n">
        <f aca="false">+C33*D33</f>
        <v>97.5334</v>
      </c>
      <c r="O33" s="98" t="n">
        <f aca="false">+E33*F33</f>
        <v>3624.675</v>
      </c>
      <c r="P33" s="98" t="n">
        <f aca="false">+G33*H33</f>
        <v>0</v>
      </c>
      <c r="Q33" s="99" t="n">
        <f aca="false">I33*J33</f>
        <v>0</v>
      </c>
      <c r="R33" s="396" t="n">
        <f aca="false">SUM(N33:Q33)</f>
        <v>3722.2084</v>
      </c>
    </row>
    <row r="34" customFormat="false" ht="12.75" hidden="false" customHeight="false" outlineLevel="0" collapsed="false">
      <c r="A34" s="8" t="n">
        <f aca="false">+'Index Pricing'!A19</f>
        <v>37208</v>
      </c>
      <c r="B34" s="420" t="n">
        <f aca="false">+'Index Pricing'!B19</f>
        <v>1.52</v>
      </c>
      <c r="C34" s="100" t="n">
        <f aca="false">+B34+$J$15</f>
        <v>1.0546</v>
      </c>
      <c r="D34" s="421" t="n">
        <f aca="false">ROUND(MIN(0.2*$B$5,SUM(L34:M34)-F34),0)</f>
        <v>0</v>
      </c>
      <c r="E34" s="422" t="n">
        <f aca="false">+'Index Pricing'!$B$4+$J$16</f>
        <v>2.325</v>
      </c>
      <c r="F34" s="423" t="n">
        <f aca="false">ROUND(MIN(0.8*$B$5,SUM(L34:M34),2000),0)</f>
        <v>385</v>
      </c>
      <c r="G34" s="102" t="n">
        <f aca="false">+'Index Pricing'!$B$3+$J$17</f>
        <v>2.0476</v>
      </c>
      <c r="H34" s="293" t="n">
        <f aca="false">ROUND(IF(F34&gt;=2000,IF(0.8*($B$5)&lt;(L34+M34),0.8*($B$5)-2000,(L34+M34)-2000),0),0)</f>
        <v>0</v>
      </c>
      <c r="I34" s="424" t="n">
        <f aca="false">$B34+$J$18</f>
        <v>0.9196</v>
      </c>
      <c r="J34" s="202" t="n">
        <f aca="false">ROUND(MAX(0,SUM(L34:M34)-H34-F34-D34),0)</f>
        <v>0</v>
      </c>
      <c r="K34" s="90"/>
      <c r="L34" s="394" t="n">
        <f aca="false">'[1]Enron Detail'!V26</f>
        <v>-29</v>
      </c>
      <c r="M34" s="395" t="n">
        <f aca="false">'[1]Enron Detail'!U26</f>
        <v>414</v>
      </c>
      <c r="N34" s="97" t="n">
        <f aca="false">+C34*D34</f>
        <v>0</v>
      </c>
      <c r="O34" s="98" t="n">
        <f aca="false">+E34*F34</f>
        <v>895.125</v>
      </c>
      <c r="P34" s="98" t="n">
        <f aca="false">+G34*H34</f>
        <v>0</v>
      </c>
      <c r="Q34" s="99" t="n">
        <f aca="false">I34*J34</f>
        <v>0</v>
      </c>
      <c r="R34" s="396" t="n">
        <f aca="false">SUM(N34:Q34)</f>
        <v>895.125</v>
      </c>
    </row>
    <row r="35" customFormat="false" ht="12.75" hidden="false" customHeight="false" outlineLevel="0" collapsed="false">
      <c r="A35" s="8" t="n">
        <f aca="false">+'Index Pricing'!A20</f>
        <v>37209</v>
      </c>
      <c r="B35" s="420" t="n">
        <f aca="false">+'Index Pricing'!B20</f>
        <v>1.595</v>
      </c>
      <c r="C35" s="100" t="n">
        <f aca="false">+B35+$J$15</f>
        <v>1.1296</v>
      </c>
      <c r="D35" s="421" t="n">
        <f aca="false">ROUND(MIN(0.2*$B$5,SUM(L35:M35)-F35),0)</f>
        <v>87</v>
      </c>
      <c r="E35" s="422" t="n">
        <f aca="false">+'Index Pricing'!$B$4+$J$16</f>
        <v>2.325</v>
      </c>
      <c r="F35" s="423" t="n">
        <f aca="false">ROUND(MIN(0.8*$B$5,SUM(L35:M35),2000),0)</f>
        <v>1559</v>
      </c>
      <c r="G35" s="102" t="n">
        <f aca="false">+'Index Pricing'!$B$3+$J$17</f>
        <v>2.0476</v>
      </c>
      <c r="H35" s="293" t="n">
        <f aca="false">ROUND(IF(F35&gt;=2000,IF(0.8*($B$5)&lt;(L35+M35),0.8*($B$5)-2000,(L35+M35)-2000),0),0)</f>
        <v>0</v>
      </c>
      <c r="I35" s="424" t="n">
        <f aca="false">$B35+$J$18</f>
        <v>0.9946</v>
      </c>
      <c r="J35" s="202" t="n">
        <f aca="false">ROUND(MAX(0,SUM(L35:M35)-H35-F35-D35),0)</f>
        <v>0</v>
      </c>
      <c r="K35" s="90"/>
      <c r="L35" s="394" t="n">
        <f aca="false">'[1]Enron Detail'!V27</f>
        <v>-113</v>
      </c>
      <c r="M35" s="395" t="n">
        <f aca="false">'[1]Enron Detail'!U27</f>
        <v>1759</v>
      </c>
      <c r="N35" s="97" t="n">
        <f aca="false">+C35*D35</f>
        <v>98.2752</v>
      </c>
      <c r="O35" s="98" t="n">
        <f aca="false">+E35*F35</f>
        <v>3624.675</v>
      </c>
      <c r="P35" s="98" t="n">
        <f aca="false">+G35*H35</f>
        <v>0</v>
      </c>
      <c r="Q35" s="99" t="n">
        <f aca="false">I35*J35</f>
        <v>0</v>
      </c>
      <c r="R35" s="396" t="n">
        <f aca="false">SUM(N35:Q35)</f>
        <v>3722.9502</v>
      </c>
    </row>
    <row r="36" customFormat="false" ht="12.75" hidden="false" customHeight="false" outlineLevel="0" collapsed="false">
      <c r="A36" s="8" t="n">
        <f aca="false">+'Index Pricing'!A21</f>
        <v>37210</v>
      </c>
      <c r="B36" s="420" t="n">
        <f aca="false">+'Index Pricing'!B21</f>
        <v>1.84</v>
      </c>
      <c r="C36" s="100" t="n">
        <f aca="false">+B36+$J$15</f>
        <v>1.3746</v>
      </c>
      <c r="D36" s="421" t="n">
        <f aca="false">ROUND(MIN(0.2*$B$5,SUM(L36:M36)-F36),0)</f>
        <v>136</v>
      </c>
      <c r="E36" s="422" t="n">
        <f aca="false">+'Index Pricing'!$B$4+$J$16</f>
        <v>2.325</v>
      </c>
      <c r="F36" s="423" t="n">
        <f aca="false">ROUND(MIN(0.8*$B$5,SUM(L36:M36),2000),0)</f>
        <v>1559</v>
      </c>
      <c r="G36" s="102" t="n">
        <f aca="false">+'Index Pricing'!$B$3+$J$17</f>
        <v>2.0476</v>
      </c>
      <c r="H36" s="293" t="n">
        <f aca="false">ROUND(IF(F36&gt;=2000,IF(0.8*($B$5)&lt;(L36+M36),0.8*($B$5)-2000,(L36+M36)-2000),0),0)</f>
        <v>0</v>
      </c>
      <c r="I36" s="424" t="n">
        <f aca="false">$B36+$J$18</f>
        <v>1.2396</v>
      </c>
      <c r="J36" s="202" t="n">
        <f aca="false">ROUND(MAX(0,SUM(L36:M36)-H36-F36-D36),0)</f>
        <v>0</v>
      </c>
      <c r="K36" s="90"/>
      <c r="L36" s="394" t="n">
        <f aca="false">'[1]Enron Detail'!V28</f>
        <v>-132</v>
      </c>
      <c r="M36" s="395" t="n">
        <f aca="false">'[1]Enron Detail'!U28</f>
        <v>1827</v>
      </c>
      <c r="N36" s="97" t="n">
        <f aca="false">+C36*D36</f>
        <v>186.9456</v>
      </c>
      <c r="O36" s="98" t="n">
        <f aca="false">+E36*F36</f>
        <v>3624.675</v>
      </c>
      <c r="P36" s="98" t="n">
        <f aca="false">+G36*H36</f>
        <v>0</v>
      </c>
      <c r="Q36" s="99" t="n">
        <f aca="false">I36*J36</f>
        <v>0</v>
      </c>
      <c r="R36" s="396" t="n">
        <f aca="false">SUM(N36:Q36)</f>
        <v>3811.6206</v>
      </c>
    </row>
    <row r="37" customFormat="false" ht="12.75" hidden="false" customHeight="false" outlineLevel="0" collapsed="false">
      <c r="A37" s="8" t="n">
        <f aca="false">+'Index Pricing'!A22</f>
        <v>37211</v>
      </c>
      <c r="B37" s="420" t="n">
        <f aca="false">+'Index Pricing'!B22</f>
        <v>1.435</v>
      </c>
      <c r="C37" s="100" t="n">
        <f aca="false">+B37+$J$15</f>
        <v>0.9696</v>
      </c>
      <c r="D37" s="421" t="n">
        <f aca="false">ROUND(MIN(0.2*$B$5,SUM(L37:M37)-F37),0)</f>
        <v>207</v>
      </c>
      <c r="E37" s="422" t="n">
        <f aca="false">+'Index Pricing'!$B$4+$J$16</f>
        <v>2.325</v>
      </c>
      <c r="F37" s="423" t="n">
        <f aca="false">ROUND(MIN(0.8*$B$5,SUM(L37:M37),2000),0)</f>
        <v>1559</v>
      </c>
      <c r="G37" s="102" t="n">
        <f aca="false">+'Index Pricing'!$B$3+$J$17</f>
        <v>2.0476</v>
      </c>
      <c r="H37" s="293" t="n">
        <f aca="false">ROUND(IF(F37&gt;=2000,IF(0.8*($B$5)&lt;(L37+M37),0.8*($B$5)-2000,(L37+M37)-2000),0),0)</f>
        <v>0</v>
      </c>
      <c r="I37" s="424" t="n">
        <f aca="false">$B37+$J$18</f>
        <v>0.8346</v>
      </c>
      <c r="J37" s="202" t="n">
        <f aca="false">ROUND(MAX(0,SUM(L37:M37)-H37-F37-D37),0)</f>
        <v>0</v>
      </c>
      <c r="K37" s="90"/>
      <c r="L37" s="394" t="n">
        <f aca="false">'[1]Enron Detail'!V29</f>
        <v>-110</v>
      </c>
      <c r="M37" s="395" t="n">
        <f aca="false">'[1]Enron Detail'!U29</f>
        <v>1876</v>
      </c>
      <c r="N37" s="97" t="n">
        <f aca="false">+C37*D37</f>
        <v>200.7072</v>
      </c>
      <c r="O37" s="98" t="n">
        <f aca="false">+E37*F37</f>
        <v>3624.675</v>
      </c>
      <c r="P37" s="98" t="n">
        <f aca="false">+G37*H37</f>
        <v>0</v>
      </c>
      <c r="Q37" s="99" t="n">
        <f aca="false">I37*J37</f>
        <v>0</v>
      </c>
      <c r="R37" s="396" t="n">
        <f aca="false">SUM(N37:Q37)</f>
        <v>3825.3822</v>
      </c>
    </row>
    <row r="38" customFormat="false" ht="12.75" hidden="false" customHeight="false" outlineLevel="0" collapsed="false">
      <c r="A38" s="8" t="n">
        <f aca="false">+'Index Pricing'!A23</f>
        <v>37212</v>
      </c>
      <c r="B38" s="420" t="n">
        <f aca="false">+'Index Pricing'!B23</f>
        <v>1.135</v>
      </c>
      <c r="C38" s="100" t="n">
        <f aca="false">+B38+$J$15</f>
        <v>0.6696</v>
      </c>
      <c r="D38" s="421" t="n">
        <f aca="false">ROUND(MIN(0.2*$B$5,SUM(L38:M38)-F38),0)</f>
        <v>204</v>
      </c>
      <c r="E38" s="422" t="n">
        <f aca="false">+'Index Pricing'!$B$4+$J$16</f>
        <v>2.325</v>
      </c>
      <c r="F38" s="423" t="n">
        <f aca="false">ROUND(MIN(0.8*$B$5,SUM(L38:M38),2000),0)</f>
        <v>1559</v>
      </c>
      <c r="G38" s="102" t="n">
        <f aca="false">+'Index Pricing'!$B$3+$J$17</f>
        <v>2.0476</v>
      </c>
      <c r="H38" s="293" t="n">
        <f aca="false">ROUND(IF(F38&gt;=2000,IF(0.8*($B$5)&lt;(L38+M38),0.8*($B$5)-2000,(L38+M38)-2000),0),0)</f>
        <v>0</v>
      </c>
      <c r="I38" s="424" t="n">
        <f aca="false">$B38+$J$18</f>
        <v>0.5346</v>
      </c>
      <c r="J38" s="202" t="n">
        <f aca="false">ROUND(MAX(0,SUM(L38:M38)-H38-F38-D38),0)</f>
        <v>0</v>
      </c>
      <c r="K38" s="90"/>
      <c r="L38" s="394" t="n">
        <f aca="false">'[1]Enron Detail'!V30</f>
        <v>-117</v>
      </c>
      <c r="M38" s="395" t="n">
        <f aca="false">'[1]Enron Detail'!U30</f>
        <v>1880</v>
      </c>
      <c r="N38" s="97" t="n">
        <f aca="false">+C38*D38</f>
        <v>136.5984</v>
      </c>
      <c r="O38" s="98" t="n">
        <f aca="false">+E38*F38</f>
        <v>3624.675</v>
      </c>
      <c r="P38" s="98" t="n">
        <f aca="false">+G38*H38</f>
        <v>0</v>
      </c>
      <c r="Q38" s="99" t="n">
        <f aca="false">I38*J38</f>
        <v>0</v>
      </c>
      <c r="R38" s="396" t="n">
        <f aca="false">SUM(N38:Q38)</f>
        <v>3761.2734</v>
      </c>
    </row>
    <row r="39" customFormat="false" ht="12.75" hidden="false" customHeight="false" outlineLevel="0" collapsed="false">
      <c r="A39" s="8" t="n">
        <f aca="false">+'Index Pricing'!A24</f>
        <v>37213</v>
      </c>
      <c r="B39" s="420" t="n">
        <f aca="false">+'Index Pricing'!B24</f>
        <v>1.135</v>
      </c>
      <c r="C39" s="100" t="n">
        <f aca="false">+B39+$J$15</f>
        <v>0.6696</v>
      </c>
      <c r="D39" s="421" t="n">
        <f aca="false">ROUND(MIN(0.2*$B$5,SUM(L39:M39)-F39),0)</f>
        <v>194</v>
      </c>
      <c r="E39" s="422" t="n">
        <f aca="false">+'Index Pricing'!$B$4+$J$16</f>
        <v>2.325</v>
      </c>
      <c r="F39" s="423" t="n">
        <f aca="false">ROUND(MIN(0.8*$B$5,SUM(L39:M39),2000),0)</f>
        <v>1559</v>
      </c>
      <c r="G39" s="102" t="n">
        <f aca="false">+'Index Pricing'!$B$3+$J$17</f>
        <v>2.0476</v>
      </c>
      <c r="H39" s="293" t="n">
        <f aca="false">ROUND(IF(F39&gt;=2000,IF(0.8*($B$5)&lt;(L39+M39),0.8*($B$5)-2000,(L39+M39)-2000),0),0)</f>
        <v>0</v>
      </c>
      <c r="I39" s="424" t="n">
        <f aca="false">$B39+$J$18</f>
        <v>0.5346</v>
      </c>
      <c r="J39" s="202" t="n">
        <f aca="false">ROUND(MAX(0,SUM(L39:M39)-H39-F39-D39),0)</f>
        <v>0</v>
      </c>
      <c r="K39" s="90"/>
      <c r="L39" s="394" t="n">
        <f aca="false">'[1]Enron Detail'!V31</f>
        <v>-104</v>
      </c>
      <c r="M39" s="395" t="n">
        <f aca="false">'[1]Enron Detail'!U31</f>
        <v>1857</v>
      </c>
      <c r="N39" s="97" t="n">
        <f aca="false">+C39*D39</f>
        <v>129.9024</v>
      </c>
      <c r="O39" s="98" t="n">
        <f aca="false">+E39*F39</f>
        <v>3624.675</v>
      </c>
      <c r="P39" s="98" t="n">
        <f aca="false">+G39*H39</f>
        <v>0</v>
      </c>
      <c r="Q39" s="99" t="n">
        <f aca="false">I39*J39</f>
        <v>0</v>
      </c>
      <c r="R39" s="396" t="n">
        <f aca="false">SUM(N39:Q39)</f>
        <v>3754.5774</v>
      </c>
    </row>
    <row r="40" customFormat="false" ht="12.75" hidden="false" customHeight="false" outlineLevel="0" collapsed="false">
      <c r="A40" s="8" t="n">
        <f aca="false">+'Index Pricing'!A25</f>
        <v>37214</v>
      </c>
      <c r="B40" s="420" t="n">
        <f aca="false">+'Index Pricing'!B25</f>
        <v>1.135</v>
      </c>
      <c r="C40" s="100" t="n">
        <f aca="false">+B40+$J$15</f>
        <v>0.6696</v>
      </c>
      <c r="D40" s="421" t="n">
        <f aca="false">ROUND(MIN(0.2*$B$5,SUM(L40:M40)-F40),0)</f>
        <v>261</v>
      </c>
      <c r="E40" s="422" t="n">
        <f aca="false">+'Index Pricing'!$B$4+$J$16</f>
        <v>2.325</v>
      </c>
      <c r="F40" s="423" t="n">
        <f aca="false">ROUND(MIN(0.8*$B$5,SUM(L40:M40),2000),0)</f>
        <v>1559</v>
      </c>
      <c r="G40" s="102" t="n">
        <f aca="false">+'Index Pricing'!$B$3+$J$17</f>
        <v>2.0476</v>
      </c>
      <c r="H40" s="293" t="n">
        <f aca="false">ROUND(IF(F40&gt;=2000,IF(0.8*($B$5)&lt;(L40+M40),0.8*($B$5)-2000,(L40+M40)-2000),0),0)</f>
        <v>0</v>
      </c>
      <c r="I40" s="424" t="n">
        <f aca="false">$B40+$J$18</f>
        <v>0.5346</v>
      </c>
      <c r="J40" s="202" t="n">
        <f aca="false">ROUND(MAX(0,SUM(L40:M40)-H40-F40-D40),0)</f>
        <v>0</v>
      </c>
      <c r="K40" s="90"/>
      <c r="L40" s="394" t="n">
        <f aca="false">'[1]Enron Detail'!V32</f>
        <v>-125</v>
      </c>
      <c r="M40" s="395" t="n">
        <f aca="false">'[1]Enron Detail'!U32</f>
        <v>1945</v>
      </c>
      <c r="N40" s="97" t="n">
        <f aca="false">+C40*D40</f>
        <v>174.7656</v>
      </c>
      <c r="O40" s="98" t="n">
        <f aca="false">+E40*F40</f>
        <v>3624.675</v>
      </c>
      <c r="P40" s="98" t="n">
        <f aca="false">+G40*H40</f>
        <v>0</v>
      </c>
      <c r="Q40" s="99" t="n">
        <f aca="false">I40*J40</f>
        <v>0</v>
      </c>
      <c r="R40" s="396" t="n">
        <f aca="false">SUM(N40:Q40)</f>
        <v>3799.4406</v>
      </c>
    </row>
    <row r="41" customFormat="false" ht="12.75" hidden="false" customHeight="false" outlineLevel="0" collapsed="false">
      <c r="A41" s="8" t="n">
        <f aca="false">+'Index Pricing'!A26</f>
        <v>37215</v>
      </c>
      <c r="B41" s="420" t="n">
        <f aca="false">+'Index Pricing'!B26</f>
        <v>1.535</v>
      </c>
      <c r="C41" s="100" t="n">
        <f aca="false">+B41+$J$15</f>
        <v>1.0696</v>
      </c>
      <c r="D41" s="421" t="n">
        <f aca="false">ROUND(MIN(0.2*$B$5,SUM(L41:M41)-F41),0)</f>
        <v>145</v>
      </c>
      <c r="E41" s="422" t="n">
        <f aca="false">+'Index Pricing'!$B$4+$J$16</f>
        <v>2.325</v>
      </c>
      <c r="F41" s="423" t="n">
        <f aca="false">ROUND(MIN(0.8*$B$5,SUM(L41:M41),2000),0)</f>
        <v>1559</v>
      </c>
      <c r="G41" s="102" t="n">
        <f aca="false">+'Index Pricing'!$B$3+$J$17</f>
        <v>2.0476</v>
      </c>
      <c r="H41" s="293" t="n">
        <f aca="false">ROUND(IF(F41&gt;=2000,IF(0.8*($B$5)&lt;(L41+M41),0.8*($B$5)-2000,(L41+M41)-2000),0),0)</f>
        <v>0</v>
      </c>
      <c r="I41" s="424" t="n">
        <f aca="false">$B41+$J$18</f>
        <v>0.9346</v>
      </c>
      <c r="J41" s="202" t="n">
        <f aca="false">ROUND(MAX(0,SUM(L41:M41)-H41-F41-D41),0)</f>
        <v>0</v>
      </c>
      <c r="K41" s="90"/>
      <c r="L41" s="394" t="n">
        <f aca="false">'[1]Enron Detail'!V33</f>
        <v>-128</v>
      </c>
      <c r="M41" s="395" t="n">
        <f aca="false">'[1]Enron Detail'!U33</f>
        <v>1832</v>
      </c>
      <c r="N41" s="97" t="n">
        <f aca="false">+C41*D41</f>
        <v>155.092</v>
      </c>
      <c r="O41" s="98" t="n">
        <f aca="false">+E41*F41</f>
        <v>3624.675</v>
      </c>
      <c r="P41" s="98" t="n">
        <f aca="false">+G41*H41</f>
        <v>0</v>
      </c>
      <c r="Q41" s="99" t="n">
        <f aca="false">I41*J41</f>
        <v>0</v>
      </c>
      <c r="R41" s="396" t="n">
        <f aca="false">SUM(N41:Q41)</f>
        <v>3779.767</v>
      </c>
    </row>
    <row r="42" customFormat="false" ht="12.75" hidden="false" customHeight="false" outlineLevel="0" collapsed="false">
      <c r="A42" s="8" t="n">
        <f aca="false">+'Index Pricing'!A27</f>
        <v>37216</v>
      </c>
      <c r="B42" s="420" t="n">
        <f aca="false">+'Index Pricing'!B27</f>
        <v>2.205</v>
      </c>
      <c r="C42" s="100" t="n">
        <f aca="false">+B42+$J$15</f>
        <v>1.7396</v>
      </c>
      <c r="D42" s="421" t="n">
        <f aca="false">ROUND(MIN(0.2*$B$5,SUM(L42:M42)-F42),0)</f>
        <v>151</v>
      </c>
      <c r="E42" s="422" t="n">
        <f aca="false">+'Index Pricing'!$B$4+$J$16</f>
        <v>2.325</v>
      </c>
      <c r="F42" s="423" t="n">
        <f aca="false">ROUND(MIN(0.8*$B$5,SUM(L42:M42),2000),0)</f>
        <v>1559</v>
      </c>
      <c r="G42" s="102" t="n">
        <f aca="false">+'Index Pricing'!$B$3+$J$17</f>
        <v>2.0476</v>
      </c>
      <c r="H42" s="293" t="n">
        <f aca="false">ROUND(IF(F42&gt;=2000,IF(0.8*($B$5)&lt;(L42+M42),0.8*($B$5)-2000,(L42+M42)-2000),0),0)</f>
        <v>0</v>
      </c>
      <c r="I42" s="424" t="n">
        <f aca="false">$B42+$J$18</f>
        <v>1.6046</v>
      </c>
      <c r="J42" s="202" t="n">
        <f aca="false">ROUND(MAX(0,SUM(L42:M42)-H42-F42-D42),0)</f>
        <v>0</v>
      </c>
      <c r="K42" s="90"/>
      <c r="L42" s="394" t="n">
        <f aca="false">'[1]Enron Detail'!V34</f>
        <v>-131</v>
      </c>
      <c r="M42" s="395" t="n">
        <f aca="false">'[1]Enron Detail'!U34</f>
        <v>1841</v>
      </c>
      <c r="N42" s="97" t="n">
        <f aca="false">+C42*D42</f>
        <v>262.6796</v>
      </c>
      <c r="O42" s="98" t="n">
        <f aca="false">+E42*F42</f>
        <v>3624.675</v>
      </c>
      <c r="P42" s="98" t="n">
        <f aca="false">+G42*H42</f>
        <v>0</v>
      </c>
      <c r="Q42" s="99" t="n">
        <f aca="false">I42*J42</f>
        <v>0</v>
      </c>
      <c r="R42" s="396" t="n">
        <f aca="false">SUM(N42:Q42)</f>
        <v>3887.3546</v>
      </c>
    </row>
    <row r="43" customFormat="false" ht="12.75" hidden="false" customHeight="false" outlineLevel="0" collapsed="false">
      <c r="A43" s="8" t="n">
        <f aca="false">+'Index Pricing'!A28</f>
        <v>37217</v>
      </c>
      <c r="B43" s="420" t="n">
        <f aca="false">+'Index Pricing'!B28</f>
        <v>1.43</v>
      </c>
      <c r="C43" s="100" t="n">
        <f aca="false">+B43+$J$15</f>
        <v>0.9646</v>
      </c>
      <c r="D43" s="421" t="n">
        <f aca="false">ROUND(MIN(0.2*$B$5,SUM(L43:M43)-F43),0)</f>
        <v>133</v>
      </c>
      <c r="E43" s="422" t="n">
        <f aca="false">+'Index Pricing'!$B$4+$J$16</f>
        <v>2.325</v>
      </c>
      <c r="F43" s="423" t="n">
        <f aca="false">ROUND(MIN(0.8*$B$5,SUM(L43:M43),2000),0)</f>
        <v>1559</v>
      </c>
      <c r="G43" s="102" t="n">
        <f aca="false">+'Index Pricing'!$B$3+$J$17</f>
        <v>2.0476</v>
      </c>
      <c r="H43" s="293" t="n">
        <f aca="false">ROUND(IF(F43&gt;=2000,IF(0.8*($B$5)&lt;(L43+M43),0.8*($B$5)-2000,(L43+M43)-2000),0),0)</f>
        <v>0</v>
      </c>
      <c r="I43" s="424" t="n">
        <f aca="false">$B43+$J$18</f>
        <v>0.8296</v>
      </c>
      <c r="J43" s="202" t="n">
        <f aca="false">ROUND(MAX(0,SUM(L43:M43)-H43-F43-D43),0)</f>
        <v>0</v>
      </c>
      <c r="K43" s="90"/>
      <c r="L43" s="394" t="n">
        <f aca="false">'[1]Enron Detail'!V35</f>
        <v>-123</v>
      </c>
      <c r="M43" s="395" t="n">
        <f aca="false">'[1]Enron Detail'!U35</f>
        <v>1815</v>
      </c>
      <c r="N43" s="97" t="n">
        <f aca="false">+C43*D43</f>
        <v>128.2918</v>
      </c>
      <c r="O43" s="98" t="n">
        <f aca="false">+E43*F43</f>
        <v>3624.675</v>
      </c>
      <c r="P43" s="98" t="n">
        <f aca="false">+G43*H43</f>
        <v>0</v>
      </c>
      <c r="Q43" s="99" t="n">
        <f aca="false">I43*J43</f>
        <v>0</v>
      </c>
      <c r="R43" s="396" t="n">
        <f aca="false">SUM(N43:Q43)</f>
        <v>3752.9668</v>
      </c>
    </row>
    <row r="44" customFormat="false" ht="12.75" hidden="false" customHeight="false" outlineLevel="0" collapsed="false">
      <c r="A44" s="8" t="n">
        <f aca="false">+'Index Pricing'!A29</f>
        <v>37218</v>
      </c>
      <c r="B44" s="420" t="n">
        <f aca="false">+'Index Pricing'!B29</f>
        <v>1.43</v>
      </c>
      <c r="C44" s="100" t="n">
        <f aca="false">+B44+$J$15</f>
        <v>0.9646</v>
      </c>
      <c r="D44" s="421" t="n">
        <f aca="false">ROUND(MIN(0.2*$B$5,SUM(L44:M44)-F44),0)</f>
        <v>119</v>
      </c>
      <c r="E44" s="422" t="n">
        <f aca="false">+'Index Pricing'!$B$4+$J$16</f>
        <v>2.325</v>
      </c>
      <c r="F44" s="423" t="n">
        <f aca="false">ROUND(MIN(0.8*$B$5,SUM(L44:M44),2000),0)</f>
        <v>1559</v>
      </c>
      <c r="G44" s="102" t="n">
        <f aca="false">+'Index Pricing'!$B$3+$J$17</f>
        <v>2.0476</v>
      </c>
      <c r="H44" s="293" t="n">
        <f aca="false">ROUND(IF(F44&gt;=2000,IF(0.8*($B$5)&lt;(L44+M44),0.8*($B$5)-2000,(L44+M44)-2000),0),0)</f>
        <v>0</v>
      </c>
      <c r="I44" s="424" t="n">
        <f aca="false">$B44+$J$18</f>
        <v>0.8296</v>
      </c>
      <c r="J44" s="202" t="n">
        <f aca="false">ROUND(MAX(0,SUM(L44:M44)-H44-F44-D44),0)</f>
        <v>0</v>
      </c>
      <c r="K44" s="90"/>
      <c r="L44" s="394" t="n">
        <f aca="false">'[1]Enron Detail'!V36</f>
        <v>-121</v>
      </c>
      <c r="M44" s="395" t="n">
        <f aca="false">'[1]Enron Detail'!U36</f>
        <v>1799</v>
      </c>
      <c r="N44" s="97" t="n">
        <f aca="false">+C44*D44</f>
        <v>114.7874</v>
      </c>
      <c r="O44" s="98" t="n">
        <f aca="false">+E44*F44</f>
        <v>3624.675</v>
      </c>
      <c r="P44" s="98" t="n">
        <f aca="false">+G44*H44</f>
        <v>0</v>
      </c>
      <c r="Q44" s="99" t="n">
        <f aca="false">I44*J44</f>
        <v>0</v>
      </c>
      <c r="R44" s="396" t="n">
        <f aca="false">SUM(N44:Q44)</f>
        <v>3739.4624</v>
      </c>
    </row>
    <row r="45" customFormat="false" ht="12.75" hidden="false" customHeight="false" outlineLevel="0" collapsed="false">
      <c r="A45" s="8" t="n">
        <f aca="false">+'Index Pricing'!A30</f>
        <v>37219</v>
      </c>
      <c r="B45" s="420" t="n">
        <f aca="false">+'Index Pricing'!B30</f>
        <v>1.43</v>
      </c>
      <c r="C45" s="100" t="n">
        <f aca="false">+B45+$J$15</f>
        <v>0.9646</v>
      </c>
      <c r="D45" s="421" t="n">
        <f aca="false">ROUND(MIN(0.2*$B$5,SUM(L45:M45)-F45),0)</f>
        <v>142</v>
      </c>
      <c r="E45" s="422" t="n">
        <f aca="false">+'Index Pricing'!$B$4+$J$16</f>
        <v>2.325</v>
      </c>
      <c r="F45" s="423" t="n">
        <f aca="false">ROUND(MIN(0.8*$B$5,SUM(L45:M45),2000),0)</f>
        <v>1559</v>
      </c>
      <c r="G45" s="102" t="n">
        <f aca="false">+'Index Pricing'!$B$3+$J$17</f>
        <v>2.0476</v>
      </c>
      <c r="H45" s="293" t="n">
        <f aca="false">ROUND(IF(F45&gt;=2000,IF(0.8*($B$5)&lt;(L45+M45),0.8*($B$5)-2000,(L45+M45)-2000),0),0)</f>
        <v>0</v>
      </c>
      <c r="I45" s="424" t="n">
        <f aca="false">$B45+$J$18</f>
        <v>0.8296</v>
      </c>
      <c r="J45" s="202" t="n">
        <f aca="false">ROUND(MAX(0,SUM(L45:M45)-H45-F45-D45),0)</f>
        <v>0</v>
      </c>
      <c r="K45" s="90"/>
      <c r="L45" s="394" t="n">
        <f aca="false">'[1]Enron Detail'!V37</f>
        <v>-93</v>
      </c>
      <c r="M45" s="395" t="n">
        <f aca="false">'[1]Enron Detail'!U37</f>
        <v>1794</v>
      </c>
      <c r="N45" s="97" t="n">
        <f aca="false">+C45*D45</f>
        <v>136.9732</v>
      </c>
      <c r="O45" s="98" t="n">
        <f aca="false">+E45*F45</f>
        <v>3624.675</v>
      </c>
      <c r="P45" s="98" t="n">
        <f aca="false">+G45*H45</f>
        <v>0</v>
      </c>
      <c r="Q45" s="99" t="n">
        <f aca="false">I45*J45</f>
        <v>0</v>
      </c>
      <c r="R45" s="396" t="n">
        <f aca="false">SUM(N45:Q45)</f>
        <v>3761.6482</v>
      </c>
    </row>
    <row r="46" customFormat="false" ht="12.75" hidden="false" customHeight="false" outlineLevel="0" collapsed="false">
      <c r="A46" s="8" t="n">
        <f aca="false">+'Index Pricing'!A31</f>
        <v>37220</v>
      </c>
      <c r="B46" s="420" t="n">
        <f aca="false">+'Index Pricing'!B31</f>
        <v>1.43</v>
      </c>
      <c r="C46" s="100" t="n">
        <f aca="false">+B46+$J$15</f>
        <v>0.9646</v>
      </c>
      <c r="D46" s="421" t="n">
        <f aca="false">ROUND(MIN(0.2*$B$5,SUM(L46:M46)-F46),0)</f>
        <v>118</v>
      </c>
      <c r="E46" s="422" t="n">
        <f aca="false">+'Index Pricing'!$B$4+$J$16</f>
        <v>2.325</v>
      </c>
      <c r="F46" s="423" t="n">
        <f aca="false">ROUND(MIN(0.8*$B$5,SUM(L46:M46),2000),0)</f>
        <v>1559</v>
      </c>
      <c r="G46" s="102" t="n">
        <f aca="false">+'Index Pricing'!$B$3+$J$17</f>
        <v>2.0476</v>
      </c>
      <c r="H46" s="293" t="n">
        <f aca="false">ROUND(IF(F46&gt;=2000,IF(0.8*($B$5)&lt;(L46+M46),0.8*($B$5)-2000,(L46+M46)-2000),0),0)</f>
        <v>0</v>
      </c>
      <c r="I46" s="424" t="n">
        <f aca="false">$B46+$J$18</f>
        <v>0.8296</v>
      </c>
      <c r="J46" s="202" t="n">
        <f aca="false">ROUND(MAX(0,SUM(L46:M46)-H46-F46-D46),0)</f>
        <v>0</v>
      </c>
      <c r="K46" s="90"/>
      <c r="L46" s="394" t="n">
        <f aca="false">'[1]Enron Detail'!V38</f>
        <v>-133</v>
      </c>
      <c r="M46" s="395" t="n">
        <f aca="false">'[1]Enron Detail'!U38</f>
        <v>1810</v>
      </c>
      <c r="N46" s="97" t="n">
        <f aca="false">+C46*D46</f>
        <v>113.8228</v>
      </c>
      <c r="O46" s="98" t="n">
        <f aca="false">+E46*F46</f>
        <v>3624.675</v>
      </c>
      <c r="P46" s="98" t="n">
        <f aca="false">+G46*H46</f>
        <v>0</v>
      </c>
      <c r="Q46" s="99" t="n">
        <f aca="false">I46*J46</f>
        <v>0</v>
      </c>
      <c r="R46" s="396" t="n">
        <f aca="false">SUM(N46:Q46)</f>
        <v>3738.4978</v>
      </c>
    </row>
    <row r="47" customFormat="false" ht="12.75" hidden="false" customHeight="false" outlineLevel="0" collapsed="false">
      <c r="A47" s="8" t="n">
        <f aca="false">+'Index Pricing'!A32</f>
        <v>37221</v>
      </c>
      <c r="B47" s="420" t="n">
        <f aca="false">+'Index Pricing'!B32</f>
        <v>1.43</v>
      </c>
      <c r="C47" s="100" t="n">
        <f aca="false">+B47+$J$15</f>
        <v>0.9646</v>
      </c>
      <c r="D47" s="421" t="n">
        <f aca="false">ROUND(MIN(0.2*$B$5,SUM(L47:M47)-F47),0)</f>
        <v>112</v>
      </c>
      <c r="E47" s="422" t="n">
        <f aca="false">+'Index Pricing'!$B$4+$J$16</f>
        <v>2.325</v>
      </c>
      <c r="F47" s="423" t="n">
        <f aca="false">ROUND(MIN(0.8*$B$5,SUM(L47:M47),2000),0)</f>
        <v>1559</v>
      </c>
      <c r="G47" s="102" t="n">
        <f aca="false">+'Index Pricing'!$B$3+$J$17</f>
        <v>2.0476</v>
      </c>
      <c r="H47" s="293" t="n">
        <f aca="false">ROUND(IF(F47&gt;=2000,IF(0.8*($B$5)&lt;(L47+M47),0.8*($B$5)-2000,(L47+M47)-2000),0),0)</f>
        <v>0</v>
      </c>
      <c r="I47" s="424" t="n">
        <f aca="false">$B47+$J$18</f>
        <v>0.8296</v>
      </c>
      <c r="J47" s="202" t="n">
        <f aca="false">ROUND(MAX(0,SUM(L47:M47)-H47-F47-D47),0)</f>
        <v>0</v>
      </c>
      <c r="K47" s="90"/>
      <c r="L47" s="394" t="n">
        <f aca="false">'[1]Enron Detail'!V39</f>
        <v>-114</v>
      </c>
      <c r="M47" s="395" t="n">
        <f aca="false">'[1]Enron Detail'!U39</f>
        <v>1785</v>
      </c>
      <c r="N47" s="97" t="n">
        <f aca="false">+C47*D47</f>
        <v>108.0352</v>
      </c>
      <c r="O47" s="98" t="n">
        <f aca="false">+E47*F47</f>
        <v>3624.675</v>
      </c>
      <c r="P47" s="98" t="n">
        <f aca="false">+G47*H47</f>
        <v>0</v>
      </c>
      <c r="Q47" s="99" t="n">
        <f aca="false">I47*J47</f>
        <v>0</v>
      </c>
      <c r="R47" s="396" t="n">
        <f aca="false">SUM(N47:Q47)</f>
        <v>3732.7102</v>
      </c>
    </row>
    <row r="48" customFormat="false" ht="12.75" hidden="false" customHeight="false" outlineLevel="0" collapsed="false">
      <c r="A48" s="8" t="n">
        <f aca="false">+'Index Pricing'!A33</f>
        <v>37222</v>
      </c>
      <c r="B48" s="420" t="n">
        <f aca="false">+'Index Pricing'!B33</f>
        <v>1.88</v>
      </c>
      <c r="C48" s="100" t="n">
        <f aca="false">+B48+$J$15</f>
        <v>1.4146</v>
      </c>
      <c r="D48" s="421" t="n">
        <f aca="false">ROUND(MIN(0.2*$B$5,SUM(L48:M48)-F48),0)</f>
        <v>110</v>
      </c>
      <c r="E48" s="422" t="n">
        <f aca="false">+'Index Pricing'!$B$4+$J$16</f>
        <v>2.325</v>
      </c>
      <c r="F48" s="423" t="n">
        <f aca="false">ROUND(MIN(0.8*$B$5,SUM(L48:M48),2000),0)</f>
        <v>1559</v>
      </c>
      <c r="G48" s="102" t="n">
        <f aca="false">+'Index Pricing'!$B$3+$J$17</f>
        <v>2.0476</v>
      </c>
      <c r="H48" s="293" t="n">
        <f aca="false">ROUND(IF(F48&gt;=2000,IF(0.8*($B$5)&lt;(L48+M48),0.8*($B$5)-2000,(L48+M48)-2000),0),0)</f>
        <v>0</v>
      </c>
      <c r="I48" s="424" t="n">
        <f aca="false">$B48+$J$18</f>
        <v>1.2796</v>
      </c>
      <c r="J48" s="202" t="n">
        <f aca="false">ROUND(MAX(0,SUM(L48:M48)-H48-F48-D48),0)</f>
        <v>0</v>
      </c>
      <c r="K48" s="90"/>
      <c r="L48" s="394" t="n">
        <f aca="false">'[1]Enron Detail'!V40</f>
        <v>-116</v>
      </c>
      <c r="M48" s="395" t="n">
        <f aca="false">'[1]Enron Detail'!U40</f>
        <v>1785</v>
      </c>
      <c r="N48" s="97" t="n">
        <f aca="false">+C48*D48</f>
        <v>155.606</v>
      </c>
      <c r="O48" s="98" t="n">
        <f aca="false">+E48*F48</f>
        <v>3624.675</v>
      </c>
      <c r="P48" s="98" t="n">
        <f aca="false">+G48*H48</f>
        <v>0</v>
      </c>
      <c r="Q48" s="99" t="n">
        <f aca="false">I48*J48</f>
        <v>0</v>
      </c>
      <c r="R48" s="396" t="n">
        <f aca="false">SUM(N48:Q48)</f>
        <v>3780.281</v>
      </c>
    </row>
    <row r="49" customFormat="false" ht="12.75" hidden="false" customHeight="false" outlineLevel="0" collapsed="false">
      <c r="A49" s="8" t="n">
        <f aca="false">+'Index Pricing'!A34</f>
        <v>37223</v>
      </c>
      <c r="B49" s="420" t="n">
        <f aca="false">+'Index Pricing'!B34</f>
        <v>2.16</v>
      </c>
      <c r="C49" s="100" t="n">
        <f aca="false">+B49+$J$15</f>
        <v>1.6946</v>
      </c>
      <c r="D49" s="421" t="n">
        <f aca="false">ROUND(MIN(0.2*$B$5,SUM(L49:M49)-F49),0)</f>
        <v>125</v>
      </c>
      <c r="E49" s="422" t="n">
        <f aca="false">+'Index Pricing'!$B$4+$J$16</f>
        <v>2.325</v>
      </c>
      <c r="F49" s="423" t="n">
        <f aca="false">ROUND(MIN(0.8*$B$5,SUM(L49:M49),2000),0)</f>
        <v>1559</v>
      </c>
      <c r="G49" s="102" t="n">
        <f aca="false">+'Index Pricing'!$B$3+$J$17</f>
        <v>2.0476</v>
      </c>
      <c r="H49" s="293" t="n">
        <f aca="false">ROUND(IF(F49&gt;=2000,IF(0.8*($B$5)&lt;(L49+M49),0.8*($B$5)-2000,(L49+M49)-2000),0),0)</f>
        <v>0</v>
      </c>
      <c r="I49" s="424" t="n">
        <f aca="false">$B49+$J$18</f>
        <v>1.5596</v>
      </c>
      <c r="J49" s="202" t="n">
        <f aca="false">ROUND(MAX(0,SUM(L49:M49)-H49-F49-D49),0)</f>
        <v>0</v>
      </c>
      <c r="K49" s="90"/>
      <c r="L49" s="394" t="n">
        <f aca="false">'[1]Enron Detail'!V41</f>
        <v>-93</v>
      </c>
      <c r="M49" s="395" t="n">
        <f aca="false">'[1]Enron Detail'!U41</f>
        <v>1777</v>
      </c>
      <c r="N49" s="97" t="n">
        <f aca="false">+C49*D49</f>
        <v>211.825</v>
      </c>
      <c r="O49" s="98" t="n">
        <f aca="false">+E49*F49</f>
        <v>3624.675</v>
      </c>
      <c r="P49" s="98" t="n">
        <f aca="false">+G49*H49</f>
        <v>0</v>
      </c>
      <c r="Q49" s="99" t="n">
        <f aca="false">I49*J49</f>
        <v>0</v>
      </c>
      <c r="R49" s="396" t="n">
        <f aca="false">SUM(N49:Q49)</f>
        <v>3836.5</v>
      </c>
    </row>
    <row r="50" customFormat="false" ht="12.75" hidden="false" customHeight="false" outlineLevel="0" collapsed="false">
      <c r="A50" s="8" t="n">
        <f aca="false">+'Index Pricing'!A35</f>
        <v>37224</v>
      </c>
      <c r="B50" s="420" t="n">
        <f aca="false">+'Index Pricing'!B35</f>
        <v>2.38</v>
      </c>
      <c r="C50" s="100" t="n">
        <f aca="false">+B50+$J$15</f>
        <v>1.9146</v>
      </c>
      <c r="D50" s="421" t="n">
        <f aca="false">ROUND(MIN(0.2*$B$5,SUM(L50:M50)-F50),0)</f>
        <v>123</v>
      </c>
      <c r="E50" s="422" t="n">
        <f aca="false">+'Index Pricing'!$B$4+$J$16</f>
        <v>2.325</v>
      </c>
      <c r="F50" s="423" t="n">
        <f aca="false">ROUND(MIN(0.8*$B$5,SUM(L50:M50),2000),0)</f>
        <v>1559</v>
      </c>
      <c r="G50" s="102" t="n">
        <f aca="false">+'Index Pricing'!$B$3+$J$17</f>
        <v>2.0476</v>
      </c>
      <c r="H50" s="293" t="n">
        <f aca="false">ROUND(IF(F50&gt;=2000,IF(0.8*($B$5)&lt;(L50+M50),0.8*($B$5)-2000,(L50+M50)-2000),0),0)</f>
        <v>0</v>
      </c>
      <c r="I50" s="424" t="n">
        <f aca="false">$B50+$J$18</f>
        <v>1.7796</v>
      </c>
      <c r="J50" s="202" t="n">
        <f aca="false">ROUND(MAX(0,SUM(L50:M50)-H50-F50-D50),0)</f>
        <v>0</v>
      </c>
      <c r="K50" s="90"/>
      <c r="L50" s="394" t="n">
        <f aca="false">'[1]Enron Detail'!V42</f>
        <v>-130</v>
      </c>
      <c r="M50" s="395" t="n">
        <f aca="false">'[1]Enron Detail'!U42</f>
        <v>1812</v>
      </c>
      <c r="N50" s="97" t="n">
        <f aca="false">+C50*D50</f>
        <v>235.4958</v>
      </c>
      <c r="O50" s="98" t="n">
        <f aca="false">+E50*F50</f>
        <v>3624.675</v>
      </c>
      <c r="P50" s="98" t="n">
        <f aca="false">+G50*H50</f>
        <v>0</v>
      </c>
      <c r="Q50" s="99" t="n">
        <f aca="false">I50*J50</f>
        <v>0</v>
      </c>
      <c r="R50" s="396" t="n">
        <f aca="false">SUM(N50:Q50)</f>
        <v>3860.1708</v>
      </c>
    </row>
    <row r="51" customFormat="false" ht="12.75" hidden="false" customHeight="false" outlineLevel="0" collapsed="false">
      <c r="A51" s="8" t="n">
        <f aca="false">+'Index Pricing'!A36</f>
        <v>37225</v>
      </c>
      <c r="B51" s="420" t="n">
        <f aca="false">+'Index Pricing'!B36</f>
        <v>2.025</v>
      </c>
      <c r="C51" s="100" t="n">
        <f aca="false">+B51+$J$15</f>
        <v>1.5596</v>
      </c>
      <c r="D51" s="421" t="n">
        <f aca="false">ROUND(MIN(0.2*$B$5,SUM(L51:M51)-F51),0)</f>
        <v>86</v>
      </c>
      <c r="E51" s="422" t="n">
        <f aca="false">+'Index Pricing'!$B$4+$J$16</f>
        <v>2.325</v>
      </c>
      <c r="F51" s="423" t="n">
        <f aca="false">ROUND(MIN(0.8*$B$5,SUM(L51:M51),2000),0)</f>
        <v>1559</v>
      </c>
      <c r="G51" s="102" t="n">
        <f aca="false">+'Index Pricing'!$B$3+$J$17</f>
        <v>2.0476</v>
      </c>
      <c r="H51" s="293" t="n">
        <f aca="false">ROUND(IF(F51&gt;=2000,IF(0.8*($B$5)&lt;(L51+M51),0.8*($B$5)-2000,(L51+M51)-2000),0),0)</f>
        <v>0</v>
      </c>
      <c r="I51" s="424" t="n">
        <f aca="false">$B51+$J$18</f>
        <v>1.4246</v>
      </c>
      <c r="J51" s="202" t="n">
        <f aca="false">ROUND(MAX(0,SUM(L51:M51)-H51-F51-D51),0)</f>
        <v>0</v>
      </c>
      <c r="K51" s="90"/>
      <c r="L51" s="394" t="n">
        <f aca="false">'[1]Enron Detail'!V43</f>
        <v>-123</v>
      </c>
      <c r="M51" s="395" t="n">
        <f aca="false">'[1]Enron Detail'!U43</f>
        <v>1768</v>
      </c>
      <c r="N51" s="97" t="n">
        <f aca="false">+C51*D51</f>
        <v>134.1256</v>
      </c>
      <c r="O51" s="98" t="n">
        <f aca="false">+E51*F51</f>
        <v>3624.675</v>
      </c>
      <c r="P51" s="98" t="n">
        <f aca="false">+G51*H51</f>
        <v>0</v>
      </c>
      <c r="Q51" s="99" t="n">
        <f aca="false">I51*J51</f>
        <v>0</v>
      </c>
      <c r="R51" s="396" t="n">
        <f aca="false">SUM(N51:Q51)</f>
        <v>3758.8006</v>
      </c>
    </row>
    <row r="52" customFormat="false" ht="12.75" hidden="false" customHeight="false" outlineLevel="0" collapsed="false">
      <c r="A52" s="8"/>
      <c r="B52" s="420"/>
      <c r="C52" s="100"/>
      <c r="D52" s="421"/>
      <c r="E52" s="422"/>
      <c r="F52" s="423"/>
      <c r="G52" s="102"/>
      <c r="H52" s="293"/>
      <c r="I52" s="424"/>
      <c r="J52" s="202"/>
      <c r="K52" s="90"/>
      <c r="L52" s="394"/>
      <c r="M52" s="395"/>
      <c r="N52" s="97"/>
      <c r="O52" s="98"/>
      <c r="P52" s="98"/>
      <c r="Q52" s="99"/>
      <c r="R52" s="396"/>
    </row>
    <row r="53" customFormat="false" ht="12.75" hidden="false" customHeight="false" outlineLevel="0" collapsed="false">
      <c r="A53" s="8"/>
      <c r="B53" s="420"/>
      <c r="C53" s="100"/>
      <c r="D53" s="421"/>
      <c r="E53" s="422"/>
      <c r="F53" s="423"/>
      <c r="G53" s="102"/>
      <c r="H53" s="293"/>
      <c r="I53" s="424"/>
      <c r="J53" s="202"/>
      <c r="K53" s="90"/>
      <c r="L53" s="394"/>
      <c r="M53" s="395"/>
      <c r="N53" s="97"/>
      <c r="O53" s="98"/>
      <c r="P53" s="98"/>
      <c r="Q53" s="99"/>
      <c r="R53" s="396"/>
      <c r="S53" s="99"/>
    </row>
    <row r="54" customFormat="false" ht="13.5" hidden="false" customHeight="false" outlineLevel="0" collapsed="false">
      <c r="B54" s="368"/>
      <c r="C54" s="331"/>
      <c r="D54" s="298" t="n">
        <f aca="false">SUM(D22:D53)</f>
        <v>3729</v>
      </c>
      <c r="E54" s="30"/>
      <c r="F54" s="425" t="n">
        <f aca="false">SUM(F22:F53)</f>
        <v>45596</v>
      </c>
      <c r="G54" s="331"/>
      <c r="H54" s="425" t="n">
        <f aca="false">SUM(H22:H53)</f>
        <v>0</v>
      </c>
      <c r="I54" s="30"/>
      <c r="J54" s="425" t="n">
        <f aca="false">SUM(J22:J53)</f>
        <v>0</v>
      </c>
      <c r="K54" s="331"/>
      <c r="L54" s="426" t="n">
        <f aca="false">SUM(L22:L53)</f>
        <v>-3547</v>
      </c>
      <c r="M54" s="298" t="n">
        <f aca="false">SUM(M22:M53)</f>
        <v>52872</v>
      </c>
      <c r="N54" s="110" t="n">
        <f aca="false">SUM(N22:N53)</f>
        <v>4745.1834</v>
      </c>
      <c r="O54" s="111" t="n">
        <f aca="false">SUM(O22:O53)</f>
        <v>106010.7</v>
      </c>
      <c r="P54" s="111" t="n">
        <f aca="false">SUM(P22:P53)</f>
        <v>0</v>
      </c>
      <c r="Q54" s="112" t="n">
        <f aca="false">SUM(Q22:Q53)</f>
        <v>0</v>
      </c>
      <c r="R54" s="402" t="n">
        <f aca="false">SUM(R22:R53)</f>
        <v>110755.8834</v>
      </c>
    </row>
    <row r="55" customFormat="false" ht="12.75" hidden="false" customHeight="false" outlineLevel="0" collapsed="false">
      <c r="B55" s="288"/>
      <c r="L55" s="114" t="n">
        <f aca="false">+L54/M54</f>
        <v>-0.0670865486457861</v>
      </c>
    </row>
    <row r="56" customFormat="false" ht="12.75" hidden="false" customHeight="false" outlineLevel="0" collapsed="false">
      <c r="M56" s="0" t="s">
        <v>213</v>
      </c>
      <c r="N56" s="41" t="n">
        <f aca="false">+N54/D54</f>
        <v>1.27250828640386</v>
      </c>
      <c r="O56" s="41" t="n">
        <f aca="false">+O54/F54</f>
        <v>2.325</v>
      </c>
      <c r="P56" s="427" t="e">
        <f aca="false">P54/H54</f>
        <v>#DIV/0!</v>
      </c>
      <c r="Q56" s="41" t="e">
        <f aca="false">Q54/J54</f>
        <v>#DIV/0!</v>
      </c>
      <c r="R56" s="41" t="n">
        <f aca="false">+R54/(M54+L54)</f>
        <v>2.24543098631526</v>
      </c>
    </row>
    <row r="58" customFormat="false" ht="12.75" hidden="false" customHeight="false" outlineLevel="0" collapsed="false">
      <c r="A58" s="0" t="s">
        <v>87</v>
      </c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4.13"/>
    <col collapsed="false" customWidth="true" hidden="false" outlineLevel="0" max="3" min="3" style="0" width="32.85"/>
    <col collapsed="false" customWidth="true" hidden="false" outlineLevel="0" max="5" min="4" style="0" width="19.56"/>
    <col collapsed="false" customWidth="true" hidden="false" outlineLevel="0" max="6" min="6" style="0" width="46.42"/>
    <col collapsed="false" customWidth="true" hidden="false" outlineLevel="0" max="7" min="7" style="0" width="29.41"/>
  </cols>
  <sheetData>
    <row r="1" customFormat="false" ht="12.75" hidden="false" customHeight="false" outlineLevel="0" collapsed="false">
      <c r="A1" s="0" t="s">
        <v>320</v>
      </c>
      <c r="C1" s="12" t="s">
        <v>6</v>
      </c>
      <c r="D1" s="13"/>
      <c r="E1" s="13"/>
      <c r="F1" s="14" t="s">
        <v>7</v>
      </c>
      <c r="G1" s="15"/>
    </row>
    <row r="2" customFormat="false" ht="12.75" hidden="false" customHeight="false" outlineLevel="0" collapsed="false">
      <c r="C2" s="16"/>
      <c r="D2" s="17"/>
      <c r="E2" s="17"/>
      <c r="F2" s="18" t="s">
        <v>321</v>
      </c>
      <c r="G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18" t="s">
        <v>322</v>
      </c>
      <c r="G3" s="403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18" t="s">
        <v>323</v>
      </c>
      <c r="G4" s="18"/>
    </row>
    <row r="5" customFormat="false" ht="12.75" hidden="false" customHeight="false" outlineLevel="0" collapsed="false">
      <c r="C5" s="16"/>
      <c r="D5" s="17"/>
      <c r="E5" s="17"/>
      <c r="F5" s="18" t="s">
        <v>324</v>
      </c>
      <c r="G5" s="19" t="s">
        <v>13</v>
      </c>
    </row>
    <row r="6" customFormat="false" ht="12.75" hidden="false" customHeight="false" outlineLevel="0" collapsed="false">
      <c r="C6" s="16"/>
      <c r="D6" s="17"/>
      <c r="E6" s="17"/>
      <c r="F6" s="18" t="s">
        <v>325</v>
      </c>
      <c r="G6" s="404" t="n">
        <v>37251</v>
      </c>
    </row>
    <row r="7" customFormat="false" ht="12.75" hidden="false" customHeight="false" outlineLevel="0" collapsed="false">
      <c r="C7" s="16"/>
      <c r="D7" s="17"/>
      <c r="E7" s="17"/>
      <c r="F7" s="18" t="s">
        <v>326</v>
      </c>
      <c r="G7" s="18"/>
    </row>
    <row r="8" customFormat="false" ht="12.75" hidden="false" customHeight="false" outlineLevel="0" collapsed="false">
      <c r="C8" s="16"/>
      <c r="D8" s="17"/>
      <c r="E8" s="17"/>
      <c r="G8" s="19" t="s">
        <v>17</v>
      </c>
    </row>
    <row r="9" customFormat="false" ht="12.75" hidden="false" customHeight="false" outlineLevel="0" collapsed="false">
      <c r="C9" s="16" t="s">
        <v>295</v>
      </c>
      <c r="D9" s="17"/>
      <c r="E9" s="17"/>
      <c r="F9" s="18" t="s">
        <v>327</v>
      </c>
      <c r="G9" s="22" t="s">
        <v>19</v>
      </c>
    </row>
    <row r="10" customFormat="false" ht="12.75" hidden="false" customHeight="false" outlineLevel="0" collapsed="false">
      <c r="C10" s="16" t="s">
        <v>20</v>
      </c>
      <c r="D10" s="17"/>
      <c r="E10" s="17"/>
      <c r="F10" s="18" t="s">
        <v>328</v>
      </c>
      <c r="G10" s="19" t="s">
        <v>21</v>
      </c>
    </row>
    <row r="11" customFormat="false" ht="12.75" hidden="false" customHeight="false" outlineLevel="0" collapsed="false">
      <c r="A11" s="23" t="s">
        <v>9</v>
      </c>
      <c r="B11" s="24"/>
      <c r="C11" s="25" t="s">
        <v>22</v>
      </c>
      <c r="D11" s="26"/>
      <c r="E11" s="26"/>
      <c r="F11" s="27" t="s">
        <v>329</v>
      </c>
      <c r="G11" s="28" t="s">
        <v>330</v>
      </c>
    </row>
    <row r="12" customFormat="false" ht="13.5" hidden="false" customHeight="false" outlineLevel="0" collapsed="false">
      <c r="A12" s="29" t="n">
        <f aca="true">NOW()</f>
        <v>45926.8884096599</v>
      </c>
      <c r="B12" s="30"/>
      <c r="C12" s="30"/>
      <c r="D12" s="30"/>
      <c r="E12" s="30"/>
      <c r="F12" s="30"/>
      <c r="G12" s="30"/>
      <c r="H12" s="31"/>
    </row>
    <row r="13" customFormat="false" ht="12.75" hidden="false" customHeight="false" outlineLevel="0" collapsed="false">
      <c r="A13" s="32" t="s">
        <v>25</v>
      </c>
      <c r="B13" s="32" t="s">
        <v>26</v>
      </c>
      <c r="C13" s="32" t="s">
        <v>27</v>
      </c>
      <c r="D13" s="32"/>
      <c r="E13" s="32"/>
    </row>
    <row r="14" customFormat="false" ht="12.75" hidden="false" customHeight="false" outlineLevel="0" collapsed="false">
      <c r="A14" s="33" t="n">
        <f aca="false">+'Index Pricing'!A1</f>
        <v>37196</v>
      </c>
      <c r="B14" s="34" t="s">
        <v>331</v>
      </c>
      <c r="C14" s="0" t="s">
        <v>332</v>
      </c>
    </row>
    <row r="18" customFormat="false" ht="12.75" hidden="false" customHeight="false" outlineLevel="0" collapsed="false">
      <c r="B18" s="35" t="s">
        <v>29</v>
      </c>
      <c r="C18" s="36" t="s">
        <v>30</v>
      </c>
      <c r="D18" s="37" t="s">
        <v>31</v>
      </c>
      <c r="E18" s="38" t="s">
        <v>32</v>
      </c>
      <c r="F18" s="38" t="s">
        <v>33</v>
      </c>
      <c r="G18" s="37" t="s">
        <v>34</v>
      </c>
    </row>
    <row r="19" customFormat="false" ht="12.75" hidden="false" customHeight="false" outlineLevel="0" collapsed="false">
      <c r="A19" s="0" t="str">
        <f aca="false">+'Phillips Summary'!A22</f>
        <v>11/01/01 - 11/30/01</v>
      </c>
      <c r="B19" s="0" t="s">
        <v>36</v>
      </c>
      <c r="C19" s="41" t="n">
        <f aca="false">+'North Finn Detail'!F13</f>
        <v>-0.6463</v>
      </c>
      <c r="D19" s="42" t="n">
        <f aca="false">+'North Finn Detail'!H53</f>
        <v>1.14454631537823</v>
      </c>
      <c r="E19" s="43" t="n">
        <f aca="false">+F19/'North Finn Detail'!$B$7</f>
        <v>21829.2288759085</v>
      </c>
      <c r="F19" s="43" t="n">
        <f aca="false">+'North Finn Detail'!D51</f>
        <v>20477</v>
      </c>
      <c r="G19" s="44" t="n">
        <f aca="false">+'North Finn Detail'!I51</f>
        <v>23436.8749</v>
      </c>
    </row>
    <row r="20" customFormat="false" ht="12.75" hidden="false" customHeight="false" outlineLevel="0" collapsed="false">
      <c r="A20" s="0" t="str">
        <f aca="false">+A19</f>
        <v>11/01/01 - 11/30/01</v>
      </c>
      <c r="C20" s="0" t="s">
        <v>39</v>
      </c>
      <c r="D20" s="46" t="s">
        <v>40</v>
      </c>
      <c r="E20" s="43" t="n">
        <f aca="false">+F20/'North Finn Detail'!$B$7</f>
        <v>2078.7711240915</v>
      </c>
      <c r="F20" s="43" t="n">
        <f aca="false">-+'North Finn Detail'!F51</f>
        <v>1950</v>
      </c>
      <c r="G20" s="47" t="s">
        <v>41</v>
      </c>
    </row>
    <row r="21" customFormat="false" ht="12.75" hidden="false" customHeight="false" outlineLevel="0" collapsed="false">
      <c r="A21" s="48"/>
      <c r="B21" s="32"/>
      <c r="C21" s="32"/>
      <c r="D21" s="49"/>
      <c r="E21" s="43" t="n">
        <f aca="false">+F21/'Wellstar Detail'!B$7</f>
        <v>24162.7256014526</v>
      </c>
      <c r="F21" s="48" t="n">
        <f aca="false">SUM(F19:F20)</f>
        <v>22427</v>
      </c>
      <c r="G21" s="50" t="n">
        <f aca="false">SUM(G19:G20)</f>
        <v>23436.8749</v>
      </c>
    </row>
    <row r="23" customFormat="false" ht="12.75" hidden="false" customHeight="false" outlineLevel="0" collapsed="false">
      <c r="A23" s="32"/>
      <c r="D23" s="46"/>
      <c r="E23" s="46"/>
      <c r="F23" s="43"/>
      <c r="G23" s="50"/>
    </row>
    <row r="24" customFormat="false" ht="15" hidden="false" customHeight="false" outlineLevel="0" collapsed="false">
      <c r="A24" s="32"/>
      <c r="C24" s="39"/>
      <c r="D24" s="51"/>
      <c r="E24" s="51"/>
      <c r="F24" s="52"/>
      <c r="G24" s="50"/>
    </row>
    <row r="25" customFormat="false" ht="12.75" hidden="false" customHeight="false" outlineLevel="0" collapsed="false">
      <c r="A25" s="53"/>
      <c r="C25" s="58"/>
      <c r="D25" s="55"/>
      <c r="E25" s="43"/>
      <c r="F25" s="43"/>
      <c r="G25" s="50"/>
    </row>
    <row r="26" customFormat="false" ht="12.75" hidden="false" customHeight="false" outlineLevel="0" collapsed="false">
      <c r="A26" s="53"/>
      <c r="C26" s="58"/>
      <c r="D26" s="55"/>
      <c r="E26" s="43"/>
      <c r="F26" s="43"/>
      <c r="G26" s="50"/>
    </row>
    <row r="27" customFormat="false" ht="12.75" hidden="false" customHeight="false" outlineLevel="0" collapsed="false">
      <c r="A27" s="53"/>
      <c r="C27" s="58"/>
      <c r="D27" s="55"/>
      <c r="E27" s="43"/>
      <c r="F27" s="43"/>
      <c r="G27" s="50"/>
    </row>
    <row r="28" customFormat="false" ht="12.75" hidden="false" customHeight="false" outlineLevel="0" collapsed="false">
      <c r="A28" s="53"/>
      <c r="C28" s="58"/>
      <c r="D28" s="55"/>
      <c r="E28" s="43"/>
      <c r="F28" s="43"/>
      <c r="G28" s="50"/>
    </row>
    <row r="29" customFormat="false" ht="12.75" hidden="false" customHeight="false" outlineLevel="0" collapsed="false">
      <c r="A29" s="53"/>
      <c r="C29" s="58"/>
      <c r="D29" s="55"/>
      <c r="E29" s="43"/>
      <c r="F29" s="43"/>
      <c r="G29" s="50"/>
    </row>
    <row r="30" customFormat="false" ht="12.75" hidden="false" customHeight="false" outlineLevel="0" collapsed="false">
      <c r="A30" s="53"/>
      <c r="C30" s="58"/>
      <c r="D30" s="55"/>
      <c r="E30" s="43"/>
      <c r="F30" s="43"/>
      <c r="G30" s="50"/>
    </row>
    <row r="31" customFormat="false" ht="12.75" hidden="false" customHeight="false" outlineLevel="0" collapsed="false">
      <c r="A31" s="53"/>
      <c r="C31" s="58"/>
      <c r="D31" s="55"/>
      <c r="E31" s="43"/>
      <c r="F31" s="43"/>
      <c r="G31" s="50"/>
    </row>
    <row r="32" customFormat="false" ht="12.75" hidden="false" customHeight="false" outlineLevel="0" collapsed="false">
      <c r="A32" s="53"/>
      <c r="C32" s="58"/>
      <c r="D32" s="55"/>
      <c r="E32" s="43"/>
      <c r="F32" s="43"/>
      <c r="G32" s="50"/>
    </row>
    <row r="33" customFormat="false" ht="12.75" hidden="false" customHeight="false" outlineLevel="0" collapsed="false">
      <c r="B33" s="45"/>
      <c r="C33" s="32"/>
    </row>
    <row r="34" customFormat="false" ht="12.75" hidden="false" customHeight="false" outlineLevel="0" collapsed="false">
      <c r="A34" s="62"/>
      <c r="B34" s="34"/>
    </row>
    <row r="35" customFormat="false" ht="12.75" hidden="false" customHeight="false" outlineLevel="0" collapsed="false">
      <c r="D35" s="32" t="s">
        <v>47</v>
      </c>
      <c r="E35" s="32"/>
      <c r="F35" s="60"/>
      <c r="G35" s="61" t="n">
        <f aca="false">SUM(G21:G32)</f>
        <v>23436.8749</v>
      </c>
    </row>
    <row r="36" customFormat="false" ht="12.75" hidden="false" customHeight="false" outlineLevel="0" collapsed="false">
      <c r="B36" s="45"/>
    </row>
    <row r="37" customFormat="false" ht="12.75" hidden="false" customHeight="false" outlineLevel="0" collapsed="false">
      <c r="B37" s="32"/>
      <c r="C37" s="32"/>
    </row>
    <row r="38" customFormat="false" ht="12.75" hidden="false" customHeight="false" outlineLevel="0" collapsed="false">
      <c r="B38" s="34"/>
    </row>
    <row r="39" customFormat="false" ht="12.75" hidden="false" customHeight="false" outlineLevel="0" collapsed="false">
      <c r="B39" s="45"/>
    </row>
    <row r="40" customFormat="false" ht="12.75" hidden="false" customHeight="false" outlineLevel="0" collapsed="false">
      <c r="B40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5"/>
  <sheetViews>
    <sheetView showFormulas="false" showGridLines="fals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A2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16.99"/>
    <col collapsed="false" customWidth="true" hidden="false" outlineLevel="0" max="3" min="3" style="0" width="19.41"/>
    <col collapsed="false" customWidth="true" hidden="false" outlineLevel="0" max="4" min="4" style="0" width="18.14"/>
    <col collapsed="false" customWidth="true" hidden="false" outlineLevel="0" max="5" min="5" style="0" width="17.42"/>
    <col collapsed="false" customWidth="true" hidden="false" outlineLevel="0" max="6" min="6" style="0" width="22.7"/>
    <col collapsed="false" customWidth="true" hidden="false" outlineLevel="0" max="7" min="7" style="0" width="15.56"/>
    <col collapsed="false" customWidth="true" hidden="false" outlineLevel="0" max="8" min="8" style="0" width="14.14"/>
    <col collapsed="false" customWidth="true" hidden="false" outlineLevel="0" max="9" min="9" style="0" width="13.14"/>
    <col collapsed="false" customWidth="true" hidden="false" outlineLevel="0" max="11" min="10" style="0" width="19.28"/>
    <col collapsed="false" customWidth="true" hidden="false" outlineLevel="0" max="12" min="12" style="0" width="18.7"/>
    <col collapsed="false" customWidth="true" hidden="false" outlineLevel="0" max="13" min="13" style="0" width="19.28"/>
  </cols>
  <sheetData>
    <row r="1" customFormat="false" ht="12.75" hidden="false" customHeight="false" outlineLevel="0" collapsed="false">
      <c r="A1" s="32" t="s">
        <v>331</v>
      </c>
      <c r="B1" s="32" t="s">
        <v>49</v>
      </c>
      <c r="C1" s="32" t="s">
        <v>333</v>
      </c>
      <c r="F1" s="0" t="s">
        <v>51</v>
      </c>
      <c r="H1" s="32"/>
      <c r="M1" s="3" t="n">
        <f aca="true">NOW()</f>
        <v>45926.88840968</v>
      </c>
    </row>
    <row r="2" customFormat="false" ht="12.75" hidden="false" customHeight="false" outlineLevel="0" collapsed="false">
      <c r="A2" s="33" t="n">
        <f aca="false">+'Index Pricing'!A1</f>
        <v>37196</v>
      </c>
      <c r="B2" s="32" t="s">
        <v>52</v>
      </c>
      <c r="C2" s="32" t="s">
        <v>334</v>
      </c>
      <c r="H2" s="32"/>
    </row>
    <row r="3" customFormat="false" ht="12.75" hidden="false" customHeight="false" outlineLevel="0" collapsed="false">
      <c r="A3" s="33"/>
      <c r="B3" s="32" t="s">
        <v>54</v>
      </c>
      <c r="C3" s="32"/>
      <c r="F3" s="0" t="s">
        <v>56</v>
      </c>
      <c r="G3" s="0" t="s">
        <v>57</v>
      </c>
      <c r="H3" s="32"/>
    </row>
    <row r="4" customFormat="false" ht="12.75" hidden="false" customHeight="false" outlineLevel="0" collapsed="false">
      <c r="A4" s="33"/>
      <c r="B4" s="32"/>
      <c r="C4" s="32"/>
      <c r="H4" s="32"/>
    </row>
    <row r="5" customFormat="false" ht="12.75" hidden="false" customHeight="false" outlineLevel="0" collapsed="false">
      <c r="A5" s="33" t="s">
        <v>119</v>
      </c>
      <c r="B5" s="354" t="n">
        <v>0</v>
      </c>
      <c r="C5" s="32"/>
      <c r="H5" s="32"/>
    </row>
    <row r="6" customFormat="false" ht="12.75" hidden="false" customHeight="false" outlineLevel="0" collapsed="false">
      <c r="A6" s="33" t="s">
        <v>121</v>
      </c>
      <c r="B6" s="354" t="n">
        <v>704</v>
      </c>
      <c r="C6" s="32" t="s">
        <v>120</v>
      </c>
      <c r="H6" s="32"/>
    </row>
    <row r="7" customFormat="false" ht="12.75" hidden="false" customHeight="false" outlineLevel="0" collapsed="false">
      <c r="A7" s="62" t="s">
        <v>280</v>
      </c>
      <c r="B7" s="405" t="n">
        <f aca="false">'[1]Enron Detail'!$X$9</f>
        <v>0.938054207796554</v>
      </c>
    </row>
    <row r="8" customFormat="false" ht="12.75" hidden="false" customHeight="false" outlineLevel="0" collapsed="false">
      <c r="A8" s="62" t="s">
        <v>59</v>
      </c>
      <c r="B8" s="1" t="n">
        <v>0.485</v>
      </c>
      <c r="C8" s="0" t="s">
        <v>60</v>
      </c>
    </row>
    <row r="9" customFormat="false" ht="12.75" hidden="false" customHeight="false" outlineLevel="0" collapsed="false">
      <c r="A9" s="62" t="s">
        <v>0</v>
      </c>
      <c r="B9" s="54" t="n">
        <f aca="false">'Index Pricing'!B3</f>
        <v>2.54</v>
      </c>
    </row>
    <row r="10" customFormat="false" ht="12.75" hidden="false" customHeight="false" outlineLevel="0" collapsed="false">
      <c r="A10" s="62"/>
      <c r="B10" s="54"/>
    </row>
    <row r="11" customFormat="false" ht="13.5" hidden="false" customHeight="false" outlineLevel="0" collapsed="false">
      <c r="A11" s="62"/>
    </row>
    <row r="12" customFormat="false" ht="25.5" hidden="false" customHeight="false" outlineLevel="0" collapsed="false">
      <c r="A12" s="65"/>
      <c r="B12" s="66"/>
      <c r="C12" s="67" t="s">
        <v>61</v>
      </c>
      <c r="D12" s="67" t="s">
        <v>127</v>
      </c>
      <c r="E12" s="67" t="s">
        <v>66</v>
      </c>
      <c r="F12" s="69" t="s">
        <v>67</v>
      </c>
      <c r="G12" s="70"/>
      <c r="H12" s="70"/>
      <c r="I12" s="70"/>
      <c r="J12" s="24"/>
      <c r="K12" s="24"/>
      <c r="L12" s="24"/>
      <c r="M12" s="24"/>
    </row>
    <row r="13" customFormat="false" ht="12.75" hidden="false" customHeight="false" outlineLevel="0" collapsed="false">
      <c r="A13" s="71" t="s">
        <v>68</v>
      </c>
      <c r="B13" s="72" t="s">
        <v>81</v>
      </c>
      <c r="C13" s="428" t="n">
        <v>-0.08</v>
      </c>
      <c r="D13" s="72" t="n">
        <f aca="false">-B8/B7</f>
        <v>-0.517027689838142</v>
      </c>
      <c r="E13" s="72" t="n">
        <f aca="false">-F51*D13/(D51)</f>
        <v>-0.0492359229957697</v>
      </c>
      <c r="F13" s="75" t="n">
        <f aca="false">ROUND(SUM(C13:E13),4)</f>
        <v>-0.6463</v>
      </c>
    </row>
    <row r="14" customFormat="false" ht="12.75" hidden="false" customHeight="false" outlineLevel="0" collapsed="false">
      <c r="A14" s="71"/>
      <c r="B14" s="72"/>
      <c r="C14" s="73"/>
      <c r="D14" s="72"/>
      <c r="E14" s="72"/>
      <c r="F14" s="75"/>
    </row>
    <row r="15" customFormat="false" ht="13.5" hidden="false" customHeight="false" outlineLevel="0" collapsed="false">
      <c r="A15" s="76"/>
      <c r="B15" s="77"/>
      <c r="C15" s="78"/>
      <c r="D15" s="77"/>
      <c r="E15" s="77"/>
      <c r="F15" s="79"/>
    </row>
    <row r="16" customFormat="false" ht="13.5" hidden="false" customHeight="false" outlineLevel="0" collapsed="false"/>
    <row r="17" customFormat="false" ht="25.5" hidden="false" customHeight="false" outlineLevel="0" collapsed="false">
      <c r="A17" s="80"/>
      <c r="B17" s="84"/>
      <c r="C17" s="81"/>
      <c r="D17" s="164" t="s">
        <v>335</v>
      </c>
      <c r="E17" s="85"/>
      <c r="F17" s="383" t="s">
        <v>336</v>
      </c>
      <c r="G17" s="383" t="s">
        <v>76</v>
      </c>
      <c r="H17" s="384" t="s">
        <v>337</v>
      </c>
      <c r="I17" s="358" t="s">
        <v>80</v>
      </c>
    </row>
    <row r="18" customFormat="false" ht="26.25" hidden="false" customHeight="false" outlineLevel="0" collapsed="false">
      <c r="B18" s="331" t="s">
        <v>81</v>
      </c>
      <c r="C18" s="178" t="s">
        <v>338</v>
      </c>
      <c r="D18" s="91"/>
      <c r="E18" s="30"/>
      <c r="F18" s="30"/>
      <c r="G18" s="30"/>
      <c r="H18" s="331"/>
      <c r="I18" s="363"/>
    </row>
    <row r="19" customFormat="false" ht="13.5" hidden="false" customHeight="false" outlineLevel="0" collapsed="false">
      <c r="A19" s="8" t="n">
        <f aca="false">+'Index Pricing'!A7</f>
        <v>37196</v>
      </c>
      <c r="B19" s="415" t="n">
        <f aca="false">+'Index Pricing'!B7</f>
        <v>2.67</v>
      </c>
      <c r="C19" s="429" t="n">
        <f aca="false">+B19+$F$13</f>
        <v>2.0237</v>
      </c>
      <c r="D19" s="430" t="n">
        <f aca="false">+G19+F19</f>
        <v>790</v>
      </c>
      <c r="E19" s="31"/>
      <c r="F19" s="350" t="n">
        <f aca="false">'[1]Enron Detail'!Y14</f>
        <v>-74</v>
      </c>
      <c r="G19" s="367" t="n">
        <f aca="false">'[1]Enron Detail'!X14</f>
        <v>864</v>
      </c>
      <c r="H19" s="97" t="n">
        <f aca="false">+C19*D19</f>
        <v>1598.723</v>
      </c>
      <c r="I19" s="427" t="n">
        <f aca="false">+C19*D19</f>
        <v>1598.723</v>
      </c>
    </row>
    <row r="20" customFormat="false" ht="12.75" hidden="false" customHeight="false" outlineLevel="0" collapsed="false">
      <c r="A20" s="8" t="n">
        <f aca="false">+'Index Pricing'!A8</f>
        <v>37197</v>
      </c>
      <c r="B20" s="420" t="n">
        <f aca="false">+'Index Pricing'!B8</f>
        <v>2.36</v>
      </c>
      <c r="C20" s="364" t="n">
        <f aca="false">+B20+$F$13</f>
        <v>1.7137</v>
      </c>
      <c r="D20" s="431" t="n">
        <f aca="false">+G20+F20</f>
        <v>565</v>
      </c>
      <c r="E20" s="31"/>
      <c r="F20" s="350" t="n">
        <f aca="false">'[1]Enron Detail'!Y15</f>
        <v>-59</v>
      </c>
      <c r="G20" s="367" t="n">
        <f aca="false">'[1]Enron Detail'!X15</f>
        <v>624</v>
      </c>
      <c r="H20" s="432" t="n">
        <f aca="false">+C20*D20</f>
        <v>968.2405</v>
      </c>
      <c r="I20" s="433" t="n">
        <f aca="false">+C20*D20</f>
        <v>968.2405</v>
      </c>
    </row>
    <row r="21" customFormat="false" ht="12.75" hidden="false" customHeight="false" outlineLevel="0" collapsed="false">
      <c r="A21" s="8" t="n">
        <f aca="false">+'Index Pricing'!A9</f>
        <v>37198</v>
      </c>
      <c r="B21" s="420" t="n">
        <f aca="false">+'Index Pricing'!B9</f>
        <v>2.015</v>
      </c>
      <c r="C21" s="364" t="n">
        <f aca="false">+B21+$F$13</f>
        <v>1.3687</v>
      </c>
      <c r="D21" s="431" t="n">
        <f aca="false">+G21+F21</f>
        <v>775</v>
      </c>
      <c r="E21" s="31"/>
      <c r="F21" s="350" t="n">
        <f aca="false">'[1]Enron Detail'!Y16</f>
        <v>-73</v>
      </c>
      <c r="G21" s="367" t="n">
        <f aca="false">'[1]Enron Detail'!X16</f>
        <v>848</v>
      </c>
      <c r="H21" s="97" t="n">
        <f aca="false">+C21*D21</f>
        <v>1060.7425</v>
      </c>
      <c r="I21" s="433" t="n">
        <f aca="false">+C21*D21</f>
        <v>1060.7425</v>
      </c>
    </row>
    <row r="22" customFormat="false" ht="12.75" hidden="false" customHeight="false" outlineLevel="0" collapsed="false">
      <c r="A22" s="8" t="n">
        <f aca="false">+'Index Pricing'!A10</f>
        <v>37199</v>
      </c>
      <c r="B22" s="420" t="n">
        <f aca="false">+'Index Pricing'!B10</f>
        <v>2.015</v>
      </c>
      <c r="C22" s="364" t="n">
        <f aca="false">+B22+$F$13</f>
        <v>1.3687</v>
      </c>
      <c r="D22" s="431" t="n">
        <f aca="false">+G22+F22</f>
        <v>138</v>
      </c>
      <c r="E22" s="31"/>
      <c r="F22" s="350" t="n">
        <f aca="false">'[1]Enron Detail'!Y17</f>
        <v>-13</v>
      </c>
      <c r="G22" s="367" t="n">
        <f aca="false">'[1]Enron Detail'!X17</f>
        <v>151</v>
      </c>
      <c r="H22" s="97" t="n">
        <f aca="false">+C22*D22</f>
        <v>188.8806</v>
      </c>
      <c r="I22" s="433" t="n">
        <f aca="false">+C22*D22</f>
        <v>188.8806</v>
      </c>
    </row>
    <row r="23" customFormat="false" ht="12.75" hidden="false" customHeight="false" outlineLevel="0" collapsed="false">
      <c r="A23" s="8" t="n">
        <f aca="false">+'Index Pricing'!A11</f>
        <v>37200</v>
      </c>
      <c r="B23" s="420" t="n">
        <f aca="false">+'Index Pricing'!B11</f>
        <v>2.015</v>
      </c>
      <c r="C23" s="364" t="n">
        <f aca="false">+B23+$F$13</f>
        <v>1.3687</v>
      </c>
      <c r="D23" s="431" t="n">
        <f aca="false">+G23+F23</f>
        <v>712</v>
      </c>
      <c r="E23" s="31"/>
      <c r="F23" s="350" t="n">
        <f aca="false">'[1]Enron Detail'!Y18</f>
        <v>-64</v>
      </c>
      <c r="G23" s="367" t="n">
        <f aca="false">'[1]Enron Detail'!X18</f>
        <v>776</v>
      </c>
      <c r="H23" s="97" t="n">
        <f aca="false">+C23*D23</f>
        <v>974.5144</v>
      </c>
      <c r="I23" s="433" t="n">
        <f aca="false">+C23*D23</f>
        <v>974.5144</v>
      </c>
    </row>
    <row r="24" customFormat="false" ht="12.75" hidden="false" customHeight="false" outlineLevel="0" collapsed="false">
      <c r="A24" s="8" t="n">
        <f aca="false">+'Index Pricing'!A12</f>
        <v>37201</v>
      </c>
      <c r="B24" s="420" t="n">
        <f aca="false">+'Index Pricing'!B12</f>
        <v>2.16</v>
      </c>
      <c r="C24" s="364" t="n">
        <f aca="false">+B24+$F$13</f>
        <v>1.5137</v>
      </c>
      <c r="D24" s="431" t="n">
        <f aca="false">+G24+F24</f>
        <v>774</v>
      </c>
      <c r="E24" s="31"/>
      <c r="F24" s="350" t="n">
        <f aca="false">'[1]Enron Detail'!Y19</f>
        <v>-73</v>
      </c>
      <c r="G24" s="367" t="n">
        <f aca="false">'[1]Enron Detail'!X19</f>
        <v>847</v>
      </c>
      <c r="H24" s="97" t="n">
        <f aca="false">+C24*D24</f>
        <v>1171.6038</v>
      </c>
      <c r="I24" s="433" t="n">
        <f aca="false">+C24*D24</f>
        <v>1171.6038</v>
      </c>
    </row>
    <row r="25" customFormat="false" ht="12.75" hidden="false" customHeight="false" outlineLevel="0" collapsed="false">
      <c r="A25" s="8" t="n">
        <f aca="false">+'Index Pricing'!A13</f>
        <v>37202</v>
      </c>
      <c r="B25" s="420" t="n">
        <f aca="false">+'Index Pricing'!B13</f>
        <v>2.135</v>
      </c>
      <c r="C25" s="364" t="n">
        <f aca="false">+B25+$F$13</f>
        <v>1.4887</v>
      </c>
      <c r="D25" s="431" t="n">
        <f aca="false">+G25+F25</f>
        <v>809</v>
      </c>
      <c r="E25" s="31"/>
      <c r="F25" s="350" t="n">
        <f aca="false">'[1]Enron Detail'!Y20</f>
        <v>-75</v>
      </c>
      <c r="G25" s="367" t="n">
        <f aca="false">'[1]Enron Detail'!X20</f>
        <v>884</v>
      </c>
      <c r="H25" s="97" t="n">
        <f aca="false">+C25*D25</f>
        <v>1204.3583</v>
      </c>
      <c r="I25" s="433" t="n">
        <f aca="false">+C25*D25</f>
        <v>1204.3583</v>
      </c>
    </row>
    <row r="26" customFormat="false" ht="12.75" hidden="false" customHeight="false" outlineLevel="0" collapsed="false">
      <c r="A26" s="8" t="n">
        <f aca="false">+'Index Pricing'!A14</f>
        <v>37203</v>
      </c>
      <c r="B26" s="420" t="n">
        <f aca="false">+'Index Pricing'!B14</f>
        <v>2.13</v>
      </c>
      <c r="C26" s="364" t="n">
        <f aca="false">+B26+$F$13</f>
        <v>1.4837</v>
      </c>
      <c r="D26" s="431" t="n">
        <f aca="false">+G26+F26</f>
        <v>824</v>
      </c>
      <c r="E26" s="31"/>
      <c r="F26" s="350" t="n">
        <f aca="false">'[1]Enron Detail'!Y21</f>
        <v>-74</v>
      </c>
      <c r="G26" s="367" t="n">
        <f aca="false">'[1]Enron Detail'!X21</f>
        <v>898</v>
      </c>
      <c r="H26" s="97" t="n">
        <f aca="false">+C26*D26</f>
        <v>1222.5688</v>
      </c>
      <c r="I26" s="433" t="n">
        <f aca="false">+C26*D26</f>
        <v>1222.5688</v>
      </c>
    </row>
    <row r="27" customFormat="false" ht="12.75" hidden="false" customHeight="false" outlineLevel="0" collapsed="false">
      <c r="A27" s="8" t="n">
        <f aca="false">+'Index Pricing'!A15</f>
        <v>37204</v>
      </c>
      <c r="B27" s="420" t="n">
        <f aca="false">+'Index Pricing'!B15</f>
        <v>1.935</v>
      </c>
      <c r="C27" s="364" t="n">
        <f aca="false">+B27+$F$13</f>
        <v>1.2887</v>
      </c>
      <c r="D27" s="431" t="n">
        <f aca="false">+G27+F27</f>
        <v>228</v>
      </c>
      <c r="E27" s="31"/>
      <c r="F27" s="350" t="n">
        <f aca="false">'[1]Enron Detail'!Y22</f>
        <v>-22</v>
      </c>
      <c r="G27" s="367" t="n">
        <f aca="false">'[1]Enron Detail'!X22</f>
        <v>250</v>
      </c>
      <c r="H27" s="97" t="n">
        <f aca="false">+C27*D27</f>
        <v>293.8236</v>
      </c>
      <c r="I27" s="433" t="n">
        <f aca="false">+C27*D27</f>
        <v>293.8236</v>
      </c>
    </row>
    <row r="28" customFormat="false" ht="12.75" hidden="false" customHeight="false" outlineLevel="0" collapsed="false">
      <c r="A28" s="8" t="n">
        <f aca="false">+'Index Pricing'!A16</f>
        <v>37205</v>
      </c>
      <c r="B28" s="420" t="n">
        <f aca="false">+'Index Pricing'!B16</f>
        <v>1.7</v>
      </c>
      <c r="C28" s="364" t="n">
        <f aca="false">+B28+$F$13</f>
        <v>1.0537</v>
      </c>
      <c r="D28" s="431" t="n">
        <f aca="false">+G28+F28</f>
        <v>771</v>
      </c>
      <c r="E28" s="31"/>
      <c r="F28" s="350" t="n">
        <f aca="false">'[1]Enron Detail'!Y23</f>
        <v>-69</v>
      </c>
      <c r="G28" s="367" t="n">
        <f aca="false">'[1]Enron Detail'!X23</f>
        <v>840</v>
      </c>
      <c r="H28" s="97" t="n">
        <f aca="false">+C28*D28</f>
        <v>812.4027</v>
      </c>
      <c r="I28" s="433" t="n">
        <f aca="false">+C28*D28</f>
        <v>812.4027</v>
      </c>
    </row>
    <row r="29" customFormat="false" ht="12.75" hidden="false" customHeight="false" outlineLevel="0" collapsed="false">
      <c r="A29" s="8" t="n">
        <f aca="false">+'Index Pricing'!A17</f>
        <v>37206</v>
      </c>
      <c r="B29" s="420" t="n">
        <f aca="false">+'Index Pricing'!B17</f>
        <v>1.7</v>
      </c>
      <c r="C29" s="364" t="n">
        <f aca="false">+B29+$F$13</f>
        <v>1.0537</v>
      </c>
      <c r="D29" s="431" t="n">
        <f aca="false">+G29+F29</f>
        <v>821</v>
      </c>
      <c r="E29" s="31"/>
      <c r="F29" s="350" t="n">
        <f aca="false">'[1]Enron Detail'!Y24</f>
        <v>-75</v>
      </c>
      <c r="G29" s="367" t="n">
        <f aca="false">'[1]Enron Detail'!X24</f>
        <v>896</v>
      </c>
      <c r="H29" s="97" t="n">
        <f aca="false">+C29*D29</f>
        <v>865.0877</v>
      </c>
      <c r="I29" s="433" t="n">
        <f aca="false">+C29*D29</f>
        <v>865.0877</v>
      </c>
    </row>
    <row r="30" customFormat="false" ht="12.75" hidden="false" customHeight="false" outlineLevel="0" collapsed="false">
      <c r="A30" s="8" t="n">
        <f aca="false">+'Index Pricing'!A18</f>
        <v>37207</v>
      </c>
      <c r="B30" s="420" t="n">
        <f aca="false">+'Index Pricing'!B18</f>
        <v>1.7</v>
      </c>
      <c r="C30" s="364" t="n">
        <f aca="false">+B30+$F$13</f>
        <v>1.0537</v>
      </c>
      <c r="D30" s="431" t="n">
        <f aca="false">+G30+F30</f>
        <v>725</v>
      </c>
      <c r="E30" s="31"/>
      <c r="F30" s="350" t="n">
        <f aca="false">'[1]Enron Detail'!Y25</f>
        <v>-69</v>
      </c>
      <c r="G30" s="367" t="n">
        <f aca="false">'[1]Enron Detail'!X25</f>
        <v>794</v>
      </c>
      <c r="H30" s="97" t="n">
        <f aca="false">+C30*D30</f>
        <v>763.9325</v>
      </c>
      <c r="I30" s="433" t="n">
        <f aca="false">+C30*D30</f>
        <v>763.9325</v>
      </c>
    </row>
    <row r="31" customFormat="false" ht="12.75" hidden="false" customHeight="false" outlineLevel="0" collapsed="false">
      <c r="A31" s="8" t="n">
        <f aca="false">+'Index Pricing'!A19</f>
        <v>37208</v>
      </c>
      <c r="B31" s="420" t="n">
        <f aca="false">+'Index Pricing'!B19</f>
        <v>1.52</v>
      </c>
      <c r="C31" s="364" t="n">
        <f aca="false">+B31+$F$13</f>
        <v>0.8737</v>
      </c>
      <c r="D31" s="431" t="n">
        <f aca="false">+G31+F31</f>
        <v>802</v>
      </c>
      <c r="E31" s="31"/>
      <c r="F31" s="350" t="n">
        <f aca="false">'[1]Enron Detail'!Y26</f>
        <v>-74</v>
      </c>
      <c r="G31" s="367" t="n">
        <f aca="false">'[1]Enron Detail'!X26</f>
        <v>876</v>
      </c>
      <c r="H31" s="97" t="n">
        <f aca="false">+C31*D31</f>
        <v>700.7074</v>
      </c>
      <c r="I31" s="433" t="n">
        <f aca="false">+C31*D31</f>
        <v>700.7074</v>
      </c>
    </row>
    <row r="32" customFormat="false" ht="12.75" hidden="false" customHeight="false" outlineLevel="0" collapsed="false">
      <c r="A32" s="8" t="n">
        <f aca="false">+'Index Pricing'!A20</f>
        <v>37209</v>
      </c>
      <c r="B32" s="420" t="n">
        <f aca="false">+'Index Pricing'!B20</f>
        <v>1.595</v>
      </c>
      <c r="C32" s="364" t="n">
        <f aca="false">+B32+$F$13</f>
        <v>0.9487</v>
      </c>
      <c r="D32" s="431" t="n">
        <f aca="false">+G32+F32</f>
        <v>847</v>
      </c>
      <c r="E32" s="31"/>
      <c r="F32" s="350" t="n">
        <f aca="false">'[1]Enron Detail'!Y27</f>
        <v>-76</v>
      </c>
      <c r="G32" s="367" t="n">
        <f aca="false">'[1]Enron Detail'!X27</f>
        <v>923</v>
      </c>
      <c r="H32" s="97" t="n">
        <f aca="false">+C32*D32</f>
        <v>803.5489</v>
      </c>
      <c r="I32" s="433" t="n">
        <f aca="false">+C32*D32</f>
        <v>803.5489</v>
      </c>
    </row>
    <row r="33" customFormat="false" ht="12.75" hidden="false" customHeight="false" outlineLevel="0" collapsed="false">
      <c r="A33" s="8" t="n">
        <f aca="false">+'Index Pricing'!A21</f>
        <v>37210</v>
      </c>
      <c r="B33" s="420" t="n">
        <f aca="false">+'Index Pricing'!B21</f>
        <v>1.84</v>
      </c>
      <c r="C33" s="364" t="n">
        <f aca="false">+B33+$F$13</f>
        <v>1.1937</v>
      </c>
      <c r="D33" s="431" t="n">
        <f aca="false">+G33+F33</f>
        <v>847</v>
      </c>
      <c r="E33" s="31"/>
      <c r="F33" s="350" t="n">
        <f aca="false">'[1]Enron Detail'!Y28</f>
        <v>-78</v>
      </c>
      <c r="G33" s="367" t="n">
        <f aca="false">'[1]Enron Detail'!X28</f>
        <v>925</v>
      </c>
      <c r="H33" s="97" t="n">
        <f aca="false">+C33*D33</f>
        <v>1011.0639</v>
      </c>
      <c r="I33" s="433" t="n">
        <f aca="false">+C33*D33</f>
        <v>1011.0639</v>
      </c>
    </row>
    <row r="34" customFormat="false" ht="12.75" hidden="false" customHeight="false" outlineLevel="0" collapsed="false">
      <c r="A34" s="8" t="n">
        <f aca="false">+'Index Pricing'!A22</f>
        <v>37211</v>
      </c>
      <c r="B34" s="420" t="n">
        <f aca="false">+'Index Pricing'!B22</f>
        <v>1.435</v>
      </c>
      <c r="C34" s="364" t="n">
        <f aca="false">+B34+$F$13</f>
        <v>0.7887</v>
      </c>
      <c r="D34" s="431" t="n">
        <f aca="false">+G34+F34</f>
        <v>835</v>
      </c>
      <c r="E34" s="31"/>
      <c r="F34" s="350" t="n">
        <f aca="false">'[1]Enron Detail'!Y29</f>
        <v>-77</v>
      </c>
      <c r="G34" s="367" t="n">
        <f aca="false">'[1]Enron Detail'!X29</f>
        <v>912</v>
      </c>
      <c r="H34" s="97" t="n">
        <f aca="false">+C34*D34</f>
        <v>658.5645</v>
      </c>
      <c r="I34" s="433" t="n">
        <f aca="false">+C34*D34</f>
        <v>658.5645</v>
      </c>
    </row>
    <row r="35" customFormat="false" ht="12.75" hidden="false" customHeight="false" outlineLevel="0" collapsed="false">
      <c r="A35" s="8" t="n">
        <f aca="false">+'Index Pricing'!A23</f>
        <v>37212</v>
      </c>
      <c r="B35" s="420" t="n">
        <f aca="false">+'Index Pricing'!B23</f>
        <v>1.135</v>
      </c>
      <c r="C35" s="364" t="n">
        <f aca="false">+B35+$F$13</f>
        <v>0.4887</v>
      </c>
      <c r="D35" s="431" t="n">
        <f aca="false">+G35+F35</f>
        <v>845</v>
      </c>
      <c r="E35" s="31"/>
      <c r="F35" s="350" t="n">
        <f aca="false">'[1]Enron Detail'!Y30</f>
        <v>-76</v>
      </c>
      <c r="G35" s="367" t="n">
        <f aca="false">'[1]Enron Detail'!X30</f>
        <v>921</v>
      </c>
      <c r="H35" s="97" t="n">
        <f aca="false">+C35*D35</f>
        <v>412.9515</v>
      </c>
      <c r="I35" s="433" t="n">
        <f aca="false">+C35*D35</f>
        <v>412.9515</v>
      </c>
    </row>
    <row r="36" customFormat="false" ht="12.75" hidden="false" customHeight="false" outlineLevel="0" collapsed="false">
      <c r="A36" s="8" t="n">
        <f aca="false">+'Index Pricing'!A24</f>
        <v>37213</v>
      </c>
      <c r="B36" s="420" t="n">
        <f aca="false">+'Index Pricing'!B24</f>
        <v>1.135</v>
      </c>
      <c r="C36" s="364" t="n">
        <f aca="false">+B36+$F$13</f>
        <v>0.4887</v>
      </c>
      <c r="D36" s="431" t="n">
        <f aca="false">+G36+F36</f>
        <v>681</v>
      </c>
      <c r="E36" s="31"/>
      <c r="F36" s="350" t="n">
        <f aca="false">'[1]Enron Detail'!Y31</f>
        <v>-68</v>
      </c>
      <c r="G36" s="367" t="n">
        <f aca="false">'[1]Enron Detail'!X31</f>
        <v>749</v>
      </c>
      <c r="H36" s="97" t="n">
        <f aca="false">+C36*D36</f>
        <v>332.8047</v>
      </c>
      <c r="I36" s="433" t="n">
        <f aca="false">+C36*D36</f>
        <v>332.8047</v>
      </c>
    </row>
    <row r="37" customFormat="false" ht="12.75" hidden="false" customHeight="false" outlineLevel="0" collapsed="false">
      <c r="A37" s="8" t="n">
        <f aca="false">+'Index Pricing'!A25</f>
        <v>37214</v>
      </c>
      <c r="B37" s="420" t="n">
        <f aca="false">+'Index Pricing'!B25</f>
        <v>1.135</v>
      </c>
      <c r="C37" s="364" t="n">
        <f aca="false">+B37+$F$13</f>
        <v>0.4887</v>
      </c>
      <c r="D37" s="431" t="n">
        <f aca="false">+G37+F37</f>
        <v>782</v>
      </c>
      <c r="E37" s="31"/>
      <c r="F37" s="350" t="n">
        <f aca="false">'[1]Enron Detail'!Y32</f>
        <v>-70</v>
      </c>
      <c r="G37" s="367" t="n">
        <f aca="false">'[1]Enron Detail'!X32</f>
        <v>852</v>
      </c>
      <c r="H37" s="97" t="n">
        <f aca="false">+C37*D37</f>
        <v>382.1634</v>
      </c>
      <c r="I37" s="433" t="n">
        <f aca="false">+C37*D37</f>
        <v>382.1634</v>
      </c>
    </row>
    <row r="38" customFormat="false" ht="12.75" hidden="false" customHeight="false" outlineLevel="0" collapsed="false">
      <c r="A38" s="8" t="n">
        <f aca="false">+'Index Pricing'!A26</f>
        <v>37215</v>
      </c>
      <c r="B38" s="420" t="n">
        <f aca="false">+'Index Pricing'!B26</f>
        <v>1.535</v>
      </c>
      <c r="C38" s="364" t="n">
        <f aca="false">+B38+$F$13</f>
        <v>0.8887</v>
      </c>
      <c r="D38" s="431" t="n">
        <f aca="false">+G38+F38</f>
        <v>740</v>
      </c>
      <c r="E38" s="31"/>
      <c r="F38" s="350" t="n">
        <f aca="false">'[1]Enron Detail'!Y33</f>
        <v>-70</v>
      </c>
      <c r="G38" s="367" t="n">
        <f aca="false">'[1]Enron Detail'!X33</f>
        <v>810</v>
      </c>
      <c r="H38" s="97" t="n">
        <f aca="false">+C38*D38</f>
        <v>657.638</v>
      </c>
      <c r="I38" s="433" t="n">
        <f aca="false">+C38*D38</f>
        <v>657.638</v>
      </c>
    </row>
    <row r="39" customFormat="false" ht="12.75" hidden="false" customHeight="false" outlineLevel="0" collapsed="false">
      <c r="A39" s="8" t="n">
        <f aca="false">+'Index Pricing'!A27</f>
        <v>37216</v>
      </c>
      <c r="B39" s="420" t="n">
        <f aca="false">+'Index Pricing'!B27</f>
        <v>2.205</v>
      </c>
      <c r="C39" s="364" t="n">
        <f aca="false">+B39+$F$13</f>
        <v>1.5587</v>
      </c>
      <c r="D39" s="431" t="n">
        <f aca="false">+G39+F39</f>
        <v>770</v>
      </c>
      <c r="E39" s="31"/>
      <c r="F39" s="350" t="n">
        <f aca="false">'[1]Enron Detail'!Y34</f>
        <v>-69</v>
      </c>
      <c r="G39" s="367" t="n">
        <f aca="false">'[1]Enron Detail'!X34</f>
        <v>839</v>
      </c>
      <c r="H39" s="97" t="n">
        <f aca="false">+C39*D39</f>
        <v>1200.199</v>
      </c>
      <c r="I39" s="433" t="n">
        <f aca="false">+C39*D39</f>
        <v>1200.199</v>
      </c>
    </row>
    <row r="40" customFormat="false" ht="12.75" hidden="false" customHeight="false" outlineLevel="0" collapsed="false">
      <c r="A40" s="8" t="n">
        <f aca="false">+'Index Pricing'!A28</f>
        <v>37217</v>
      </c>
      <c r="B40" s="420" t="n">
        <f aca="false">+'Index Pricing'!B28</f>
        <v>1.43</v>
      </c>
      <c r="C40" s="364" t="n">
        <f aca="false">+B40+$F$13</f>
        <v>0.7837</v>
      </c>
      <c r="D40" s="431" t="n">
        <f aca="false">+G40+F40</f>
        <v>779</v>
      </c>
      <c r="E40" s="31"/>
      <c r="F40" s="350" t="n">
        <f aca="false">'[1]Enron Detail'!Y35</f>
        <v>-71</v>
      </c>
      <c r="G40" s="367" t="n">
        <f aca="false">'[1]Enron Detail'!X35</f>
        <v>850</v>
      </c>
      <c r="H40" s="97" t="n">
        <f aca="false">+C40*D40</f>
        <v>610.5023</v>
      </c>
      <c r="I40" s="433" t="n">
        <f aca="false">+C40*D40</f>
        <v>610.5023</v>
      </c>
    </row>
    <row r="41" customFormat="false" ht="12.75" hidden="false" customHeight="false" outlineLevel="0" collapsed="false">
      <c r="A41" s="8" t="n">
        <f aca="false">+'Index Pricing'!A29</f>
        <v>37218</v>
      </c>
      <c r="B41" s="420" t="n">
        <f aca="false">+'Index Pricing'!B29</f>
        <v>1.43</v>
      </c>
      <c r="C41" s="364" t="n">
        <f aca="false">+B41+$F$13</f>
        <v>0.7837</v>
      </c>
      <c r="D41" s="431" t="n">
        <f aca="false">+G41+F41</f>
        <v>321</v>
      </c>
      <c r="E41" s="31"/>
      <c r="F41" s="350" t="n">
        <f aca="false">'[1]Enron Detail'!Y36</f>
        <v>-29</v>
      </c>
      <c r="G41" s="367" t="n">
        <f aca="false">'[1]Enron Detail'!X36</f>
        <v>350</v>
      </c>
      <c r="H41" s="97" t="n">
        <f aca="false">+C41*D41</f>
        <v>251.5677</v>
      </c>
      <c r="I41" s="433" t="n">
        <f aca="false">+C41*D41</f>
        <v>251.5677</v>
      </c>
    </row>
    <row r="42" customFormat="false" ht="12.75" hidden="false" customHeight="false" outlineLevel="0" collapsed="false">
      <c r="A42" s="8" t="n">
        <f aca="false">+'Index Pricing'!A30</f>
        <v>37219</v>
      </c>
      <c r="B42" s="420" t="n">
        <f aca="false">+'Index Pricing'!B30</f>
        <v>1.43</v>
      </c>
      <c r="C42" s="364" t="n">
        <f aca="false">+B42+$F$13</f>
        <v>0.7837</v>
      </c>
      <c r="D42" s="431" t="n">
        <f aca="false">+G42+F42</f>
        <v>622</v>
      </c>
      <c r="E42" s="31"/>
      <c r="F42" s="350" t="n">
        <f aca="false">'[1]Enron Detail'!Y37</f>
        <v>-62</v>
      </c>
      <c r="G42" s="367" t="n">
        <f aca="false">'[1]Enron Detail'!X37</f>
        <v>684</v>
      </c>
      <c r="H42" s="97" t="n">
        <f aca="false">+C42*D42</f>
        <v>487.4614</v>
      </c>
      <c r="I42" s="433" t="n">
        <f aca="false">+C42*D42</f>
        <v>487.4614</v>
      </c>
    </row>
    <row r="43" customFormat="false" ht="12.75" hidden="false" customHeight="false" outlineLevel="0" collapsed="false">
      <c r="A43" s="8" t="n">
        <f aca="false">+'Index Pricing'!A31</f>
        <v>37220</v>
      </c>
      <c r="B43" s="420" t="n">
        <f aca="false">+'Index Pricing'!B31</f>
        <v>1.43</v>
      </c>
      <c r="C43" s="364" t="n">
        <f aca="false">+B43+$F$13</f>
        <v>0.7837</v>
      </c>
      <c r="D43" s="431" t="n">
        <f aca="false">+G43+F43</f>
        <v>669</v>
      </c>
      <c r="E43" s="31"/>
      <c r="F43" s="350" t="n">
        <f aca="false">'[1]Enron Detail'!Y38</f>
        <v>-65</v>
      </c>
      <c r="G43" s="367" t="n">
        <f aca="false">'[1]Enron Detail'!X38</f>
        <v>734</v>
      </c>
      <c r="H43" s="97" t="n">
        <f aca="false">+C43*D43</f>
        <v>524.2953</v>
      </c>
      <c r="I43" s="433" t="n">
        <f aca="false">+C43*D43</f>
        <v>524.2953</v>
      </c>
    </row>
    <row r="44" customFormat="false" ht="12.75" hidden="false" customHeight="false" outlineLevel="0" collapsed="false">
      <c r="A44" s="8" t="n">
        <f aca="false">+'Index Pricing'!A32</f>
        <v>37221</v>
      </c>
      <c r="B44" s="420" t="n">
        <f aca="false">+'Index Pricing'!B32</f>
        <v>1.43</v>
      </c>
      <c r="C44" s="364" t="n">
        <f aca="false">+B44+$F$13</f>
        <v>0.7837</v>
      </c>
      <c r="D44" s="431" t="n">
        <f aca="false">+G44+F44</f>
        <v>273</v>
      </c>
      <c r="E44" s="31"/>
      <c r="F44" s="350" t="n">
        <f aca="false">'[1]Enron Detail'!Y39</f>
        <v>-33</v>
      </c>
      <c r="G44" s="367" t="n">
        <f aca="false">'[1]Enron Detail'!X39</f>
        <v>306</v>
      </c>
      <c r="H44" s="97" t="n">
        <f aca="false">+C44*D44</f>
        <v>213.9501</v>
      </c>
      <c r="I44" s="433" t="n">
        <f aca="false">+C44*D44</f>
        <v>213.9501</v>
      </c>
    </row>
    <row r="45" customFormat="false" ht="12.75" hidden="false" customHeight="false" outlineLevel="0" collapsed="false">
      <c r="A45" s="8" t="n">
        <f aca="false">+'Index Pricing'!A33</f>
        <v>37222</v>
      </c>
      <c r="B45" s="420" t="n">
        <f aca="false">+'Index Pricing'!B33</f>
        <v>1.88</v>
      </c>
      <c r="C45" s="364" t="n">
        <f aca="false">+B45+$F$13</f>
        <v>1.2337</v>
      </c>
      <c r="D45" s="431" t="n">
        <f aca="false">+G45+F45</f>
        <v>531</v>
      </c>
      <c r="E45" s="31"/>
      <c r="F45" s="350" t="n">
        <f aca="false">'[1]Enron Detail'!Y40</f>
        <v>-67</v>
      </c>
      <c r="G45" s="367" t="n">
        <f aca="false">'[1]Enron Detail'!X40</f>
        <v>598</v>
      </c>
      <c r="H45" s="97" t="n">
        <f aca="false">+C45*D45</f>
        <v>655.0947</v>
      </c>
      <c r="I45" s="433" t="n">
        <f aca="false">+C45*D45</f>
        <v>655.0947</v>
      </c>
    </row>
    <row r="46" customFormat="false" ht="12.75" hidden="false" customHeight="false" outlineLevel="0" collapsed="false">
      <c r="A46" s="8" t="n">
        <f aca="false">+'Index Pricing'!A34</f>
        <v>37223</v>
      </c>
      <c r="B46" s="420" t="n">
        <f aca="false">+'Index Pricing'!B34</f>
        <v>2.16</v>
      </c>
      <c r="C46" s="364" t="n">
        <f aca="false">+B46+$F$13</f>
        <v>1.5137</v>
      </c>
      <c r="D46" s="431" t="n">
        <f aca="false">+G46+F46</f>
        <v>708</v>
      </c>
      <c r="E46" s="31"/>
      <c r="F46" s="350" t="n">
        <f aca="false">'[1]Enron Detail'!Y41</f>
        <v>-76</v>
      </c>
      <c r="G46" s="367" t="n">
        <f aca="false">'[1]Enron Detail'!X41</f>
        <v>784</v>
      </c>
      <c r="H46" s="97" t="n">
        <f aca="false">+C46*D46</f>
        <v>1071.6996</v>
      </c>
      <c r="I46" s="433" t="n">
        <f aca="false">+C46*D46</f>
        <v>1071.6996</v>
      </c>
    </row>
    <row r="47" customFormat="false" ht="12.75" hidden="false" customHeight="false" outlineLevel="0" collapsed="false">
      <c r="A47" s="8" t="n">
        <f aca="false">+'Index Pricing'!A35</f>
        <v>37224</v>
      </c>
      <c r="B47" s="420" t="n">
        <f aca="false">+'Index Pricing'!B35</f>
        <v>2.38</v>
      </c>
      <c r="C47" s="364" t="n">
        <f aca="false">+B47+$F$13</f>
        <v>1.7337</v>
      </c>
      <c r="D47" s="431" t="n">
        <f aca="false">+G47+F47</f>
        <v>787</v>
      </c>
      <c r="E47" s="31"/>
      <c r="F47" s="350" t="n">
        <f aca="false">'[1]Enron Detail'!Y42</f>
        <v>-76</v>
      </c>
      <c r="G47" s="367" t="n">
        <f aca="false">'[1]Enron Detail'!X42</f>
        <v>863</v>
      </c>
      <c r="H47" s="97" t="n">
        <f aca="false">+C47*D47</f>
        <v>1364.4219</v>
      </c>
      <c r="I47" s="433" t="n">
        <f aca="false">+C47*D47</f>
        <v>1364.4219</v>
      </c>
    </row>
    <row r="48" customFormat="false" ht="12.75" hidden="false" customHeight="false" outlineLevel="0" collapsed="false">
      <c r="A48" s="8" t="n">
        <f aca="false">+'Index Pricing'!A36</f>
        <v>37225</v>
      </c>
      <c r="B48" s="420" t="n">
        <f aca="false">+'Index Pricing'!B36</f>
        <v>2.025</v>
      </c>
      <c r="C48" s="364" t="n">
        <f aca="false">+B48+$F$13</f>
        <v>1.3787</v>
      </c>
      <c r="D48" s="431" t="n">
        <f aca="false">+G48+F48</f>
        <v>706</v>
      </c>
      <c r="E48" s="31"/>
      <c r="F48" s="350" t="n">
        <f aca="false">'[1]Enron Detail'!Y43</f>
        <v>-73</v>
      </c>
      <c r="G48" s="367" t="n">
        <f aca="false">'[1]Enron Detail'!X43</f>
        <v>779</v>
      </c>
      <c r="H48" s="97" t="n">
        <f aca="false">+C48*D48</f>
        <v>973.3622</v>
      </c>
      <c r="I48" s="433" t="n">
        <f aca="false">+C48*D48</f>
        <v>973.3622</v>
      </c>
    </row>
    <row r="49" customFormat="false" ht="12.75" hidden="false" customHeight="false" outlineLevel="0" collapsed="false">
      <c r="A49" s="8"/>
      <c r="B49" s="420"/>
      <c r="C49" s="364"/>
      <c r="D49" s="431"/>
      <c r="E49" s="31"/>
      <c r="F49" s="350"/>
      <c r="G49" s="367"/>
      <c r="H49" s="97"/>
      <c r="I49" s="433"/>
    </row>
    <row r="50" customFormat="false" ht="13.5" hidden="false" customHeight="false" outlineLevel="0" collapsed="false">
      <c r="A50" s="8"/>
      <c r="B50" s="434"/>
      <c r="C50" s="435"/>
      <c r="D50" s="436"/>
      <c r="E50" s="31"/>
      <c r="F50" s="350"/>
      <c r="G50" s="367"/>
      <c r="H50" s="97"/>
      <c r="I50" s="433"/>
    </row>
    <row r="51" customFormat="false" ht="13.5" hidden="false" customHeight="false" outlineLevel="0" collapsed="false">
      <c r="D51" s="43" t="n">
        <f aca="false">SUM(D19:D50)</f>
        <v>20477</v>
      </c>
      <c r="F51" s="350" t="n">
        <f aca="false">SUM(F19:F50)</f>
        <v>-1950</v>
      </c>
      <c r="G51" s="43" t="n">
        <f aca="false">SUM(G19:G50)</f>
        <v>22427</v>
      </c>
      <c r="H51" s="110" t="n">
        <f aca="false">SUM(H19:H50)</f>
        <v>23436.8749</v>
      </c>
      <c r="I51" s="112" t="n">
        <f aca="false">SUM(I19:I50)</f>
        <v>23436.8749</v>
      </c>
    </row>
    <row r="52" customFormat="false" ht="12.75" hidden="false" customHeight="false" outlineLevel="0" collapsed="false">
      <c r="B52" s="288"/>
    </row>
    <row r="53" customFormat="false" ht="12.75" hidden="false" customHeight="false" outlineLevel="0" collapsed="false">
      <c r="F53" s="114" t="n">
        <f aca="false">+F51/G51</f>
        <v>-0.0869487671110715</v>
      </c>
      <c r="G53" s="0" t="s">
        <v>213</v>
      </c>
      <c r="H53" s="41" t="n">
        <f aca="false">+H51/D51</f>
        <v>1.14454631537823</v>
      </c>
      <c r="I53" s="41" t="n">
        <f aca="false">+I51/(G51+F51)</f>
        <v>1.14454631537823</v>
      </c>
    </row>
    <row r="55" customFormat="false" ht="12.75" hidden="false" customHeight="false" outlineLevel="0" collapsed="false">
      <c r="A55" s="0" t="s">
        <v>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36" activeCellId="0" sqref="G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3.99"/>
    <col collapsed="false" customWidth="true" hidden="false" outlineLevel="0" max="3" min="3" style="0" width="31.14"/>
    <col collapsed="false" customWidth="true" hidden="false" outlineLevel="0" max="5" min="4" style="0" width="13.85"/>
    <col collapsed="false" customWidth="true" hidden="false" outlineLevel="0" max="6" min="6" style="0" width="46.42"/>
    <col collapsed="false" customWidth="true" hidden="false" outlineLevel="0" max="7" min="7" style="0" width="29.41"/>
  </cols>
  <sheetData>
    <row r="1" customFormat="false" ht="12.75" hidden="false" customHeight="false" outlineLevel="0" collapsed="false">
      <c r="C1" s="12" t="s">
        <v>6</v>
      </c>
      <c r="D1" s="13"/>
      <c r="E1" s="13"/>
      <c r="F1" s="14" t="s">
        <v>7</v>
      </c>
      <c r="G1" s="15"/>
    </row>
    <row r="2" customFormat="false" ht="12.75" hidden="false" customHeight="false" outlineLevel="0" collapsed="false">
      <c r="C2" s="16"/>
      <c r="D2" s="17"/>
      <c r="E2" s="17"/>
      <c r="F2" s="18"/>
      <c r="G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18" t="s">
        <v>10</v>
      </c>
      <c r="G3" s="20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18" t="s">
        <v>11</v>
      </c>
      <c r="G4" s="18"/>
    </row>
    <row r="5" customFormat="false" ht="12.75" hidden="false" customHeight="false" outlineLevel="0" collapsed="false">
      <c r="C5" s="16"/>
      <c r="D5" s="17"/>
      <c r="E5" s="17"/>
      <c r="F5" s="18" t="s">
        <v>12</v>
      </c>
      <c r="G5" s="19" t="s">
        <v>13</v>
      </c>
    </row>
    <row r="6" customFormat="false" ht="12.75" hidden="false" customHeight="false" outlineLevel="0" collapsed="false">
      <c r="C6" s="16"/>
      <c r="D6" s="17"/>
      <c r="E6" s="17"/>
      <c r="F6" s="18" t="s">
        <v>14</v>
      </c>
      <c r="G6" s="21" t="n">
        <v>37251</v>
      </c>
    </row>
    <row r="7" customFormat="false" ht="12.75" hidden="false" customHeight="false" outlineLevel="0" collapsed="false">
      <c r="C7" s="16"/>
      <c r="D7" s="17"/>
      <c r="E7" s="17"/>
      <c r="F7" s="18" t="s">
        <v>15</v>
      </c>
      <c r="G7" s="18"/>
    </row>
    <row r="8" customFormat="false" ht="12.75" hidden="false" customHeight="false" outlineLevel="0" collapsed="false">
      <c r="C8" s="16"/>
      <c r="D8" s="17"/>
      <c r="E8" s="17"/>
      <c r="F8" s="18" t="s">
        <v>16</v>
      </c>
      <c r="G8" s="19" t="s">
        <v>17</v>
      </c>
    </row>
    <row r="9" customFormat="false" ht="12.75" hidden="false" customHeight="false" outlineLevel="0" collapsed="false">
      <c r="C9" s="16" t="s">
        <v>18</v>
      </c>
      <c r="D9" s="17"/>
      <c r="E9" s="17"/>
      <c r="F9" s="18"/>
      <c r="G9" s="22" t="s">
        <v>19</v>
      </c>
    </row>
    <row r="10" customFormat="false" ht="12.75" hidden="false" customHeight="false" outlineLevel="0" collapsed="false">
      <c r="C10" s="16" t="s">
        <v>20</v>
      </c>
      <c r="D10" s="17"/>
      <c r="E10" s="17"/>
      <c r="F10" s="18"/>
      <c r="G10" s="19" t="s">
        <v>21</v>
      </c>
    </row>
    <row r="11" customFormat="false" ht="12.75" hidden="false" customHeight="false" outlineLevel="0" collapsed="false">
      <c r="A11" s="23" t="s">
        <v>9</v>
      </c>
      <c r="B11" s="24"/>
      <c r="C11" s="25" t="s">
        <v>22</v>
      </c>
      <c r="D11" s="26"/>
      <c r="E11" s="26"/>
      <c r="F11" s="27" t="s">
        <v>23</v>
      </c>
      <c r="G11" s="28" t="s">
        <v>24</v>
      </c>
    </row>
    <row r="12" customFormat="false" ht="13.5" hidden="false" customHeight="false" outlineLevel="0" collapsed="false">
      <c r="A12" s="29" t="n">
        <f aca="true">NOW()</f>
        <v>45926.8884092246</v>
      </c>
      <c r="B12" s="30"/>
      <c r="C12" s="30"/>
      <c r="D12" s="30"/>
      <c r="E12" s="30"/>
      <c r="F12" s="30"/>
      <c r="G12" s="30"/>
      <c r="H12" s="31"/>
    </row>
    <row r="13" customFormat="false" ht="12.75" hidden="false" customHeight="false" outlineLevel="0" collapsed="false">
      <c r="A13" s="32" t="s">
        <v>25</v>
      </c>
      <c r="B13" s="32" t="s">
        <v>26</v>
      </c>
      <c r="C13" s="32" t="s">
        <v>27</v>
      </c>
      <c r="D13" s="32"/>
      <c r="E13" s="32"/>
    </row>
    <row r="14" customFormat="false" ht="12.75" hidden="false" customHeight="false" outlineLevel="0" collapsed="false">
      <c r="A14" s="33" t="n">
        <f aca="false">+'Index Pricing'!A1</f>
        <v>37196</v>
      </c>
      <c r="B14" s="34" t="n">
        <v>96023736</v>
      </c>
      <c r="C14" s="0" t="s">
        <v>28</v>
      </c>
    </row>
    <row r="16" customFormat="false" ht="12.75" hidden="false" customHeight="false" outlineLevel="0" collapsed="false">
      <c r="B16" s="35" t="s">
        <v>29</v>
      </c>
      <c r="C16" s="36" t="s">
        <v>30</v>
      </c>
      <c r="D16" s="37" t="s">
        <v>31</v>
      </c>
      <c r="E16" s="38" t="s">
        <v>32</v>
      </c>
      <c r="F16" s="38" t="s">
        <v>33</v>
      </c>
      <c r="G16" s="37" t="s">
        <v>34</v>
      </c>
      <c r="I16" s="39"/>
    </row>
    <row r="17" customFormat="false" ht="12.75" hidden="false" customHeight="false" outlineLevel="0" collapsed="false">
      <c r="A17" s="40" t="s">
        <v>35</v>
      </c>
      <c r="B17" s="0" t="s">
        <v>36</v>
      </c>
      <c r="C17" s="41" t="n">
        <f aca="false">+'Independent Detail'!J13</f>
        <v>-0.4115</v>
      </c>
      <c r="D17" s="42" t="n">
        <f aca="false">+'Independent Detail'!L53</f>
        <v>1.33930495964028</v>
      </c>
      <c r="E17" s="43" t="n">
        <f aca="false">+F17/'Independent Detail'!B$5</f>
        <v>78800.6900369862</v>
      </c>
      <c r="F17" s="43" t="n">
        <f aca="false">+'Independent Detail'!D51</f>
        <v>73836</v>
      </c>
      <c r="G17" s="44" t="n">
        <f aca="false">+'Independent Detail'!L51</f>
        <v>98888.921</v>
      </c>
    </row>
    <row r="18" customFormat="false" ht="12.75" hidden="false" customHeight="false" outlineLevel="0" collapsed="false">
      <c r="A18" s="0" t="str">
        <f aca="false">+A17</f>
        <v>11/01/01 - 11/30/01</v>
      </c>
      <c r="B18" s="0" t="s">
        <v>37</v>
      </c>
      <c r="C18" s="41" t="n">
        <f aca="false">+'Independent Detail'!J14</f>
        <v>-0.656</v>
      </c>
      <c r="D18" s="45" t="n">
        <f aca="false">+'Independent Detail'!M53</f>
        <v>2.384</v>
      </c>
      <c r="E18" s="43" t="n">
        <f aca="false">+F18/'Independent Detail'!B$5</f>
        <v>298483.387347151</v>
      </c>
      <c r="F18" s="43" t="n">
        <f aca="false">+'Independent Detail'!F51</f>
        <v>279678</v>
      </c>
      <c r="G18" s="44" t="n">
        <f aca="false">+'Independent Detail'!M51</f>
        <v>666752.352</v>
      </c>
    </row>
    <row r="19" customFormat="false" ht="12.75" hidden="false" customHeight="false" outlineLevel="0" collapsed="false">
      <c r="A19" s="0" t="str">
        <f aca="false">+A18</f>
        <v>11/01/01 - 11/30/01</v>
      </c>
      <c r="B19" s="0" t="s">
        <v>38</v>
      </c>
      <c r="C19" s="41" t="n">
        <f aca="false">+'Independent Detail'!J15</f>
        <v>-0.4184</v>
      </c>
      <c r="D19" s="45" t="n">
        <f aca="false">+'Independent Detail'!N53</f>
        <v>2.1216</v>
      </c>
      <c r="E19" s="43" t="n">
        <f aca="false">+F19/'Independent Detail'!B$5</f>
        <v>16716.171082525</v>
      </c>
      <c r="F19" s="43" t="n">
        <f aca="false">+'Independent Detail'!H51</f>
        <v>15663</v>
      </c>
      <c r="G19" s="44" t="n">
        <f aca="false">+'Independent Detail'!N51</f>
        <v>33230.6208</v>
      </c>
    </row>
    <row r="20" customFormat="false" ht="12.75" hidden="false" customHeight="false" outlineLevel="0" collapsed="false">
      <c r="A20" s="0" t="str">
        <f aca="false">+A19</f>
        <v>11/01/01 - 11/30/01</v>
      </c>
      <c r="C20" s="0" t="s">
        <v>39</v>
      </c>
      <c r="D20" s="46" t="s">
        <v>40</v>
      </c>
      <c r="E20" s="43" t="n">
        <f aca="false">+F20/'Independent Detail'!B$5</f>
        <v>18915.751533338</v>
      </c>
      <c r="F20" s="43" t="n">
        <f aca="false">+-'Independent Detail'!J51</f>
        <v>17724</v>
      </c>
      <c r="G20" s="47" t="s">
        <v>41</v>
      </c>
    </row>
    <row r="21" customFormat="false" ht="12.75" hidden="false" customHeight="false" outlineLevel="0" collapsed="false">
      <c r="A21" s="48" t="s">
        <v>42</v>
      </c>
      <c r="B21" s="32"/>
      <c r="C21" s="32"/>
      <c r="D21" s="49"/>
      <c r="E21" s="43" t="n">
        <f aca="false">+F21/'Independent Detail'!B$5</f>
        <v>412916</v>
      </c>
      <c r="F21" s="48" t="n">
        <f aca="false">SUM(F17:F20)</f>
        <v>386901</v>
      </c>
      <c r="G21" s="50" t="n">
        <f aca="false">SUM(G17:G20)</f>
        <v>798871.8938</v>
      </c>
    </row>
    <row r="22" customFormat="false" ht="12.75" hidden="false" customHeight="false" outlineLevel="0" collapsed="false">
      <c r="D22" s="46"/>
      <c r="E22" s="46"/>
      <c r="F22" s="43"/>
      <c r="G22" s="47"/>
    </row>
    <row r="23" customFormat="false" ht="12.75" hidden="false" customHeight="false" outlineLevel="0" collapsed="false">
      <c r="A23" s="32"/>
      <c r="D23" s="46"/>
      <c r="E23" s="46"/>
      <c r="F23" s="43"/>
      <c r="G23" s="44"/>
    </row>
    <row r="24" customFormat="false" ht="15" hidden="false" customHeight="false" outlineLevel="0" collapsed="false">
      <c r="A24" s="32"/>
      <c r="B24" s="0" t="s">
        <v>43</v>
      </c>
      <c r="C24" s="39"/>
      <c r="D24" s="51"/>
      <c r="E24" s="51"/>
      <c r="F24" s="52"/>
      <c r="G24" s="50" t="n">
        <v>0</v>
      </c>
    </row>
    <row r="25" customFormat="false" ht="12.75" hidden="false" customHeight="false" outlineLevel="0" collapsed="false">
      <c r="A25" s="53"/>
      <c r="B25" s="0" t="str">
        <f aca="false">'[1]Enron Summary'!$B$23</f>
        <v>Facility Fee</v>
      </c>
      <c r="C25" s="54"/>
      <c r="D25" s="55"/>
      <c r="E25" s="43"/>
      <c r="F25" s="43"/>
      <c r="G25" s="50" t="n">
        <f aca="false">-'[1]Enron Summary'!$G$23</f>
        <v>-0</v>
      </c>
    </row>
    <row r="26" customFormat="false" ht="12.75" hidden="false" customHeight="false" outlineLevel="0" collapsed="false">
      <c r="A26" s="53"/>
      <c r="B26" s="0" t="s">
        <v>44</v>
      </c>
      <c r="C26" s="54"/>
      <c r="D26" s="55"/>
      <c r="E26" s="43"/>
      <c r="F26" s="43"/>
      <c r="G26" s="50" t="n">
        <v>-15000</v>
      </c>
    </row>
    <row r="27" customFormat="false" ht="12.75" hidden="false" customHeight="false" outlineLevel="0" collapsed="false">
      <c r="A27" s="53" t="s">
        <v>45</v>
      </c>
      <c r="C27" s="54"/>
      <c r="D27" s="55"/>
      <c r="E27" s="43"/>
      <c r="F27" s="43"/>
      <c r="G27" s="50"/>
    </row>
    <row r="28" customFormat="false" ht="12.75" hidden="false" customHeight="false" outlineLevel="0" collapsed="false">
      <c r="A28" s="53"/>
      <c r="C28" s="54"/>
      <c r="D28" s="55"/>
      <c r="E28" s="43"/>
      <c r="F28" s="56"/>
    </row>
    <row r="29" customFormat="false" ht="12.75" hidden="false" customHeight="false" outlineLevel="0" collapsed="false">
      <c r="A29" s="53"/>
      <c r="C29" s="54"/>
      <c r="D29" s="55"/>
      <c r="E29" s="43"/>
      <c r="F29" s="56"/>
    </row>
    <row r="30" customFormat="false" ht="12.75" hidden="false" customHeight="false" outlineLevel="0" collapsed="false">
      <c r="A30" s="53"/>
      <c r="C30" s="54"/>
      <c r="D30" s="55"/>
      <c r="E30" s="43"/>
      <c r="F30" s="57" t="s">
        <v>46</v>
      </c>
      <c r="G30" s="50" t="n">
        <f aca="false">SUM(F28:F29)</f>
        <v>0</v>
      </c>
    </row>
    <row r="31" customFormat="false" ht="12.75" hidden="false" customHeight="false" outlineLevel="0" collapsed="false">
      <c r="A31" s="53"/>
      <c r="C31" s="54"/>
      <c r="D31" s="55"/>
      <c r="E31" s="43"/>
      <c r="F31" s="43"/>
      <c r="G31" s="50"/>
    </row>
    <row r="32" customFormat="false" ht="12.75" hidden="false" customHeight="false" outlineLevel="0" collapsed="false">
      <c r="A32" s="53"/>
      <c r="C32" s="54"/>
      <c r="D32" s="55"/>
      <c r="E32" s="43"/>
      <c r="F32" s="43"/>
      <c r="G32" s="50"/>
    </row>
    <row r="33" customFormat="false" ht="12.75" hidden="false" customHeight="false" outlineLevel="0" collapsed="false">
      <c r="A33" s="53"/>
      <c r="C33" s="54"/>
      <c r="D33" s="55"/>
      <c r="E33" s="43"/>
      <c r="F33" s="43"/>
      <c r="G33" s="50"/>
    </row>
    <row r="34" customFormat="false" ht="12.75" hidden="false" customHeight="false" outlineLevel="0" collapsed="false">
      <c r="A34" s="53"/>
      <c r="C34" s="54"/>
      <c r="D34" s="55"/>
      <c r="E34" s="43"/>
      <c r="F34" s="43"/>
      <c r="G34" s="50"/>
    </row>
    <row r="35" customFormat="false" ht="12.75" hidden="false" customHeight="false" outlineLevel="0" collapsed="false">
      <c r="D35" s="58"/>
      <c r="E35" s="58"/>
      <c r="F35" s="43"/>
      <c r="G35" s="47"/>
    </row>
    <row r="36" customFormat="false" ht="12.75" hidden="false" customHeight="false" outlineLevel="0" collapsed="false">
      <c r="D36" s="59" t="s">
        <v>47</v>
      </c>
      <c r="E36" s="59"/>
      <c r="F36" s="60"/>
      <c r="G36" s="61" t="n">
        <f aca="false">SUM(G21:G32)</f>
        <v>783871.8938</v>
      </c>
    </row>
  </sheetData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4.13"/>
    <col collapsed="false" customWidth="true" hidden="false" outlineLevel="0" max="3" min="3" style="0" width="32.85"/>
    <col collapsed="false" customWidth="true" hidden="false" outlineLevel="0" max="5" min="4" style="0" width="19.56"/>
    <col collapsed="false" customWidth="true" hidden="false" outlineLevel="0" max="6" min="6" style="0" width="46.42"/>
    <col collapsed="false" customWidth="true" hidden="false" outlineLevel="0" max="7" min="7" style="0" width="29.41"/>
  </cols>
  <sheetData>
    <row r="1" customFormat="false" ht="12.75" hidden="false" customHeight="false" outlineLevel="0" collapsed="false">
      <c r="C1" s="12" t="s">
        <v>6</v>
      </c>
      <c r="D1" s="13"/>
      <c r="E1" s="13"/>
      <c r="F1" s="14" t="s">
        <v>7</v>
      </c>
      <c r="G1" s="15"/>
    </row>
    <row r="2" customFormat="false" ht="12.75" hidden="false" customHeight="false" outlineLevel="0" collapsed="false">
      <c r="C2" s="16"/>
      <c r="D2" s="17"/>
      <c r="E2" s="17"/>
      <c r="F2" s="437" t="s">
        <v>339</v>
      </c>
      <c r="G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437" t="s">
        <v>340</v>
      </c>
      <c r="G3" s="403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437" t="s">
        <v>341</v>
      </c>
      <c r="G4" s="18"/>
    </row>
    <row r="5" customFormat="false" ht="12.75" hidden="false" customHeight="false" outlineLevel="0" collapsed="false">
      <c r="C5" s="16"/>
      <c r="D5" s="17"/>
      <c r="E5" s="17"/>
      <c r="F5" s="437" t="s">
        <v>342</v>
      </c>
      <c r="G5" s="19" t="s">
        <v>13</v>
      </c>
    </row>
    <row r="6" customFormat="false" ht="12.75" hidden="false" customHeight="false" outlineLevel="0" collapsed="false">
      <c r="C6" s="16"/>
      <c r="D6" s="17"/>
      <c r="E6" s="17"/>
      <c r="F6" s="437" t="s">
        <v>343</v>
      </c>
      <c r="G6" s="404" t="n">
        <v>37256</v>
      </c>
    </row>
    <row r="7" customFormat="false" ht="12.75" hidden="false" customHeight="false" outlineLevel="0" collapsed="false">
      <c r="C7" s="16"/>
      <c r="D7" s="17"/>
      <c r="E7" s="17"/>
      <c r="G7" s="18"/>
    </row>
    <row r="8" customFormat="false" ht="12.75" hidden="false" customHeight="false" outlineLevel="0" collapsed="false">
      <c r="C8" s="16"/>
      <c r="D8" s="17"/>
      <c r="E8" s="17"/>
      <c r="F8" s="438"/>
      <c r="G8" s="19" t="s">
        <v>17</v>
      </c>
    </row>
    <row r="9" customFormat="false" ht="12.75" hidden="false" customHeight="false" outlineLevel="0" collapsed="false">
      <c r="C9" s="16" t="s">
        <v>295</v>
      </c>
      <c r="D9" s="17"/>
      <c r="E9" s="17"/>
      <c r="F9" s="437" t="s">
        <v>344</v>
      </c>
      <c r="G9" s="22" t="s">
        <v>19</v>
      </c>
    </row>
    <row r="10" customFormat="false" ht="12.75" hidden="false" customHeight="false" outlineLevel="0" collapsed="false">
      <c r="C10" s="16" t="s">
        <v>20</v>
      </c>
      <c r="D10" s="17"/>
      <c r="E10" s="17"/>
      <c r="F10" s="437" t="s">
        <v>345</v>
      </c>
      <c r="G10" s="19" t="s">
        <v>21</v>
      </c>
    </row>
    <row r="11" customFormat="false" ht="12.75" hidden="false" customHeight="false" outlineLevel="0" collapsed="false">
      <c r="A11" s="23" t="s">
        <v>9</v>
      </c>
      <c r="B11" s="24"/>
      <c r="C11" s="25" t="s">
        <v>22</v>
      </c>
      <c r="D11" s="26"/>
      <c r="E11" s="26"/>
      <c r="F11" s="439" t="s">
        <v>346</v>
      </c>
      <c r="G11" s="28" t="s">
        <v>330</v>
      </c>
    </row>
    <row r="12" customFormat="false" ht="13.5" hidden="false" customHeight="false" outlineLevel="0" collapsed="false">
      <c r="A12" s="29" t="n">
        <f aca="true">NOW()</f>
        <v>45926.8884097084</v>
      </c>
      <c r="B12" s="30"/>
      <c r="C12" s="30"/>
      <c r="D12" s="30"/>
      <c r="E12" s="30"/>
      <c r="F12" s="30"/>
      <c r="G12" s="30"/>
      <c r="H12" s="31"/>
    </row>
    <row r="13" customFormat="false" ht="12.75" hidden="false" customHeight="false" outlineLevel="0" collapsed="false">
      <c r="A13" s="32" t="s">
        <v>25</v>
      </c>
      <c r="B13" s="32" t="s">
        <v>26</v>
      </c>
      <c r="C13" s="32" t="s">
        <v>27</v>
      </c>
      <c r="D13" s="32"/>
      <c r="E13" s="32"/>
    </row>
    <row r="14" customFormat="false" ht="12.75" hidden="false" customHeight="false" outlineLevel="0" collapsed="false">
      <c r="A14" s="33" t="n">
        <f aca="false">+'Index Pricing'!A1</f>
        <v>37196</v>
      </c>
      <c r="B14" s="34" t="s">
        <v>347</v>
      </c>
      <c r="C14" s="438" t="s">
        <v>348</v>
      </c>
    </row>
    <row r="18" customFormat="false" ht="12.75" hidden="false" customHeight="false" outlineLevel="0" collapsed="false">
      <c r="B18" s="35" t="s">
        <v>29</v>
      </c>
      <c r="C18" s="36" t="s">
        <v>30</v>
      </c>
      <c r="D18" s="37" t="s">
        <v>31</v>
      </c>
      <c r="E18" s="38" t="s">
        <v>32</v>
      </c>
      <c r="F18" s="38" t="s">
        <v>33</v>
      </c>
      <c r="G18" s="37" t="s">
        <v>34</v>
      </c>
    </row>
    <row r="19" customFormat="false" ht="12.75" hidden="false" customHeight="false" outlineLevel="0" collapsed="false">
      <c r="A19" s="0" t="str">
        <f aca="false">+'Phillips Summary'!A22</f>
        <v>11/01/01 - 11/30/01</v>
      </c>
      <c r="B19" s="0" t="s">
        <v>36</v>
      </c>
      <c r="C19" s="41" t="n">
        <f aca="false">+'Citation Detail'!F14</f>
        <v>-0.141959034678564</v>
      </c>
      <c r="D19" s="42" t="e">
        <f aca="false">+'Citation Detail'!H54</f>
        <v>#DIV/0!</v>
      </c>
      <c r="E19" s="43" t="n">
        <f aca="false">+F19/'Citation Detail'!$B$7</f>
        <v>0</v>
      </c>
      <c r="F19" s="43" t="n">
        <f aca="false">+'Citation Detail'!D52</f>
        <v>0</v>
      </c>
      <c r="G19" s="44" t="e">
        <f aca="false">+'Citation Detail'!I52</f>
        <v>#DIV/0!</v>
      </c>
    </row>
    <row r="20" customFormat="false" ht="12.75" hidden="false" customHeight="false" outlineLevel="0" collapsed="false">
      <c r="A20" s="0" t="str">
        <f aca="false">+A19</f>
        <v>11/01/01 - 11/30/01</v>
      </c>
      <c r="C20" s="0" t="s">
        <v>39</v>
      </c>
      <c r="D20" s="46" t="s">
        <v>40</v>
      </c>
      <c r="E20" s="43" t="n">
        <f aca="false">+F20/'Citation Detail'!$B$7</f>
        <v>-0</v>
      </c>
      <c r="F20" s="43" t="n">
        <f aca="false">-+'Citation Detail'!F52</f>
        <v>-0</v>
      </c>
      <c r="G20" s="47" t="s">
        <v>41</v>
      </c>
    </row>
    <row r="21" customFormat="false" ht="12.75" hidden="false" customHeight="false" outlineLevel="0" collapsed="false">
      <c r="A21" s="48"/>
      <c r="B21" s="32"/>
      <c r="C21" s="32"/>
      <c r="D21" s="49"/>
      <c r="E21" s="43" t="n">
        <f aca="false">+F21/'Wellstar Detail'!B$7</f>
        <v>0</v>
      </c>
      <c r="F21" s="48" t="n">
        <f aca="false">SUM(F19:F20)</f>
        <v>0</v>
      </c>
      <c r="G21" s="50" t="e">
        <f aca="false">SUM(G19:G20)</f>
        <v>#DIV/0!</v>
      </c>
    </row>
    <row r="23" customFormat="false" ht="12.75" hidden="false" customHeight="false" outlineLevel="0" collapsed="false">
      <c r="A23" s="0" t="s">
        <v>349</v>
      </c>
      <c r="B23" s="0" t="s">
        <v>350</v>
      </c>
      <c r="D23" s="46"/>
      <c r="E23" s="46"/>
      <c r="F23" s="43"/>
      <c r="G23" s="56" t="n">
        <v>-1010.68</v>
      </c>
    </row>
    <row r="24" customFormat="false" ht="15" hidden="false" customHeight="false" outlineLevel="0" collapsed="false">
      <c r="A24" s="32"/>
      <c r="C24" s="39"/>
      <c r="D24" s="51"/>
      <c r="E24" s="51"/>
      <c r="F24" s="52"/>
      <c r="G24" s="50"/>
    </row>
    <row r="25" customFormat="false" ht="12.75" hidden="false" customHeight="false" outlineLevel="0" collapsed="false">
      <c r="A25" s="53"/>
      <c r="C25" s="58"/>
      <c r="D25" s="55"/>
      <c r="E25" s="43"/>
      <c r="F25" s="43"/>
      <c r="G25" s="50"/>
    </row>
    <row r="26" customFormat="false" ht="12.75" hidden="false" customHeight="false" outlineLevel="0" collapsed="false">
      <c r="A26" s="53"/>
      <c r="C26" s="58"/>
      <c r="D26" s="55"/>
      <c r="E26" s="43"/>
      <c r="F26" s="43"/>
      <c r="G26" s="50"/>
    </row>
    <row r="27" customFormat="false" ht="12.75" hidden="false" customHeight="false" outlineLevel="0" collapsed="false">
      <c r="A27" s="53"/>
      <c r="C27" s="58"/>
      <c r="D27" s="55"/>
      <c r="E27" s="43"/>
      <c r="F27" s="43"/>
      <c r="G27" s="50"/>
    </row>
    <row r="28" customFormat="false" ht="12.75" hidden="false" customHeight="false" outlineLevel="0" collapsed="false">
      <c r="A28" s="53"/>
      <c r="C28" s="58"/>
      <c r="D28" s="55"/>
      <c r="E28" s="43"/>
      <c r="F28" s="43"/>
      <c r="G28" s="50"/>
    </row>
    <row r="29" customFormat="false" ht="12.75" hidden="false" customHeight="false" outlineLevel="0" collapsed="false">
      <c r="A29" s="53"/>
      <c r="C29" s="58"/>
      <c r="D29" s="55"/>
      <c r="E29" s="43"/>
      <c r="F29" s="43"/>
      <c r="G29" s="50"/>
    </row>
    <row r="30" customFormat="false" ht="12.75" hidden="false" customHeight="false" outlineLevel="0" collapsed="false">
      <c r="A30" s="53"/>
      <c r="C30" s="58"/>
      <c r="D30" s="55"/>
      <c r="E30" s="43"/>
      <c r="F30" s="43"/>
      <c r="G30" s="50"/>
    </row>
    <row r="31" customFormat="false" ht="12.75" hidden="false" customHeight="false" outlineLevel="0" collapsed="false">
      <c r="A31" s="53"/>
      <c r="C31" s="58"/>
      <c r="D31" s="55"/>
      <c r="E31" s="43"/>
      <c r="F31" s="43"/>
      <c r="G31" s="50"/>
    </row>
    <row r="32" customFormat="false" ht="12.75" hidden="false" customHeight="false" outlineLevel="0" collapsed="false">
      <c r="A32" s="53"/>
      <c r="C32" s="58"/>
      <c r="D32" s="55"/>
      <c r="E32" s="43"/>
      <c r="F32" s="43"/>
      <c r="G32" s="50"/>
    </row>
    <row r="33" customFormat="false" ht="12.75" hidden="false" customHeight="false" outlineLevel="0" collapsed="false">
      <c r="B33" s="45"/>
      <c r="C33" s="32"/>
    </row>
    <row r="34" customFormat="false" ht="12.75" hidden="false" customHeight="false" outlineLevel="0" collapsed="false">
      <c r="A34" s="62"/>
      <c r="B34" s="34"/>
    </row>
    <row r="35" customFormat="false" ht="12.75" hidden="false" customHeight="false" outlineLevel="0" collapsed="false">
      <c r="D35" s="32" t="s">
        <v>47</v>
      </c>
      <c r="E35" s="32"/>
      <c r="F35" s="60"/>
      <c r="G35" s="61" t="e">
        <f aca="false">SUM(G21:G34)</f>
        <v>#DIV/0!</v>
      </c>
    </row>
    <row r="36" customFormat="false" ht="12.75" hidden="false" customHeight="false" outlineLevel="0" collapsed="false">
      <c r="B36" s="45"/>
    </row>
    <row r="37" customFormat="false" ht="12.75" hidden="false" customHeight="false" outlineLevel="0" collapsed="false">
      <c r="B37" s="32"/>
      <c r="C37" s="32"/>
    </row>
    <row r="38" customFormat="false" ht="12.75" hidden="false" customHeight="false" outlineLevel="0" collapsed="false">
      <c r="B38" s="34"/>
    </row>
    <row r="39" customFormat="false" ht="12.75" hidden="false" customHeight="false" outlineLevel="0" collapsed="false">
      <c r="B39" s="45"/>
    </row>
    <row r="40" customFormat="false" ht="12.75" hidden="false" customHeight="false" outlineLevel="0" collapsed="false">
      <c r="B40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6"/>
  <sheetViews>
    <sheetView showFormulas="false" showGridLines="false" showRowColHeaders="true" showZeros="true" rightToLeft="false" tabSelected="false" showOutlineSymbols="true" defaultGridColor="true" view="normal" topLeftCell="A4" colorId="64" zoomScale="75" zoomScaleNormal="75" zoomScalePageLayoutView="100" workbookViewId="0">
      <selection pane="topLeft" activeCell="I41" activeCellId="0" sqref="I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28"/>
    <col collapsed="false" customWidth="true" hidden="false" outlineLevel="0" max="2" min="2" style="0" width="16.99"/>
    <col collapsed="false" customWidth="true" hidden="false" outlineLevel="0" max="3" min="3" style="0" width="19.41"/>
    <col collapsed="false" customWidth="true" hidden="false" outlineLevel="0" max="4" min="4" style="0" width="18.14"/>
    <col collapsed="false" customWidth="true" hidden="false" outlineLevel="0" max="5" min="5" style="0" width="17.42"/>
    <col collapsed="false" customWidth="true" hidden="false" outlineLevel="0" max="6" min="6" style="0" width="22.7"/>
    <col collapsed="false" customWidth="true" hidden="false" outlineLevel="0" max="7" min="7" style="0" width="15.56"/>
    <col collapsed="false" customWidth="true" hidden="false" outlineLevel="0" max="8" min="8" style="0" width="14.85"/>
    <col collapsed="false" customWidth="true" hidden="false" outlineLevel="0" max="9" min="9" style="0" width="15.41"/>
    <col collapsed="false" customWidth="true" hidden="false" outlineLevel="0" max="11" min="10" style="0" width="19.28"/>
    <col collapsed="false" customWidth="true" hidden="false" outlineLevel="0" max="12" min="12" style="0" width="18.7"/>
    <col collapsed="false" customWidth="true" hidden="false" outlineLevel="0" max="13" min="13" style="0" width="19.28"/>
  </cols>
  <sheetData>
    <row r="1" customFormat="false" ht="12.75" hidden="false" customHeight="false" outlineLevel="0" collapsed="false">
      <c r="A1" s="32" t="s">
        <v>347</v>
      </c>
      <c r="B1" s="32" t="s">
        <v>49</v>
      </c>
      <c r="C1" s="440" t="s">
        <v>351</v>
      </c>
      <c r="F1" s="0" t="s">
        <v>51</v>
      </c>
      <c r="H1" s="32"/>
      <c r="M1" s="3" t="n">
        <f aca="true">NOW()</f>
        <v>45926.8884097333</v>
      </c>
    </row>
    <row r="2" customFormat="false" ht="12.75" hidden="false" customHeight="false" outlineLevel="0" collapsed="false">
      <c r="A2" s="33" t="n">
        <f aca="false">+'Index Pricing'!A1</f>
        <v>37196</v>
      </c>
      <c r="B2" s="32" t="s">
        <v>52</v>
      </c>
      <c r="C2" s="440"/>
      <c r="H2" s="32"/>
    </row>
    <row r="3" customFormat="false" ht="12.75" hidden="false" customHeight="false" outlineLevel="0" collapsed="false">
      <c r="A3" s="33"/>
      <c r="B3" s="32" t="s">
        <v>54</v>
      </c>
      <c r="C3" s="32"/>
      <c r="F3" s="0" t="s">
        <v>56</v>
      </c>
      <c r="G3" s="0" t="s">
        <v>57</v>
      </c>
      <c r="H3" s="32"/>
    </row>
    <row r="4" customFormat="false" ht="12.75" hidden="false" customHeight="false" outlineLevel="0" collapsed="false">
      <c r="A4" s="33"/>
      <c r="B4" s="32"/>
      <c r="C4" s="32"/>
      <c r="H4" s="32"/>
    </row>
    <row r="5" customFormat="false" ht="12.75" hidden="false" customHeight="false" outlineLevel="0" collapsed="false">
      <c r="A5" s="33" t="s">
        <v>119</v>
      </c>
      <c r="B5" s="354" t="n">
        <v>0</v>
      </c>
      <c r="C5" s="32"/>
      <c r="H5" s="32"/>
    </row>
    <row r="6" customFormat="false" ht="12.75" hidden="false" customHeight="false" outlineLevel="0" collapsed="false">
      <c r="A6" s="33" t="s">
        <v>121</v>
      </c>
      <c r="B6" s="354" t="n">
        <v>580</v>
      </c>
      <c r="C6" s="32" t="s">
        <v>120</v>
      </c>
      <c r="H6" s="32"/>
    </row>
    <row r="7" customFormat="false" ht="12.75" hidden="false" customHeight="false" outlineLevel="0" collapsed="false">
      <c r="A7" s="62" t="s">
        <v>352</v>
      </c>
      <c r="B7" s="441" t="n">
        <v>0.976</v>
      </c>
    </row>
    <row r="8" customFormat="false" ht="12.75" hidden="false" customHeight="false" outlineLevel="0" collapsed="false">
      <c r="A8" s="62" t="s">
        <v>353</v>
      </c>
      <c r="B8" s="441" t="n">
        <v>0.9862</v>
      </c>
    </row>
    <row r="9" customFormat="false" ht="12.75" hidden="false" customHeight="false" outlineLevel="0" collapsed="false">
      <c r="A9" s="62" t="s">
        <v>354</v>
      </c>
      <c r="B9" s="10" t="n">
        <v>0.455</v>
      </c>
      <c r="C9" s="0" t="s">
        <v>60</v>
      </c>
    </row>
    <row r="10" customFormat="false" ht="12.75" hidden="false" customHeight="false" outlineLevel="0" collapsed="false">
      <c r="A10" s="62" t="s">
        <v>355</v>
      </c>
      <c r="B10" s="10" t="n">
        <v>0.14</v>
      </c>
      <c r="C10" s="0" t="s">
        <v>60</v>
      </c>
    </row>
    <row r="11" customFormat="false" ht="12.75" hidden="false" customHeight="false" outlineLevel="0" collapsed="false">
      <c r="A11" s="62" t="s">
        <v>0</v>
      </c>
      <c r="B11" s="54" t="n">
        <f aca="false">'Index Pricing'!B3</f>
        <v>2.54</v>
      </c>
    </row>
    <row r="12" customFormat="false" ht="13.5" hidden="false" customHeight="false" outlineLevel="0" collapsed="false">
      <c r="A12" s="62"/>
    </row>
    <row r="13" customFormat="false" ht="25.5" hidden="false" customHeight="false" outlineLevel="0" collapsed="false">
      <c r="A13" s="65"/>
      <c r="B13" s="66"/>
      <c r="C13" s="67" t="s">
        <v>61</v>
      </c>
      <c r="D13" s="67" t="s">
        <v>356</v>
      </c>
      <c r="E13" s="67" t="s">
        <v>66</v>
      </c>
      <c r="F13" s="69" t="s">
        <v>357</v>
      </c>
      <c r="G13" s="69" t="s">
        <v>67</v>
      </c>
      <c r="H13" s="70"/>
      <c r="I13" s="70"/>
      <c r="J13" s="24"/>
      <c r="K13" s="24"/>
      <c r="L13" s="24"/>
      <c r="M13" s="24"/>
    </row>
    <row r="14" customFormat="false" ht="12.75" hidden="false" customHeight="false" outlineLevel="0" collapsed="false">
      <c r="A14" s="71" t="s">
        <v>68</v>
      </c>
      <c r="B14" s="72" t="s">
        <v>81</v>
      </c>
      <c r="C14" s="428" t="n">
        <v>-0.1</v>
      </c>
      <c r="D14" s="72" t="n">
        <f aca="false">-B9/B7</f>
        <v>-0.466188524590164</v>
      </c>
      <c r="E14" s="72" t="e">
        <f aca="false">-F52*D14/(D52)</f>
        <v>#DIV/0!</v>
      </c>
      <c r="F14" s="442" t="n">
        <f aca="false">-B10/B8</f>
        <v>-0.141959034678564</v>
      </c>
      <c r="G14" s="75" t="e">
        <f aca="false">ROUND(SUM(C14:F14),4)</f>
        <v>#DIV/0!</v>
      </c>
      <c r="I14" s="443"/>
    </row>
    <row r="15" customFormat="false" ht="12.75" hidden="false" customHeight="false" outlineLevel="0" collapsed="false">
      <c r="A15" s="71"/>
      <c r="B15" s="72"/>
      <c r="C15" s="73"/>
      <c r="D15" s="72"/>
      <c r="E15" s="72"/>
      <c r="F15" s="75"/>
      <c r="G15" s="75"/>
    </row>
    <row r="16" customFormat="false" ht="13.5" hidden="false" customHeight="false" outlineLevel="0" collapsed="false">
      <c r="A16" s="76"/>
      <c r="B16" s="77"/>
      <c r="C16" s="78"/>
      <c r="D16" s="77"/>
      <c r="E16" s="77"/>
      <c r="F16" s="79"/>
      <c r="G16" s="79"/>
    </row>
    <row r="17" customFormat="false" ht="13.5" hidden="false" customHeight="false" outlineLevel="0" collapsed="false"/>
    <row r="18" customFormat="false" ht="25.5" hidden="false" customHeight="false" outlineLevel="0" collapsed="false">
      <c r="A18" s="80"/>
      <c r="B18" s="84"/>
      <c r="C18" s="81"/>
      <c r="D18" s="164" t="s">
        <v>358</v>
      </c>
      <c r="E18" s="85"/>
      <c r="F18" s="383" t="s">
        <v>336</v>
      </c>
      <c r="G18" s="383" t="s">
        <v>76</v>
      </c>
      <c r="H18" s="84" t="s">
        <v>359</v>
      </c>
      <c r="I18" s="358" t="s">
        <v>80</v>
      </c>
    </row>
    <row r="19" customFormat="false" ht="26.25" hidden="false" customHeight="false" outlineLevel="0" collapsed="false">
      <c r="B19" s="331" t="s">
        <v>81</v>
      </c>
      <c r="C19" s="178" t="s">
        <v>360</v>
      </c>
      <c r="D19" s="91"/>
      <c r="E19" s="30"/>
      <c r="F19" s="30"/>
      <c r="G19" s="30"/>
      <c r="H19" s="331"/>
      <c r="I19" s="363"/>
    </row>
    <row r="20" customFormat="false" ht="12.75" hidden="false" customHeight="false" outlineLevel="0" collapsed="false">
      <c r="A20" s="8" t="n">
        <f aca="false">+'Index Pricing'!A7</f>
        <v>37196</v>
      </c>
      <c r="B20" s="415" t="n">
        <f aca="false">+'Index Pricing'!B7</f>
        <v>2.67</v>
      </c>
      <c r="C20" s="429" t="e">
        <f aca="false">+B20+$G$14</f>
        <v>#DIV/0!</v>
      </c>
      <c r="D20" s="430" t="n">
        <f aca="false">+G20+F20</f>
        <v>0</v>
      </c>
      <c r="E20" s="31"/>
      <c r="F20" s="444" t="n">
        <f aca="false">'[1]Enron Detail'!AB14</f>
        <v>0</v>
      </c>
      <c r="G20" s="445" t="n">
        <f aca="false">'[1]Enron Detail'!AA14</f>
        <v>0</v>
      </c>
      <c r="H20" s="432" t="e">
        <f aca="false">+C20*D20</f>
        <v>#DIV/0!</v>
      </c>
      <c r="I20" s="54" t="e">
        <f aca="false">+C20*D20</f>
        <v>#DIV/0!</v>
      </c>
    </row>
    <row r="21" customFormat="false" ht="12.75" hidden="false" customHeight="false" outlineLevel="0" collapsed="false">
      <c r="A21" s="8" t="n">
        <f aca="false">+'Index Pricing'!A8</f>
        <v>37197</v>
      </c>
      <c r="B21" s="420" t="n">
        <f aca="false">+'Index Pricing'!B8</f>
        <v>2.36</v>
      </c>
      <c r="C21" s="364" t="e">
        <f aca="false">+B21+$G$14</f>
        <v>#DIV/0!</v>
      </c>
      <c r="D21" s="431" t="n">
        <f aca="false">+G21+F21</f>
        <v>0</v>
      </c>
      <c r="E21" s="31"/>
      <c r="F21" s="444" t="n">
        <f aca="false">'[1]Enron Detail'!AB15</f>
        <v>0</v>
      </c>
      <c r="G21" s="445" t="n">
        <f aca="false">'[1]Enron Detail'!AA15</f>
        <v>0</v>
      </c>
      <c r="H21" s="97" t="e">
        <f aca="false">+C21*D21</f>
        <v>#DIV/0!</v>
      </c>
      <c r="I21" s="446" t="e">
        <f aca="false">+C21*D21</f>
        <v>#DIV/0!</v>
      </c>
    </row>
    <row r="22" customFormat="false" ht="12.75" hidden="false" customHeight="false" outlineLevel="0" collapsed="false">
      <c r="A22" s="8" t="n">
        <f aca="false">+'Index Pricing'!A9</f>
        <v>37198</v>
      </c>
      <c r="B22" s="420" t="n">
        <f aca="false">+'Index Pricing'!B9</f>
        <v>2.015</v>
      </c>
      <c r="C22" s="364" t="e">
        <f aca="false">+B22+$G$14</f>
        <v>#DIV/0!</v>
      </c>
      <c r="D22" s="431" t="n">
        <f aca="false">+G22+F22</f>
        <v>0</v>
      </c>
      <c r="E22" s="31"/>
      <c r="F22" s="444" t="n">
        <f aca="false">'[1]Enron Detail'!AB16</f>
        <v>0</v>
      </c>
      <c r="G22" s="445" t="n">
        <f aca="false">'[1]Enron Detail'!AA16</f>
        <v>0</v>
      </c>
      <c r="H22" s="97" t="e">
        <f aca="false">+C22*D22</f>
        <v>#DIV/0!</v>
      </c>
      <c r="I22" s="446" t="e">
        <f aca="false">+C22*D22</f>
        <v>#DIV/0!</v>
      </c>
    </row>
    <row r="23" customFormat="false" ht="12.75" hidden="false" customHeight="false" outlineLevel="0" collapsed="false">
      <c r="A23" s="8" t="n">
        <f aca="false">+'Index Pricing'!A10</f>
        <v>37199</v>
      </c>
      <c r="B23" s="420" t="n">
        <f aca="false">+'Index Pricing'!B10</f>
        <v>2.015</v>
      </c>
      <c r="C23" s="364" t="e">
        <f aca="false">+B23+$G$14</f>
        <v>#DIV/0!</v>
      </c>
      <c r="D23" s="431" t="n">
        <f aca="false">+G23+F23</f>
        <v>0</v>
      </c>
      <c r="E23" s="31"/>
      <c r="F23" s="444" t="n">
        <f aca="false">'[1]Enron Detail'!AB17</f>
        <v>0</v>
      </c>
      <c r="G23" s="445" t="n">
        <f aca="false">'[1]Enron Detail'!AA17</f>
        <v>0</v>
      </c>
      <c r="H23" s="97" t="e">
        <f aca="false">+C23*D23</f>
        <v>#DIV/0!</v>
      </c>
      <c r="I23" s="446" t="e">
        <f aca="false">+C23*D23</f>
        <v>#DIV/0!</v>
      </c>
    </row>
    <row r="24" customFormat="false" ht="12.75" hidden="false" customHeight="false" outlineLevel="0" collapsed="false">
      <c r="A24" s="8" t="n">
        <v>37047</v>
      </c>
      <c r="B24" s="420" t="n">
        <f aca="false">+'Index Pricing'!B11</f>
        <v>2.015</v>
      </c>
      <c r="C24" s="364" t="e">
        <f aca="false">+B24+$G$14</f>
        <v>#DIV/0!</v>
      </c>
      <c r="D24" s="431" t="n">
        <f aca="false">+G24+F24</f>
        <v>0</v>
      </c>
      <c r="E24" s="31"/>
      <c r="F24" s="444" t="n">
        <f aca="false">'[1]Enron Detail'!AB18</f>
        <v>0</v>
      </c>
      <c r="G24" s="445" t="n">
        <f aca="false">'[1]Enron Detail'!AA18</f>
        <v>0</v>
      </c>
      <c r="H24" s="97" t="e">
        <f aca="false">+C24*D24</f>
        <v>#DIV/0!</v>
      </c>
      <c r="I24" s="446" t="e">
        <f aca="false">+C24*D24</f>
        <v>#DIV/0!</v>
      </c>
    </row>
    <row r="25" customFormat="false" ht="12.75" hidden="false" customHeight="false" outlineLevel="0" collapsed="false">
      <c r="A25" s="8" t="n">
        <f aca="false">+'Index Pricing'!A12</f>
        <v>37201</v>
      </c>
      <c r="B25" s="420" t="n">
        <f aca="false">+'Index Pricing'!B12</f>
        <v>2.16</v>
      </c>
      <c r="C25" s="364" t="e">
        <f aca="false">+B25+$G$14</f>
        <v>#DIV/0!</v>
      </c>
      <c r="D25" s="431" t="n">
        <f aca="false">+G25+F25</f>
        <v>0</v>
      </c>
      <c r="E25" s="31"/>
      <c r="F25" s="444" t="n">
        <f aca="false">'[1]Enron Detail'!AB19</f>
        <v>0</v>
      </c>
      <c r="G25" s="445" t="n">
        <f aca="false">'[1]Enron Detail'!AA19</f>
        <v>0</v>
      </c>
      <c r="H25" s="97" t="e">
        <f aca="false">+C25*D25</f>
        <v>#DIV/0!</v>
      </c>
      <c r="I25" s="446" t="e">
        <f aca="false">+C25*D25</f>
        <v>#DIV/0!</v>
      </c>
    </row>
    <row r="26" customFormat="false" ht="12.75" hidden="false" customHeight="false" outlineLevel="0" collapsed="false">
      <c r="A26" s="8" t="n">
        <f aca="false">+'Index Pricing'!A13</f>
        <v>37202</v>
      </c>
      <c r="B26" s="420" t="n">
        <f aca="false">+'Index Pricing'!B13</f>
        <v>2.135</v>
      </c>
      <c r="C26" s="364" t="e">
        <f aca="false">+B26+$G$14</f>
        <v>#DIV/0!</v>
      </c>
      <c r="D26" s="431" t="n">
        <f aca="false">+G26+F26</f>
        <v>0</v>
      </c>
      <c r="E26" s="31"/>
      <c r="F26" s="444" t="n">
        <f aca="false">'[1]Enron Detail'!AB20</f>
        <v>0</v>
      </c>
      <c r="G26" s="445" t="n">
        <f aca="false">'[1]Enron Detail'!AA20</f>
        <v>0</v>
      </c>
      <c r="H26" s="97" t="e">
        <f aca="false">+C26*D26</f>
        <v>#DIV/0!</v>
      </c>
      <c r="I26" s="446" t="e">
        <f aca="false">+C26*D26</f>
        <v>#DIV/0!</v>
      </c>
    </row>
    <row r="27" customFormat="false" ht="12.75" hidden="false" customHeight="false" outlineLevel="0" collapsed="false">
      <c r="A27" s="8" t="n">
        <f aca="false">+'Index Pricing'!A14</f>
        <v>37203</v>
      </c>
      <c r="B27" s="420" t="n">
        <f aca="false">+'Index Pricing'!B14</f>
        <v>2.13</v>
      </c>
      <c r="C27" s="364" t="e">
        <f aca="false">+B27+$G$14</f>
        <v>#DIV/0!</v>
      </c>
      <c r="D27" s="431" t="n">
        <f aca="false">+G27+F27</f>
        <v>0</v>
      </c>
      <c r="E27" s="31"/>
      <c r="F27" s="444" t="n">
        <f aca="false">'[1]Enron Detail'!AB21</f>
        <v>0</v>
      </c>
      <c r="G27" s="445" t="n">
        <f aca="false">'[1]Enron Detail'!AA21</f>
        <v>0</v>
      </c>
      <c r="H27" s="97" t="e">
        <f aca="false">+C27*D27</f>
        <v>#DIV/0!</v>
      </c>
      <c r="I27" s="446" t="e">
        <f aca="false">+C27*D27</f>
        <v>#DIV/0!</v>
      </c>
    </row>
    <row r="28" customFormat="false" ht="12.75" hidden="false" customHeight="false" outlineLevel="0" collapsed="false">
      <c r="A28" s="8" t="n">
        <f aca="false">+'Index Pricing'!A15</f>
        <v>37204</v>
      </c>
      <c r="B28" s="420" t="n">
        <f aca="false">+'Index Pricing'!B15</f>
        <v>1.935</v>
      </c>
      <c r="C28" s="364" t="e">
        <f aca="false">+B28+$G$14</f>
        <v>#DIV/0!</v>
      </c>
      <c r="D28" s="431" t="n">
        <f aca="false">+G28+F28</f>
        <v>0</v>
      </c>
      <c r="E28" s="31"/>
      <c r="F28" s="444" t="n">
        <f aca="false">'[1]Enron Detail'!AB22</f>
        <v>0</v>
      </c>
      <c r="G28" s="445" t="n">
        <f aca="false">'[1]Enron Detail'!AA22</f>
        <v>0</v>
      </c>
      <c r="H28" s="97" t="e">
        <f aca="false">+C28*D28</f>
        <v>#DIV/0!</v>
      </c>
      <c r="I28" s="446" t="e">
        <f aca="false">+C28*D28</f>
        <v>#DIV/0!</v>
      </c>
    </row>
    <row r="29" customFormat="false" ht="12.75" hidden="false" customHeight="false" outlineLevel="0" collapsed="false">
      <c r="A29" s="8" t="n">
        <f aca="false">+'Index Pricing'!A16</f>
        <v>37205</v>
      </c>
      <c r="B29" s="420" t="n">
        <f aca="false">+'Index Pricing'!B16</f>
        <v>1.7</v>
      </c>
      <c r="C29" s="364" t="e">
        <f aca="false">+B29+$G$14</f>
        <v>#DIV/0!</v>
      </c>
      <c r="D29" s="431" t="n">
        <f aca="false">+G29+F29</f>
        <v>0</v>
      </c>
      <c r="E29" s="31"/>
      <c r="F29" s="444" t="n">
        <f aca="false">'[1]Enron Detail'!AB23</f>
        <v>0</v>
      </c>
      <c r="G29" s="445" t="n">
        <f aca="false">'[1]Enron Detail'!AA23</f>
        <v>0</v>
      </c>
      <c r="H29" s="97" t="e">
        <f aca="false">+C29*D29</f>
        <v>#DIV/0!</v>
      </c>
      <c r="I29" s="446" t="e">
        <f aca="false">+C29*D29</f>
        <v>#DIV/0!</v>
      </c>
    </row>
    <row r="30" customFormat="false" ht="12.75" hidden="false" customHeight="false" outlineLevel="0" collapsed="false">
      <c r="A30" s="8" t="n">
        <f aca="false">+'Index Pricing'!A17</f>
        <v>37206</v>
      </c>
      <c r="B30" s="420" t="n">
        <f aca="false">+'Index Pricing'!B17</f>
        <v>1.7</v>
      </c>
      <c r="C30" s="364" t="e">
        <f aca="false">+B30+$G$14</f>
        <v>#DIV/0!</v>
      </c>
      <c r="D30" s="431" t="n">
        <f aca="false">+G30+F30</f>
        <v>0</v>
      </c>
      <c r="E30" s="31"/>
      <c r="F30" s="444" t="n">
        <f aca="false">'[1]Enron Detail'!AB24</f>
        <v>0</v>
      </c>
      <c r="G30" s="445" t="n">
        <f aca="false">'[1]Enron Detail'!AA24</f>
        <v>0</v>
      </c>
      <c r="H30" s="97" t="e">
        <f aca="false">+C30*D30</f>
        <v>#DIV/0!</v>
      </c>
      <c r="I30" s="446" t="e">
        <f aca="false">+C30*D30</f>
        <v>#DIV/0!</v>
      </c>
    </row>
    <row r="31" customFormat="false" ht="12.75" hidden="false" customHeight="false" outlineLevel="0" collapsed="false">
      <c r="A31" s="8" t="n">
        <f aca="false">+'Index Pricing'!A18</f>
        <v>37207</v>
      </c>
      <c r="B31" s="420" t="n">
        <f aca="false">+'Index Pricing'!B18</f>
        <v>1.7</v>
      </c>
      <c r="C31" s="364" t="e">
        <f aca="false">+B31+$G$14</f>
        <v>#DIV/0!</v>
      </c>
      <c r="D31" s="431" t="n">
        <f aca="false">+G31+F31</f>
        <v>0</v>
      </c>
      <c r="E31" s="31"/>
      <c r="F31" s="444" t="n">
        <f aca="false">'[1]Enron Detail'!AB25</f>
        <v>0</v>
      </c>
      <c r="G31" s="445" t="n">
        <f aca="false">'[1]Enron Detail'!AA25</f>
        <v>0</v>
      </c>
      <c r="H31" s="97" t="e">
        <f aca="false">+C31*D31</f>
        <v>#DIV/0!</v>
      </c>
      <c r="I31" s="446" t="e">
        <f aca="false">+C31*D31</f>
        <v>#DIV/0!</v>
      </c>
    </row>
    <row r="32" customFormat="false" ht="12.75" hidden="false" customHeight="false" outlineLevel="0" collapsed="false">
      <c r="A32" s="8" t="n">
        <f aca="false">+'Index Pricing'!A19</f>
        <v>37208</v>
      </c>
      <c r="B32" s="420" t="n">
        <f aca="false">+'Index Pricing'!B19</f>
        <v>1.52</v>
      </c>
      <c r="C32" s="364" t="e">
        <f aca="false">+B32+$G$14</f>
        <v>#DIV/0!</v>
      </c>
      <c r="D32" s="431" t="n">
        <f aca="false">+G32+F32</f>
        <v>0</v>
      </c>
      <c r="E32" s="31"/>
      <c r="F32" s="444" t="n">
        <f aca="false">'[1]Enron Detail'!AB26</f>
        <v>0</v>
      </c>
      <c r="G32" s="445" t="n">
        <f aca="false">'[1]Enron Detail'!AA26</f>
        <v>0</v>
      </c>
      <c r="H32" s="97" t="e">
        <f aca="false">+C32*D32</f>
        <v>#DIV/0!</v>
      </c>
      <c r="I32" s="446" t="e">
        <f aca="false">+C32*D32</f>
        <v>#DIV/0!</v>
      </c>
    </row>
    <row r="33" customFormat="false" ht="12.75" hidden="false" customHeight="false" outlineLevel="0" collapsed="false">
      <c r="A33" s="8" t="n">
        <f aca="false">+'Index Pricing'!A20</f>
        <v>37209</v>
      </c>
      <c r="B33" s="420" t="n">
        <f aca="false">+'Index Pricing'!B20</f>
        <v>1.595</v>
      </c>
      <c r="C33" s="364" t="e">
        <f aca="false">+B33+$G$14</f>
        <v>#DIV/0!</v>
      </c>
      <c r="D33" s="431" t="n">
        <f aca="false">+G33+F33</f>
        <v>0</v>
      </c>
      <c r="E33" s="31"/>
      <c r="F33" s="444" t="n">
        <f aca="false">'[1]Enron Detail'!AB27</f>
        <v>0</v>
      </c>
      <c r="G33" s="445" t="n">
        <f aca="false">'[1]Enron Detail'!AA27</f>
        <v>0</v>
      </c>
      <c r="H33" s="97" t="e">
        <f aca="false">+C33*D33</f>
        <v>#DIV/0!</v>
      </c>
      <c r="I33" s="446" t="e">
        <f aca="false">+C33*D33</f>
        <v>#DIV/0!</v>
      </c>
    </row>
    <row r="34" customFormat="false" ht="12.75" hidden="false" customHeight="false" outlineLevel="0" collapsed="false">
      <c r="A34" s="8" t="n">
        <f aca="false">+'Index Pricing'!A21</f>
        <v>37210</v>
      </c>
      <c r="B34" s="420" t="n">
        <f aca="false">+'Index Pricing'!B21</f>
        <v>1.84</v>
      </c>
      <c r="C34" s="364" t="e">
        <f aca="false">+B34+$G$14</f>
        <v>#DIV/0!</v>
      </c>
      <c r="D34" s="431" t="n">
        <f aca="false">+G34+F34</f>
        <v>0</v>
      </c>
      <c r="E34" s="31"/>
      <c r="F34" s="444" t="n">
        <f aca="false">'[1]Enron Detail'!AB28</f>
        <v>0</v>
      </c>
      <c r="G34" s="445" t="n">
        <f aca="false">'[1]Enron Detail'!AA28</f>
        <v>0</v>
      </c>
      <c r="H34" s="97" t="e">
        <f aca="false">+C34*D34</f>
        <v>#DIV/0!</v>
      </c>
      <c r="I34" s="446" t="e">
        <f aca="false">+C34*D34</f>
        <v>#DIV/0!</v>
      </c>
    </row>
    <row r="35" customFormat="false" ht="12.75" hidden="false" customHeight="false" outlineLevel="0" collapsed="false">
      <c r="A35" s="8" t="n">
        <f aca="false">+'Index Pricing'!A22</f>
        <v>37211</v>
      </c>
      <c r="B35" s="420" t="n">
        <f aca="false">+'Index Pricing'!B22</f>
        <v>1.435</v>
      </c>
      <c r="C35" s="364" t="e">
        <f aca="false">+B35+$G$14</f>
        <v>#DIV/0!</v>
      </c>
      <c r="D35" s="431" t="n">
        <f aca="false">+G35+F35</f>
        <v>0</v>
      </c>
      <c r="E35" s="31"/>
      <c r="F35" s="444" t="n">
        <f aca="false">'[1]Enron Detail'!AB29</f>
        <v>0</v>
      </c>
      <c r="G35" s="445" t="n">
        <f aca="false">'[1]Enron Detail'!AA29</f>
        <v>0</v>
      </c>
      <c r="H35" s="97" t="e">
        <f aca="false">+C35*D35</f>
        <v>#DIV/0!</v>
      </c>
      <c r="I35" s="446" t="e">
        <f aca="false">+C35*D35</f>
        <v>#DIV/0!</v>
      </c>
    </row>
    <row r="36" customFormat="false" ht="12.75" hidden="false" customHeight="false" outlineLevel="0" collapsed="false">
      <c r="A36" s="8" t="n">
        <f aca="false">+'Index Pricing'!A23</f>
        <v>37212</v>
      </c>
      <c r="B36" s="420" t="n">
        <f aca="false">+'Index Pricing'!B23</f>
        <v>1.135</v>
      </c>
      <c r="C36" s="364" t="e">
        <f aca="false">+B36+$G$14</f>
        <v>#DIV/0!</v>
      </c>
      <c r="D36" s="431" t="n">
        <f aca="false">+G36+F36</f>
        <v>0</v>
      </c>
      <c r="E36" s="31"/>
      <c r="F36" s="444" t="n">
        <f aca="false">'[1]Enron Detail'!AB30</f>
        <v>0</v>
      </c>
      <c r="G36" s="445" t="n">
        <f aca="false">'[1]Enron Detail'!AA30</f>
        <v>0</v>
      </c>
      <c r="H36" s="97" t="e">
        <f aca="false">+C36*D36</f>
        <v>#DIV/0!</v>
      </c>
      <c r="I36" s="446" t="e">
        <f aca="false">+C36*D36</f>
        <v>#DIV/0!</v>
      </c>
    </row>
    <row r="37" customFormat="false" ht="12.75" hidden="false" customHeight="false" outlineLevel="0" collapsed="false">
      <c r="A37" s="8" t="n">
        <f aca="false">+'Index Pricing'!A24</f>
        <v>37213</v>
      </c>
      <c r="B37" s="420" t="n">
        <f aca="false">+'Index Pricing'!B24</f>
        <v>1.135</v>
      </c>
      <c r="C37" s="364" t="e">
        <f aca="false">+B37+$G$14</f>
        <v>#DIV/0!</v>
      </c>
      <c r="D37" s="431" t="n">
        <f aca="false">+G37+F37</f>
        <v>0</v>
      </c>
      <c r="E37" s="31"/>
      <c r="F37" s="444" t="n">
        <f aca="false">'[1]Enron Detail'!AB31</f>
        <v>0</v>
      </c>
      <c r="G37" s="445" t="n">
        <f aca="false">'[1]Enron Detail'!AA31</f>
        <v>0</v>
      </c>
      <c r="H37" s="97" t="e">
        <f aca="false">+C37*D37</f>
        <v>#DIV/0!</v>
      </c>
      <c r="I37" s="446" t="e">
        <f aca="false">+C37*D37</f>
        <v>#DIV/0!</v>
      </c>
    </row>
    <row r="38" customFormat="false" ht="12.75" hidden="false" customHeight="false" outlineLevel="0" collapsed="false">
      <c r="A38" s="8" t="n">
        <f aca="false">+'Index Pricing'!A25</f>
        <v>37214</v>
      </c>
      <c r="B38" s="420" t="n">
        <f aca="false">+'Index Pricing'!B25</f>
        <v>1.135</v>
      </c>
      <c r="C38" s="364" t="e">
        <f aca="false">+B38+$G$14</f>
        <v>#DIV/0!</v>
      </c>
      <c r="D38" s="431" t="n">
        <f aca="false">+G38+F38</f>
        <v>0</v>
      </c>
      <c r="E38" s="31"/>
      <c r="F38" s="444" t="n">
        <f aca="false">'[1]Enron Detail'!AB32</f>
        <v>0</v>
      </c>
      <c r="G38" s="445" t="n">
        <f aca="false">'[1]Enron Detail'!AA32</f>
        <v>0</v>
      </c>
      <c r="H38" s="97" t="e">
        <f aca="false">+C38*D38</f>
        <v>#DIV/0!</v>
      </c>
      <c r="I38" s="446" t="e">
        <f aca="false">+C38*D38</f>
        <v>#DIV/0!</v>
      </c>
    </row>
    <row r="39" customFormat="false" ht="12.75" hidden="false" customHeight="false" outlineLevel="0" collapsed="false">
      <c r="A39" s="8" t="n">
        <f aca="false">+'Index Pricing'!A26</f>
        <v>37215</v>
      </c>
      <c r="B39" s="420" t="n">
        <f aca="false">+'Index Pricing'!B26</f>
        <v>1.535</v>
      </c>
      <c r="C39" s="364" t="e">
        <f aca="false">+B39+$G$14</f>
        <v>#DIV/0!</v>
      </c>
      <c r="D39" s="431" t="n">
        <f aca="false">+G39+F39</f>
        <v>0</v>
      </c>
      <c r="E39" s="31"/>
      <c r="F39" s="444" t="n">
        <f aca="false">'[1]Enron Detail'!AB33</f>
        <v>0</v>
      </c>
      <c r="G39" s="445" t="n">
        <f aca="false">'[1]Enron Detail'!AA33</f>
        <v>0</v>
      </c>
      <c r="H39" s="97" t="e">
        <f aca="false">+C39*D39</f>
        <v>#DIV/0!</v>
      </c>
      <c r="I39" s="446" t="e">
        <f aca="false">+C39*D39</f>
        <v>#DIV/0!</v>
      </c>
    </row>
    <row r="40" customFormat="false" ht="12.75" hidden="false" customHeight="false" outlineLevel="0" collapsed="false">
      <c r="A40" s="8" t="n">
        <f aca="false">+'Index Pricing'!A27</f>
        <v>37216</v>
      </c>
      <c r="B40" s="420" t="n">
        <f aca="false">+'Index Pricing'!B27</f>
        <v>2.205</v>
      </c>
      <c r="C40" s="364" t="e">
        <f aca="false">+B40+$G$14</f>
        <v>#DIV/0!</v>
      </c>
      <c r="D40" s="431" t="n">
        <f aca="false">+G40+F40</f>
        <v>0</v>
      </c>
      <c r="E40" s="31"/>
      <c r="F40" s="444" t="n">
        <f aca="false">'[1]Enron Detail'!AB34</f>
        <v>0</v>
      </c>
      <c r="G40" s="445" t="n">
        <f aca="false">'[1]Enron Detail'!AA34</f>
        <v>0</v>
      </c>
      <c r="H40" s="97" t="e">
        <f aca="false">+C40*D40</f>
        <v>#DIV/0!</v>
      </c>
      <c r="I40" s="446" t="e">
        <f aca="false">+C40*D40</f>
        <v>#DIV/0!</v>
      </c>
    </row>
    <row r="41" customFormat="false" ht="12.75" hidden="false" customHeight="false" outlineLevel="0" collapsed="false">
      <c r="A41" s="8" t="n">
        <f aca="false">+'Index Pricing'!A28</f>
        <v>37217</v>
      </c>
      <c r="B41" s="420" t="n">
        <f aca="false">+'Index Pricing'!B28</f>
        <v>1.43</v>
      </c>
      <c r="C41" s="364" t="e">
        <f aca="false">+B41+$G$14</f>
        <v>#DIV/0!</v>
      </c>
      <c r="D41" s="431" t="n">
        <f aca="false">+G41+F41</f>
        <v>0</v>
      </c>
      <c r="E41" s="31"/>
      <c r="F41" s="444" t="n">
        <f aca="false">'[1]Enron Detail'!AB35</f>
        <v>0</v>
      </c>
      <c r="G41" s="445" t="n">
        <f aca="false">'[1]Enron Detail'!AA35</f>
        <v>0</v>
      </c>
      <c r="H41" s="97" t="e">
        <f aca="false">+C41*D41</f>
        <v>#DIV/0!</v>
      </c>
      <c r="I41" s="446" t="e">
        <f aca="false">+C41*D41</f>
        <v>#DIV/0!</v>
      </c>
    </row>
    <row r="42" customFormat="false" ht="12.75" hidden="false" customHeight="false" outlineLevel="0" collapsed="false">
      <c r="A42" s="8" t="n">
        <f aca="false">+'Index Pricing'!A29</f>
        <v>37218</v>
      </c>
      <c r="B42" s="420" t="n">
        <f aca="false">+'Index Pricing'!B29</f>
        <v>1.43</v>
      </c>
      <c r="C42" s="364" t="e">
        <f aca="false">+B42+$G$14</f>
        <v>#DIV/0!</v>
      </c>
      <c r="D42" s="431" t="n">
        <f aca="false">+G42+F42</f>
        <v>0</v>
      </c>
      <c r="E42" s="31"/>
      <c r="F42" s="444" t="n">
        <f aca="false">'[1]Enron Detail'!AB36</f>
        <v>0</v>
      </c>
      <c r="G42" s="445" t="n">
        <f aca="false">'[1]Enron Detail'!AA36</f>
        <v>0</v>
      </c>
      <c r="H42" s="97" t="e">
        <f aca="false">+C42*D42</f>
        <v>#DIV/0!</v>
      </c>
      <c r="I42" s="446" t="e">
        <f aca="false">+C42*D42</f>
        <v>#DIV/0!</v>
      </c>
    </row>
    <row r="43" customFormat="false" ht="12.75" hidden="false" customHeight="false" outlineLevel="0" collapsed="false">
      <c r="A43" s="8" t="n">
        <f aca="false">+'Index Pricing'!A30</f>
        <v>37219</v>
      </c>
      <c r="B43" s="420" t="n">
        <f aca="false">+'Index Pricing'!B30</f>
        <v>1.43</v>
      </c>
      <c r="C43" s="364" t="e">
        <f aca="false">+B43+$G$14</f>
        <v>#DIV/0!</v>
      </c>
      <c r="D43" s="431" t="n">
        <f aca="false">+G43+F43</f>
        <v>0</v>
      </c>
      <c r="E43" s="31"/>
      <c r="F43" s="444" t="n">
        <f aca="false">'[1]Enron Detail'!AB37</f>
        <v>0</v>
      </c>
      <c r="G43" s="445" t="n">
        <f aca="false">'[1]Enron Detail'!AA37</f>
        <v>0</v>
      </c>
      <c r="H43" s="97" t="e">
        <f aca="false">+C43*D43</f>
        <v>#DIV/0!</v>
      </c>
      <c r="I43" s="446" t="e">
        <f aca="false">+C43*D43</f>
        <v>#DIV/0!</v>
      </c>
    </row>
    <row r="44" customFormat="false" ht="12.75" hidden="false" customHeight="false" outlineLevel="0" collapsed="false">
      <c r="A44" s="8" t="n">
        <f aca="false">+'Index Pricing'!A31</f>
        <v>37220</v>
      </c>
      <c r="B44" s="420" t="n">
        <f aca="false">+'Index Pricing'!B31</f>
        <v>1.43</v>
      </c>
      <c r="C44" s="364" t="e">
        <f aca="false">+B44+$G$14</f>
        <v>#DIV/0!</v>
      </c>
      <c r="D44" s="431" t="n">
        <f aca="false">+G44+F44</f>
        <v>0</v>
      </c>
      <c r="E44" s="31"/>
      <c r="F44" s="444" t="n">
        <f aca="false">'[1]Enron Detail'!AB38</f>
        <v>0</v>
      </c>
      <c r="G44" s="445" t="n">
        <f aca="false">'[1]Enron Detail'!AA38</f>
        <v>0</v>
      </c>
      <c r="H44" s="97" t="e">
        <f aca="false">+C44*D44</f>
        <v>#DIV/0!</v>
      </c>
      <c r="I44" s="446" t="e">
        <f aca="false">+C44*D44</f>
        <v>#DIV/0!</v>
      </c>
    </row>
    <row r="45" customFormat="false" ht="12.75" hidden="false" customHeight="false" outlineLevel="0" collapsed="false">
      <c r="A45" s="8" t="n">
        <f aca="false">+'Index Pricing'!A32</f>
        <v>37221</v>
      </c>
      <c r="B45" s="420" t="n">
        <f aca="false">+'Index Pricing'!B32</f>
        <v>1.43</v>
      </c>
      <c r="C45" s="364" t="e">
        <f aca="false">+B45+$G$14</f>
        <v>#DIV/0!</v>
      </c>
      <c r="D45" s="431" t="n">
        <f aca="false">+G45+F45</f>
        <v>0</v>
      </c>
      <c r="E45" s="31"/>
      <c r="F45" s="444" t="n">
        <f aca="false">'[1]Enron Detail'!AB39</f>
        <v>0</v>
      </c>
      <c r="G45" s="445" t="n">
        <f aca="false">'[1]Enron Detail'!AA39</f>
        <v>0</v>
      </c>
      <c r="H45" s="97" t="e">
        <f aca="false">+C45*D45</f>
        <v>#DIV/0!</v>
      </c>
      <c r="I45" s="446" t="e">
        <f aca="false">+C45*D45</f>
        <v>#DIV/0!</v>
      </c>
    </row>
    <row r="46" customFormat="false" ht="12.75" hidden="false" customHeight="false" outlineLevel="0" collapsed="false">
      <c r="A46" s="8" t="n">
        <f aca="false">+'Index Pricing'!A33</f>
        <v>37222</v>
      </c>
      <c r="B46" s="420" t="n">
        <f aca="false">+'Index Pricing'!B33</f>
        <v>1.88</v>
      </c>
      <c r="C46" s="364" t="e">
        <f aca="false">+B46+$G$14</f>
        <v>#DIV/0!</v>
      </c>
      <c r="D46" s="431" t="n">
        <f aca="false">+G46+F46</f>
        <v>0</v>
      </c>
      <c r="E46" s="31"/>
      <c r="F46" s="444" t="n">
        <f aca="false">'[1]Enron Detail'!AB40</f>
        <v>0</v>
      </c>
      <c r="G46" s="445" t="n">
        <f aca="false">'[1]Enron Detail'!AA40</f>
        <v>0</v>
      </c>
      <c r="H46" s="97" t="e">
        <f aca="false">+C46*D46</f>
        <v>#DIV/0!</v>
      </c>
      <c r="I46" s="446" t="e">
        <f aca="false">+C46*D46</f>
        <v>#DIV/0!</v>
      </c>
    </row>
    <row r="47" customFormat="false" ht="12.75" hidden="false" customHeight="false" outlineLevel="0" collapsed="false">
      <c r="A47" s="8" t="n">
        <f aca="false">+'Index Pricing'!A34</f>
        <v>37223</v>
      </c>
      <c r="B47" s="420" t="n">
        <f aca="false">+'Index Pricing'!B34</f>
        <v>2.16</v>
      </c>
      <c r="C47" s="364" t="e">
        <f aca="false">+B47+$G$14</f>
        <v>#DIV/0!</v>
      </c>
      <c r="D47" s="431" t="n">
        <f aca="false">+G47+F47</f>
        <v>0</v>
      </c>
      <c r="E47" s="31"/>
      <c r="F47" s="444" t="n">
        <f aca="false">'[1]Enron Detail'!AB41</f>
        <v>0</v>
      </c>
      <c r="G47" s="445" t="n">
        <f aca="false">'[1]Enron Detail'!AA41</f>
        <v>0</v>
      </c>
      <c r="H47" s="97" t="e">
        <f aca="false">+C47*D47</f>
        <v>#DIV/0!</v>
      </c>
      <c r="I47" s="446" t="e">
        <f aca="false">+C47*D47</f>
        <v>#DIV/0!</v>
      </c>
    </row>
    <row r="48" customFormat="false" ht="12.75" hidden="false" customHeight="false" outlineLevel="0" collapsed="false">
      <c r="A48" s="8" t="n">
        <f aca="false">+'Index Pricing'!A35</f>
        <v>37224</v>
      </c>
      <c r="B48" s="420" t="n">
        <f aca="false">+'Index Pricing'!B35</f>
        <v>2.38</v>
      </c>
      <c r="C48" s="364" t="e">
        <f aca="false">+B48+$G$14</f>
        <v>#DIV/0!</v>
      </c>
      <c r="D48" s="431" t="n">
        <f aca="false">+G48+F48</f>
        <v>0</v>
      </c>
      <c r="E48" s="31"/>
      <c r="F48" s="444" t="n">
        <f aca="false">'[1]Enron Detail'!AB42</f>
        <v>0</v>
      </c>
      <c r="G48" s="445" t="n">
        <f aca="false">'[1]Enron Detail'!AA42</f>
        <v>0</v>
      </c>
      <c r="H48" s="97" t="e">
        <f aca="false">+C48*D48</f>
        <v>#DIV/0!</v>
      </c>
      <c r="I48" s="446" t="e">
        <f aca="false">+C48*D48</f>
        <v>#DIV/0!</v>
      </c>
    </row>
    <row r="49" customFormat="false" ht="12.75" hidden="false" customHeight="false" outlineLevel="0" collapsed="false">
      <c r="A49" s="8" t="n">
        <f aca="false">+'Index Pricing'!A36</f>
        <v>37225</v>
      </c>
      <c r="B49" s="420" t="n">
        <f aca="false">+'Index Pricing'!B36</f>
        <v>2.025</v>
      </c>
      <c r="C49" s="364" t="e">
        <f aca="false">+B49+$G$14</f>
        <v>#DIV/0!</v>
      </c>
      <c r="D49" s="431" t="n">
        <f aca="false">+G49+F49</f>
        <v>0</v>
      </c>
      <c r="E49" s="31"/>
      <c r="F49" s="444" t="n">
        <f aca="false">'[1]Enron Detail'!AB43</f>
        <v>0</v>
      </c>
      <c r="G49" s="445" t="n">
        <f aca="false">'[1]Enron Detail'!AA43</f>
        <v>0</v>
      </c>
      <c r="H49" s="97" t="e">
        <f aca="false">+C49*D49</f>
        <v>#DIV/0!</v>
      </c>
      <c r="I49" s="446" t="e">
        <f aca="false">+C49*D49</f>
        <v>#DIV/0!</v>
      </c>
    </row>
    <row r="50" customFormat="false" ht="12.75" hidden="false" customHeight="false" outlineLevel="0" collapsed="false">
      <c r="A50" s="8"/>
      <c r="B50" s="420"/>
      <c r="C50" s="364"/>
      <c r="D50" s="431"/>
      <c r="E50" s="31"/>
      <c r="F50" s="444"/>
      <c r="G50" s="445"/>
      <c r="H50" s="97"/>
      <c r="I50" s="446"/>
    </row>
    <row r="51" customFormat="false" ht="13.5" hidden="false" customHeight="false" outlineLevel="0" collapsed="false">
      <c r="A51" s="8"/>
      <c r="B51" s="434"/>
      <c r="C51" s="435"/>
      <c r="D51" s="436"/>
      <c r="E51" s="30"/>
      <c r="F51" s="426"/>
      <c r="G51" s="447"/>
      <c r="H51" s="448"/>
      <c r="I51" s="449"/>
    </row>
    <row r="52" customFormat="false" ht="13.5" hidden="false" customHeight="false" outlineLevel="0" collapsed="false">
      <c r="D52" s="43" t="n">
        <f aca="false">SUM(D20:D51)</f>
        <v>0</v>
      </c>
      <c r="F52" s="350" t="n">
        <f aca="false">SUM(F20:F51)</f>
        <v>0</v>
      </c>
      <c r="G52" s="43" t="n">
        <f aca="false">SUM(G20:G51)</f>
        <v>0</v>
      </c>
      <c r="H52" s="110" t="e">
        <f aca="false">SUM(H20:H51)</f>
        <v>#DIV/0!</v>
      </c>
      <c r="I52" s="112" t="e">
        <f aca="false">SUM(I20:I51)</f>
        <v>#DIV/0!</v>
      </c>
    </row>
    <row r="53" customFormat="false" ht="12.75" hidden="false" customHeight="false" outlineLevel="0" collapsed="false">
      <c r="B53" s="288"/>
    </row>
    <row r="54" customFormat="false" ht="12.75" hidden="false" customHeight="false" outlineLevel="0" collapsed="false">
      <c r="F54" s="114" t="e">
        <f aca="false">+F52/G52</f>
        <v>#DIV/0!</v>
      </c>
      <c r="G54" s="0" t="s">
        <v>213</v>
      </c>
      <c r="H54" s="41" t="e">
        <f aca="false">+H52/D52</f>
        <v>#DIV/0!</v>
      </c>
      <c r="I54" s="41" t="e">
        <f aca="false">+I52/(G52+F52)</f>
        <v>#DIV/0!</v>
      </c>
    </row>
    <row r="56" customFormat="false" ht="12.75" hidden="false" customHeight="false" outlineLevel="0" collapsed="false">
      <c r="A56" s="0" t="s">
        <v>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F63"/>
  <sheetViews>
    <sheetView showFormulas="false" showGridLines="fals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I1" activePane="topRight" state="frozen"/>
      <selection pane="topLeft" activeCell="A4" activeCellId="0" sqref="A4"/>
      <selection pane="topRight" activeCell="I41" activeCellId="0" sqref="I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99"/>
    <col collapsed="false" customWidth="true" hidden="false" outlineLevel="0" max="2" min="2" style="0" width="14.85"/>
    <col collapsed="false" customWidth="true" hidden="false" outlineLevel="0" max="3" min="3" style="0" width="24.85"/>
    <col collapsed="false" customWidth="true" hidden="false" outlineLevel="0" max="4" min="4" style="0" width="14.85"/>
    <col collapsed="false" customWidth="true" hidden="false" outlineLevel="0" max="5" min="5" style="0" width="16.7"/>
    <col collapsed="false" customWidth="true" hidden="false" outlineLevel="0" max="6" min="6" style="0" width="23.99"/>
    <col collapsed="false" customWidth="true" hidden="false" outlineLevel="0" max="7" min="7" style="0" width="16.56"/>
    <col collapsed="false" customWidth="true" hidden="false" outlineLevel="0" max="8" min="8" style="0" width="19.99"/>
    <col collapsed="false" customWidth="true" hidden="false" outlineLevel="0" max="9" min="9" style="0" width="16.99"/>
    <col collapsed="false" customWidth="true" hidden="false" outlineLevel="0" max="10" min="10" style="0" width="17.14"/>
    <col collapsed="false" customWidth="true" hidden="false" outlineLevel="0" max="11" min="11" style="0" width="14.28"/>
    <col collapsed="false" customWidth="true" hidden="false" outlineLevel="0" max="12" min="12" style="0" width="30.99"/>
    <col collapsed="false" customWidth="true" hidden="false" outlineLevel="0" max="13" min="13" style="0" width="14.7"/>
    <col collapsed="false" customWidth="true" hidden="false" outlineLevel="0" max="14" min="14" style="0" width="19.85"/>
    <col collapsed="false" customWidth="true" hidden="false" outlineLevel="0" max="15" min="15" style="0" width="11.42"/>
    <col collapsed="false" customWidth="true" hidden="false" outlineLevel="0" max="16" min="16" style="54" width="15.13"/>
    <col collapsed="false" customWidth="true" hidden="false" outlineLevel="0" max="17" min="17" style="0" width="11.7"/>
    <col collapsed="false" customWidth="true" hidden="false" outlineLevel="0" max="18" min="18" style="0" width="13.14"/>
    <col collapsed="false" customWidth="true" hidden="false" outlineLevel="0" max="19" min="19" style="0" width="12.28"/>
    <col collapsed="false" customWidth="true" hidden="false" outlineLevel="0" max="20" min="20" style="43" width="12.28"/>
    <col collapsed="false" customWidth="true" hidden="false" outlineLevel="0" max="22" min="21" style="0" width="15.13"/>
    <col collapsed="false" customWidth="true" hidden="false" outlineLevel="0" max="23" min="23" style="0" width="14.14"/>
    <col collapsed="false" customWidth="true" hidden="false" outlineLevel="0" max="24" min="24" style="0" width="15.13"/>
    <col collapsed="false" customWidth="true" hidden="false" outlineLevel="0" max="25" min="25" style="0" width="14.99"/>
    <col collapsed="false" customWidth="true" hidden="false" outlineLevel="0" max="26" min="26" style="0" width="10.41"/>
    <col collapsed="false" customWidth="true" hidden="false" outlineLevel="0" max="27" min="27" style="0" width="10.85"/>
    <col collapsed="false" customWidth="true" hidden="false" outlineLevel="0" max="28" min="28" style="0" width="10.28"/>
    <col collapsed="false" customWidth="true" hidden="false" outlineLevel="0" max="29" min="29" style="0" width="11.99"/>
    <col collapsed="false" customWidth="true" hidden="false" outlineLevel="0" max="30" min="30" style="0" width="10.28"/>
  </cols>
  <sheetData>
    <row r="1" customFormat="false" ht="12.75" hidden="false" customHeight="false" outlineLevel="0" collapsed="false">
      <c r="A1" s="3"/>
    </row>
    <row r="5" customFormat="false" ht="12.75" hidden="false" customHeight="false" outlineLevel="0" collapsed="false">
      <c r="A5" s="32" t="s">
        <v>361</v>
      </c>
    </row>
    <row r="6" customFormat="false" ht="12.75" hidden="false" customHeight="false" outlineLevel="0" collapsed="false">
      <c r="A6" s="32" t="s">
        <v>362</v>
      </c>
      <c r="B6" s="450" t="n">
        <f aca="false">+'Index Pricing'!A7</f>
        <v>37196</v>
      </c>
      <c r="C6" s="450"/>
    </row>
    <row r="7" customFormat="false" ht="12.75" hidden="false" customHeight="false" outlineLevel="0" collapsed="false">
      <c r="A7" s="0" t="s">
        <v>0</v>
      </c>
      <c r="B7" s="54" t="n">
        <f aca="false">+'Index Pricing'!B3</f>
        <v>2.54</v>
      </c>
      <c r="C7" s="54"/>
    </row>
    <row r="8" customFormat="false" ht="12.75" hidden="false" customHeight="false" outlineLevel="0" collapsed="false">
      <c r="A8" s="0" t="s">
        <v>363</v>
      </c>
      <c r="B8" s="0" t="n">
        <f aca="false">+'Index Pricing'!B4</f>
        <v>3.04</v>
      </c>
    </row>
    <row r="10" customFormat="false" ht="13.5" hidden="false" customHeight="false" outlineLevel="0" collapsed="false"/>
    <row r="11" customFormat="false" ht="25.5" hidden="false" customHeight="false" outlineLevel="0" collapsed="false">
      <c r="E11" s="451" t="s">
        <v>364</v>
      </c>
      <c r="F11" s="452"/>
      <c r="G11" s="453"/>
      <c r="H11" s="453"/>
      <c r="I11" s="454" t="s">
        <v>365</v>
      </c>
      <c r="J11" s="455"/>
      <c r="K11" s="455"/>
      <c r="L11" s="455"/>
      <c r="M11" s="455"/>
      <c r="N11" s="456"/>
      <c r="T11" s="334" t="s">
        <v>120</v>
      </c>
      <c r="Y11" s="457" t="s">
        <v>366</v>
      </c>
      <c r="Z11" s="80" t="s">
        <v>367</v>
      </c>
    </row>
    <row r="12" customFormat="false" ht="25.5" hidden="false" customHeight="false" outlineLevel="0" collapsed="false">
      <c r="A12" s="70"/>
      <c r="B12" s="458" t="s">
        <v>368</v>
      </c>
      <c r="C12" s="458" t="s">
        <v>369</v>
      </c>
      <c r="D12" s="458" t="s">
        <v>370</v>
      </c>
      <c r="E12" s="459" t="s">
        <v>29</v>
      </c>
      <c r="F12" s="460" t="s">
        <v>371</v>
      </c>
      <c r="G12" s="461" t="s">
        <v>372</v>
      </c>
      <c r="H12" s="461" t="s">
        <v>373</v>
      </c>
      <c r="I12" s="462" t="s">
        <v>29</v>
      </c>
      <c r="J12" s="463" t="s">
        <v>374</v>
      </c>
      <c r="K12" s="463" t="s">
        <v>281</v>
      </c>
      <c r="L12" s="463" t="s">
        <v>375</v>
      </c>
      <c r="M12" s="463" t="s">
        <v>376</v>
      </c>
      <c r="N12" s="464" t="s">
        <v>377</v>
      </c>
      <c r="O12" s="70" t="s">
        <v>378</v>
      </c>
      <c r="P12" s="465"/>
      <c r="Q12" s="70" t="s">
        <v>379</v>
      </c>
      <c r="R12" s="70"/>
      <c r="S12" s="70" t="s">
        <v>380</v>
      </c>
      <c r="T12" s="466" t="s">
        <v>381</v>
      </c>
      <c r="U12" s="70" t="s">
        <v>382</v>
      </c>
      <c r="V12" s="70" t="s">
        <v>383</v>
      </c>
      <c r="W12" s="70" t="s">
        <v>384</v>
      </c>
      <c r="X12" s="70" t="s">
        <v>385</v>
      </c>
      <c r="Y12" s="70" t="s">
        <v>386</v>
      </c>
      <c r="Z12" s="70"/>
      <c r="AA12" s="70" t="s">
        <v>387</v>
      </c>
      <c r="AB12" s="70"/>
      <c r="AC12" s="70"/>
      <c r="AD12" s="70"/>
    </row>
    <row r="13" customFormat="false" ht="12.75" hidden="false" customHeight="false" outlineLevel="0" collapsed="false">
      <c r="A13" s="467"/>
      <c r="B13" s="307" t="s">
        <v>113</v>
      </c>
      <c r="C13" s="468" t="s">
        <v>388</v>
      </c>
      <c r="D13" s="469" t="n">
        <f aca="false">'Box Draw Detail'!D57</f>
        <v>36696.8934088635</v>
      </c>
      <c r="E13" s="266" t="s">
        <v>36</v>
      </c>
      <c r="F13" s="470" t="n">
        <f aca="false">'Box Draw Detail'!K16</f>
        <v>-0.5134</v>
      </c>
      <c r="G13" s="471" t="n">
        <f aca="false">IF(D13=0,0,+H13/D13)</f>
        <v>1.23650260398129</v>
      </c>
      <c r="H13" s="472" t="n">
        <f aca="false">+'Box Draw Detail'!P57</f>
        <v>45375.8042580836</v>
      </c>
      <c r="I13" s="266" t="s">
        <v>36</v>
      </c>
      <c r="J13" s="471" t="n">
        <f aca="false">'Box Draw Detail'!C16</f>
        <v>0</v>
      </c>
      <c r="K13" s="473" t="n">
        <f aca="false">+J13-F13</f>
        <v>0.5134</v>
      </c>
      <c r="L13" s="473" t="n">
        <f aca="false">+G13+K13</f>
        <v>1.74990260398129</v>
      </c>
      <c r="M13" s="474" t="n">
        <f aca="false">+O13-($M$48*Q13)</f>
        <v>36696.8934088635</v>
      </c>
      <c r="N13" s="475" t="n">
        <f aca="false">+M13*L13</f>
        <v>64215.9893341941</v>
      </c>
      <c r="O13" s="476" t="n">
        <f aca="false">+D13</f>
        <v>36696.8934088635</v>
      </c>
      <c r="P13" s="477" t="n">
        <f aca="false">+N13</f>
        <v>64215.9893341941</v>
      </c>
      <c r="Q13" s="478" t="n">
        <f aca="false">+O13/$O$46</f>
        <v>0.0475332351615924</v>
      </c>
      <c r="R13" s="479" t="str">
        <f aca="false">+B13</f>
        <v>Kennedy</v>
      </c>
      <c r="S13" s="476" t="n">
        <f aca="false">SUM(D13:D22)</f>
        <v>1113110</v>
      </c>
      <c r="T13" s="469" t="n">
        <f aca="false">'[1]Enron Summary'!$C$17+'[1]Enron Summary'!$C$18</f>
        <v>1201452</v>
      </c>
      <c r="U13" s="480" t="n">
        <f aca="false">SUM(N13:N22)</f>
        <v>2314582.67776073</v>
      </c>
      <c r="V13" s="480" t="n">
        <f aca="false">SUM(H13:H22)</f>
        <v>1634455.17355127</v>
      </c>
      <c r="W13" s="480" t="n">
        <f aca="false">+U13+L13*AA13+L14*AA14+L19*AA19+L20*AA20+L21*AA21+L22*AA22-V13</f>
        <v>680127.504209461</v>
      </c>
      <c r="X13" s="480" t="n">
        <f aca="false">'[1]Enron Summary'!$G$17+'[1]Enron Summary'!$G$18</f>
        <v>680112.58</v>
      </c>
      <c r="Y13" s="481" t="n">
        <f aca="false">+W13-X13</f>
        <v>14.9242094604997</v>
      </c>
      <c r="Z13" s="482" t="n">
        <f aca="false">+(W13)/T13</f>
        <v>0.566087953750512</v>
      </c>
      <c r="AA13" s="476" t="n">
        <f aca="false">+D13-M13</f>
        <v>0</v>
      </c>
      <c r="AB13" s="314"/>
      <c r="AC13" s="314"/>
      <c r="AD13" s="314"/>
    </row>
    <row r="14" customFormat="false" ht="12.75" hidden="false" customHeight="false" outlineLevel="0" collapsed="false">
      <c r="A14" s="467"/>
      <c r="B14" s="307"/>
      <c r="C14" s="468" t="s">
        <v>389</v>
      </c>
      <c r="D14" s="469" t="n">
        <f aca="false">+'S Kitty Detail'!D57</f>
        <v>81071.1065911365</v>
      </c>
      <c r="E14" s="266" t="s">
        <v>36</v>
      </c>
      <c r="F14" s="470" t="n">
        <f aca="false">+'S Kitty Detail'!K16</f>
        <v>-0.6549</v>
      </c>
      <c r="G14" s="471" t="n">
        <f aca="false">IF(D14=0,0,+H14/D14)</f>
        <v>0</v>
      </c>
      <c r="H14" s="472" t="n">
        <f aca="false">+'S Kitty Detail'!P58</f>
        <v>0</v>
      </c>
      <c r="I14" s="266" t="s">
        <v>36</v>
      </c>
      <c r="J14" s="471" t="n">
        <f aca="false">+'S Kitty Detail'!C16</f>
        <v>0</v>
      </c>
      <c r="K14" s="473" t="n">
        <f aca="false">+J14-F14</f>
        <v>0.6549</v>
      </c>
      <c r="L14" s="473" t="n">
        <f aca="false">+G14+K14</f>
        <v>0.6549</v>
      </c>
      <c r="M14" s="474" t="n">
        <f aca="false">+O14-($M$48*Q14)</f>
        <v>81071.1065911365</v>
      </c>
      <c r="N14" s="475" t="n">
        <f aca="false">+M14*L14</f>
        <v>53093.4677065353</v>
      </c>
      <c r="O14" s="476" t="n">
        <f aca="false">+D14</f>
        <v>81071.1065911365</v>
      </c>
      <c r="P14" s="477" t="n">
        <f aca="false">+N14</f>
        <v>53093.4677065353</v>
      </c>
      <c r="Q14" s="478" t="n">
        <f aca="false">+O14/$O$46</f>
        <v>0.105010850141234</v>
      </c>
      <c r="R14" s="479"/>
      <c r="S14" s="476"/>
      <c r="T14" s="469"/>
      <c r="U14" s="480"/>
      <c r="V14" s="480"/>
      <c r="W14" s="480"/>
      <c r="X14" s="480"/>
      <c r="Y14" s="481"/>
      <c r="Z14" s="482"/>
      <c r="AA14" s="476" t="n">
        <f aca="false">+D14-M14</f>
        <v>0</v>
      </c>
      <c r="AB14" s="314"/>
      <c r="AC14" s="314"/>
      <c r="AD14" s="314"/>
    </row>
    <row r="15" customFormat="false" ht="12.75" hidden="false" customHeight="false" outlineLevel="0" collapsed="false">
      <c r="A15" s="438"/>
      <c r="B15" s="307"/>
      <c r="C15" s="468" t="s">
        <v>388</v>
      </c>
      <c r="D15" s="469" t="n">
        <f aca="false">+'Box Draw Detail'!F57</f>
        <v>108511.508975787</v>
      </c>
      <c r="E15" s="266" t="s">
        <v>37</v>
      </c>
      <c r="F15" s="483" t="n">
        <f aca="false">+'Box Draw Detail'!K17</f>
        <v>-0.778</v>
      </c>
      <c r="G15" s="471" t="n">
        <f aca="false">+$B$8+F15</f>
        <v>2.262</v>
      </c>
      <c r="H15" s="472" t="n">
        <f aca="false">+G15*D15</f>
        <v>245453.033303231</v>
      </c>
      <c r="I15" s="266" t="s">
        <v>37</v>
      </c>
      <c r="J15" s="471" t="n">
        <f aca="false">+'Box Draw Detail'!C17+'Box Draw Detail'!E17+'Box Draw Detail'!F17+'Box Draw Detail'!G17+'Box Draw Detail'!H17</f>
        <v>-0.264572</v>
      </c>
      <c r="K15" s="473" t="n">
        <f aca="false">+J15-F15</f>
        <v>0.513428</v>
      </c>
      <c r="L15" s="473" t="n">
        <f aca="false">+G15+K15</f>
        <v>2.775428</v>
      </c>
      <c r="M15" s="484" t="n">
        <f aca="false">+D15</f>
        <v>108511.508975787</v>
      </c>
      <c r="N15" s="475" t="n">
        <f aca="false">+M15*L15</f>
        <v>301165.880333652</v>
      </c>
      <c r="O15" s="314"/>
      <c r="P15" s="477"/>
      <c r="Q15" s="478"/>
      <c r="R15" s="479" t="n">
        <f aca="false">+B15</f>
        <v>0</v>
      </c>
      <c r="S15" s="314"/>
      <c r="T15" s="469"/>
      <c r="U15" s="314"/>
      <c r="V15" s="314"/>
      <c r="W15" s="314"/>
      <c r="X15" s="314"/>
      <c r="Y15" s="485"/>
      <c r="Z15" s="314"/>
      <c r="AA15" s="314"/>
      <c r="AB15" s="314"/>
      <c r="AC15" s="314"/>
      <c r="AD15" s="314"/>
    </row>
    <row r="16" customFormat="false" ht="12.75" hidden="false" customHeight="false" outlineLevel="0" collapsed="false">
      <c r="A16" s="438"/>
      <c r="B16" s="307"/>
      <c r="C16" s="468" t="s">
        <v>389</v>
      </c>
      <c r="D16" s="469" t="n">
        <f aca="false">+'S Kitty Detail'!F57</f>
        <v>239488.491024213</v>
      </c>
      <c r="E16" s="266" t="s">
        <v>37</v>
      </c>
      <c r="F16" s="483" t="n">
        <f aca="false">+'S Kitty Detail'!K17</f>
        <v>-0.9194</v>
      </c>
      <c r="G16" s="471" t="n">
        <f aca="false">+$B$8+F16</f>
        <v>2.1206</v>
      </c>
      <c r="H16" s="472" t="n">
        <f aca="false">+G16*D16</f>
        <v>507859.294065945</v>
      </c>
      <c r="I16" s="266" t="s">
        <v>37</v>
      </c>
      <c r="J16" s="471" t="n">
        <f aca="false">+'S Kitty Detail'!C17+'S Kitty Detail'!E17+'S Kitty Detail'!F17+'S Kitty Detail'!G17+'S Kitty Detail'!H17</f>
        <v>-0.264572</v>
      </c>
      <c r="K16" s="473" t="n">
        <f aca="false">+J16-F16</f>
        <v>0.654828</v>
      </c>
      <c r="L16" s="473" t="n">
        <f aca="false">+G16+K16</f>
        <v>2.775428</v>
      </c>
      <c r="M16" s="484" t="n">
        <f aca="false">+D16</f>
        <v>239488.491024213</v>
      </c>
      <c r="N16" s="475" t="n">
        <f aca="false">+M16*L16</f>
        <v>664683.063666348</v>
      </c>
      <c r="O16" s="314"/>
      <c r="P16" s="477"/>
      <c r="Q16" s="478"/>
      <c r="R16" s="479" t="n">
        <f aca="false">+B16</f>
        <v>0</v>
      </c>
      <c r="S16" s="314"/>
      <c r="T16" s="469"/>
      <c r="U16" s="314"/>
      <c r="V16" s="314"/>
      <c r="W16" s="314"/>
      <c r="X16" s="314"/>
      <c r="Y16" s="485"/>
      <c r="Z16" s="314"/>
      <c r="AA16" s="314"/>
      <c r="AB16" s="314"/>
      <c r="AC16" s="314"/>
      <c r="AD16" s="314"/>
    </row>
    <row r="17" customFormat="false" ht="12.75" hidden="false" customHeight="false" outlineLevel="0" collapsed="false">
      <c r="A17" s="438"/>
      <c r="B17" s="307"/>
      <c r="C17" s="468" t="s">
        <v>389</v>
      </c>
      <c r="D17" s="469" t="n">
        <f aca="false">'S Kitty Detail'!H57</f>
        <v>95506.4855574475</v>
      </c>
      <c r="E17" s="266" t="s">
        <v>390</v>
      </c>
      <c r="F17" s="483" t="n">
        <f aca="false">+'S Kitty Detail'!K18</f>
        <v>-0.6549</v>
      </c>
      <c r="G17" s="471" t="n">
        <f aca="false">+$B$7+F17</f>
        <v>1.8851</v>
      </c>
      <c r="H17" s="472" t="n">
        <f aca="false">+G17*D17</f>
        <v>180039.275924344</v>
      </c>
      <c r="I17" s="266" t="s">
        <v>390</v>
      </c>
      <c r="J17" s="471" t="n">
        <f aca="false">+'S Kitty Detail'!C18+'S Kitty Detail'!E18+'S Kitty Detail'!F18</f>
        <v>0</v>
      </c>
      <c r="K17" s="473" t="n">
        <f aca="false">+J17-F17</f>
        <v>0.6549</v>
      </c>
      <c r="L17" s="473" t="n">
        <f aca="false">+G17+K17</f>
        <v>2.54</v>
      </c>
      <c r="M17" s="484" t="n">
        <f aca="false">+D17</f>
        <v>95506.4855574475</v>
      </c>
      <c r="N17" s="475" t="n">
        <f aca="false">+M17*L17</f>
        <v>242586.473315917</v>
      </c>
      <c r="O17" s="314"/>
      <c r="P17" s="477"/>
      <c r="Q17" s="478"/>
      <c r="R17" s="479"/>
      <c r="S17" s="314"/>
      <c r="T17" s="469"/>
      <c r="U17" s="314"/>
      <c r="V17" s="314"/>
      <c r="W17" s="314"/>
      <c r="X17" s="314"/>
      <c r="Y17" s="485"/>
      <c r="Z17" s="314"/>
      <c r="AA17" s="314"/>
      <c r="AB17" s="314"/>
      <c r="AC17" s="314"/>
      <c r="AD17" s="314"/>
    </row>
    <row r="18" customFormat="false" ht="12.75" hidden="false" customHeight="false" outlineLevel="0" collapsed="false">
      <c r="A18" s="438"/>
      <c r="B18" s="307"/>
      <c r="C18" s="468" t="s">
        <v>388</v>
      </c>
      <c r="D18" s="469" t="n">
        <f aca="false">+'Box Draw Detail'!H57</f>
        <v>43263.5144425525</v>
      </c>
      <c r="E18" s="266" t="s">
        <v>390</v>
      </c>
      <c r="F18" s="483" t="n">
        <f aca="false">+'Box Draw Detail'!K18</f>
        <v>-0.5134</v>
      </c>
      <c r="G18" s="471" t="n">
        <f aca="false">+$B$7+F18</f>
        <v>2.0266</v>
      </c>
      <c r="H18" s="472" t="n">
        <f aca="false">+G18*D18</f>
        <v>87677.8383692768</v>
      </c>
      <c r="I18" s="266" t="s">
        <v>390</v>
      </c>
      <c r="J18" s="471" t="n">
        <f aca="false">+'Box Draw Detail'!C18+'Box Draw Detail'!E18+'Box Draw Detail'!F18</f>
        <v>0</v>
      </c>
      <c r="K18" s="473" t="n">
        <f aca="false">+J18-F18</f>
        <v>0.5134</v>
      </c>
      <c r="L18" s="473" t="n">
        <f aca="false">+G18+K18</f>
        <v>2.54</v>
      </c>
      <c r="M18" s="484" t="n">
        <f aca="false">+D18</f>
        <v>43263.5144425525</v>
      </c>
      <c r="N18" s="475" t="n">
        <f aca="false">+M18*L18</f>
        <v>109889.326684083</v>
      </c>
      <c r="O18" s="314"/>
      <c r="P18" s="477"/>
      <c r="Q18" s="478"/>
      <c r="R18" s="479" t="n">
        <f aca="false">+B18</f>
        <v>0</v>
      </c>
      <c r="S18" s="314"/>
      <c r="T18" s="469"/>
      <c r="U18" s="314"/>
      <c r="V18" s="314"/>
      <c r="W18" s="314"/>
      <c r="X18" s="314"/>
      <c r="Y18" s="485"/>
      <c r="Z18" s="314"/>
      <c r="AA18" s="314"/>
      <c r="AB18" s="314"/>
      <c r="AC18" s="314"/>
      <c r="AD18" s="314"/>
    </row>
    <row r="19" customFormat="false" ht="12.75" hidden="false" customHeight="false" outlineLevel="0" collapsed="false">
      <c r="A19" s="438"/>
      <c r="B19" s="307"/>
      <c r="C19" s="468" t="s">
        <v>391</v>
      </c>
      <c r="D19" s="469" t="n">
        <f aca="false">+'Box Draw Detail'!J57</f>
        <v>19238.3856316082</v>
      </c>
      <c r="E19" s="266" t="s">
        <v>36</v>
      </c>
      <c r="F19" s="483" t="n">
        <f aca="false">+'Box Draw Detail'!K20</f>
        <v>-0.6807</v>
      </c>
      <c r="G19" s="471" t="n">
        <f aca="false">IF(D19=0,0,+H19/D19)</f>
        <v>1.06920260398129</v>
      </c>
      <c r="H19" s="472" t="n">
        <f aca="false">+'Box Draw Detail'!S57</f>
        <v>20569.7320137117</v>
      </c>
      <c r="I19" s="266" t="s">
        <v>36</v>
      </c>
      <c r="J19" s="471" t="n">
        <f aca="false">+'Box Draw Detail'!C20+SUM('Box Draw Detail'!E20:F20)</f>
        <v>-0.167272</v>
      </c>
      <c r="K19" s="473" t="n">
        <f aca="false">+J19-F19</f>
        <v>0.513428</v>
      </c>
      <c r="L19" s="473" t="n">
        <f aca="false">G19+K19</f>
        <v>1.58263060398129</v>
      </c>
      <c r="M19" s="474" t="n">
        <f aca="false">+O19-($M$48*Q19)</f>
        <v>19238.3856316082</v>
      </c>
      <c r="N19" s="475" t="n">
        <f aca="false">+M19*L19</f>
        <v>30447.257871777</v>
      </c>
      <c r="O19" s="476" t="n">
        <f aca="false">+D19</f>
        <v>19238.3856316082</v>
      </c>
      <c r="P19" s="477" t="n">
        <f aca="false">+N19</f>
        <v>30447.257871777</v>
      </c>
      <c r="Q19" s="478" t="n">
        <f aca="false">+O19/$O$46</f>
        <v>0.0249193493892799</v>
      </c>
      <c r="R19" s="479"/>
      <c r="S19" s="314"/>
      <c r="T19" s="469"/>
      <c r="U19" s="314"/>
      <c r="V19" s="314"/>
      <c r="W19" s="314"/>
      <c r="X19" s="314"/>
      <c r="Y19" s="485"/>
      <c r="Z19" s="314"/>
      <c r="AA19" s="476" t="n">
        <f aca="false">+D19-M19</f>
        <v>0</v>
      </c>
      <c r="AB19" s="314"/>
      <c r="AC19" s="314"/>
      <c r="AD19" s="314"/>
    </row>
    <row r="20" customFormat="false" ht="12.75" hidden="false" customHeight="false" outlineLevel="0" collapsed="false">
      <c r="A20" s="438"/>
      <c r="B20" s="307"/>
      <c r="C20" s="468" t="s">
        <v>392</v>
      </c>
      <c r="D20" s="469" t="n">
        <f aca="false">+'S Kitty Detail'!J57</f>
        <v>42501.6143683918</v>
      </c>
      <c r="E20" s="266" t="s">
        <v>36</v>
      </c>
      <c r="F20" s="483" t="n">
        <f aca="false">+'S Kitty Detail'!K20</f>
        <v>-0.8221</v>
      </c>
      <c r="G20" s="471" t="n">
        <f aca="false">IF(D20=0,0,+H20/D20)</f>
        <v>0.941432985763353</v>
      </c>
      <c r="H20" s="472" t="n">
        <f aca="false">+'S Kitty Detail'!S57</f>
        <v>40012.4217145977</v>
      </c>
      <c r="I20" s="266" t="s">
        <v>36</v>
      </c>
      <c r="J20" s="471" t="n">
        <f aca="false">+'S Kitty Detail'!C20+SUM('S Kitty Detail'!E20:F20)</f>
        <v>-0.167272</v>
      </c>
      <c r="K20" s="473" t="n">
        <f aca="false">+J20-F20</f>
        <v>0.654828</v>
      </c>
      <c r="L20" s="473" t="n">
        <f aca="false">G20+K20</f>
        <v>1.59626098576335</v>
      </c>
      <c r="M20" s="474" t="n">
        <f aca="false">+O20-($M$48*Q20)</f>
        <v>42501.6143683918</v>
      </c>
      <c r="N20" s="475" t="n">
        <f aca="false">+M20*L20</f>
        <v>67843.668848223</v>
      </c>
      <c r="O20" s="476" t="n">
        <f aca="false">+D20</f>
        <v>42501.6143683918</v>
      </c>
      <c r="P20" s="477" t="n">
        <f aca="false">+N20</f>
        <v>67843.668848223</v>
      </c>
      <c r="Q20" s="478" t="n">
        <f aca="false">+O20/$O$46</f>
        <v>0.0550520505376656</v>
      </c>
      <c r="R20" s="479"/>
      <c r="S20" s="314"/>
      <c r="T20" s="469"/>
      <c r="U20" s="314"/>
      <c r="V20" s="314"/>
      <c r="W20" s="314"/>
      <c r="X20" s="314"/>
      <c r="Y20" s="485"/>
      <c r="Z20" s="314"/>
      <c r="AA20" s="476" t="n">
        <f aca="false">+D20-M20</f>
        <v>0</v>
      </c>
      <c r="AB20" s="314"/>
      <c r="AC20" s="314"/>
      <c r="AD20" s="314"/>
    </row>
    <row r="21" customFormat="false" ht="12.75" hidden="false" customHeight="false" outlineLevel="0" collapsed="false">
      <c r="A21" s="438"/>
      <c r="B21" s="307"/>
      <c r="C21" s="468" t="s">
        <v>393</v>
      </c>
      <c r="D21" s="469" t="n">
        <f aca="false">'Box Draw Detail'!L57</f>
        <v>137388.697541188</v>
      </c>
      <c r="E21" s="266" t="s">
        <v>36</v>
      </c>
      <c r="F21" s="486" t="n">
        <f aca="false">J21-K21</f>
        <v>-0.5634</v>
      </c>
      <c r="G21" s="471" t="n">
        <f aca="false">IF(D21=0,0,+H21/D21)</f>
        <v>1.22595601104793</v>
      </c>
      <c r="H21" s="472" t="n">
        <f aca="false">'Box Draw Detail'!T57</f>
        <v>168432.499600666</v>
      </c>
      <c r="I21" s="266" t="s">
        <v>36</v>
      </c>
      <c r="J21" s="487" t="n">
        <f aca="false">SUMPRODUCT('Internal Kennedy Total'!$O$18:$O$48,'Kennedy Gas Daily Pricing'!$B$7:$B$37)/SUM('Internal Kennedy Total'!$O$18:$O$48)</f>
        <v>-0.05</v>
      </c>
      <c r="K21" s="488" t="n">
        <f aca="false">-'Box Draw Detail'!$K$19</f>
        <v>0.5134</v>
      </c>
      <c r="L21" s="473" t="n">
        <f aca="false">G21+K21</f>
        <v>1.73935601104793</v>
      </c>
      <c r="M21" s="474" t="n">
        <f aca="false">+O21-($M$48*Q21)</f>
        <v>137388.697541188</v>
      </c>
      <c r="N21" s="475" t="n">
        <f aca="false">+M21*L21</f>
        <v>238967.856918312</v>
      </c>
      <c r="O21" s="476" t="n">
        <f aca="false">+D21</f>
        <v>137388.697541188</v>
      </c>
      <c r="P21" s="477" t="n">
        <f aca="false">+N21</f>
        <v>238967.856918312</v>
      </c>
      <c r="Q21" s="478" t="n">
        <f aca="false">+O21/$O$46</f>
        <v>0.177958640694987</v>
      </c>
      <c r="R21" s="479"/>
      <c r="S21" s="314"/>
      <c r="T21" s="469"/>
      <c r="U21" s="314"/>
      <c r="V21" s="314"/>
      <c r="W21" s="314"/>
      <c r="X21" s="314"/>
      <c r="Y21" s="485"/>
      <c r="Z21" s="314"/>
      <c r="AA21" s="476" t="n">
        <f aca="false">+D21-M21</f>
        <v>0</v>
      </c>
      <c r="AB21" s="314"/>
      <c r="AC21" s="314"/>
      <c r="AD21" s="314"/>
    </row>
    <row r="22" customFormat="false" ht="12.75" hidden="false" customHeight="false" outlineLevel="0" collapsed="false">
      <c r="A22" s="438"/>
      <c r="B22" s="307"/>
      <c r="C22" s="468" t="s">
        <v>394</v>
      </c>
      <c r="D22" s="469" t="n">
        <f aca="false">'S Kitty Detail'!L57</f>
        <v>309443.302458812</v>
      </c>
      <c r="E22" s="266" t="s">
        <v>36</v>
      </c>
      <c r="F22" s="486" t="n">
        <f aca="false">J22-K22</f>
        <v>-0.7049</v>
      </c>
      <c r="G22" s="471" t="n">
        <f aca="false">IF(D22=0,0,+H22/D22)</f>
        <v>1.09562970536917</v>
      </c>
      <c r="H22" s="472" t="n">
        <f aca="false">'S Kitty Detail'!T57</f>
        <v>339035.274301412</v>
      </c>
      <c r="I22" s="266" t="s">
        <v>36</v>
      </c>
      <c r="J22" s="487" t="n">
        <f aca="false">SUMPRODUCT('Internal Kennedy Total'!$O$18:$O$48,'Kennedy Gas Daily Pricing'!$B$7:$B$37)/SUM('Internal Kennedy Total'!$O$18:$O$48)</f>
        <v>-0.05</v>
      </c>
      <c r="K22" s="488" t="n">
        <f aca="false">-'S Kitty Detail'!$K$19</f>
        <v>0.6549</v>
      </c>
      <c r="L22" s="473" t="n">
        <f aca="false">G22+K22</f>
        <v>1.75052970536917</v>
      </c>
      <c r="M22" s="474" t="n">
        <f aca="false">+O22-($M$48*Q22)</f>
        <v>309443.302458812</v>
      </c>
      <c r="N22" s="475" t="n">
        <f aca="false">+M22*L22</f>
        <v>541689.693081688</v>
      </c>
      <c r="O22" s="476" t="n">
        <f aca="false">+D22</f>
        <v>309443.302458812</v>
      </c>
      <c r="P22" s="477" t="n">
        <f aca="false">+N22</f>
        <v>541689.693081688</v>
      </c>
      <c r="Q22" s="478" t="n">
        <f aca="false">+O22/$O$46</f>
        <v>0.400819794228189</v>
      </c>
      <c r="R22" s="479"/>
      <c r="S22" s="314"/>
      <c r="T22" s="469"/>
      <c r="U22" s="314"/>
      <c r="V22" s="314"/>
      <c r="W22" s="314"/>
      <c r="X22" s="314"/>
      <c r="Y22" s="485"/>
      <c r="Z22" s="314"/>
      <c r="AA22" s="476" t="n">
        <f aca="false">+D22-M22</f>
        <v>0</v>
      </c>
      <c r="AB22" s="314"/>
      <c r="AC22" s="314"/>
      <c r="AD22" s="314"/>
    </row>
    <row r="23" customFormat="false" ht="12.75" hidden="false" customHeight="false" outlineLevel="0" collapsed="false">
      <c r="A23" s="438"/>
      <c r="B23" s="440" t="s">
        <v>48</v>
      </c>
      <c r="C23" s="440"/>
      <c r="D23" s="489" t="n">
        <f aca="false">+'Independent Detail'!D51</f>
        <v>73836</v>
      </c>
      <c r="E23" s="490" t="s">
        <v>36</v>
      </c>
      <c r="F23" s="491" t="n">
        <f aca="false">+'Independent Detail'!J13</f>
        <v>-0.4115</v>
      </c>
      <c r="G23" s="492" t="n">
        <f aca="false">+H23/D23</f>
        <v>1.33930495964028</v>
      </c>
      <c r="H23" s="493" t="n">
        <f aca="false">+'Independent Detail'!L51</f>
        <v>98888.921</v>
      </c>
      <c r="I23" s="490" t="s">
        <v>36</v>
      </c>
      <c r="J23" s="492" t="n">
        <f aca="false">+'Independent Detail'!C13</f>
        <v>-0.02</v>
      </c>
      <c r="K23" s="73" t="n">
        <f aca="false">+J23-F23</f>
        <v>0.3915</v>
      </c>
      <c r="L23" s="73" t="n">
        <f aca="false">+G23+K23</f>
        <v>1.73080495964028</v>
      </c>
      <c r="M23" s="494" t="n">
        <f aca="false">+O23-($M$48*Q23)</f>
        <v>73836</v>
      </c>
      <c r="N23" s="495" t="n">
        <f aca="false">+M23*L23</f>
        <v>127795.715</v>
      </c>
      <c r="O23" s="496" t="n">
        <f aca="false">+D23</f>
        <v>73836</v>
      </c>
      <c r="P23" s="54" t="n">
        <f aca="false">+N23</f>
        <v>127795.715</v>
      </c>
      <c r="Q23" s="114" t="n">
        <f aca="false">+O23/$O$46</f>
        <v>0.0956392660350817</v>
      </c>
      <c r="R23" s="497" t="str">
        <f aca="false">+B23</f>
        <v>Independent</v>
      </c>
      <c r="S23" s="496" t="n">
        <f aca="false">+D23+D24+D25</f>
        <v>369177</v>
      </c>
      <c r="T23" s="489" t="n">
        <f aca="false">'[1]Enron Summary'!$C$21</f>
        <v>386901</v>
      </c>
      <c r="U23" s="498" t="n">
        <f aca="false">SUM(N23:N25)</f>
        <v>943383.424748</v>
      </c>
      <c r="V23" s="498" t="n">
        <f aca="false">SUM(H23:H25)</f>
        <v>798871.8938</v>
      </c>
      <c r="W23" s="498" t="n">
        <f aca="false">+U23+AA23*L23-V23</f>
        <v>144511.530948</v>
      </c>
      <c r="X23" s="498" t="n">
        <f aca="false">'[1]Enron Summary'!$G$21</f>
        <v>144520.6</v>
      </c>
      <c r="Y23" s="499" t="n">
        <f aca="false">+W23-X23</f>
        <v>-9.06905200009351</v>
      </c>
      <c r="Z23" s="500" t="n">
        <f aca="false">+W23/T23</f>
        <v>0.373510357812463</v>
      </c>
      <c r="AA23" s="496" t="n">
        <f aca="false">+D23-M23</f>
        <v>0</v>
      </c>
      <c r="AB23" s="438"/>
      <c r="AC23" s="438"/>
      <c r="AD23" s="438"/>
    </row>
    <row r="24" customFormat="false" ht="12.75" hidden="false" customHeight="false" outlineLevel="0" collapsed="false">
      <c r="A24" s="438"/>
      <c r="B24" s="440"/>
      <c r="C24" s="440"/>
      <c r="D24" s="489" t="n">
        <f aca="false">+'Independent Detail'!F51</f>
        <v>279678</v>
      </c>
      <c r="E24" s="490" t="s">
        <v>37</v>
      </c>
      <c r="F24" s="491" t="n">
        <f aca="false">+'Independent Detail'!J14</f>
        <v>-0.656</v>
      </c>
      <c r="G24" s="492" t="n">
        <f aca="false">+$B$8+F24</f>
        <v>2.384</v>
      </c>
      <c r="H24" s="493" t="n">
        <f aca="false">+G24*D24</f>
        <v>666752.352</v>
      </c>
      <c r="I24" s="490" t="s">
        <v>37</v>
      </c>
      <c r="J24" s="492" t="n">
        <f aca="false">+'Independent Detail'!C14+'Independent Detail'!E14+'Independent Detail'!F14+'Independent Detail'!G14+'Independent Detail'!H14</f>
        <v>-0.264572</v>
      </c>
      <c r="K24" s="73" t="n">
        <f aca="false">+J24-F24</f>
        <v>0.391428</v>
      </c>
      <c r="L24" s="73" t="n">
        <f aca="false">+G24+K24</f>
        <v>2.775428</v>
      </c>
      <c r="M24" s="501" t="n">
        <f aca="false">+D24</f>
        <v>279678</v>
      </c>
      <c r="N24" s="495" t="n">
        <f aca="false">+M24*L24</f>
        <v>776226.152184</v>
      </c>
      <c r="O24" s="438"/>
      <c r="Q24" s="114"/>
      <c r="R24" s="497" t="n">
        <f aca="false">+B24</f>
        <v>0</v>
      </c>
      <c r="S24" s="438"/>
      <c r="T24" s="489"/>
      <c r="U24" s="438"/>
      <c r="V24" s="438"/>
      <c r="W24" s="438"/>
      <c r="X24" s="438"/>
      <c r="Y24" s="499" t="n">
        <f aca="false">+W24-X24</f>
        <v>0</v>
      </c>
      <c r="Z24" s="438"/>
      <c r="AA24" s="438"/>
      <c r="AB24" s="438"/>
      <c r="AC24" s="438"/>
      <c r="AD24" s="438"/>
    </row>
    <row r="25" customFormat="false" ht="12.75" hidden="false" customHeight="false" outlineLevel="0" collapsed="false">
      <c r="A25" s="438"/>
      <c r="B25" s="440"/>
      <c r="C25" s="440"/>
      <c r="D25" s="489" t="n">
        <f aca="false">+'Independent Detail'!H51</f>
        <v>15663</v>
      </c>
      <c r="E25" s="490" t="s">
        <v>390</v>
      </c>
      <c r="F25" s="491" t="n">
        <f aca="false">+'Independent Detail'!J15</f>
        <v>-0.4184</v>
      </c>
      <c r="G25" s="492" t="n">
        <f aca="false">+$B$7+F25</f>
        <v>2.1216</v>
      </c>
      <c r="H25" s="493" t="n">
        <f aca="false">+G25*D25</f>
        <v>33230.6208</v>
      </c>
      <c r="I25" s="490" t="s">
        <v>390</v>
      </c>
      <c r="J25" s="492" t="n">
        <f aca="false">+'Independent Detail'!C15+'Independent Detail'!E15+'Independent Detail'!F15</f>
        <v>-0.026972</v>
      </c>
      <c r="K25" s="73" t="n">
        <f aca="false">+J25-F25</f>
        <v>0.391428</v>
      </c>
      <c r="L25" s="73" t="n">
        <f aca="false">+G25+K25</f>
        <v>2.513028</v>
      </c>
      <c r="M25" s="501" t="n">
        <f aca="false">+D25</f>
        <v>15663</v>
      </c>
      <c r="N25" s="495" t="n">
        <f aca="false">+M25*L25</f>
        <v>39361.557564</v>
      </c>
      <c r="O25" s="438"/>
      <c r="Q25" s="114"/>
      <c r="R25" s="497" t="n">
        <f aca="false">+B25</f>
        <v>0</v>
      </c>
      <c r="S25" s="438"/>
      <c r="T25" s="489"/>
      <c r="U25" s="438"/>
      <c r="V25" s="438"/>
      <c r="W25" s="438"/>
      <c r="X25" s="438"/>
      <c r="Y25" s="499" t="n">
        <f aca="false">+W25-X25</f>
        <v>0</v>
      </c>
      <c r="Z25" s="438"/>
      <c r="AA25" s="438"/>
      <c r="AB25" s="438"/>
      <c r="AC25" s="438"/>
      <c r="AD25" s="438"/>
    </row>
    <row r="26" customFormat="false" ht="12.75" hidden="false" customHeight="false" outlineLevel="0" collapsed="false">
      <c r="A26" s="438"/>
      <c r="B26" s="440"/>
      <c r="C26" s="440"/>
      <c r="D26" s="489"/>
      <c r="E26" s="490"/>
      <c r="F26" s="491"/>
      <c r="G26" s="492"/>
      <c r="H26" s="493"/>
      <c r="I26" s="490"/>
      <c r="J26" s="492"/>
      <c r="K26" s="73"/>
      <c r="L26" s="73"/>
      <c r="M26" s="501"/>
      <c r="N26" s="495"/>
      <c r="O26" s="438"/>
      <c r="Q26" s="114"/>
      <c r="R26" s="497"/>
      <c r="S26" s="438"/>
      <c r="T26" s="489"/>
      <c r="U26" s="438"/>
      <c r="V26" s="438"/>
      <c r="W26" s="438"/>
      <c r="X26" s="438"/>
      <c r="Y26" s="499"/>
      <c r="Z26" s="438"/>
      <c r="AA26" s="438"/>
      <c r="AB26" s="438"/>
      <c r="AC26" s="438"/>
      <c r="AD26" s="438"/>
    </row>
    <row r="27" customFormat="false" ht="12.75" hidden="false" customHeight="false" outlineLevel="0" collapsed="false">
      <c r="A27" s="438"/>
      <c r="B27" s="307" t="s">
        <v>395</v>
      </c>
      <c r="C27" s="307"/>
      <c r="D27" s="469" t="n">
        <f aca="false">+'MTG Detail'!D48</f>
        <v>4881</v>
      </c>
      <c r="E27" s="266" t="s">
        <v>36</v>
      </c>
      <c r="F27" s="483" t="n">
        <f aca="false">+'MTG Detail'!H11</f>
        <v>-0.4805</v>
      </c>
      <c r="G27" s="502" t="n">
        <f aca="false">+H27/D27</f>
        <v>1.18064935464044</v>
      </c>
      <c r="H27" s="472" t="n">
        <f aca="false">+'MTG Detail'!J48</f>
        <v>5762.7495</v>
      </c>
      <c r="I27" s="266" t="s">
        <v>36</v>
      </c>
      <c r="J27" s="471" t="n">
        <v>0</v>
      </c>
      <c r="K27" s="473" t="n">
        <f aca="false">+J27-F27</f>
        <v>0.4805</v>
      </c>
      <c r="L27" s="473" t="n">
        <f aca="false">+G27+K27</f>
        <v>1.66114935464044</v>
      </c>
      <c r="M27" s="474" t="n">
        <f aca="false">+O27-($M$48*Q27)</f>
        <v>4881</v>
      </c>
      <c r="N27" s="475" t="n">
        <f aca="false">+M27*L27</f>
        <v>8108.07</v>
      </c>
      <c r="O27" s="476" t="n">
        <f aca="false">+D27</f>
        <v>4881</v>
      </c>
      <c r="P27" s="477" t="n">
        <f aca="false">+N27</f>
        <v>8108.07</v>
      </c>
      <c r="Q27" s="478" t="n">
        <f aca="false">+O27/$O$46</f>
        <v>0.0063223259320282</v>
      </c>
      <c r="R27" s="479" t="str">
        <f aca="false">+B27</f>
        <v>MTG</v>
      </c>
      <c r="S27" s="476" t="n">
        <f aca="false">+D27+D28</f>
        <v>11883</v>
      </c>
      <c r="T27" s="469" t="n">
        <f aca="false">'[1]Enron Summary'!$C$19</f>
        <v>11907</v>
      </c>
      <c r="U27" s="480" t="n">
        <f aca="false">SUM(N27:N28)</f>
        <v>25893.15</v>
      </c>
      <c r="V27" s="480" t="n">
        <f aca="false">SUM(H27:H28)</f>
        <v>20183.3685</v>
      </c>
      <c r="W27" s="480" t="n">
        <f aca="false">+U27+AA27*L27-V27</f>
        <v>5709.78150000001</v>
      </c>
      <c r="X27" s="480" t="n">
        <f aca="false">'[1]Enron Summary'!$G$19</f>
        <v>5709.795</v>
      </c>
      <c r="Y27" s="485" t="n">
        <f aca="false">+W27-X27</f>
        <v>-0.0134999999954744</v>
      </c>
      <c r="Z27" s="482" t="n">
        <f aca="false">+W27/T27</f>
        <v>0.479531494079114</v>
      </c>
      <c r="AA27" s="476" t="n">
        <f aca="false">+D27-M27</f>
        <v>0</v>
      </c>
      <c r="AB27" s="314"/>
      <c r="AC27" s="314"/>
      <c r="AD27" s="314"/>
    </row>
    <row r="28" customFormat="false" ht="12.75" hidden="false" customHeight="false" outlineLevel="0" collapsed="false">
      <c r="A28" s="438"/>
      <c r="B28" s="307"/>
      <c r="C28" s="307"/>
      <c r="D28" s="469" t="n">
        <f aca="false">+'MTG Detail'!F48</f>
        <v>7002</v>
      </c>
      <c r="E28" s="266" t="s">
        <v>390</v>
      </c>
      <c r="F28" s="483" t="n">
        <f aca="false">+'MTG Detail'!H12</f>
        <v>-0.4805</v>
      </c>
      <c r="G28" s="471" t="n">
        <f aca="false">+$B$7+F28</f>
        <v>2.0595</v>
      </c>
      <c r="H28" s="472" t="n">
        <f aca="false">+G28*D28</f>
        <v>14420.619</v>
      </c>
      <c r="I28" s="266" t="s">
        <v>390</v>
      </c>
      <c r="J28" s="471" t="n">
        <v>0</v>
      </c>
      <c r="K28" s="473" t="n">
        <f aca="false">+J28-F28</f>
        <v>0.4805</v>
      </c>
      <c r="L28" s="473" t="n">
        <f aca="false">+G28+K28</f>
        <v>2.54</v>
      </c>
      <c r="M28" s="484" t="n">
        <f aca="false">+D28</f>
        <v>7002</v>
      </c>
      <c r="N28" s="475" t="n">
        <f aca="false">+M28*L28</f>
        <v>17785.08</v>
      </c>
      <c r="O28" s="314"/>
      <c r="P28" s="477"/>
      <c r="Q28" s="478"/>
      <c r="R28" s="479" t="n">
        <f aca="false">+B28</f>
        <v>0</v>
      </c>
      <c r="S28" s="314"/>
      <c r="T28" s="469"/>
      <c r="U28" s="314"/>
      <c r="V28" s="314"/>
      <c r="W28" s="314"/>
      <c r="X28" s="314"/>
      <c r="Y28" s="485" t="n">
        <f aca="false">+W28-X28</f>
        <v>0</v>
      </c>
      <c r="Z28" s="314"/>
      <c r="AA28" s="314"/>
      <c r="AB28" s="314"/>
      <c r="AC28" s="314"/>
      <c r="AD28" s="314"/>
    </row>
    <row r="29" customFormat="false" ht="12.75" hidden="false" customHeight="false" outlineLevel="0" collapsed="false">
      <c r="A29" s="438"/>
      <c r="B29" s="307"/>
      <c r="C29" s="307"/>
      <c r="D29" s="469"/>
      <c r="E29" s="266"/>
      <c r="F29" s="483"/>
      <c r="G29" s="471"/>
      <c r="H29" s="472"/>
      <c r="I29" s="266"/>
      <c r="J29" s="471"/>
      <c r="K29" s="473"/>
      <c r="L29" s="473"/>
      <c r="M29" s="484"/>
      <c r="N29" s="475"/>
      <c r="O29" s="314"/>
      <c r="P29" s="477"/>
      <c r="Q29" s="478"/>
      <c r="R29" s="479"/>
      <c r="S29" s="314"/>
      <c r="T29" s="469"/>
      <c r="U29" s="314"/>
      <c r="V29" s="314"/>
      <c r="W29" s="314"/>
      <c r="X29" s="314"/>
      <c r="Y29" s="485"/>
      <c r="Z29" s="314"/>
      <c r="AA29" s="314"/>
      <c r="AB29" s="314"/>
      <c r="AC29" s="314"/>
      <c r="AD29" s="314"/>
    </row>
    <row r="30" customFormat="false" ht="12.75" hidden="false" customHeight="false" outlineLevel="0" collapsed="false">
      <c r="A30" s="496"/>
      <c r="B30" s="32" t="s">
        <v>396</v>
      </c>
      <c r="C30" s="32"/>
      <c r="D30" s="43" t="n">
        <f aca="false">+'Phillips Detail'!D51</f>
        <v>42557</v>
      </c>
      <c r="E30" s="490" t="s">
        <v>36</v>
      </c>
      <c r="F30" s="491" t="n">
        <f aca="false">+'Phillips Detail'!J12</f>
        <v>-0.5355</v>
      </c>
      <c r="G30" s="503" t="n">
        <f aca="false">+H30/D30</f>
        <v>1.22339959348638</v>
      </c>
      <c r="H30" s="493" t="n">
        <f aca="false">+'Phillips Detail'!L51</f>
        <v>52064.2165</v>
      </c>
      <c r="I30" s="490" t="s">
        <v>36</v>
      </c>
      <c r="J30" s="492" t="n">
        <f aca="false">+'Phillips Detail'!C12</f>
        <v>-0.025</v>
      </c>
      <c r="K30" s="73" t="n">
        <f aca="false">+J30-F30</f>
        <v>0.5105</v>
      </c>
      <c r="L30" s="73" t="n">
        <f aca="false">+G30+K30</f>
        <v>1.73389959348638</v>
      </c>
      <c r="M30" s="494" t="n">
        <f aca="false">+O30-($M$48*Q30)</f>
        <v>42557</v>
      </c>
      <c r="N30" s="495" t="n">
        <f aca="false">+M30*L30</f>
        <v>73789.565</v>
      </c>
      <c r="O30" s="496" t="n">
        <f aca="false">+D30</f>
        <v>42557</v>
      </c>
      <c r="P30" s="54" t="n">
        <f aca="false">+N30</f>
        <v>73789.565</v>
      </c>
      <c r="Q30" s="114" t="n">
        <f aca="false">+O30/$O$46</f>
        <v>0.055123791167655</v>
      </c>
      <c r="R30" s="497" t="str">
        <f aca="false">+B30</f>
        <v>Phillips</v>
      </c>
      <c r="S30" s="496" t="n">
        <f aca="false">+D30+D31+D32</f>
        <v>296489</v>
      </c>
      <c r="T30" s="489" t="n">
        <f aca="false">'[1]Enron Summary'!$C$25</f>
        <v>321181</v>
      </c>
      <c r="U30" s="498" t="n">
        <f aca="false">SUM(N30:N32)</f>
        <v>778559.547896</v>
      </c>
      <c r="V30" s="498" t="n">
        <f aca="false">SUM(H30:H32)</f>
        <v>627220.1965</v>
      </c>
      <c r="W30" s="498" t="n">
        <f aca="false">+U30+AA30*L30-V30</f>
        <v>151339.351396</v>
      </c>
      <c r="X30" s="498" t="n">
        <f aca="false">'[1]Enron Summary'!$G$25</f>
        <v>153137.7</v>
      </c>
      <c r="Y30" s="499" t="n">
        <f aca="false">+W30-X30</f>
        <v>-1798.34860399988</v>
      </c>
      <c r="Z30" s="500" t="n">
        <f aca="false">+W30/T30</f>
        <v>0.471196463663791</v>
      </c>
      <c r="AA30" s="496" t="n">
        <f aca="false">+D30-M30</f>
        <v>0</v>
      </c>
      <c r="AB30" s="504"/>
      <c r="AC30" s="498"/>
      <c r="AD30" s="505"/>
      <c r="AE30" s="438"/>
      <c r="AF30" s="438"/>
      <c r="AG30" s="438"/>
      <c r="AH30" s="438"/>
    </row>
    <row r="31" customFormat="false" ht="12.75" hidden="false" customHeight="false" outlineLevel="0" collapsed="false">
      <c r="A31" s="438"/>
      <c r="B31" s="32"/>
      <c r="C31" s="32"/>
      <c r="D31" s="43" t="n">
        <f aca="false">+'Phillips Detail'!F51</f>
        <v>253932</v>
      </c>
      <c r="E31" s="490" t="s">
        <v>37</v>
      </c>
      <c r="F31" s="491" t="n">
        <f aca="false">'Phillips Detail'!J13</f>
        <v>-0.775</v>
      </c>
      <c r="G31" s="492" t="n">
        <f aca="false">+$B$8+F31</f>
        <v>2.265</v>
      </c>
      <c r="H31" s="493" t="n">
        <f aca="false">+G31*D31</f>
        <v>575155.98</v>
      </c>
      <c r="I31" s="490" t="s">
        <v>37</v>
      </c>
      <c r="J31" s="492" t="n">
        <f aca="false">+'Phillips Detail'!C13+'Phillips Detail'!E13+'Phillips Detail'!F13+'Phillips Detail'!G13+'Phillips Detail'!H13</f>
        <v>-0.264572</v>
      </c>
      <c r="K31" s="73" t="n">
        <f aca="false">+J31-F31</f>
        <v>0.510428</v>
      </c>
      <c r="L31" s="73" t="n">
        <f aca="false">+G31+K31</f>
        <v>2.775428</v>
      </c>
      <c r="M31" s="501" t="n">
        <f aca="false">+D31</f>
        <v>253932</v>
      </c>
      <c r="N31" s="495" t="n">
        <f aca="false">+M31*L31</f>
        <v>704769.982896</v>
      </c>
      <c r="O31" s="438"/>
      <c r="Q31" s="114"/>
      <c r="R31" s="497" t="n">
        <f aca="false">+B31</f>
        <v>0</v>
      </c>
      <c r="S31" s="438"/>
      <c r="T31" s="489"/>
      <c r="U31" s="438"/>
      <c r="V31" s="438"/>
      <c r="W31" s="438"/>
      <c r="X31" s="438"/>
      <c r="Y31" s="499" t="n">
        <f aca="false">+W31-X31</f>
        <v>0</v>
      </c>
      <c r="Z31" s="438"/>
      <c r="AA31" s="438"/>
      <c r="AB31" s="438"/>
      <c r="AC31" s="438"/>
      <c r="AD31" s="505"/>
      <c r="AE31" s="438"/>
      <c r="AF31" s="438"/>
      <c r="AG31" s="438"/>
      <c r="AH31" s="438"/>
    </row>
    <row r="32" customFormat="false" ht="12.75" hidden="false" customHeight="false" outlineLevel="0" collapsed="false">
      <c r="A32" s="438"/>
      <c r="B32" s="32"/>
      <c r="C32" s="32"/>
      <c r="D32" s="43" t="n">
        <f aca="false">+'Phillips Detail'!H51</f>
        <v>0</v>
      </c>
      <c r="E32" s="490" t="s">
        <v>390</v>
      </c>
      <c r="F32" s="491" t="n">
        <f aca="false">+'Phillips Detail'!J14</f>
        <v>-0.6624</v>
      </c>
      <c r="G32" s="492" t="n">
        <f aca="false">+$B$7+F32</f>
        <v>1.8776</v>
      </c>
      <c r="H32" s="493" t="n">
        <f aca="false">+G32*D32</f>
        <v>0</v>
      </c>
      <c r="I32" s="490" t="s">
        <v>390</v>
      </c>
      <c r="J32" s="492" t="n">
        <f aca="false">+'Phillips Detail'!C14+'Phillips Detail'!E14+'Phillips Detail'!F14</f>
        <v>-0.151972</v>
      </c>
      <c r="K32" s="73" t="n">
        <f aca="false">+J32-F32</f>
        <v>0.510428</v>
      </c>
      <c r="L32" s="73" t="n">
        <f aca="false">+G32+K32</f>
        <v>2.388028</v>
      </c>
      <c r="M32" s="501" t="n">
        <f aca="false">+D32</f>
        <v>0</v>
      </c>
      <c r="N32" s="495" t="n">
        <f aca="false">+M32*L32</f>
        <v>0</v>
      </c>
      <c r="O32" s="438"/>
      <c r="Q32" s="114"/>
      <c r="R32" s="497" t="n">
        <f aca="false">+B32</f>
        <v>0</v>
      </c>
      <c r="S32" s="438"/>
      <c r="T32" s="489"/>
      <c r="U32" s="438"/>
      <c r="V32" s="438"/>
      <c r="W32" s="438"/>
      <c r="X32" s="438"/>
      <c r="Y32" s="499" t="n">
        <f aca="false">+W32-X32</f>
        <v>0</v>
      </c>
      <c r="Z32" s="438"/>
      <c r="AA32" s="438"/>
      <c r="AB32" s="438"/>
      <c r="AC32" s="438"/>
      <c r="AD32" s="438"/>
      <c r="AE32" s="438"/>
      <c r="AF32" s="438"/>
      <c r="AG32" s="438"/>
      <c r="AH32" s="438"/>
    </row>
    <row r="33" customFormat="false" ht="12.75" hidden="false" customHeight="false" outlineLevel="0" collapsed="false">
      <c r="A33" s="438"/>
      <c r="B33" s="32"/>
      <c r="C33" s="32"/>
      <c r="D33" s="43"/>
      <c r="E33" s="490"/>
      <c r="F33" s="491"/>
      <c r="G33" s="492"/>
      <c r="H33" s="493"/>
      <c r="I33" s="490"/>
      <c r="J33" s="492"/>
      <c r="K33" s="73"/>
      <c r="L33" s="73"/>
      <c r="M33" s="501"/>
      <c r="N33" s="495"/>
      <c r="O33" s="438"/>
      <c r="Q33" s="114"/>
      <c r="R33" s="497"/>
      <c r="S33" s="438"/>
      <c r="T33" s="489"/>
      <c r="U33" s="438"/>
      <c r="V33" s="438"/>
      <c r="W33" s="438"/>
      <c r="X33" s="438"/>
      <c r="Y33" s="499"/>
      <c r="Z33" s="438"/>
      <c r="AA33" s="438"/>
      <c r="AB33" s="438"/>
      <c r="AC33" s="438"/>
      <c r="AD33" s="438"/>
      <c r="AE33" s="438"/>
      <c r="AF33" s="438"/>
      <c r="AG33" s="438"/>
      <c r="AH33" s="438"/>
    </row>
    <row r="34" customFormat="false" ht="12.75" hidden="false" customHeight="false" outlineLevel="0" collapsed="false">
      <c r="A34" s="438"/>
      <c r="B34" s="307" t="s">
        <v>305</v>
      </c>
      <c r="C34" s="468" t="s">
        <v>397</v>
      </c>
      <c r="D34" s="469" t="n">
        <f aca="false">+'Wellstar Detail'!D54</f>
        <v>3729</v>
      </c>
      <c r="E34" s="266" t="s">
        <v>36</v>
      </c>
      <c r="F34" s="483" t="n">
        <f aca="false">+'Wellstar Detail'!J15</f>
        <v>-0.4654</v>
      </c>
      <c r="G34" s="471" t="n">
        <f aca="false">+H34/D34</f>
        <v>1.27250828640386</v>
      </c>
      <c r="H34" s="472" t="n">
        <f aca="false">+'Wellstar Detail'!N54</f>
        <v>4745.1834</v>
      </c>
      <c r="I34" s="266" t="s">
        <v>36</v>
      </c>
      <c r="J34" s="471" t="n">
        <f aca="false">+'Wellstar Detail'!C15</f>
        <v>-0.015</v>
      </c>
      <c r="K34" s="473" t="n">
        <f aca="false">+J34-F34</f>
        <v>0.4504</v>
      </c>
      <c r="L34" s="473" t="n">
        <f aca="false">+G34+K34</f>
        <v>1.72290828640386</v>
      </c>
      <c r="M34" s="474" t="n">
        <f aca="false">+O34-($M$48*Q34)</f>
        <v>3729</v>
      </c>
      <c r="N34" s="475" t="n">
        <f aca="false">+M34*L34</f>
        <v>6424.725</v>
      </c>
      <c r="O34" s="476" t="n">
        <f aca="false">+D34</f>
        <v>3729</v>
      </c>
      <c r="P34" s="477" t="n">
        <f aca="false">+N34</f>
        <v>6424.725</v>
      </c>
      <c r="Q34" s="478" t="n">
        <f aca="false">+O34/$O$46</f>
        <v>0.00483014820744379</v>
      </c>
      <c r="R34" s="479" t="str">
        <f aca="false">+B34</f>
        <v>Wellstar</v>
      </c>
      <c r="S34" s="476" t="n">
        <f aca="false">SUM(D34:D37)</f>
        <v>49325</v>
      </c>
      <c r="T34" s="469" t="n">
        <f aca="false">'[1]Enron Summary'!$C$27</f>
        <v>52872</v>
      </c>
      <c r="U34" s="480" t="n">
        <f aca="false">SUM(N34:N37)</f>
        <v>132973.140088</v>
      </c>
      <c r="V34" s="480" t="n">
        <f aca="false">SUM(H34:H37)</f>
        <v>110755.8834</v>
      </c>
      <c r="W34" s="480" t="n">
        <f aca="false">+U34+AA34*L34-V34</f>
        <v>22217.256688</v>
      </c>
      <c r="X34" s="480" t="n">
        <f aca="false">'[1]Enron Summary'!$G$27</f>
        <v>22215.96</v>
      </c>
      <c r="Y34" s="485" t="n">
        <f aca="false">+W34-X34</f>
        <v>1.29668800000945</v>
      </c>
      <c r="Z34" s="482" t="n">
        <f aca="false">+W34/T34</f>
        <v>0.420208365259495</v>
      </c>
      <c r="AA34" s="476" t="n">
        <f aca="false">+D34-M34</f>
        <v>0</v>
      </c>
      <c r="AB34" s="314"/>
      <c r="AC34" s="314"/>
      <c r="AD34" s="314"/>
    </row>
    <row r="35" customFormat="false" ht="12.75" hidden="false" customHeight="false" outlineLevel="0" collapsed="false">
      <c r="A35" s="438"/>
      <c r="B35" s="307"/>
      <c r="C35" s="468" t="s">
        <v>397</v>
      </c>
      <c r="D35" s="469" t="n">
        <f aca="false">+'Wellstar Detail'!F54</f>
        <v>45596</v>
      </c>
      <c r="E35" s="266" t="s">
        <v>37</v>
      </c>
      <c r="F35" s="483" t="n">
        <f aca="false">+'Wellstar Detail'!J16</f>
        <v>-0.715</v>
      </c>
      <c r="G35" s="471" t="n">
        <f aca="false">+$B$8+F35</f>
        <v>2.325</v>
      </c>
      <c r="H35" s="472" t="n">
        <f aca="false">+G35*D35</f>
        <v>106010.7</v>
      </c>
      <c r="I35" s="266" t="s">
        <v>37</v>
      </c>
      <c r="J35" s="471" t="n">
        <f aca="false">+'Wellstar Detail'!C16+'Wellstar Detail'!E16+'Wellstar Detail'!F16+'Wellstar Detail'!G16+'Wellstar Detail'!H16</f>
        <v>-0.264572</v>
      </c>
      <c r="K35" s="473" t="n">
        <f aca="false">+J35-F35</f>
        <v>0.450428</v>
      </c>
      <c r="L35" s="473" t="n">
        <f aca="false">+G35+K35</f>
        <v>2.775428</v>
      </c>
      <c r="M35" s="484" t="n">
        <f aca="false">+D35</f>
        <v>45596</v>
      </c>
      <c r="N35" s="475" t="n">
        <f aca="false">+M35*L35</f>
        <v>126548.415088</v>
      </c>
      <c r="O35" s="314"/>
      <c r="P35" s="477"/>
      <c r="Q35" s="478"/>
      <c r="R35" s="479" t="n">
        <f aca="false">+B35</f>
        <v>0</v>
      </c>
      <c r="S35" s="314"/>
      <c r="T35" s="469"/>
      <c r="U35" s="314"/>
      <c r="V35" s="314"/>
      <c r="W35" s="314"/>
      <c r="X35" s="314"/>
      <c r="Y35" s="485" t="n">
        <f aca="false">+W35-X35</f>
        <v>0</v>
      </c>
      <c r="Z35" s="314"/>
      <c r="AA35" s="314"/>
      <c r="AB35" s="314"/>
      <c r="AC35" s="314"/>
      <c r="AD35" s="314"/>
    </row>
    <row r="36" customFormat="false" ht="12.75" hidden="false" customHeight="false" outlineLevel="0" collapsed="false">
      <c r="A36" s="438"/>
      <c r="B36" s="307"/>
      <c r="C36" s="468" t="s">
        <v>397</v>
      </c>
      <c r="D36" s="469" t="n">
        <f aca="false">+'Wellstar Detail'!H54</f>
        <v>0</v>
      </c>
      <c r="E36" s="266" t="s">
        <v>390</v>
      </c>
      <c r="F36" s="483" t="n">
        <f aca="false">+'Wellstar Detail'!J17</f>
        <v>-0.4924</v>
      </c>
      <c r="G36" s="471" t="n">
        <f aca="false">+$B$7+F36</f>
        <v>2.0476</v>
      </c>
      <c r="H36" s="472" t="n">
        <f aca="false">+G36*D36</f>
        <v>0</v>
      </c>
      <c r="I36" s="266" t="s">
        <v>390</v>
      </c>
      <c r="J36" s="471" t="n">
        <f aca="false">+'Wellstar Detail'!C17+'Wellstar Detail'!E17+'Wellstar Detail'!F17</f>
        <v>-0.041972</v>
      </c>
      <c r="K36" s="473" t="n">
        <f aca="false">+J36-F36</f>
        <v>0.450428</v>
      </c>
      <c r="L36" s="473" t="n">
        <f aca="false">+G36+K36</f>
        <v>2.498028</v>
      </c>
      <c r="M36" s="484" t="n">
        <f aca="false">+D36</f>
        <v>0</v>
      </c>
      <c r="N36" s="475" t="n">
        <f aca="false">+M36*L36</f>
        <v>0</v>
      </c>
      <c r="O36" s="314"/>
      <c r="P36" s="477"/>
      <c r="Q36" s="478"/>
      <c r="R36" s="479" t="n">
        <f aca="false">+B36</f>
        <v>0</v>
      </c>
      <c r="S36" s="314"/>
      <c r="T36" s="469"/>
      <c r="U36" s="314"/>
      <c r="V36" s="314"/>
      <c r="W36" s="314"/>
      <c r="X36" s="314"/>
      <c r="Y36" s="485" t="n">
        <f aca="false">+W36-X36</f>
        <v>0</v>
      </c>
      <c r="Z36" s="314"/>
      <c r="AA36" s="314"/>
      <c r="AB36" s="314"/>
      <c r="AC36" s="314"/>
      <c r="AD36" s="314"/>
    </row>
    <row r="37" customFormat="false" ht="12.75" hidden="false" customHeight="false" outlineLevel="0" collapsed="false">
      <c r="A37" s="438"/>
      <c r="B37" s="307"/>
      <c r="C37" s="468" t="s">
        <v>398</v>
      </c>
      <c r="D37" s="469" t="n">
        <f aca="false">'Wellstar Detail'!J54</f>
        <v>0</v>
      </c>
      <c r="E37" s="266" t="s">
        <v>390</v>
      </c>
      <c r="F37" s="483" t="n">
        <f aca="false">+'Wellstar Detail'!J18</f>
        <v>-0.6004</v>
      </c>
      <c r="G37" s="471" t="n">
        <f aca="false">+$B$7+F37</f>
        <v>1.9396</v>
      </c>
      <c r="H37" s="472" t="n">
        <f aca="false">+G37*D37</f>
        <v>0</v>
      </c>
      <c r="I37" s="266" t="s">
        <v>390</v>
      </c>
      <c r="J37" s="471" t="n">
        <f aca="false">'Wellstar Detail'!C18</f>
        <v>-0.15</v>
      </c>
      <c r="K37" s="473" t="n">
        <f aca="false">+J37-F37</f>
        <v>0.4504</v>
      </c>
      <c r="L37" s="473" t="n">
        <f aca="false">+G37+K37</f>
        <v>2.39</v>
      </c>
      <c r="M37" s="484" t="n">
        <f aca="false">+D37</f>
        <v>0</v>
      </c>
      <c r="N37" s="475" t="n">
        <f aca="false">+M37*L37</f>
        <v>0</v>
      </c>
      <c r="O37" s="314"/>
      <c r="P37" s="477"/>
      <c r="Q37" s="478"/>
      <c r="R37" s="479"/>
      <c r="S37" s="314"/>
      <c r="T37" s="469"/>
      <c r="U37" s="314"/>
      <c r="V37" s="314"/>
      <c r="W37" s="314"/>
      <c r="X37" s="314"/>
      <c r="Y37" s="485"/>
      <c r="Z37" s="314"/>
      <c r="AA37" s="314"/>
      <c r="AB37" s="314"/>
      <c r="AC37" s="314"/>
      <c r="AD37" s="314"/>
    </row>
    <row r="38" customFormat="false" ht="12.75" hidden="false" customHeight="false" outlineLevel="0" collapsed="false">
      <c r="A38" s="438"/>
      <c r="B38" s="440" t="str">
        <f aca="false">+'Quantum Detail'!A1</f>
        <v>Quantum</v>
      </c>
      <c r="C38" s="506" t="s">
        <v>397</v>
      </c>
      <c r="D38" s="489" t="n">
        <f aca="false">+'Quantum Detail'!D53</f>
        <v>206</v>
      </c>
      <c r="E38" s="490" t="s">
        <v>36</v>
      </c>
      <c r="F38" s="491" t="n">
        <f aca="false">+'Quantum Detail'!I15</f>
        <v>-0.6906</v>
      </c>
      <c r="G38" s="492" t="n">
        <f aca="false">+H38/D38</f>
        <v>1.20090485436893</v>
      </c>
      <c r="H38" s="493" t="n">
        <f aca="false">+'Quantum Detail'!K53</f>
        <v>247.3864</v>
      </c>
      <c r="I38" s="490" t="s">
        <v>36</v>
      </c>
      <c r="J38" s="492" t="n">
        <f aca="false">+'Quantum Detail'!C15</f>
        <v>-0.025</v>
      </c>
      <c r="K38" s="73" t="n">
        <f aca="false">+J38-F38</f>
        <v>0.6656</v>
      </c>
      <c r="L38" s="73" t="n">
        <f aca="false">+G38+K38</f>
        <v>1.86650485436893</v>
      </c>
      <c r="M38" s="494" t="n">
        <f aca="false">+O38-($M$48*Q38)</f>
        <v>206</v>
      </c>
      <c r="N38" s="495" t="n">
        <f aca="false">+M38*L38</f>
        <v>384.5</v>
      </c>
      <c r="O38" s="496" t="n">
        <f aca="false">+D38</f>
        <v>206</v>
      </c>
      <c r="P38" s="54" t="n">
        <f aca="false">+N38</f>
        <v>384.5</v>
      </c>
      <c r="Q38" s="114" t="n">
        <f aca="false">+O38/$O$46</f>
        <v>0.000266830391722559</v>
      </c>
      <c r="R38" s="497" t="str">
        <f aca="false">+B38</f>
        <v>Quantum</v>
      </c>
      <c r="S38" s="496" t="n">
        <f aca="false">+D38+D39+D40</f>
        <v>20833</v>
      </c>
      <c r="T38" s="489" t="n">
        <f aca="false">'[1]Enron Summary'!$C$26</f>
        <v>23734</v>
      </c>
      <c r="U38" s="498" t="n">
        <f aca="false">N38</f>
        <v>384.5</v>
      </c>
      <c r="V38" s="498" t="n">
        <f aca="false">H38</f>
        <v>247.3864</v>
      </c>
      <c r="W38" s="498" t="n">
        <f aca="false">+U38+AA38*L38-V38</f>
        <v>137.1136</v>
      </c>
      <c r="X38" s="498" t="n">
        <f aca="false">'[1]Enron Summary'!$G$26</f>
        <v>13867.36</v>
      </c>
      <c r="Y38" s="499" t="e">
        <f aca="false">SUM(W38:W40)-X38</f>
        <v>#DIV/0!</v>
      </c>
      <c r="Z38" s="500" t="e">
        <f aca="false">+SUM(W38:W40)/T38</f>
        <v>#DIV/0!</v>
      </c>
      <c r="AA38" s="496" t="n">
        <f aca="false">+D38-M38</f>
        <v>0</v>
      </c>
      <c r="AB38" s="438"/>
      <c r="AC38" s="438"/>
      <c r="AD38" s="438"/>
    </row>
    <row r="39" customFormat="false" ht="12.75" hidden="false" customHeight="false" outlineLevel="0" collapsed="false">
      <c r="A39" s="438"/>
      <c r="B39" s="440"/>
      <c r="C39" s="506" t="s">
        <v>397</v>
      </c>
      <c r="D39" s="489" t="n">
        <f aca="false">+'Quantum Detail'!F53</f>
        <v>20627</v>
      </c>
      <c r="E39" s="490" t="s">
        <v>390</v>
      </c>
      <c r="F39" s="491" t="n">
        <f aca="false">+'Quantum Detail'!I16</f>
        <v>-0.7026</v>
      </c>
      <c r="G39" s="492" t="n">
        <f aca="false">+$B$7+F39</f>
        <v>1.8374</v>
      </c>
      <c r="H39" s="493" t="n">
        <f aca="false">+'Quantum Detail'!L53</f>
        <v>37900.0498</v>
      </c>
      <c r="I39" s="490" t="s">
        <v>390</v>
      </c>
      <c r="J39" s="492" t="n">
        <f aca="false">+'Quantum Detail'!C16+'Quantum Detail'!E16+'Quantum Detail'!F16</f>
        <v>-0.036972</v>
      </c>
      <c r="K39" s="73" t="n">
        <f aca="false">+J39-F39</f>
        <v>0.665628</v>
      </c>
      <c r="L39" s="73" t="n">
        <f aca="false">+G39+K39</f>
        <v>2.503028</v>
      </c>
      <c r="M39" s="501" t="n">
        <f aca="false">+D39</f>
        <v>20627</v>
      </c>
      <c r="N39" s="495" t="n">
        <f aca="false">+M39*L39</f>
        <v>51629.958556</v>
      </c>
      <c r="O39" s="496"/>
      <c r="Q39" s="114"/>
      <c r="R39" s="497"/>
      <c r="S39" s="496"/>
      <c r="T39" s="489"/>
      <c r="U39" s="498" t="n">
        <f aca="false">N39</f>
        <v>51629.958556</v>
      </c>
      <c r="V39" s="498" t="n">
        <f aca="false">H39</f>
        <v>37900.0498</v>
      </c>
      <c r="W39" s="498" t="n">
        <f aca="false">+U39+AA39*L39-V39</f>
        <v>13729.908756</v>
      </c>
      <c r="X39" s="438"/>
      <c r="Y39" s="499"/>
      <c r="Z39" s="500"/>
      <c r="AA39" s="496" t="n">
        <f aca="false">+D39-M39</f>
        <v>0</v>
      </c>
      <c r="AB39" s="438"/>
      <c r="AC39" s="438"/>
      <c r="AD39" s="438"/>
    </row>
    <row r="40" customFormat="false" ht="12.75" hidden="false" customHeight="false" outlineLevel="0" collapsed="false">
      <c r="A40" s="438"/>
      <c r="B40" s="440"/>
      <c r="C40" s="506" t="s">
        <v>398</v>
      </c>
      <c r="D40" s="489" t="n">
        <f aca="false">'Quantum Detail'!H53</f>
        <v>0</v>
      </c>
      <c r="E40" s="490" t="s">
        <v>390</v>
      </c>
      <c r="F40" s="491" t="n">
        <f aca="false">+'Quantum Detail'!I17</f>
        <v>-0.6656</v>
      </c>
      <c r="G40" s="492" t="e">
        <f aca="false">+H40/D40</f>
        <v>#DIV/0!</v>
      </c>
      <c r="H40" s="493" t="n">
        <f aca="false">'Quantum Detail'!M53</f>
        <v>0</v>
      </c>
      <c r="I40" s="490" t="s">
        <v>390</v>
      </c>
      <c r="J40" s="492" t="n">
        <f aca="false">'Quantum Detail'!C17</f>
        <v>0</v>
      </c>
      <c r="K40" s="73" t="n">
        <f aca="false">+J40-F40</f>
        <v>0.6656</v>
      </c>
      <c r="L40" s="73" t="e">
        <f aca="false">+G40+K40</f>
        <v>#DIV/0!</v>
      </c>
      <c r="M40" s="501" t="n">
        <f aca="false">+D40</f>
        <v>0</v>
      </c>
      <c r="N40" s="495" t="e">
        <f aca="false">+M40*L40</f>
        <v>#DIV/0!</v>
      </c>
      <c r="O40" s="496"/>
      <c r="Q40" s="114"/>
      <c r="R40" s="497"/>
      <c r="S40" s="496"/>
      <c r="T40" s="489"/>
      <c r="U40" s="498" t="e">
        <f aca="false">N40</f>
        <v>#DIV/0!</v>
      </c>
      <c r="V40" s="498" t="n">
        <f aca="false">H40</f>
        <v>0</v>
      </c>
      <c r="W40" s="498" t="e">
        <f aca="false">+U40+AA40*L40-V40</f>
        <v>#DIV/0!</v>
      </c>
      <c r="X40" s="438"/>
      <c r="Y40" s="499"/>
      <c r="Z40" s="500"/>
      <c r="AA40" s="496" t="n">
        <f aca="false">+D40-M40</f>
        <v>0</v>
      </c>
      <c r="AB40" s="438"/>
      <c r="AC40" s="438"/>
      <c r="AD40" s="438"/>
    </row>
    <row r="41" customFormat="false" ht="12.75" hidden="false" customHeight="false" outlineLevel="0" collapsed="false">
      <c r="A41" s="438"/>
      <c r="B41" s="440"/>
      <c r="C41" s="440"/>
      <c r="D41" s="489"/>
      <c r="E41" s="490"/>
      <c r="F41" s="491"/>
      <c r="G41" s="492"/>
      <c r="H41" s="493"/>
      <c r="I41" s="490"/>
      <c r="J41" s="492"/>
      <c r="K41" s="73"/>
      <c r="L41" s="73"/>
      <c r="M41" s="494"/>
      <c r="N41" s="495"/>
      <c r="O41" s="496"/>
      <c r="Q41" s="114"/>
      <c r="R41" s="497"/>
      <c r="S41" s="496"/>
      <c r="T41" s="489"/>
      <c r="U41" s="498"/>
      <c r="V41" s="498"/>
      <c r="W41" s="498"/>
      <c r="X41" s="438"/>
      <c r="Y41" s="499"/>
      <c r="Z41" s="500"/>
      <c r="AA41" s="496"/>
      <c r="AB41" s="438"/>
      <c r="AC41" s="438"/>
      <c r="AD41" s="438"/>
    </row>
    <row r="42" customFormat="false" ht="12.75" hidden="false" customHeight="false" outlineLevel="0" collapsed="false">
      <c r="A42" s="438"/>
      <c r="B42" s="307" t="str">
        <f aca="false">+'North Finn Detail'!A1</f>
        <v>North Finn</v>
      </c>
      <c r="C42" s="307"/>
      <c r="D42" s="469" t="n">
        <f aca="false">+'North Finn Detail'!D51</f>
        <v>20477</v>
      </c>
      <c r="E42" s="266" t="s">
        <v>36</v>
      </c>
      <c r="F42" s="483" t="n">
        <f aca="false">+'North Finn Detail'!F13</f>
        <v>-0.6463</v>
      </c>
      <c r="G42" s="471" t="n">
        <f aca="false">+H42/D42</f>
        <v>1.14454631537823</v>
      </c>
      <c r="H42" s="472" t="n">
        <f aca="false">+'North Finn Detail'!H51</f>
        <v>23436.8749</v>
      </c>
      <c r="I42" s="266" t="s">
        <v>36</v>
      </c>
      <c r="J42" s="471" t="n">
        <f aca="false">+'North Finn Detail'!C13</f>
        <v>-0.08</v>
      </c>
      <c r="K42" s="473" t="n">
        <f aca="false">+J42-F42</f>
        <v>0.5663</v>
      </c>
      <c r="L42" s="473" t="n">
        <f aca="false">+G42+K42</f>
        <v>1.71084631537823</v>
      </c>
      <c r="M42" s="474" t="n">
        <f aca="false">+O42-($M$48*Q42)</f>
        <v>20477</v>
      </c>
      <c r="N42" s="475" t="n">
        <f aca="false">+M42*L42</f>
        <v>35033</v>
      </c>
      <c r="O42" s="476" t="n">
        <f aca="false">+D42</f>
        <v>20477</v>
      </c>
      <c r="P42" s="477" t="n">
        <f aca="false">+N42</f>
        <v>35033</v>
      </c>
      <c r="Q42" s="478" t="n">
        <f aca="false">+O42/$O$46</f>
        <v>0.0265237181131205</v>
      </c>
      <c r="R42" s="479" t="str">
        <f aca="false">+B42</f>
        <v>North Finn</v>
      </c>
      <c r="S42" s="476" t="n">
        <f aca="false">+D42</f>
        <v>20477</v>
      </c>
      <c r="T42" s="469" t="n">
        <f aca="false">'[1]Enron Summary'!$C$28</f>
        <v>22427</v>
      </c>
      <c r="U42" s="480" t="n">
        <f aca="false">N42</f>
        <v>35033</v>
      </c>
      <c r="V42" s="480" t="n">
        <f aca="false">H42</f>
        <v>23436.8749</v>
      </c>
      <c r="W42" s="480" t="n">
        <f aca="false">+U42+AA42*L42-V42</f>
        <v>11596.1251</v>
      </c>
      <c r="X42" s="480" t="n">
        <f aca="false">'[1]Enron Summary'!$G$28</f>
        <v>11595.38</v>
      </c>
      <c r="Y42" s="485" t="n">
        <f aca="false">+W42-X42</f>
        <v>0.745100000001912</v>
      </c>
      <c r="Z42" s="482" t="n">
        <f aca="false">+W42/T42</f>
        <v>0.517060913185</v>
      </c>
      <c r="AA42" s="476" t="n">
        <f aca="false">+D42-M42</f>
        <v>0</v>
      </c>
      <c r="AB42" s="314"/>
      <c r="AC42" s="314"/>
      <c r="AD42" s="314"/>
    </row>
    <row r="43" customFormat="false" ht="12.75" hidden="false" customHeight="false" outlineLevel="0" collapsed="false">
      <c r="A43" s="438"/>
      <c r="B43" s="32"/>
      <c r="C43" s="440"/>
      <c r="D43" s="43"/>
      <c r="E43" s="490"/>
      <c r="F43" s="491"/>
      <c r="G43" s="492"/>
      <c r="H43" s="493"/>
      <c r="I43" s="490"/>
      <c r="J43" s="492"/>
      <c r="K43" s="73"/>
      <c r="L43" s="73"/>
      <c r="M43" s="494"/>
      <c r="N43" s="495"/>
      <c r="O43" s="496"/>
      <c r="P43" s="504"/>
      <c r="Q43" s="114"/>
      <c r="R43" s="497"/>
      <c r="S43" s="496"/>
      <c r="T43" s="323"/>
      <c r="U43" s="498"/>
      <c r="V43" s="498"/>
      <c r="W43" s="498"/>
      <c r="X43" s="507"/>
      <c r="Y43" s="499"/>
      <c r="Z43" s="500"/>
      <c r="AA43" s="496"/>
      <c r="AB43" s="438"/>
      <c r="AC43" s="438"/>
      <c r="AD43" s="438"/>
      <c r="AE43" s="438"/>
      <c r="AF43" s="438"/>
      <c r="AG43" s="438"/>
      <c r="AH43" s="438"/>
      <c r="AI43" s="438"/>
      <c r="AJ43" s="438"/>
      <c r="AK43" s="438"/>
      <c r="AL43" s="438"/>
      <c r="AM43" s="438"/>
      <c r="AN43" s="438"/>
      <c r="AO43" s="438"/>
      <c r="AP43" s="438"/>
      <c r="AQ43" s="438"/>
      <c r="AR43" s="438"/>
      <c r="AS43" s="438"/>
      <c r="AT43" s="438"/>
      <c r="AU43" s="438"/>
      <c r="AV43" s="438"/>
      <c r="AW43" s="438"/>
      <c r="AX43" s="438"/>
      <c r="AY43" s="438"/>
      <c r="AZ43" s="438"/>
      <c r="BA43" s="438"/>
      <c r="BB43" s="438"/>
      <c r="BC43" s="438"/>
      <c r="BD43" s="438"/>
      <c r="BE43" s="438"/>
      <c r="BF43" s="438"/>
      <c r="BG43" s="438"/>
      <c r="BH43" s="438"/>
      <c r="BI43" s="438"/>
      <c r="BJ43" s="438"/>
      <c r="BK43" s="438"/>
      <c r="BL43" s="438"/>
      <c r="BM43" s="438"/>
      <c r="BN43" s="438"/>
      <c r="BO43" s="438"/>
      <c r="BP43" s="438"/>
      <c r="BQ43" s="438"/>
      <c r="BR43" s="438"/>
      <c r="BS43" s="438"/>
      <c r="BT43" s="438"/>
      <c r="BU43" s="438"/>
      <c r="BV43" s="438"/>
      <c r="BW43" s="438"/>
      <c r="BX43" s="438"/>
      <c r="BY43" s="438"/>
      <c r="BZ43" s="438"/>
      <c r="CA43" s="438"/>
      <c r="CB43" s="438"/>
      <c r="CC43" s="438"/>
      <c r="CD43" s="438"/>
      <c r="CE43" s="438"/>
      <c r="CF43" s="438"/>
    </row>
    <row r="44" customFormat="false" ht="12.75" hidden="false" customHeight="false" outlineLevel="0" collapsed="false">
      <c r="A44" s="496"/>
      <c r="B44" s="307" t="s">
        <v>347</v>
      </c>
      <c r="C44" s="307"/>
      <c r="D44" s="469" t="n">
        <f aca="false">'Citation Detail'!D52</f>
        <v>0</v>
      </c>
      <c r="E44" s="266" t="s">
        <v>36</v>
      </c>
      <c r="F44" s="483" t="e">
        <f aca="false">+'Citation Detail'!G14</f>
        <v>#DIV/0!</v>
      </c>
      <c r="G44" s="473" t="e">
        <f aca="false">+H44/D44</f>
        <v>#DIV/0!</v>
      </c>
      <c r="H44" s="472" t="e">
        <f aca="false">'Citation Detail'!H52</f>
        <v>#DIV/0!</v>
      </c>
      <c r="I44" s="266" t="s">
        <v>390</v>
      </c>
      <c r="J44" s="471" t="n">
        <f aca="false">'Citation Detail'!C14</f>
        <v>-0.1</v>
      </c>
      <c r="K44" s="473" t="e">
        <f aca="false">+J44-F44</f>
        <v>#DIV/0!</v>
      </c>
      <c r="L44" s="473" t="e">
        <f aca="false">+G44+K44</f>
        <v>#DIV/0!</v>
      </c>
      <c r="M44" s="474" t="n">
        <f aca="false">+O44-($M$48*Q44)</f>
        <v>0</v>
      </c>
      <c r="N44" s="475" t="e">
        <f aca="false">+M44*L44</f>
        <v>#DIV/0!</v>
      </c>
      <c r="O44" s="476" t="n">
        <f aca="false">+D44</f>
        <v>0</v>
      </c>
      <c r="P44" s="477" t="e">
        <f aca="false">+N44</f>
        <v>#DIV/0!</v>
      </c>
      <c r="Q44" s="478" t="n">
        <f aca="false">+O44/$O$46</f>
        <v>0</v>
      </c>
      <c r="R44" s="479" t="s">
        <v>347</v>
      </c>
      <c r="S44" s="476" t="n">
        <f aca="false">D44</f>
        <v>0</v>
      </c>
      <c r="T44" s="469" t="n">
        <f aca="false">'[1]Enron Summary'!$C$30</f>
        <v>20020</v>
      </c>
      <c r="U44" s="480" t="e">
        <f aca="false">N44</f>
        <v>#DIV/0!</v>
      </c>
      <c r="V44" s="480" t="e">
        <f aca="false">H44+'Citation Summary'!G23</f>
        <v>#DIV/0!</v>
      </c>
      <c r="W44" s="480" t="e">
        <f aca="false">+U44+AA44*L44-V44</f>
        <v>#DIV/0!</v>
      </c>
      <c r="X44" s="480" t="n">
        <f aca="false">SUM('[1]Enron Summary'!$G$30:$G$32)</f>
        <v>14043.7</v>
      </c>
      <c r="Y44" s="485" t="e">
        <f aca="false">+W44-X44</f>
        <v>#DIV/0!</v>
      </c>
      <c r="Z44" s="482" t="e">
        <f aca="false">+W44/T44</f>
        <v>#DIV/0!</v>
      </c>
      <c r="AA44" s="476" t="n">
        <f aca="false">+D44-M44</f>
        <v>0</v>
      </c>
      <c r="AB44" s="477"/>
      <c r="AC44" s="480"/>
      <c r="AD44" s="508"/>
      <c r="AE44" s="314"/>
      <c r="AF44" s="314"/>
      <c r="AG44" s="314"/>
      <c r="AH44" s="314"/>
      <c r="AI44" s="314"/>
      <c r="AJ44" s="314"/>
      <c r="AK44" s="314"/>
      <c r="AL44" s="314"/>
      <c r="AM44" s="314"/>
      <c r="AN44" s="314"/>
      <c r="AO44" s="314"/>
      <c r="AP44" s="314"/>
    </row>
    <row r="45" customFormat="false" ht="12.75" hidden="false" customHeight="false" outlineLevel="0" collapsed="false">
      <c r="A45" s="496"/>
      <c r="C45" s="32"/>
      <c r="E45" s="490"/>
      <c r="F45" s="491"/>
      <c r="G45" s="492"/>
      <c r="H45" s="493"/>
      <c r="I45" s="490"/>
      <c r="J45" s="492"/>
      <c r="K45" s="73"/>
      <c r="L45" s="73"/>
      <c r="M45" s="501"/>
      <c r="N45" s="495"/>
      <c r="O45" s="496"/>
      <c r="Q45" s="114"/>
      <c r="R45" s="497"/>
      <c r="S45" s="496"/>
      <c r="T45" s="489"/>
      <c r="U45" s="498"/>
      <c r="V45" s="498"/>
      <c r="W45" s="498"/>
      <c r="X45" s="498"/>
      <c r="Y45" s="509" t="e">
        <f aca="false">Y44/D44</f>
        <v>#DIV/0!</v>
      </c>
      <c r="Z45" s="500"/>
      <c r="AA45" s="496"/>
      <c r="AB45" s="504"/>
      <c r="AC45" s="498"/>
      <c r="AD45" s="505"/>
      <c r="AE45" s="438"/>
      <c r="AF45" s="438"/>
      <c r="AG45" s="438"/>
      <c r="AH45" s="438"/>
    </row>
    <row r="46" customFormat="false" ht="13.5" hidden="false" customHeight="false" outlineLevel="0" collapsed="false">
      <c r="A46" s="510" t="s">
        <v>399</v>
      </c>
      <c r="B46" s="438" t="s">
        <v>400</v>
      </c>
      <c r="C46" s="438"/>
      <c r="D46" s="496"/>
      <c r="E46" s="511"/>
      <c r="F46" s="512"/>
      <c r="G46" s="513"/>
      <c r="H46" s="514"/>
      <c r="I46" s="511"/>
      <c r="J46" s="515"/>
      <c r="K46" s="516"/>
      <c r="L46" s="78"/>
      <c r="M46" s="517"/>
      <c r="N46" s="518"/>
      <c r="O46" s="519" t="n">
        <f aca="false">SUM(O13:O45)</f>
        <v>772026</v>
      </c>
      <c r="P46" s="519" t="e">
        <f aca="false">SUM(P13:P45)</f>
        <v>#DIV/0!</v>
      </c>
      <c r="Q46" s="520" t="n">
        <f aca="false">SUM(Q13:Q45)</f>
        <v>1</v>
      </c>
      <c r="R46" s="497" t="str">
        <f aca="false">+B46</f>
        <v>CGS (gain)</v>
      </c>
      <c r="S46" s="519" t="n">
        <f aca="false">SUM(S13:S45)</f>
        <v>1881294</v>
      </c>
      <c r="T46" s="519" t="n">
        <f aca="false">SUM(T13:T45)</f>
        <v>2040494</v>
      </c>
      <c r="U46" s="438"/>
      <c r="V46" s="438"/>
      <c r="W46" s="438"/>
      <c r="X46" s="438"/>
      <c r="Y46" s="440"/>
      <c r="Z46" s="438"/>
      <c r="AA46" s="438"/>
      <c r="AB46" s="438"/>
      <c r="AC46" s="438"/>
      <c r="AD46" s="438"/>
    </row>
    <row r="47" customFormat="false" ht="12.75" hidden="false" customHeight="false" outlineLevel="0" collapsed="false">
      <c r="A47" s="438"/>
      <c r="D47" s="60" t="n">
        <f aca="false">SUM(D13:D46)</f>
        <v>1881294</v>
      </c>
      <c r="E47" s="31"/>
      <c r="F47" s="31"/>
      <c r="G47" s="521" t="s">
        <v>401</v>
      </c>
      <c r="H47" s="522" t="e">
        <f aca="false">SUM(H13:H46)</f>
        <v>#DIV/0!</v>
      </c>
      <c r="I47" s="31"/>
      <c r="J47" s="31"/>
      <c r="L47" s="59" t="s">
        <v>402</v>
      </c>
      <c r="M47" s="60" t="n">
        <f aca="false">SUM(M13:M46)</f>
        <v>1881294</v>
      </c>
      <c r="N47" s="61" t="e">
        <f aca="false">SUM(N13:N46)</f>
        <v>#DIV/0!</v>
      </c>
      <c r="X47" s="44" t="n">
        <f aca="false">SUM(X13:X46)</f>
        <v>1045203.075</v>
      </c>
      <c r="Y47" s="61" t="e">
        <f aca="false">SUM(Y13:Y46)</f>
        <v>#DIV/0!</v>
      </c>
      <c r="AA47" s="113" t="n">
        <f aca="false">SUM(AA13:AA46)</f>
        <v>0</v>
      </c>
    </row>
    <row r="48" customFormat="false" ht="15.75" hidden="false" customHeight="false" outlineLevel="0" collapsed="false">
      <c r="A48" s="510" t="s">
        <v>403</v>
      </c>
      <c r="B48" s="438" t="s">
        <v>404</v>
      </c>
      <c r="C48" s="438"/>
      <c r="D48" s="489"/>
      <c r="E48" s="490"/>
      <c r="F48" s="491"/>
      <c r="G48" s="492"/>
      <c r="H48" s="493"/>
      <c r="I48" s="490" t="s">
        <v>405</v>
      </c>
      <c r="J48" s="491" t="n">
        <v>0.14</v>
      </c>
      <c r="K48" s="438"/>
      <c r="L48" s="523" t="e">
        <f aca="false">+P46/O46</f>
        <v>#DIV/0!</v>
      </c>
      <c r="M48" s="524" t="n">
        <f aca="false">+'[1]Enron Fuel Sale'!$E$19</f>
        <v>0</v>
      </c>
      <c r="N48" s="498" t="e">
        <f aca="false">+M48*L48</f>
        <v>#DIV/0!</v>
      </c>
      <c r="O48" s="438"/>
      <c r="P48" s="54" t="e">
        <f aca="false">+P46/O46</f>
        <v>#DIV/0!</v>
      </c>
      <c r="Q48" s="438"/>
      <c r="R48" s="438"/>
      <c r="S48" s="438"/>
      <c r="T48" s="489"/>
      <c r="U48" s="438"/>
      <c r="V48" s="438"/>
      <c r="W48" s="438"/>
      <c r="X48" s="438"/>
      <c r="Y48" s="440"/>
      <c r="Z48" s="438"/>
      <c r="AA48" s="438"/>
      <c r="AB48" s="438"/>
      <c r="AC48" s="438"/>
      <c r="AD48" s="438"/>
    </row>
    <row r="49" customFormat="false" ht="12.75" hidden="false" customHeight="false" outlineLevel="0" collapsed="false">
      <c r="A49" s="438"/>
      <c r="L49" s="525" t="s">
        <v>406</v>
      </c>
      <c r="M49" s="526"/>
    </row>
    <row r="50" customFormat="false" ht="13.5" hidden="false" customHeight="false" outlineLevel="0" collapsed="false">
      <c r="A50" s="438"/>
      <c r="K50" s="527"/>
      <c r="L50" s="528"/>
    </row>
    <row r="51" customFormat="false" ht="12.75" hidden="false" customHeight="false" outlineLevel="0" collapsed="false">
      <c r="A51" s="529"/>
      <c r="B51" s="325"/>
      <c r="C51" s="325"/>
      <c r="D51" s="325" t="s">
        <v>370</v>
      </c>
      <c r="E51" s="325"/>
      <c r="F51" s="325"/>
      <c r="G51" s="89"/>
      <c r="H51" s="44"/>
      <c r="L51" s="288"/>
    </row>
    <row r="52" customFormat="false" ht="12.75" hidden="false" customHeight="false" outlineLevel="0" collapsed="false">
      <c r="A52" s="490" t="s">
        <v>407</v>
      </c>
      <c r="B52" s="31"/>
      <c r="C52" s="31"/>
      <c r="D52" s="530" t="n">
        <f aca="false">+D47</f>
        <v>1881294</v>
      </c>
      <c r="E52" s="531" t="e">
        <f aca="false">-H47</f>
        <v>#DIV/0!</v>
      </c>
      <c r="F52" s="531"/>
      <c r="G52" s="91"/>
      <c r="L52" s="317"/>
      <c r="M52" s="113"/>
      <c r="N52" s="443"/>
    </row>
    <row r="53" customFormat="false" ht="12.75" hidden="false" customHeight="false" outlineLevel="0" collapsed="false">
      <c r="A53" s="490" t="s">
        <v>408</v>
      </c>
      <c r="B53" s="31"/>
      <c r="C53" s="31"/>
      <c r="D53" s="292" t="n">
        <f aca="false">-M47</f>
        <v>-1881294</v>
      </c>
      <c r="E53" s="531" t="e">
        <f aca="false">+N47</f>
        <v>#DIV/0!</v>
      </c>
      <c r="F53" s="31"/>
      <c r="G53" s="330"/>
      <c r="H53" s="44"/>
      <c r="I53" s="12" t="s">
        <v>409</v>
      </c>
      <c r="J53" s="532"/>
      <c r="K53" s="532"/>
      <c r="L53" s="533"/>
    </row>
    <row r="54" customFormat="false" ht="25.5" hidden="false" customHeight="false" outlineLevel="0" collapsed="false">
      <c r="A54" s="534"/>
      <c r="B54" s="83"/>
      <c r="C54" s="83"/>
      <c r="D54" s="535"/>
      <c r="E54" s="536"/>
      <c r="F54" s="83"/>
      <c r="G54" s="537"/>
      <c r="H54" s="538"/>
      <c r="I54" s="539"/>
      <c r="J54" s="540" t="s">
        <v>410</v>
      </c>
      <c r="K54" s="540" t="s">
        <v>411</v>
      </c>
      <c r="L54" s="541" t="s">
        <v>412</v>
      </c>
      <c r="M54" s="80"/>
      <c r="N54" s="80"/>
      <c r="O54" s="80"/>
      <c r="P54" s="86"/>
      <c r="Q54" s="80"/>
      <c r="R54" s="80"/>
      <c r="S54" s="80"/>
      <c r="T54" s="542"/>
      <c r="U54" s="80"/>
      <c r="V54" s="80"/>
      <c r="W54" s="80"/>
      <c r="X54" s="80"/>
      <c r="Y54" s="80"/>
      <c r="Z54" s="80"/>
      <c r="AA54" s="80"/>
      <c r="AB54" s="80"/>
      <c r="AC54" s="80"/>
      <c r="AD54" s="80"/>
    </row>
    <row r="55" customFormat="false" ht="12.75" hidden="false" customHeight="false" outlineLevel="0" collapsed="false">
      <c r="A55" s="490" t="s">
        <v>413</v>
      </c>
      <c r="B55" s="31"/>
      <c r="C55" s="31"/>
      <c r="D55" s="292" t="n">
        <f aca="false">+-M48</f>
        <v>-0</v>
      </c>
      <c r="E55" s="531" t="e">
        <f aca="false">+N48</f>
        <v>#DIV/0!</v>
      </c>
      <c r="F55" s="31"/>
      <c r="G55" s="91"/>
      <c r="H55" s="44"/>
      <c r="I55" s="543" t="s">
        <v>414</v>
      </c>
      <c r="J55" s="544" t="n">
        <v>265881</v>
      </c>
      <c r="K55" s="545" t="n">
        <f aca="false">SUMPRODUCT($D$15:$D$16,$F$15:$F$16)/SUM($D$15:$D$16)</f>
        <v>-0.875309404111562</v>
      </c>
      <c r="L55" s="546" t="n">
        <f aca="false">SUMPRODUCT($D$15:$D$16,$K$15:$K$16)/SUM($D$15:$D$16)</f>
        <v>0.610737404111562</v>
      </c>
      <c r="N55" s="44"/>
    </row>
    <row r="56" customFormat="false" ht="12.75" hidden="false" customHeight="false" outlineLevel="0" collapsed="false">
      <c r="A56" s="490"/>
      <c r="B56" s="31" t="s">
        <v>415</v>
      </c>
      <c r="C56" s="31"/>
      <c r="D56" s="530" t="n">
        <f aca="false">SUM(D52:D55)</f>
        <v>0</v>
      </c>
      <c r="E56" s="547" t="s">
        <v>416</v>
      </c>
      <c r="F56" s="522" t="e">
        <f aca="false">SUM(E52:E55)</f>
        <v>#DIV/0!</v>
      </c>
      <c r="G56" s="91"/>
      <c r="H56" s="44"/>
      <c r="I56" s="543" t="s">
        <v>417</v>
      </c>
      <c r="J56" s="544" t="n">
        <v>272502</v>
      </c>
      <c r="K56" s="545" t="n">
        <f aca="false">SUMPRODUCT($D$17:$D$18,$F$17:$F$18)/SUM($D$17:$D$18)</f>
        <v>-0.610785369362102</v>
      </c>
      <c r="L56" s="546" t="n">
        <f aca="false">SUMPRODUCT($D$17:$D$18,$K$17:$K$18)/SUM($D$17:$D$18)</f>
        <v>0.610785369362102</v>
      </c>
      <c r="N56" s="45"/>
    </row>
    <row r="57" customFormat="false" ht="12.75" hidden="false" customHeight="false" outlineLevel="0" collapsed="false">
      <c r="A57" s="490"/>
      <c r="B57" s="31"/>
      <c r="C57" s="31"/>
      <c r="D57" s="530"/>
      <c r="E57" s="531"/>
      <c r="F57" s="31"/>
      <c r="G57" s="91"/>
      <c r="I57" s="543" t="s">
        <v>282</v>
      </c>
      <c r="J57" s="544" t="n">
        <v>265902</v>
      </c>
      <c r="K57" s="545" t="n">
        <f aca="false">SUMPRODUCT($D$13:$D$14,$F$13:$F$14)/SUM($D$13:$D$14)</f>
        <v>-0.610808137886742</v>
      </c>
      <c r="L57" s="546" t="n">
        <f aca="false">SUMPRODUCT($D$13:$D$14,$K$13:$K$14)/SUM($D$13:$D$14)</f>
        <v>0.610808137886742</v>
      </c>
    </row>
    <row r="58" customFormat="false" ht="12.75" hidden="false" customHeight="false" outlineLevel="0" collapsed="false">
      <c r="A58" s="490" t="s">
        <v>418</v>
      </c>
      <c r="B58" s="31"/>
      <c r="C58" s="31"/>
      <c r="D58" s="31"/>
      <c r="E58" s="548" t="n">
        <f aca="false">'[1]Enron Summary'!$G$48-'[1]Enron Summary'!$G$20</f>
        <v>0</v>
      </c>
      <c r="F58" s="31"/>
      <c r="G58" s="91"/>
      <c r="I58" s="543" t="s">
        <v>419</v>
      </c>
      <c r="J58" s="549" t="n">
        <v>1019833</v>
      </c>
      <c r="K58" s="550" t="n">
        <f aca="false">IF(SUM($D$19:$D$20)=0,"NA",SUMPRODUCT($D$19:$D$20,$F$19:$F$20)/SUM($D$19:$D$20))</f>
        <v>-0.778039298213324</v>
      </c>
      <c r="L58" s="551" t="n">
        <f aca="false">IF(SUM($D$19:$D$20)=0,"NA",SUMPRODUCT($D$19:$D$20,$K$19:$K$20)/SUM($D$19:$D$20))</f>
        <v>0.610767298213324</v>
      </c>
    </row>
    <row r="59" customFormat="false" ht="12.75" hidden="false" customHeight="false" outlineLevel="0" collapsed="false">
      <c r="A59" s="90" t="s">
        <v>420</v>
      </c>
      <c r="B59" s="31"/>
      <c r="C59" s="31"/>
      <c r="D59" s="31"/>
      <c r="E59" s="531"/>
      <c r="F59" s="31"/>
      <c r="G59" s="91"/>
      <c r="I59" s="552" t="s">
        <v>421</v>
      </c>
      <c r="J59" s="553" t="n">
        <v>1073420</v>
      </c>
      <c r="K59" s="554" t="n">
        <f aca="false">IF(SUM($D$21:$D$22)=0,"NA",SUMPRODUCT($D$21:$D$22,$F$21:$F$22)/SUM($D$21:$D$22))</f>
        <v>-0.661392595198916</v>
      </c>
      <c r="L59" s="555" t="n">
        <f aca="false">IF(SUM($D$21:$D$22)=0,"NA",SUMPRODUCT($D$21:$D$22,$K$21:$K$22)/SUM($D$21:$D$22))</f>
        <v>0.611392595198916</v>
      </c>
    </row>
    <row r="60" customFormat="false" ht="12.75" hidden="false" customHeight="false" outlineLevel="0" collapsed="false">
      <c r="A60" s="90"/>
      <c r="B60" s="31"/>
      <c r="C60" s="31"/>
      <c r="D60" s="31"/>
      <c r="E60" s="547" t="s">
        <v>422</v>
      </c>
      <c r="F60" s="556" t="n">
        <f aca="false">SUM(E58:E59)</f>
        <v>0</v>
      </c>
      <c r="G60" s="91"/>
      <c r="J60" s="24"/>
      <c r="K60" s="557"/>
      <c r="L60" s="557"/>
    </row>
    <row r="61" customFormat="false" ht="12.75" hidden="false" customHeight="false" outlineLevel="0" collapsed="false">
      <c r="A61" s="90"/>
      <c r="B61" s="31"/>
      <c r="C61" s="31"/>
      <c r="D61" s="31"/>
      <c r="E61" s="31"/>
      <c r="F61" s="31"/>
      <c r="G61" s="91"/>
      <c r="J61" s="24"/>
      <c r="K61" s="557"/>
      <c r="L61" s="557"/>
    </row>
    <row r="62" customFormat="false" ht="12.75" hidden="false" customHeight="false" outlineLevel="0" collapsed="false">
      <c r="A62" s="90"/>
      <c r="B62" s="31"/>
      <c r="C62" s="31"/>
      <c r="D62" s="31"/>
      <c r="E62" s="547" t="s">
        <v>423</v>
      </c>
      <c r="F62" s="531" t="e">
        <f aca="false">SUM(F56:F60)</f>
        <v>#DIV/0!</v>
      </c>
      <c r="G62" s="91"/>
      <c r="L62" s="43"/>
    </row>
    <row r="63" customFormat="false" ht="13.5" hidden="false" customHeight="false" outlineLevel="0" collapsed="false">
      <c r="A63" s="331"/>
      <c r="B63" s="30"/>
      <c r="C63" s="30"/>
      <c r="D63" s="30"/>
      <c r="E63" s="30"/>
      <c r="F63" s="30"/>
      <c r="G63" s="362"/>
    </row>
  </sheetData>
  <printOptions headings="false" gridLines="false" gridLinesSet="true" horizontalCentered="false" verticalCentered="false"/>
  <pageMargins left="0.25" right="0.25" top="0.5" bottom="0.5" header="0.5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&amp;L&amp;F&amp;C&amp;A</oddHeader>
    <oddFooter>&amp;LScott Sitter&amp;CPage &amp;P&amp;R&amp;D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52" activeCellId="0" sqref="E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6.99"/>
    <col collapsed="false" customWidth="true" hidden="false" outlineLevel="0" max="3" min="3" style="0" width="17.85"/>
    <col collapsed="false" customWidth="true" hidden="false" outlineLevel="0" max="4" min="4" style="0" width="10.85"/>
    <col collapsed="false" customWidth="true" hidden="false" outlineLevel="0" max="5" min="5" style="0" width="17.42"/>
    <col collapsed="false" customWidth="true" hidden="false" outlineLevel="0" max="6" min="6" style="0" width="22.7"/>
    <col collapsed="false" customWidth="true" hidden="false" outlineLevel="0" max="7" min="7" style="0" width="15.41"/>
    <col collapsed="false" customWidth="true" hidden="false" outlineLevel="0" max="8" min="8" style="0" width="16.13"/>
    <col collapsed="false" customWidth="true" hidden="false" outlineLevel="0" max="9" min="9" style="0" width="12.42"/>
    <col collapsed="false" customWidth="true" hidden="false" outlineLevel="0" max="10" min="10" style="0" width="17.99"/>
    <col collapsed="false" customWidth="true" hidden="false" outlineLevel="0" max="11" min="11" style="0" width="16.13"/>
    <col collapsed="false" customWidth="true" hidden="false" outlineLevel="0" max="12" min="12" style="0" width="17.28"/>
    <col collapsed="false" customWidth="true" hidden="false" outlineLevel="0" max="13" min="13" style="0" width="17.99"/>
    <col collapsed="false" customWidth="true" hidden="false" outlineLevel="0" max="14" min="14" style="0" width="14.56"/>
    <col collapsed="false" customWidth="true" hidden="false" outlineLevel="0" max="15" min="15" style="0" width="19.41"/>
    <col collapsed="false" customWidth="true" hidden="false" outlineLevel="0" max="17" min="17" style="0" width="10.28"/>
  </cols>
  <sheetData>
    <row r="1" customFormat="false" ht="12.75" hidden="false" customHeight="false" outlineLevel="0" collapsed="false">
      <c r="A1" s="32" t="s">
        <v>48</v>
      </c>
      <c r="B1" s="32" t="s">
        <v>49</v>
      </c>
      <c r="C1" s="32" t="s">
        <v>50</v>
      </c>
      <c r="F1" s="0" t="s">
        <v>51</v>
      </c>
      <c r="H1" s="32"/>
      <c r="I1" s="32"/>
      <c r="J1" s="32"/>
      <c r="N1" s="3" t="n">
        <f aca="true">NOW()</f>
        <v>45926.8884092499</v>
      </c>
    </row>
    <row r="2" customFormat="false" ht="12.75" hidden="false" customHeight="false" outlineLevel="0" collapsed="false">
      <c r="A2" s="33" t="n">
        <f aca="false">+'Index Pricing'!A1</f>
        <v>37196</v>
      </c>
      <c r="B2" s="32" t="s">
        <v>52</v>
      </c>
      <c r="C2" s="32" t="s">
        <v>53</v>
      </c>
      <c r="H2" s="32"/>
      <c r="I2" s="32"/>
      <c r="J2" s="32"/>
    </row>
    <row r="3" customFormat="false" ht="12.75" hidden="false" customHeight="false" outlineLevel="0" collapsed="false">
      <c r="A3" s="33"/>
      <c r="B3" s="32" t="s">
        <v>54</v>
      </c>
      <c r="C3" s="32" t="s">
        <v>55</v>
      </c>
      <c r="F3" s="0" t="s">
        <v>56</v>
      </c>
      <c r="G3" s="0" t="s">
        <v>57</v>
      </c>
      <c r="H3" s="32"/>
      <c r="I3" s="32"/>
      <c r="J3" s="32"/>
    </row>
    <row r="4" customFormat="false" ht="12.75" hidden="false" customHeight="false" outlineLevel="0" collapsed="false">
      <c r="A4" s="33"/>
      <c r="B4" s="32"/>
      <c r="C4" s="32"/>
      <c r="H4" s="32"/>
      <c r="I4" s="32"/>
      <c r="J4" s="32"/>
    </row>
    <row r="5" customFormat="false" ht="12.75" hidden="false" customHeight="false" outlineLevel="0" collapsed="false">
      <c r="A5" s="62" t="s">
        <v>58</v>
      </c>
      <c r="B5" s="63" t="n">
        <f aca="false">'[1]Enron Detail'!$L$9</f>
        <v>0.936996871034302</v>
      </c>
    </row>
    <row r="6" customFormat="false" ht="12.75" hidden="false" customHeight="false" outlineLevel="0" collapsed="false">
      <c r="A6" s="62" t="s">
        <v>59</v>
      </c>
      <c r="B6" s="46" t="n">
        <f aca="false">0.35</f>
        <v>0.35</v>
      </c>
      <c r="C6" s="0" t="s">
        <v>60</v>
      </c>
    </row>
    <row r="7" customFormat="false" ht="12.75" hidden="false" customHeight="false" outlineLevel="0" collapsed="false">
      <c r="A7" s="62" t="str">
        <f aca="false">+'Index Pricing'!A3</f>
        <v>IF CIG Rockies</v>
      </c>
      <c r="B7" s="54" t="n">
        <f aca="false">+'Index Pricing'!B3</f>
        <v>2.54</v>
      </c>
    </row>
    <row r="8" customFormat="false" ht="12.75" hidden="false" customHeight="false" outlineLevel="0" collapsed="false">
      <c r="A8" s="62" t="str">
        <f aca="false">+'Index Pricing'!A4</f>
        <v>IF NGPL Midcont.</v>
      </c>
      <c r="B8" s="54" t="n">
        <f aca="false">+'Index Pricing'!B4</f>
        <v>3.04</v>
      </c>
    </row>
    <row r="9" customFormat="false" ht="12.75" hidden="false" customHeight="false" outlineLevel="0" collapsed="false">
      <c r="A9" s="62"/>
      <c r="B9" s="54"/>
    </row>
    <row r="10" customFormat="false" ht="12.75" hidden="false" customHeight="false" outlineLevel="0" collapsed="false">
      <c r="A10" s="64"/>
      <c r="B10" s="54"/>
    </row>
    <row r="11" customFormat="false" ht="13.5" hidden="false" customHeight="false" outlineLevel="0" collapsed="false">
      <c r="A11" s="62"/>
    </row>
    <row r="12" customFormat="false" ht="38.25" hidden="false" customHeight="false" outlineLevel="0" collapsed="false">
      <c r="A12" s="65"/>
      <c r="B12" s="66"/>
      <c r="C12" s="67" t="s">
        <v>61</v>
      </c>
      <c r="D12" s="67" t="s">
        <v>62</v>
      </c>
      <c r="E12" s="67" t="s">
        <v>63</v>
      </c>
      <c r="F12" s="68" t="str">
        <f aca="false">"WIC Med.Bow Fuel ("&amp;'Index Pricing'!$F$3*100&amp;"%*CIGindex)"</f>
        <v>WIC Med.Bow Fuel (0.68%*CIGindex)</v>
      </c>
      <c r="G12" s="67" t="s">
        <v>64</v>
      </c>
      <c r="H12" s="67" t="s">
        <v>65</v>
      </c>
      <c r="I12" s="67" t="s">
        <v>66</v>
      </c>
      <c r="J12" s="69" t="s">
        <v>67</v>
      </c>
      <c r="K12" s="70"/>
      <c r="L12" s="70"/>
      <c r="M12" s="70"/>
      <c r="N12" s="70"/>
      <c r="O12" s="70"/>
      <c r="P12" s="24"/>
      <c r="Q12" s="24"/>
    </row>
    <row r="13" customFormat="false" ht="12.75" hidden="false" customHeight="false" outlineLevel="0" collapsed="false">
      <c r="A13" s="71" t="s">
        <v>68</v>
      </c>
      <c r="B13" s="72" t="s">
        <v>36</v>
      </c>
      <c r="C13" s="73" t="n">
        <v>-0.02</v>
      </c>
      <c r="D13" s="72" t="n">
        <f aca="false">-B6/B5</f>
        <v>-0.373533798051698</v>
      </c>
      <c r="E13" s="72" t="n">
        <v>0</v>
      </c>
      <c r="F13" s="72" t="n">
        <v>0</v>
      </c>
      <c r="G13" s="72" t="n">
        <v>0</v>
      </c>
      <c r="H13" s="74" t="n">
        <v>0</v>
      </c>
      <c r="I13" s="72" t="n">
        <f aca="false">-+J51*D13/(D51+F51+H51)</f>
        <v>-0.0179331676585169</v>
      </c>
      <c r="J13" s="75" t="n">
        <f aca="false">ROUND(SUM(C13:I13),4)</f>
        <v>-0.4115</v>
      </c>
    </row>
    <row r="14" customFormat="false" ht="12.75" hidden="false" customHeight="false" outlineLevel="0" collapsed="false">
      <c r="A14" s="71"/>
      <c r="B14" s="72" t="s">
        <v>3</v>
      </c>
      <c r="C14" s="73" t="n">
        <v>0.01</v>
      </c>
      <c r="D14" s="72" t="n">
        <f aca="false">-B6/B5</f>
        <v>-0.373533798051698</v>
      </c>
      <c r="E14" s="72" t="n">
        <f aca="false">-0.13-0.0025-0.0022</f>
        <v>-0.1347</v>
      </c>
      <c r="F14" s="72" t="n">
        <f aca="false">-'Index Pricing'!$F$3*'Index Pricing'!B3</f>
        <v>-0.017272</v>
      </c>
      <c r="G14" s="72" t="n">
        <v>-0.1226</v>
      </c>
      <c r="H14" s="72" t="n">
        <v>0</v>
      </c>
      <c r="I14" s="72" t="n">
        <f aca="false">+I13</f>
        <v>-0.0179331676585169</v>
      </c>
      <c r="J14" s="75" t="n">
        <f aca="false">ROUND(SUM(C14:I14),4)</f>
        <v>-0.656</v>
      </c>
    </row>
    <row r="15" customFormat="false" ht="13.5" hidden="false" customHeight="false" outlineLevel="0" collapsed="false">
      <c r="A15" s="76"/>
      <c r="B15" s="77" t="s">
        <v>0</v>
      </c>
      <c r="C15" s="78" t="n">
        <v>0.125</v>
      </c>
      <c r="D15" s="77" t="n">
        <f aca="false">-B6/B5</f>
        <v>-0.373533798051698</v>
      </c>
      <c r="E15" s="77" t="n">
        <f aca="false">-0.13-0.0025-0.0022</f>
        <v>-0.1347</v>
      </c>
      <c r="F15" s="77" t="n">
        <f aca="false">-'Index Pricing'!$F$3*'Index Pricing'!B3</f>
        <v>-0.017272</v>
      </c>
      <c r="G15" s="77"/>
      <c r="H15" s="77"/>
      <c r="I15" s="77" t="n">
        <f aca="false">+I14</f>
        <v>-0.0179331676585169</v>
      </c>
      <c r="J15" s="79" t="n">
        <f aca="false">ROUND(SUM(C15:I15),4)</f>
        <v>-0.4184</v>
      </c>
    </row>
    <row r="16" customFormat="false" ht="13.5" hidden="false" customHeight="false" outlineLevel="0" collapsed="false"/>
    <row r="17" customFormat="false" ht="39" hidden="false" customHeight="false" outlineLevel="0" collapsed="false">
      <c r="A17" s="80"/>
      <c r="B17" s="80"/>
      <c r="C17" s="81" t="s">
        <v>69</v>
      </c>
      <c r="D17" s="82" t="s">
        <v>70</v>
      </c>
      <c r="E17" s="81" t="s">
        <v>71</v>
      </c>
      <c r="F17" s="82" t="s">
        <v>72</v>
      </c>
      <c r="G17" s="81" t="s">
        <v>73</v>
      </c>
      <c r="H17" s="82" t="s">
        <v>74</v>
      </c>
      <c r="I17" s="83"/>
      <c r="J17" s="80" t="s">
        <v>75</v>
      </c>
      <c r="K17" s="80" t="s">
        <v>76</v>
      </c>
      <c r="L17" s="84" t="s">
        <v>77</v>
      </c>
      <c r="M17" s="85" t="s">
        <v>78</v>
      </c>
      <c r="N17" s="82" t="s">
        <v>79</v>
      </c>
      <c r="O17" s="86" t="s">
        <v>80</v>
      </c>
    </row>
    <row r="18" customFormat="false" ht="13.5" hidden="false" customHeight="false" outlineLevel="0" collapsed="false">
      <c r="B18" s="87" t="s">
        <v>81</v>
      </c>
      <c r="C18" s="88" t="s">
        <v>82</v>
      </c>
      <c r="D18" s="89"/>
      <c r="E18" s="88" t="s">
        <v>83</v>
      </c>
      <c r="F18" s="89"/>
      <c r="G18" s="88" t="s">
        <v>84</v>
      </c>
      <c r="H18" s="89"/>
      <c r="I18" s="31"/>
      <c r="L18" s="90"/>
      <c r="M18" s="31"/>
      <c r="N18" s="91"/>
      <c r="O18" s="54"/>
    </row>
    <row r="19" customFormat="false" ht="12.75" hidden="false" customHeight="false" outlineLevel="0" collapsed="false">
      <c r="A19" s="8" t="n">
        <f aca="false">+'Index Pricing'!A7</f>
        <v>37196</v>
      </c>
      <c r="B19" s="41" t="n">
        <f aca="false">+'Index Pricing'!B7</f>
        <v>2.67</v>
      </c>
      <c r="C19" s="92" t="n">
        <f aca="false">+B19+$J$13</f>
        <v>2.2585</v>
      </c>
      <c r="D19" s="93" t="n">
        <f aca="false">+K19+J19-F19-H19</f>
        <v>2606</v>
      </c>
      <c r="E19" s="94" t="n">
        <f aca="false">+'Index Pricing'!$B$4+$J$14</f>
        <v>2.384</v>
      </c>
      <c r="F19" s="95" t="n">
        <f aca="false">ROUND(IF(((K19+J19)*0.8)&gt;=10000,10000,((K19+J19)*0.8)),0)</f>
        <v>10000</v>
      </c>
      <c r="G19" s="94" t="n">
        <f aca="false">+'Index Pricing'!$B$3+$J$15</f>
        <v>2.1216</v>
      </c>
      <c r="H19" s="96" t="n">
        <f aca="false">ROUND(+IF(((K19+J19)*0.8)&gt;=10000,((K19+J19)*0.8)-10000,0),0)</f>
        <v>425</v>
      </c>
      <c r="I19" s="31"/>
      <c r="J19" s="43" t="n">
        <f aca="false">'[1]Enron Detail'!M14</f>
        <v>-600</v>
      </c>
      <c r="K19" s="43" t="n">
        <f aca="false">'[1]Enron Detail'!L14</f>
        <v>13631</v>
      </c>
      <c r="L19" s="97" t="n">
        <f aca="false">+C19*D19</f>
        <v>5885.651</v>
      </c>
      <c r="M19" s="98" t="n">
        <f aca="false">+E19*F19</f>
        <v>23840</v>
      </c>
      <c r="N19" s="99" t="n">
        <f aca="false">+G19*H19</f>
        <v>901.68</v>
      </c>
      <c r="O19" s="54" t="n">
        <f aca="false">+C19*D19+E19*F19+G19*H19</f>
        <v>30627.331</v>
      </c>
    </row>
    <row r="20" customFormat="false" ht="12.75" hidden="false" customHeight="false" outlineLevel="0" collapsed="false">
      <c r="A20" s="8" t="n">
        <f aca="false">+'Index Pricing'!A8</f>
        <v>37197</v>
      </c>
      <c r="B20" s="41" t="n">
        <f aca="false">+'Index Pricing'!B8</f>
        <v>2.36</v>
      </c>
      <c r="C20" s="100" t="n">
        <f aca="false">+B20+$J$13</f>
        <v>1.9485</v>
      </c>
      <c r="D20" s="101" t="n">
        <f aca="false">+K20+J20-F20-H20</f>
        <v>2548</v>
      </c>
      <c r="E20" s="102" t="n">
        <f aca="false">+'Index Pricing'!$B$4+$J$14</f>
        <v>2.384</v>
      </c>
      <c r="F20" s="103" t="n">
        <f aca="false">ROUND(IF(((K20+J20)*0.8)&gt;=10000,10000,((K20+J20)*0.8)),0)</f>
        <v>10000</v>
      </c>
      <c r="G20" s="102" t="n">
        <f aca="false">+'Index Pricing'!$B$3+$J$15</f>
        <v>2.1216</v>
      </c>
      <c r="H20" s="104" t="n">
        <f aca="false">ROUND(+IF(((K20+J20)*0.8)&gt;=10000,((K20+J20)*0.8)-10000,0),0)</f>
        <v>193</v>
      </c>
      <c r="I20" s="31"/>
      <c r="J20" s="43" t="n">
        <f aca="false">'[1]Enron Detail'!M15</f>
        <v>-603</v>
      </c>
      <c r="K20" s="43" t="n">
        <f aca="false">'[1]Enron Detail'!L15</f>
        <v>13344</v>
      </c>
      <c r="L20" s="97" t="n">
        <f aca="false">+C20*D20</f>
        <v>4964.778</v>
      </c>
      <c r="M20" s="98" t="n">
        <f aca="false">+E20*F20</f>
        <v>23840</v>
      </c>
      <c r="N20" s="99" t="n">
        <f aca="false">+G20*H20</f>
        <v>409.4688</v>
      </c>
      <c r="O20" s="54" t="n">
        <f aca="false">+C20*D20+E20*F20+G20*H20</f>
        <v>29214.2468</v>
      </c>
    </row>
    <row r="21" customFormat="false" ht="12.75" hidden="false" customHeight="false" outlineLevel="0" collapsed="false">
      <c r="A21" s="8" t="n">
        <f aca="false">+'Index Pricing'!A9</f>
        <v>37198</v>
      </c>
      <c r="B21" s="41" t="n">
        <f aca="false">+'Index Pricing'!B9</f>
        <v>2.015</v>
      </c>
      <c r="C21" s="100" t="n">
        <f aca="false">+B21+$J$13</f>
        <v>1.6035</v>
      </c>
      <c r="D21" s="101" t="n">
        <f aca="false">+K21+J21-F21-H21</f>
        <v>2484</v>
      </c>
      <c r="E21" s="102" t="n">
        <f aca="false">+'Index Pricing'!$B$4+$J$14</f>
        <v>2.384</v>
      </c>
      <c r="F21" s="103" t="n">
        <f aca="false">ROUND(IF(((K21+J21)*0.8)&gt;=10000,10000,((K21+J21)*0.8)),0)</f>
        <v>9934</v>
      </c>
      <c r="G21" s="102" t="n">
        <f aca="false">+'Index Pricing'!$B$3+$J$15</f>
        <v>2.1216</v>
      </c>
      <c r="H21" s="104" t="n">
        <f aca="false">ROUND(+IF(((K21+J21)*0.8)&gt;=10000,((K21+J21)*0.8)-10000,0),0)</f>
        <v>0</v>
      </c>
      <c r="I21" s="31"/>
      <c r="J21" s="43" t="n">
        <f aca="false">'[1]Enron Detail'!M16</f>
        <v>-589</v>
      </c>
      <c r="K21" s="43" t="n">
        <f aca="false">'[1]Enron Detail'!L16</f>
        <v>13007</v>
      </c>
      <c r="L21" s="97" t="n">
        <f aca="false">+C21*D21</f>
        <v>3983.094</v>
      </c>
      <c r="M21" s="98" t="n">
        <f aca="false">+E21*F21</f>
        <v>23682.656</v>
      </c>
      <c r="N21" s="99" t="n">
        <f aca="false">+G21*H21</f>
        <v>0</v>
      </c>
      <c r="O21" s="54" t="n">
        <f aca="false">+C21*D21+E21*F21+G21*H21</f>
        <v>27665.75</v>
      </c>
    </row>
    <row r="22" customFormat="false" ht="12.75" hidden="false" customHeight="false" outlineLevel="0" collapsed="false">
      <c r="A22" s="8" t="n">
        <f aca="false">+'Index Pricing'!A10</f>
        <v>37199</v>
      </c>
      <c r="B22" s="41" t="n">
        <f aca="false">+'Index Pricing'!B10</f>
        <v>2.015</v>
      </c>
      <c r="C22" s="100" t="n">
        <f aca="false">+B22+$J$13</f>
        <v>1.6035</v>
      </c>
      <c r="D22" s="101" t="n">
        <f aca="false">+K22+J22-F22-H22</f>
        <v>2596</v>
      </c>
      <c r="E22" s="102" t="n">
        <f aca="false">+'Index Pricing'!$B$4+$J$14</f>
        <v>2.384</v>
      </c>
      <c r="F22" s="103" t="n">
        <f aca="false">ROUND(IF(((K22+J22)*0.8)&gt;=10000,10000,((K22+J22)*0.8)),0)</f>
        <v>10000</v>
      </c>
      <c r="G22" s="102" t="n">
        <f aca="false">+'Index Pricing'!$B$3+$J$15</f>
        <v>2.1216</v>
      </c>
      <c r="H22" s="104" t="n">
        <f aca="false">ROUND(+IF(((K22+J22)*0.8)&gt;=10000,((K22+J22)*0.8)-10000,0),0)</f>
        <v>382</v>
      </c>
      <c r="I22" s="31"/>
      <c r="J22" s="43" t="n">
        <f aca="false">'[1]Enron Detail'!M17</f>
        <v>-616</v>
      </c>
      <c r="K22" s="43" t="n">
        <f aca="false">'[1]Enron Detail'!L17</f>
        <v>13594</v>
      </c>
      <c r="L22" s="97" t="n">
        <f aca="false">+C22*D22</f>
        <v>4162.686</v>
      </c>
      <c r="M22" s="98" t="n">
        <f aca="false">+E22*F22</f>
        <v>23840</v>
      </c>
      <c r="N22" s="99" t="n">
        <f aca="false">+G22*H22</f>
        <v>810.4512</v>
      </c>
      <c r="O22" s="54" t="n">
        <f aca="false">+C22*D22+E22*F22+G22*H22</f>
        <v>28813.1372</v>
      </c>
    </row>
    <row r="23" customFormat="false" ht="12.75" hidden="false" customHeight="false" outlineLevel="0" collapsed="false">
      <c r="A23" s="8" t="n">
        <f aca="false">+'Index Pricing'!A11</f>
        <v>37200</v>
      </c>
      <c r="B23" s="41" t="n">
        <f aca="false">+'Index Pricing'!B11</f>
        <v>2.015</v>
      </c>
      <c r="C23" s="100" t="n">
        <f aca="false">+B23+$J$13</f>
        <v>1.6035</v>
      </c>
      <c r="D23" s="101" t="n">
        <f aca="false">+K23+J23-F23-H23</f>
        <v>2542</v>
      </c>
      <c r="E23" s="102" t="n">
        <f aca="false">+'Index Pricing'!$B$4+$J$14</f>
        <v>2.384</v>
      </c>
      <c r="F23" s="103" t="n">
        <f aca="false">ROUND(IF(((K23+J23)*0.8)&gt;=10000,10000,((K23+J23)*0.8)),0)</f>
        <v>10000</v>
      </c>
      <c r="G23" s="102" t="n">
        <f aca="false">+'Index Pricing'!$B$3+$J$15</f>
        <v>2.1216</v>
      </c>
      <c r="H23" s="104" t="n">
        <f aca="false">ROUND(+IF(((K23+J23)*0.8)&gt;=10000,((K23+J23)*0.8)-10000,0),0)</f>
        <v>168</v>
      </c>
      <c r="I23" s="31"/>
      <c r="J23" s="43" t="n">
        <f aca="false">'[1]Enron Detail'!M18</f>
        <v>-601</v>
      </c>
      <c r="K23" s="43" t="n">
        <f aca="false">'[1]Enron Detail'!L18</f>
        <v>13311</v>
      </c>
      <c r="L23" s="97" t="n">
        <f aca="false">+C23*D23</f>
        <v>4076.097</v>
      </c>
      <c r="M23" s="98" t="n">
        <f aca="false">+E23*F23</f>
        <v>23840</v>
      </c>
      <c r="N23" s="99" t="n">
        <f aca="false">+G23*H23</f>
        <v>356.4288</v>
      </c>
      <c r="O23" s="54" t="n">
        <f aca="false">+C23*D23+E23*F23+G23*H23</f>
        <v>28272.5258</v>
      </c>
    </row>
    <row r="24" customFormat="false" ht="12.75" hidden="false" customHeight="false" outlineLevel="0" collapsed="false">
      <c r="A24" s="8" t="n">
        <f aca="false">+'Index Pricing'!A12</f>
        <v>37201</v>
      </c>
      <c r="B24" s="41" t="n">
        <f aca="false">+'Index Pricing'!B12</f>
        <v>2.16</v>
      </c>
      <c r="C24" s="100" t="n">
        <f aca="false">+B24+$J$13</f>
        <v>1.7485</v>
      </c>
      <c r="D24" s="101" t="n">
        <f aca="false">+K24+J24-F24-H24</f>
        <v>2493</v>
      </c>
      <c r="E24" s="102" t="n">
        <f aca="false">+'Index Pricing'!$B$4+$J$14</f>
        <v>2.384</v>
      </c>
      <c r="F24" s="103" t="n">
        <f aca="false">ROUND(IF(((K24+J24)*0.8)&gt;=10000,10000,((K24+J24)*0.8)),0)</f>
        <v>9973</v>
      </c>
      <c r="G24" s="102" t="n">
        <f aca="false">+'Index Pricing'!$B$3+$J$15</f>
        <v>2.1216</v>
      </c>
      <c r="H24" s="104" t="n">
        <f aca="false">ROUND(+IF(((K24+J24)*0.8)&gt;=10000,((K24+J24)*0.8)-10000,0),0)</f>
        <v>0</v>
      </c>
      <c r="I24" s="31"/>
      <c r="J24" s="43" t="n">
        <f aca="false">'[1]Enron Detail'!M19</f>
        <v>-624</v>
      </c>
      <c r="K24" s="43" t="n">
        <f aca="false">'[1]Enron Detail'!L19</f>
        <v>13090</v>
      </c>
      <c r="L24" s="97" t="n">
        <f aca="false">+C24*D24</f>
        <v>4359.0105</v>
      </c>
      <c r="M24" s="98" t="n">
        <f aca="false">+E24*F24</f>
        <v>23775.632</v>
      </c>
      <c r="N24" s="99" t="n">
        <f aca="false">+G24*H24</f>
        <v>0</v>
      </c>
      <c r="O24" s="54" t="n">
        <f aca="false">+C24*D24+E24*F24+G24*H24</f>
        <v>28134.6425</v>
      </c>
    </row>
    <row r="25" customFormat="false" ht="12.75" hidden="false" customHeight="false" outlineLevel="0" collapsed="false">
      <c r="A25" s="8" t="n">
        <f aca="false">+'Index Pricing'!A13</f>
        <v>37202</v>
      </c>
      <c r="B25" s="41" t="n">
        <f aca="false">+'Index Pricing'!B13</f>
        <v>2.135</v>
      </c>
      <c r="C25" s="100" t="n">
        <f aca="false">+B25+$J$13</f>
        <v>1.7235</v>
      </c>
      <c r="D25" s="101" t="n">
        <f aca="false">+K25+J25-F25-H25</f>
        <v>2520</v>
      </c>
      <c r="E25" s="102" t="n">
        <f aca="false">+'Index Pricing'!$B$4+$J$14</f>
        <v>2.384</v>
      </c>
      <c r="F25" s="103" t="n">
        <f aca="false">ROUND(IF(((K25+J25)*0.8)&gt;=10000,10000,((K25+J25)*0.8)),0)</f>
        <v>10000</v>
      </c>
      <c r="G25" s="102" t="n">
        <f aca="false">+'Index Pricing'!$B$3+$J$15</f>
        <v>2.1216</v>
      </c>
      <c r="H25" s="104" t="n">
        <f aca="false">ROUND(+IF(((K25+J25)*0.8)&gt;=10000,((K25+J25)*0.8)-10000,0),0)</f>
        <v>79</v>
      </c>
      <c r="I25" s="31"/>
      <c r="J25" s="43" t="n">
        <f aca="false">'[1]Enron Detail'!M20</f>
        <v>-615</v>
      </c>
      <c r="K25" s="43" t="n">
        <f aca="false">'[1]Enron Detail'!L20</f>
        <v>13214</v>
      </c>
      <c r="L25" s="97" t="n">
        <f aca="false">+C25*D25</f>
        <v>4343.22</v>
      </c>
      <c r="M25" s="98" t="n">
        <f aca="false">+E25*F25</f>
        <v>23840</v>
      </c>
      <c r="N25" s="99" t="n">
        <f aca="false">+G25*H25</f>
        <v>167.6064</v>
      </c>
      <c r="O25" s="54" t="n">
        <f aca="false">+C25*D25+E25*F25+G25*H25</f>
        <v>28350.8264</v>
      </c>
    </row>
    <row r="26" customFormat="false" ht="12.75" hidden="false" customHeight="false" outlineLevel="0" collapsed="false">
      <c r="A26" s="8" t="n">
        <f aca="false">+'Index Pricing'!A14</f>
        <v>37203</v>
      </c>
      <c r="B26" s="41" t="n">
        <f aca="false">+'Index Pricing'!B14</f>
        <v>2.13</v>
      </c>
      <c r="C26" s="100" t="n">
        <f aca="false">+B26+$J$13</f>
        <v>1.7185</v>
      </c>
      <c r="D26" s="101" t="n">
        <f aca="false">+K26+J26-F26-H26</f>
        <v>2577</v>
      </c>
      <c r="E26" s="102" t="n">
        <f aca="false">+'Index Pricing'!$B$4+$J$14</f>
        <v>2.384</v>
      </c>
      <c r="F26" s="103" t="n">
        <f aca="false">ROUND(IF(((K26+J26)*0.8)&gt;=10000,10000,((K26+J26)*0.8)),0)</f>
        <v>10000</v>
      </c>
      <c r="G26" s="102" t="n">
        <f aca="false">+'Index Pricing'!$B$3+$J$15</f>
        <v>2.1216</v>
      </c>
      <c r="H26" s="104" t="n">
        <f aca="false">ROUND(+IF(((K26+J26)*0.8)&gt;=10000,((K26+J26)*0.8)-10000,0),0)</f>
        <v>306</v>
      </c>
      <c r="I26" s="31"/>
      <c r="J26" s="43" t="n">
        <f aca="false">'[1]Enron Detail'!M21</f>
        <v>-617</v>
      </c>
      <c r="K26" s="43" t="n">
        <f aca="false">'[1]Enron Detail'!L21</f>
        <v>13500</v>
      </c>
      <c r="L26" s="97" t="n">
        <f aca="false">+C26*D26</f>
        <v>4428.5745</v>
      </c>
      <c r="M26" s="98" t="n">
        <f aca="false">+E26*F26</f>
        <v>23840</v>
      </c>
      <c r="N26" s="99" t="n">
        <f aca="false">+G26*H26</f>
        <v>649.2096</v>
      </c>
      <c r="O26" s="54" t="n">
        <f aca="false">+C26*D26+E26*F26+G26*H26</f>
        <v>28917.7841</v>
      </c>
    </row>
    <row r="27" customFormat="false" ht="12.75" hidden="false" customHeight="false" outlineLevel="0" collapsed="false">
      <c r="A27" s="8" t="n">
        <f aca="false">+'Index Pricing'!A15</f>
        <v>37204</v>
      </c>
      <c r="B27" s="41" t="n">
        <f aca="false">+'Index Pricing'!B15</f>
        <v>1.935</v>
      </c>
      <c r="C27" s="100" t="n">
        <f aca="false">+B27+$J$13</f>
        <v>1.5235</v>
      </c>
      <c r="D27" s="101" t="n">
        <f aca="false">+K27+J27-F27-H27</f>
        <v>2605</v>
      </c>
      <c r="E27" s="102" t="n">
        <f aca="false">+'Index Pricing'!$B$4+$J$14</f>
        <v>2.384</v>
      </c>
      <c r="F27" s="103" t="n">
        <f aca="false">ROUND(IF(((K27+J27)*0.8)&gt;=10000,10000,((K27+J27)*0.8)),0)</f>
        <v>10000</v>
      </c>
      <c r="G27" s="102" t="n">
        <f aca="false">+'Index Pricing'!$B$3+$J$15</f>
        <v>2.1216</v>
      </c>
      <c r="H27" s="104" t="n">
        <f aca="false">ROUND(+IF(((K27+J27)*0.8)&gt;=10000,((K27+J27)*0.8)-10000,0),0)</f>
        <v>420</v>
      </c>
      <c r="I27" s="31"/>
      <c r="J27" s="43" t="n">
        <f aca="false">'[1]Enron Detail'!M22</f>
        <v>-624</v>
      </c>
      <c r="K27" s="43" t="n">
        <f aca="false">'[1]Enron Detail'!L22</f>
        <v>13649</v>
      </c>
      <c r="L27" s="97" t="n">
        <f aca="false">+C27*D27</f>
        <v>3968.7175</v>
      </c>
      <c r="M27" s="98" t="n">
        <f aca="false">+E27*F27</f>
        <v>23840</v>
      </c>
      <c r="N27" s="99" t="n">
        <f aca="false">+G27*H27</f>
        <v>891.072</v>
      </c>
      <c r="O27" s="54" t="n">
        <f aca="false">+C27*D27+E27*F27+G27*H27</f>
        <v>28699.7895</v>
      </c>
    </row>
    <row r="28" customFormat="false" ht="12.75" hidden="false" customHeight="false" outlineLevel="0" collapsed="false">
      <c r="A28" s="8" t="n">
        <f aca="false">+'Index Pricing'!A16</f>
        <v>37205</v>
      </c>
      <c r="B28" s="41" t="n">
        <f aca="false">+'Index Pricing'!B16</f>
        <v>1.7</v>
      </c>
      <c r="C28" s="100" t="n">
        <f aca="false">+B28+$J$13</f>
        <v>1.2885</v>
      </c>
      <c r="D28" s="101" t="n">
        <f aca="false">+K28+J28-F28-H28</f>
        <v>2587</v>
      </c>
      <c r="E28" s="102" t="n">
        <f aca="false">+'Index Pricing'!$B$4+$J$14</f>
        <v>2.384</v>
      </c>
      <c r="F28" s="103" t="n">
        <f aca="false">ROUND(IF(((K28+J28)*0.8)&gt;=10000,10000,((K28+J28)*0.8)),0)</f>
        <v>10000</v>
      </c>
      <c r="G28" s="102" t="n">
        <f aca="false">+'Index Pricing'!$B$3+$J$15</f>
        <v>2.1216</v>
      </c>
      <c r="H28" s="104" t="n">
        <f aca="false">ROUND(+IF(((K28+J28)*0.8)&gt;=10000,((K28+J28)*0.8)-10000,0),0)</f>
        <v>346</v>
      </c>
      <c r="I28" s="31"/>
      <c r="J28" s="43" t="n">
        <f aca="false">'[1]Enron Detail'!M23</f>
        <v>-624</v>
      </c>
      <c r="K28" s="43" t="n">
        <f aca="false">'[1]Enron Detail'!L23</f>
        <v>13557</v>
      </c>
      <c r="L28" s="97" t="n">
        <f aca="false">+C28*D28</f>
        <v>3333.3495</v>
      </c>
      <c r="M28" s="98" t="n">
        <f aca="false">+E28*F28</f>
        <v>23840</v>
      </c>
      <c r="N28" s="99" t="n">
        <f aca="false">+G28*H28</f>
        <v>734.0736</v>
      </c>
      <c r="O28" s="54" t="n">
        <f aca="false">+C28*D28+E28*F28+G28*H28</f>
        <v>27907.4231</v>
      </c>
    </row>
    <row r="29" customFormat="false" ht="12.75" hidden="false" customHeight="false" outlineLevel="0" collapsed="false">
      <c r="A29" s="8" t="n">
        <f aca="false">+'Index Pricing'!A17</f>
        <v>37206</v>
      </c>
      <c r="B29" s="41" t="n">
        <f aca="false">+'Index Pricing'!B17</f>
        <v>1.7</v>
      </c>
      <c r="C29" s="100" t="n">
        <f aca="false">+B29+$J$13</f>
        <v>1.2885</v>
      </c>
      <c r="D29" s="101" t="n">
        <f aca="false">+K29+J29-F29-H29</f>
        <v>2615</v>
      </c>
      <c r="E29" s="102" t="n">
        <f aca="false">+'Index Pricing'!$B$4+$J$14</f>
        <v>2.384</v>
      </c>
      <c r="F29" s="103" t="n">
        <f aca="false">ROUND(IF(((K29+J29)*0.8)&gt;=10000,10000,((K29+J29)*0.8)),0)</f>
        <v>10000</v>
      </c>
      <c r="G29" s="102" t="n">
        <f aca="false">+'Index Pricing'!$B$3+$J$15</f>
        <v>2.1216</v>
      </c>
      <c r="H29" s="104" t="n">
        <f aca="false">ROUND(+IF(((K29+J29)*0.8)&gt;=10000,((K29+J29)*0.8)-10000,0),0)</f>
        <v>459</v>
      </c>
      <c r="I29" s="31"/>
      <c r="J29" s="43" t="n">
        <f aca="false">'[1]Enron Detail'!M24</f>
        <v>-647</v>
      </c>
      <c r="K29" s="43" t="n">
        <f aca="false">'[1]Enron Detail'!L24</f>
        <v>13721</v>
      </c>
      <c r="L29" s="97" t="n">
        <f aca="false">+C29*D29</f>
        <v>3369.4275</v>
      </c>
      <c r="M29" s="98" t="n">
        <f aca="false">+E29*F29</f>
        <v>23840</v>
      </c>
      <c r="N29" s="99" t="n">
        <f aca="false">+G29*H29</f>
        <v>973.8144</v>
      </c>
      <c r="O29" s="54" t="n">
        <f aca="false">+C29*D29+E29*F29+G29*H29</f>
        <v>28183.2419</v>
      </c>
    </row>
    <row r="30" customFormat="false" ht="12.75" hidden="false" customHeight="false" outlineLevel="0" collapsed="false">
      <c r="A30" s="8" t="n">
        <f aca="false">+'Index Pricing'!A18</f>
        <v>37207</v>
      </c>
      <c r="B30" s="41" t="n">
        <f aca="false">+'Index Pricing'!B18</f>
        <v>1.7</v>
      </c>
      <c r="C30" s="100" t="n">
        <f aca="false">+B30+$J$13</f>
        <v>1.2885</v>
      </c>
      <c r="D30" s="101" t="n">
        <f aca="false">+K30+J30-F30-H30</f>
        <v>2601</v>
      </c>
      <c r="E30" s="102" t="n">
        <f aca="false">+'Index Pricing'!$B$4+$J$14</f>
        <v>2.384</v>
      </c>
      <c r="F30" s="103" t="n">
        <f aca="false">ROUND(IF(((K30+J30)*0.8)&gt;=10000,10000,((K30+J30)*0.8)),0)</f>
        <v>10000</v>
      </c>
      <c r="G30" s="102" t="n">
        <f aca="false">+'Index Pricing'!$B$3+$J$15</f>
        <v>2.1216</v>
      </c>
      <c r="H30" s="104" t="n">
        <f aca="false">ROUND(+IF(((K30+J30)*0.8)&gt;=10000,((K30+J30)*0.8)-10000,0),0)</f>
        <v>406</v>
      </c>
      <c r="I30" s="31"/>
      <c r="J30" s="43" t="n">
        <f aca="false">'[1]Enron Detail'!M25</f>
        <v>-625</v>
      </c>
      <c r="K30" s="43" t="n">
        <f aca="false">'[1]Enron Detail'!L25</f>
        <v>13632</v>
      </c>
      <c r="L30" s="97" t="n">
        <f aca="false">+C30*D30</f>
        <v>3351.3885</v>
      </c>
      <c r="M30" s="98" t="n">
        <f aca="false">+E30*F30</f>
        <v>23840</v>
      </c>
      <c r="N30" s="99" t="n">
        <f aca="false">+G30*H30</f>
        <v>861.3696</v>
      </c>
      <c r="O30" s="54" t="n">
        <f aca="false">+C30*D30+E30*F30+G30*H30</f>
        <v>28052.7581</v>
      </c>
    </row>
    <row r="31" customFormat="false" ht="12.75" hidden="false" customHeight="false" outlineLevel="0" collapsed="false">
      <c r="A31" s="8" t="n">
        <f aca="false">+'Index Pricing'!A19</f>
        <v>37208</v>
      </c>
      <c r="B31" s="41" t="n">
        <f aca="false">+'Index Pricing'!B19</f>
        <v>1.52</v>
      </c>
      <c r="C31" s="100" t="n">
        <f aca="false">+B31+$J$13</f>
        <v>1.1085</v>
      </c>
      <c r="D31" s="101" t="n">
        <f aca="false">+K31+J31-F31-H31</f>
        <v>2605</v>
      </c>
      <c r="E31" s="102" t="n">
        <f aca="false">+'Index Pricing'!$B$4+$J$14</f>
        <v>2.384</v>
      </c>
      <c r="F31" s="103" t="n">
        <f aca="false">ROUND(IF(((K31+J31)*0.8)&gt;=10000,10000,((K31+J31)*0.8)),0)</f>
        <v>10000</v>
      </c>
      <c r="G31" s="102" t="n">
        <f aca="false">+'Index Pricing'!$B$3+$J$15</f>
        <v>2.1216</v>
      </c>
      <c r="H31" s="104" t="n">
        <f aca="false">ROUND(+IF(((K31+J31)*0.8)&gt;=10000,((K31+J31)*0.8)-10000,0),0)</f>
        <v>420</v>
      </c>
      <c r="I31" s="31"/>
      <c r="J31" s="43" t="n">
        <f aca="false">'[1]Enron Detail'!M26</f>
        <v>-624</v>
      </c>
      <c r="K31" s="43" t="n">
        <f aca="false">'[1]Enron Detail'!L26</f>
        <v>13649</v>
      </c>
      <c r="L31" s="97" t="n">
        <f aca="false">+C31*D31</f>
        <v>2887.6425</v>
      </c>
      <c r="M31" s="98" t="n">
        <f aca="false">+E31*F31</f>
        <v>23840</v>
      </c>
      <c r="N31" s="99" t="n">
        <f aca="false">+G31*H31</f>
        <v>891.072</v>
      </c>
      <c r="O31" s="54" t="n">
        <f aca="false">+C31*D31+E31*F31+G31*H31</f>
        <v>27618.7145</v>
      </c>
    </row>
    <row r="32" customFormat="false" ht="12.75" hidden="false" customHeight="false" outlineLevel="0" collapsed="false">
      <c r="A32" s="8" t="n">
        <f aca="false">+'Index Pricing'!A20</f>
        <v>37209</v>
      </c>
      <c r="B32" s="41" t="n">
        <f aca="false">+'Index Pricing'!B20</f>
        <v>1.595</v>
      </c>
      <c r="C32" s="100" t="n">
        <f aca="false">+B32+$J$13</f>
        <v>1.1835</v>
      </c>
      <c r="D32" s="101" t="n">
        <f aca="false">+K32+J32-F32-H32</f>
        <v>2575</v>
      </c>
      <c r="E32" s="102" t="n">
        <f aca="false">+'Index Pricing'!$B$4+$J$14</f>
        <v>2.384</v>
      </c>
      <c r="F32" s="103" t="n">
        <f aca="false">ROUND(IF(((K32+J32)*0.8)&gt;=10000,10000,((K32+J32)*0.8)),0)</f>
        <v>10000</v>
      </c>
      <c r="G32" s="102" t="n">
        <f aca="false">+'Index Pricing'!$B$3+$J$15</f>
        <v>2.1216</v>
      </c>
      <c r="H32" s="104" t="n">
        <f aca="false">ROUND(+IF(((K32+J32)*0.8)&gt;=10000,((K32+J32)*0.8)-10000,0),0)</f>
        <v>299</v>
      </c>
      <c r="I32" s="31"/>
      <c r="J32" s="43" t="n">
        <f aca="false">'[1]Enron Detail'!M27</f>
        <v>-612</v>
      </c>
      <c r="K32" s="43" t="n">
        <f aca="false">'[1]Enron Detail'!L27</f>
        <v>13486</v>
      </c>
      <c r="L32" s="97" t="n">
        <f aca="false">+C32*D32</f>
        <v>3047.5125</v>
      </c>
      <c r="M32" s="98" t="n">
        <f aca="false">+E32*F32</f>
        <v>23840</v>
      </c>
      <c r="N32" s="99" t="n">
        <f aca="false">+G32*H32</f>
        <v>634.3584</v>
      </c>
      <c r="O32" s="54" t="n">
        <f aca="false">+C32*D32+E32*F32+G32*H32</f>
        <v>27521.8709</v>
      </c>
    </row>
    <row r="33" customFormat="false" ht="12.75" hidden="false" customHeight="false" outlineLevel="0" collapsed="false">
      <c r="A33" s="8" t="n">
        <f aca="false">+'Index Pricing'!A21</f>
        <v>37210</v>
      </c>
      <c r="B33" s="41" t="n">
        <f aca="false">+'Index Pricing'!B21</f>
        <v>1.84</v>
      </c>
      <c r="C33" s="100" t="n">
        <f aca="false">+B33+$J$13</f>
        <v>1.4285</v>
      </c>
      <c r="D33" s="101" t="n">
        <f aca="false">+K33+J33-F33-H33</f>
        <v>2652</v>
      </c>
      <c r="E33" s="102" t="n">
        <f aca="false">+'Index Pricing'!$B$4+$J$14</f>
        <v>2.384</v>
      </c>
      <c r="F33" s="103" t="n">
        <f aca="false">ROUND(IF(((K33+J33)*0.8)&gt;=10000,10000,((K33+J33)*0.8)),0)</f>
        <v>10000</v>
      </c>
      <c r="G33" s="102" t="n">
        <f aca="false">+'Index Pricing'!$B$3+$J$15</f>
        <v>2.1216</v>
      </c>
      <c r="H33" s="104" t="n">
        <f aca="false">ROUND(+IF(((K33+J33)*0.8)&gt;=10000,((K33+J33)*0.8)-10000,0),0)</f>
        <v>610</v>
      </c>
      <c r="I33" s="31"/>
      <c r="J33" s="43" t="n">
        <f aca="false">'[1]Enron Detail'!M28</f>
        <v>-666</v>
      </c>
      <c r="K33" s="43" t="n">
        <f aca="false">'[1]Enron Detail'!L28</f>
        <v>13928</v>
      </c>
      <c r="L33" s="97" t="n">
        <f aca="false">+C33*D33</f>
        <v>3788.382</v>
      </c>
      <c r="M33" s="98" t="n">
        <f aca="false">+E33*F33</f>
        <v>23840</v>
      </c>
      <c r="N33" s="99" t="n">
        <f aca="false">+G33*H33</f>
        <v>1294.176</v>
      </c>
      <c r="O33" s="54" t="n">
        <f aca="false">+C33*D33+E33*F33+G33*H33</f>
        <v>28922.558</v>
      </c>
    </row>
    <row r="34" customFormat="false" ht="12.75" hidden="false" customHeight="false" outlineLevel="0" collapsed="false">
      <c r="A34" s="8" t="n">
        <f aca="false">+'Index Pricing'!A22</f>
        <v>37211</v>
      </c>
      <c r="B34" s="41" t="n">
        <f aca="false">+'Index Pricing'!B22</f>
        <v>1.435</v>
      </c>
      <c r="C34" s="100" t="n">
        <f aca="false">+B34+$J$13</f>
        <v>1.0235</v>
      </c>
      <c r="D34" s="101" t="n">
        <f aca="false">+K34+J34-F34-H34</f>
        <v>2678</v>
      </c>
      <c r="E34" s="102" t="n">
        <f aca="false">+'Index Pricing'!$B$4+$J$14</f>
        <v>2.384</v>
      </c>
      <c r="F34" s="103" t="n">
        <f aca="false">ROUND(IF(((K34+J34)*0.8)&gt;=10000,10000,((K34+J34)*0.8)),0)</f>
        <v>10000</v>
      </c>
      <c r="G34" s="102" t="n">
        <f aca="false">+'Index Pricing'!$B$3+$J$15</f>
        <v>2.1216</v>
      </c>
      <c r="H34" s="104" t="n">
        <f aca="false">ROUND(+IF(((K34+J34)*0.8)&gt;=10000,((K34+J34)*0.8)-10000,0),0)</f>
        <v>710</v>
      </c>
      <c r="I34" s="31"/>
      <c r="J34" s="43" t="n">
        <f aca="false">'[1]Enron Detail'!M29</f>
        <v>-636</v>
      </c>
      <c r="K34" s="43" t="n">
        <f aca="false">'[1]Enron Detail'!L29</f>
        <v>14024</v>
      </c>
      <c r="L34" s="97" t="n">
        <f aca="false">+C34*D34</f>
        <v>2740.933</v>
      </c>
      <c r="M34" s="98" t="n">
        <f aca="false">+E34*F34</f>
        <v>23840</v>
      </c>
      <c r="N34" s="99" t="n">
        <f aca="false">+G34*H34</f>
        <v>1506.336</v>
      </c>
      <c r="O34" s="54" t="n">
        <f aca="false">+C34*D34+E34*F34+G34*H34</f>
        <v>28087.269</v>
      </c>
    </row>
    <row r="35" customFormat="false" ht="12.75" hidden="false" customHeight="false" outlineLevel="0" collapsed="false">
      <c r="A35" s="8" t="n">
        <f aca="false">+'Index Pricing'!A23</f>
        <v>37212</v>
      </c>
      <c r="B35" s="41" t="n">
        <f aca="false">+'Index Pricing'!B23</f>
        <v>1.135</v>
      </c>
      <c r="C35" s="100" t="n">
        <f aca="false">+B35+$J$13</f>
        <v>0.7235</v>
      </c>
      <c r="D35" s="101" t="n">
        <f aca="false">+K35+J35-F35-H35</f>
        <v>2712</v>
      </c>
      <c r="E35" s="102" t="n">
        <f aca="false">+'Index Pricing'!$B$4+$J$14</f>
        <v>2.384</v>
      </c>
      <c r="F35" s="103" t="n">
        <f aca="false">ROUND(IF(((K35+J35)*0.8)&gt;=10000,10000,((K35+J35)*0.8)),0)</f>
        <v>10000</v>
      </c>
      <c r="G35" s="102" t="n">
        <f aca="false">+'Index Pricing'!$B$3+$J$15</f>
        <v>2.1216</v>
      </c>
      <c r="H35" s="104" t="n">
        <f aca="false">ROUND(+IF(((K35+J35)*0.8)&gt;=10000,((K35+J35)*0.8)-10000,0),0)</f>
        <v>848</v>
      </c>
      <c r="I35" s="31"/>
      <c r="J35" s="43" t="n">
        <f aca="false">'[1]Enron Detail'!M30</f>
        <v>-647</v>
      </c>
      <c r="K35" s="43" t="n">
        <f aca="false">'[1]Enron Detail'!L30</f>
        <v>14207</v>
      </c>
      <c r="L35" s="97" t="n">
        <f aca="false">+C35*D35</f>
        <v>1962.132</v>
      </c>
      <c r="M35" s="98" t="n">
        <f aca="false">+E35*F35</f>
        <v>23840</v>
      </c>
      <c r="N35" s="99" t="n">
        <f aca="false">+G35*H35</f>
        <v>1799.1168</v>
      </c>
      <c r="O35" s="54" t="n">
        <f aca="false">+C35*D35+E35*F35+G35*H35</f>
        <v>27601.2488</v>
      </c>
    </row>
    <row r="36" customFormat="false" ht="12.75" hidden="false" customHeight="false" outlineLevel="0" collapsed="false">
      <c r="A36" s="8" t="n">
        <f aca="false">+'Index Pricing'!A24</f>
        <v>37213</v>
      </c>
      <c r="B36" s="41" t="n">
        <f aca="false">+'Index Pricing'!B24</f>
        <v>1.135</v>
      </c>
      <c r="C36" s="100" t="n">
        <f aca="false">+B36+$J$13</f>
        <v>0.7235</v>
      </c>
      <c r="D36" s="101" t="n">
        <f aca="false">+K36+J36-F36-H36</f>
        <v>2649</v>
      </c>
      <c r="E36" s="102" t="n">
        <f aca="false">+'Index Pricing'!$B$4+$J$14</f>
        <v>2.384</v>
      </c>
      <c r="F36" s="103" t="n">
        <f aca="false">ROUND(IF(((K36+J36)*0.8)&gt;=10000,10000,((K36+J36)*0.8)),0)</f>
        <v>10000</v>
      </c>
      <c r="G36" s="102" t="n">
        <f aca="false">+'Index Pricing'!$B$3+$J$15</f>
        <v>2.1216</v>
      </c>
      <c r="H36" s="104" t="n">
        <f aca="false">ROUND(+IF(((K36+J36)*0.8)&gt;=10000,((K36+J36)*0.8)-10000,0),0)</f>
        <v>594</v>
      </c>
      <c r="I36" s="31"/>
      <c r="J36" s="43" t="n">
        <f aca="false">'[1]Enron Detail'!M31</f>
        <v>-626</v>
      </c>
      <c r="K36" s="43" t="n">
        <f aca="false">'[1]Enron Detail'!L31</f>
        <v>13869</v>
      </c>
      <c r="L36" s="97" t="n">
        <f aca="false">+C36*D36</f>
        <v>1916.5515</v>
      </c>
      <c r="M36" s="98" t="n">
        <f aca="false">+E36*F36</f>
        <v>23840</v>
      </c>
      <c r="N36" s="99" t="n">
        <f aca="false">+G36*H36</f>
        <v>1260.2304</v>
      </c>
      <c r="O36" s="54" t="n">
        <f aca="false">+C36*D36+E36*F36+G36*H36</f>
        <v>27016.7819</v>
      </c>
    </row>
    <row r="37" customFormat="false" ht="12.75" hidden="false" customHeight="false" outlineLevel="0" collapsed="false">
      <c r="A37" s="8" t="n">
        <f aca="false">+'Index Pricing'!A25</f>
        <v>37214</v>
      </c>
      <c r="B37" s="41" t="n">
        <f aca="false">+'Index Pricing'!B25</f>
        <v>1.135</v>
      </c>
      <c r="C37" s="100" t="n">
        <f aca="false">+B37+$J$13</f>
        <v>0.7235</v>
      </c>
      <c r="D37" s="101" t="n">
        <f aca="false">+K37+J37-F37-H37</f>
        <v>2721</v>
      </c>
      <c r="E37" s="102" t="n">
        <f aca="false">+'Index Pricing'!$B$4+$J$14</f>
        <v>2.384</v>
      </c>
      <c r="F37" s="103" t="n">
        <f aca="false">ROUND(IF(((K37+J37)*0.8)&gt;=10000,10000,((K37+J37)*0.8)),0)</f>
        <v>10000</v>
      </c>
      <c r="G37" s="102" t="n">
        <f aca="false">+'Index Pricing'!$B$3+$J$15</f>
        <v>2.1216</v>
      </c>
      <c r="H37" s="104" t="n">
        <f aca="false">ROUND(+IF(((K37+J37)*0.8)&gt;=10000,((K37+J37)*0.8)-10000,0),0)</f>
        <v>886</v>
      </c>
      <c r="I37" s="31"/>
      <c r="J37" s="43" t="n">
        <f aca="false">'[1]Enron Detail'!M32</f>
        <v>-635</v>
      </c>
      <c r="K37" s="43" t="n">
        <f aca="false">'[1]Enron Detail'!L32</f>
        <v>14242</v>
      </c>
      <c r="L37" s="97" t="n">
        <f aca="false">+C37*D37</f>
        <v>1968.6435</v>
      </c>
      <c r="M37" s="98" t="n">
        <f aca="false">+E37*F37</f>
        <v>23840</v>
      </c>
      <c r="N37" s="99" t="n">
        <f aca="false">+G37*H37</f>
        <v>1879.7376</v>
      </c>
      <c r="O37" s="54" t="n">
        <f aca="false">+C37*D37+E37*F37+G37*H37</f>
        <v>27688.3811</v>
      </c>
    </row>
    <row r="38" customFormat="false" ht="12.75" hidden="false" customHeight="false" outlineLevel="0" collapsed="false">
      <c r="A38" s="8" t="n">
        <f aca="false">+'Index Pricing'!A26</f>
        <v>37215</v>
      </c>
      <c r="B38" s="41" t="n">
        <f aca="false">+'Index Pricing'!B26</f>
        <v>1.535</v>
      </c>
      <c r="C38" s="100" t="n">
        <f aca="false">+B38+$J$13</f>
        <v>1.1235</v>
      </c>
      <c r="D38" s="101" t="n">
        <f aca="false">+K38+J38-F38-H38</f>
        <v>2734</v>
      </c>
      <c r="E38" s="102" t="n">
        <f aca="false">+'Index Pricing'!$B$4+$J$14</f>
        <v>2.384</v>
      </c>
      <c r="F38" s="103" t="n">
        <f aca="false">ROUND(IF(((K38+J38)*0.8)&gt;=10000,10000,((K38+J38)*0.8)),0)</f>
        <v>10000</v>
      </c>
      <c r="G38" s="102" t="n">
        <f aca="false">+'Index Pricing'!$B$3+$J$15</f>
        <v>2.1216</v>
      </c>
      <c r="H38" s="104" t="n">
        <f aca="false">ROUND(+IF(((K38+J38)*0.8)&gt;=10000,((K38+J38)*0.8)-10000,0),0)</f>
        <v>936</v>
      </c>
      <c r="I38" s="31"/>
      <c r="J38" s="43" t="n">
        <f aca="false">'[1]Enron Detail'!M33</f>
        <v>-636</v>
      </c>
      <c r="K38" s="43" t="n">
        <f aca="false">'[1]Enron Detail'!L33</f>
        <v>14306</v>
      </c>
      <c r="L38" s="97" t="n">
        <f aca="false">+C38*D38</f>
        <v>3071.649</v>
      </c>
      <c r="M38" s="98" t="n">
        <f aca="false">+E38*F38</f>
        <v>23840</v>
      </c>
      <c r="N38" s="99" t="n">
        <f aca="false">+G38*H38</f>
        <v>1985.8176</v>
      </c>
      <c r="O38" s="54" t="n">
        <f aca="false">+C38*D38+E38*F38+G38*H38</f>
        <v>28897.4666</v>
      </c>
    </row>
    <row r="39" customFormat="false" ht="12.75" hidden="false" customHeight="false" outlineLevel="0" collapsed="false">
      <c r="A39" s="8" t="n">
        <f aca="false">+'Index Pricing'!A27</f>
        <v>37216</v>
      </c>
      <c r="B39" s="41" t="n">
        <f aca="false">+'Index Pricing'!B27</f>
        <v>2.205</v>
      </c>
      <c r="C39" s="100" t="n">
        <f aca="false">+B39+$J$13</f>
        <v>1.7935</v>
      </c>
      <c r="D39" s="101" t="n">
        <f aca="false">+K39+J39-F39-H39</f>
        <v>2793</v>
      </c>
      <c r="E39" s="102" t="n">
        <f aca="false">+'Index Pricing'!$B$4+$J$14</f>
        <v>2.384</v>
      </c>
      <c r="F39" s="103" t="n">
        <f aca="false">ROUND(IF(((K39+J39)*0.8)&gt;=10000,10000,((K39+J39)*0.8)),0)</f>
        <v>10000</v>
      </c>
      <c r="G39" s="102" t="n">
        <f aca="false">+'Index Pricing'!$B$3+$J$15</f>
        <v>2.1216</v>
      </c>
      <c r="H39" s="104" t="n">
        <f aca="false">ROUND(+IF(((K39+J39)*0.8)&gt;=10000,((K39+J39)*0.8)-10000,0),0)</f>
        <v>1172</v>
      </c>
      <c r="I39" s="31"/>
      <c r="J39" s="43" t="n">
        <f aca="false">'[1]Enron Detail'!M34</f>
        <v>-659</v>
      </c>
      <c r="K39" s="43" t="n">
        <f aca="false">'[1]Enron Detail'!L34</f>
        <v>14624</v>
      </c>
      <c r="L39" s="97" t="n">
        <f aca="false">+C39*D39</f>
        <v>5009.2455</v>
      </c>
      <c r="M39" s="98" t="n">
        <f aca="false">+E39*F39</f>
        <v>23840</v>
      </c>
      <c r="N39" s="99" t="n">
        <f aca="false">+G39*H39</f>
        <v>2486.5152</v>
      </c>
      <c r="O39" s="54" t="n">
        <f aca="false">+C39*D39+E39*F39+G39*H39</f>
        <v>31335.7607</v>
      </c>
    </row>
    <row r="40" customFormat="false" ht="12.75" hidden="false" customHeight="false" outlineLevel="0" collapsed="false">
      <c r="A40" s="8" t="n">
        <f aca="false">+'Index Pricing'!A28</f>
        <v>37217</v>
      </c>
      <c r="B40" s="41" t="n">
        <f aca="false">+'Index Pricing'!B28</f>
        <v>1.43</v>
      </c>
      <c r="C40" s="100" t="n">
        <f aca="false">+B40+$J$13</f>
        <v>1.0185</v>
      </c>
      <c r="D40" s="101" t="n">
        <f aca="false">+K40+J40-F40-H40</f>
        <v>2803</v>
      </c>
      <c r="E40" s="102" t="n">
        <f aca="false">+'Index Pricing'!$B$4+$J$14</f>
        <v>2.384</v>
      </c>
      <c r="F40" s="103" t="n">
        <f aca="false">ROUND(IF(((K40+J40)*0.8)&gt;=10000,10000,((K40+J40)*0.8)),0)</f>
        <v>10000</v>
      </c>
      <c r="G40" s="102" t="n">
        <f aca="false">+'Index Pricing'!$B$3+$J$15</f>
        <v>2.1216</v>
      </c>
      <c r="H40" s="104" t="n">
        <f aca="false">ROUND(+IF(((K40+J40)*0.8)&gt;=10000,((K40+J40)*0.8)-10000,0),0)</f>
        <v>1213</v>
      </c>
      <c r="I40" s="31"/>
      <c r="J40" s="43" t="n">
        <f aca="false">'[1]Enron Detail'!M35</f>
        <v>-656</v>
      </c>
      <c r="K40" s="43" t="n">
        <f aca="false">'[1]Enron Detail'!L35</f>
        <v>14672</v>
      </c>
      <c r="L40" s="97" t="n">
        <f aca="false">+C40*D40</f>
        <v>2854.8555</v>
      </c>
      <c r="M40" s="98" t="n">
        <f aca="false">+E40*F40</f>
        <v>23840</v>
      </c>
      <c r="N40" s="99" t="n">
        <f aca="false">+G40*H40</f>
        <v>2573.5008</v>
      </c>
      <c r="O40" s="54" t="n">
        <f aca="false">+C40*D40+E40*F40+G40*H40</f>
        <v>29268.3563</v>
      </c>
    </row>
    <row r="41" customFormat="false" ht="12.75" hidden="false" customHeight="false" outlineLevel="0" collapsed="false">
      <c r="A41" s="8" t="n">
        <f aca="false">+'Index Pricing'!A29</f>
        <v>37218</v>
      </c>
      <c r="B41" s="41" t="n">
        <f aca="false">+'Index Pricing'!B29</f>
        <v>1.43</v>
      </c>
      <c r="C41" s="100" t="n">
        <f aca="false">+B41+$J$13</f>
        <v>1.0185</v>
      </c>
      <c r="D41" s="101" t="n">
        <f aca="false">+K41+J41-F41-H41</f>
        <v>2789</v>
      </c>
      <c r="E41" s="102" t="n">
        <f aca="false">+'Index Pricing'!$B$4+$J$14</f>
        <v>2.384</v>
      </c>
      <c r="F41" s="103" t="n">
        <f aca="false">ROUND(IF(((K41+J41)*0.8)&gt;=10000,10000,((K41+J41)*0.8)),0)</f>
        <v>10000</v>
      </c>
      <c r="G41" s="102" t="n">
        <f aca="false">+'Index Pricing'!$B$3+$J$15</f>
        <v>2.1216</v>
      </c>
      <c r="H41" s="104" t="n">
        <f aca="false">ROUND(+IF(((K41+J41)*0.8)&gt;=10000,((K41+J41)*0.8)-10000,0),0)</f>
        <v>1155</v>
      </c>
      <c r="I41" s="31"/>
      <c r="J41" s="43" t="n">
        <f aca="false">'[1]Enron Detail'!M36</f>
        <v>-657</v>
      </c>
      <c r="K41" s="43" t="n">
        <f aca="false">'[1]Enron Detail'!L36</f>
        <v>14601</v>
      </c>
      <c r="L41" s="97" t="n">
        <f aca="false">+C41*D41</f>
        <v>2840.5965</v>
      </c>
      <c r="M41" s="98" t="n">
        <f aca="false">+E41*F41</f>
        <v>23840</v>
      </c>
      <c r="N41" s="99" t="n">
        <f aca="false">+G41*H41</f>
        <v>2450.448</v>
      </c>
      <c r="O41" s="54" t="n">
        <f aca="false">+C41*D41+E41*F41+G41*H41</f>
        <v>29131.0445</v>
      </c>
    </row>
    <row r="42" customFormat="false" ht="12.75" hidden="false" customHeight="false" outlineLevel="0" collapsed="false">
      <c r="A42" s="8" t="n">
        <f aca="false">+'Index Pricing'!A30</f>
        <v>37219</v>
      </c>
      <c r="B42" s="41" t="n">
        <f aca="false">+'Index Pricing'!B30</f>
        <v>1.43</v>
      </c>
      <c r="C42" s="100" t="n">
        <f aca="false">+B42+$J$13</f>
        <v>1.0185</v>
      </c>
      <c r="D42" s="101" t="n">
        <f aca="false">+K42+J42-F42-H42</f>
        <v>2776</v>
      </c>
      <c r="E42" s="102" t="n">
        <f aca="false">+'Index Pricing'!$B$4+$J$14</f>
        <v>2.384</v>
      </c>
      <c r="F42" s="103" t="n">
        <f aca="false">ROUND(IF(((K42+J42)*0.8)&gt;=10000,10000,((K42+J42)*0.8)),0)</f>
        <v>10000</v>
      </c>
      <c r="G42" s="102" t="n">
        <f aca="false">+'Index Pricing'!$B$3+$J$15</f>
        <v>2.1216</v>
      </c>
      <c r="H42" s="104" t="n">
        <f aca="false">ROUND(+IF(((K42+J42)*0.8)&gt;=10000,((K42+J42)*0.8)-10000,0),0)</f>
        <v>1103</v>
      </c>
      <c r="I42" s="31"/>
      <c r="J42" s="43" t="n">
        <f aca="false">'[1]Enron Detail'!M37</f>
        <v>-656</v>
      </c>
      <c r="K42" s="43" t="n">
        <f aca="false">'[1]Enron Detail'!L37</f>
        <v>14535</v>
      </c>
      <c r="L42" s="97" t="n">
        <f aca="false">+C42*D42</f>
        <v>2827.356</v>
      </c>
      <c r="M42" s="98" t="n">
        <f aca="false">+E42*F42</f>
        <v>23840</v>
      </c>
      <c r="N42" s="99" t="n">
        <f aca="false">+G42*H42</f>
        <v>2340.1248</v>
      </c>
      <c r="O42" s="54" t="n">
        <f aca="false">+C42*D42+E42*F42+G42*H42</f>
        <v>29007.4808</v>
      </c>
    </row>
    <row r="43" customFormat="false" ht="12.75" hidden="false" customHeight="false" outlineLevel="0" collapsed="false">
      <c r="A43" s="8" t="n">
        <f aca="false">+'Index Pricing'!A31</f>
        <v>37220</v>
      </c>
      <c r="B43" s="41" t="n">
        <f aca="false">+'Index Pricing'!B31</f>
        <v>1.43</v>
      </c>
      <c r="C43" s="100" t="n">
        <f aca="false">+B43+$J$13</f>
        <v>1.0185</v>
      </c>
      <c r="D43" s="101" t="n">
        <f aca="false">+K43+J43-F43-H43</f>
        <v>2760</v>
      </c>
      <c r="E43" s="102" t="n">
        <f aca="false">+'Index Pricing'!$B$4+$J$14</f>
        <v>2.384</v>
      </c>
      <c r="F43" s="103" t="n">
        <f aca="false">ROUND(IF(((K43+J43)*0.8)&gt;=10000,10000,((K43+J43)*0.8)),0)</f>
        <v>10000</v>
      </c>
      <c r="G43" s="102" t="n">
        <f aca="false">+'Index Pricing'!$B$3+$J$15</f>
        <v>2.1216</v>
      </c>
      <c r="H43" s="104" t="n">
        <f aca="false">ROUND(+IF(((K43+J43)*0.8)&gt;=10000,((K43+J43)*0.8)-10000,0),0)</f>
        <v>1042</v>
      </c>
      <c r="I43" s="31"/>
      <c r="J43" s="43" t="n">
        <f aca="false">'[1]Enron Detail'!M38</f>
        <v>-650</v>
      </c>
      <c r="K43" s="43" t="n">
        <f aca="false">'[1]Enron Detail'!L38</f>
        <v>14452</v>
      </c>
      <c r="L43" s="97" t="n">
        <f aca="false">+C43*D43</f>
        <v>2811.06</v>
      </c>
      <c r="M43" s="98" t="n">
        <f aca="false">+E43*F43</f>
        <v>23840</v>
      </c>
      <c r="N43" s="99" t="n">
        <f aca="false">+G43*H43</f>
        <v>2210.7072</v>
      </c>
      <c r="O43" s="54" t="n">
        <f aca="false">+C43*D43+E43*F43+G43*H43</f>
        <v>28861.7672</v>
      </c>
    </row>
    <row r="44" customFormat="false" ht="12.75" hidden="false" customHeight="false" outlineLevel="0" collapsed="false">
      <c r="A44" s="8" t="n">
        <f aca="false">+'Index Pricing'!A32</f>
        <v>37221</v>
      </c>
      <c r="B44" s="41" t="n">
        <f aca="false">+'Index Pricing'!B32</f>
        <v>1.43</v>
      </c>
      <c r="C44" s="100" t="n">
        <f aca="false">+B44+$J$13</f>
        <v>1.0185</v>
      </c>
      <c r="D44" s="101" t="n">
        <f aca="false">+K44+J44-F44-H44</f>
        <v>2720</v>
      </c>
      <c r="E44" s="102" t="n">
        <f aca="false">+'Index Pricing'!$B$4+$J$14</f>
        <v>2.384</v>
      </c>
      <c r="F44" s="103" t="n">
        <f aca="false">ROUND(IF(((K44+J44)*0.8)&gt;=10000,10000,((K44+J44)*0.8)),0)</f>
        <v>10000</v>
      </c>
      <c r="G44" s="102" t="n">
        <f aca="false">+'Index Pricing'!$B$3+$J$15</f>
        <v>2.1216</v>
      </c>
      <c r="H44" s="104" t="n">
        <f aca="false">ROUND(+IF(((K44+J44)*0.8)&gt;=10000,((K44+J44)*0.8)-10000,0),0)</f>
        <v>882</v>
      </c>
      <c r="I44" s="31"/>
      <c r="J44" s="43" t="n">
        <f aca="false">'[1]Enron Detail'!M39</f>
        <v>-667</v>
      </c>
      <c r="K44" s="43" t="n">
        <f aca="false">'[1]Enron Detail'!L39</f>
        <v>14269</v>
      </c>
      <c r="L44" s="97" t="n">
        <f aca="false">+C44*D44</f>
        <v>2770.32</v>
      </c>
      <c r="M44" s="98" t="n">
        <f aca="false">+E44*F44</f>
        <v>23840</v>
      </c>
      <c r="N44" s="99" t="n">
        <f aca="false">+G44*H44</f>
        <v>1871.2512</v>
      </c>
      <c r="O44" s="54" t="n">
        <f aca="false">+C44*D44+E44*F44+G44*H44</f>
        <v>28481.5712</v>
      </c>
    </row>
    <row r="45" customFormat="false" ht="12.75" hidden="false" customHeight="false" outlineLevel="0" collapsed="false">
      <c r="A45" s="8" t="n">
        <f aca="false">+'Index Pricing'!A33</f>
        <v>37222</v>
      </c>
      <c r="B45" s="41" t="n">
        <f aca="false">+'Index Pricing'!B33</f>
        <v>1.88</v>
      </c>
      <c r="C45" s="100" t="n">
        <f aca="false">+B45+$J$13</f>
        <v>1.4685</v>
      </c>
      <c r="D45" s="101" t="n">
        <f aca="false">+K45+J45-F45-H45</f>
        <v>2652</v>
      </c>
      <c r="E45" s="102" t="n">
        <f aca="false">+'Index Pricing'!$B$4+$J$14</f>
        <v>2.384</v>
      </c>
      <c r="F45" s="103" t="n">
        <f aca="false">ROUND(IF(((K45+J45)*0.8)&gt;=10000,10000,((K45+J45)*0.8)),0)</f>
        <v>10000</v>
      </c>
      <c r="G45" s="102" t="n">
        <f aca="false">+'Index Pricing'!$B$3+$J$15</f>
        <v>2.1216</v>
      </c>
      <c r="H45" s="104" t="n">
        <f aca="false">ROUND(+IF(((K45+J45)*0.8)&gt;=10000,((K45+J45)*0.8)-10000,0),0)</f>
        <v>609</v>
      </c>
      <c r="I45" s="31"/>
      <c r="J45" s="43" t="n">
        <f aca="false">'[1]Enron Detail'!M40</f>
        <v>-654</v>
      </c>
      <c r="K45" s="43" t="n">
        <f aca="false">'[1]Enron Detail'!L40</f>
        <v>13915</v>
      </c>
      <c r="L45" s="97" t="n">
        <f aca="false">+C45*D45</f>
        <v>3894.462</v>
      </c>
      <c r="M45" s="98" t="n">
        <f aca="false">+E45*F45</f>
        <v>23840</v>
      </c>
      <c r="N45" s="99" t="n">
        <f aca="false">+G45*H45</f>
        <v>1292.0544</v>
      </c>
      <c r="O45" s="54" t="n">
        <f aca="false">+C45*D45+E45*F45+G45*H45</f>
        <v>29026.5164</v>
      </c>
    </row>
    <row r="46" customFormat="false" ht="12.75" hidden="false" customHeight="false" outlineLevel="0" collapsed="false">
      <c r="A46" s="8" t="n">
        <f aca="false">+'Index Pricing'!A34</f>
        <v>37223</v>
      </c>
      <c r="B46" s="41" t="n">
        <f aca="false">+'Index Pricing'!B34</f>
        <v>2.16</v>
      </c>
      <c r="C46" s="100" t="n">
        <f aca="false">+B46+$J$13</f>
        <v>1.7485</v>
      </c>
      <c r="D46" s="101" t="n">
        <f aca="false">+K46+J46-F46-H46</f>
        <v>2443</v>
      </c>
      <c r="E46" s="102" t="n">
        <f aca="false">+'Index Pricing'!$B$4+$J$14</f>
        <v>2.384</v>
      </c>
      <c r="F46" s="103" t="n">
        <f aca="false">ROUND(IF(((K46+J46)*0.8)&gt;=10000,10000,((K46+J46)*0.8)),0)</f>
        <v>9771</v>
      </c>
      <c r="G46" s="102" t="n">
        <f aca="false">+'Index Pricing'!$B$3+$J$15</f>
        <v>2.1216</v>
      </c>
      <c r="H46" s="104" t="n">
        <f aca="false">ROUND(+IF(((K46+J46)*0.8)&gt;=10000,((K46+J46)*0.8)-10000,0),0)</f>
        <v>0</v>
      </c>
      <c r="I46" s="31"/>
      <c r="J46" s="43" t="n">
        <f aca="false">'[1]Enron Detail'!M41</f>
        <v>-658</v>
      </c>
      <c r="K46" s="43" t="n">
        <f aca="false">'[1]Enron Detail'!L41</f>
        <v>12872</v>
      </c>
      <c r="L46" s="97" t="n">
        <f aca="false">+C46*D46</f>
        <v>4271.5855</v>
      </c>
      <c r="M46" s="98" t="n">
        <f aca="false">+E46*F46</f>
        <v>23294.064</v>
      </c>
      <c r="N46" s="99" t="n">
        <f aca="false">+G46*H46</f>
        <v>0</v>
      </c>
      <c r="O46" s="54" t="n">
        <f aca="false">+C46*D46+E46*F46+G46*H46</f>
        <v>27565.6495</v>
      </c>
    </row>
    <row r="47" customFormat="false" ht="12.75" hidden="false" customHeight="false" outlineLevel="0" collapsed="false">
      <c r="A47" s="8" t="n">
        <f aca="false">+'Index Pricing'!A35</f>
        <v>37224</v>
      </c>
      <c r="B47" s="41" t="n">
        <f aca="false">+'Index Pricing'!B35</f>
        <v>2.38</v>
      </c>
      <c r="C47" s="100" t="n">
        <f aca="false">+B47+$J$13</f>
        <v>1.9685</v>
      </c>
      <c r="D47" s="101" t="n">
        <f aca="false">+K47+J47-F47-H47</f>
        <v>0</v>
      </c>
      <c r="E47" s="102" t="n">
        <f aca="false">+'Index Pricing'!$B$4+$J$14</f>
        <v>2.384</v>
      </c>
      <c r="F47" s="103" t="n">
        <f aca="false">ROUND(IF(((K47+J47)*0.8)&gt;=10000,10000,((K47+J47)*0.8)),0)</f>
        <v>0</v>
      </c>
      <c r="G47" s="102" t="n">
        <f aca="false">+'Index Pricing'!$B$3+$J$15</f>
        <v>2.1216</v>
      </c>
      <c r="H47" s="104" t="n">
        <f aca="false">ROUND(+IF(((K47+J47)*0.8)&gt;=10000,((K47+J47)*0.8)-10000,0),0)</f>
        <v>0</v>
      </c>
      <c r="I47" s="31"/>
      <c r="J47" s="43" t="n">
        <f aca="false">'[1]Enron Detail'!M42</f>
        <v>0</v>
      </c>
      <c r="K47" s="43" t="n">
        <f aca="false">'[1]Enron Detail'!L42</f>
        <v>0</v>
      </c>
      <c r="L47" s="97" t="n">
        <f aca="false">+C47*D47</f>
        <v>0</v>
      </c>
      <c r="M47" s="98" t="n">
        <f aca="false">+E47*F47</f>
        <v>0</v>
      </c>
      <c r="N47" s="99" t="n">
        <f aca="false">+G47*H47</f>
        <v>0</v>
      </c>
      <c r="O47" s="54" t="n">
        <f aca="false">+C47*D47+E47*F47+G47*H47</f>
        <v>0</v>
      </c>
    </row>
    <row r="48" customFormat="false" ht="12.75" hidden="false" customHeight="false" outlineLevel="0" collapsed="false">
      <c r="A48" s="8" t="n">
        <f aca="false">+'Index Pricing'!A36</f>
        <v>37225</v>
      </c>
      <c r="B48" s="41" t="n">
        <f aca="false">+'Index Pricing'!B36</f>
        <v>2.025</v>
      </c>
      <c r="C48" s="100" t="n">
        <f aca="false">+B48+$J$13</f>
        <v>1.6135</v>
      </c>
      <c r="D48" s="101" t="n">
        <f aca="false">+K48+J48-F48-H48</f>
        <v>0</v>
      </c>
      <c r="E48" s="102" t="n">
        <f aca="false">+'Index Pricing'!$B$4+$J$14</f>
        <v>2.384</v>
      </c>
      <c r="F48" s="103" t="n">
        <f aca="false">ROUND(IF(((K48+J48)*0.8)&gt;=10000,10000,((K48+J48)*0.8)),0)</f>
        <v>0</v>
      </c>
      <c r="G48" s="102" t="n">
        <f aca="false">+'Index Pricing'!$B$3+$J$15</f>
        <v>2.1216</v>
      </c>
      <c r="H48" s="104" t="n">
        <f aca="false">ROUND(+IF(((K48+J48)*0.8)&gt;=10000,((K48+J48)*0.8)-10000,0),0)</f>
        <v>0</v>
      </c>
      <c r="I48" s="31"/>
      <c r="J48" s="43" t="n">
        <f aca="false">'[1]Enron Detail'!M43</f>
        <v>0</v>
      </c>
      <c r="K48" s="43" t="n">
        <f aca="false">'[1]Enron Detail'!L43</f>
        <v>0</v>
      </c>
      <c r="L48" s="97" t="n">
        <f aca="false">+C48*D48</f>
        <v>0</v>
      </c>
      <c r="M48" s="98" t="n">
        <f aca="false">+E48*F48</f>
        <v>0</v>
      </c>
      <c r="N48" s="99" t="n">
        <f aca="false">+G48*H48</f>
        <v>0</v>
      </c>
      <c r="O48" s="54" t="n">
        <f aca="false">+C48*D48+E48*F48+G48*H48</f>
        <v>0</v>
      </c>
    </row>
    <row r="49" customFormat="false" ht="12.75" hidden="false" customHeight="false" outlineLevel="0" collapsed="false">
      <c r="A49" s="8"/>
      <c r="B49" s="41" t="n">
        <f aca="false">+'Index Pricing'!B37</f>
        <v>0</v>
      </c>
      <c r="C49" s="100" t="n">
        <f aca="false">+B49+$J$13</f>
        <v>-0.4115</v>
      </c>
      <c r="D49" s="101" t="n">
        <f aca="false">+K49+J49-F49-H49</f>
        <v>0</v>
      </c>
      <c r="E49" s="102" t="n">
        <f aca="false">+'Index Pricing'!$B$4+$J$14</f>
        <v>2.384</v>
      </c>
      <c r="F49" s="103" t="n">
        <f aca="false">ROUND(IF(((K49+J49)*0.8)&gt;=10000,10000,((K49+J49)*0.8)),0)</f>
        <v>0</v>
      </c>
      <c r="G49" s="102" t="n">
        <f aca="false">+'Index Pricing'!$B$3+$J$15</f>
        <v>2.1216</v>
      </c>
      <c r="H49" s="104" t="n">
        <f aca="false">ROUND(+IF(((K49+J49)*0.8)&gt;=10000,((K49+J49)*0.8)-10000,0),0)</f>
        <v>0</v>
      </c>
      <c r="I49" s="31"/>
      <c r="J49" s="43" t="n">
        <f aca="false">'[1]Enron Detail'!M44</f>
        <v>0</v>
      </c>
      <c r="K49" s="43" t="n">
        <f aca="false">'[1]Enron Detail'!L44</f>
        <v>0</v>
      </c>
      <c r="L49" s="97" t="n">
        <f aca="false">+C49*D49</f>
        <v>-0</v>
      </c>
      <c r="M49" s="98" t="n">
        <f aca="false">+E49*F49</f>
        <v>0</v>
      </c>
      <c r="N49" s="99" t="n">
        <f aca="false">+G49*H49</f>
        <v>0</v>
      </c>
      <c r="O49" s="54" t="n">
        <f aca="false">+C49*D49+E49*F49+G49*H49</f>
        <v>0</v>
      </c>
    </row>
    <row r="50" customFormat="false" ht="13.5" hidden="false" customHeight="false" outlineLevel="0" collapsed="false">
      <c r="A50" s="8"/>
      <c r="B50" s="41"/>
      <c r="C50" s="105"/>
      <c r="D50" s="106"/>
      <c r="E50" s="107"/>
      <c r="F50" s="108"/>
      <c r="G50" s="107"/>
      <c r="H50" s="109"/>
      <c r="I50" s="31"/>
      <c r="J50" s="43"/>
      <c r="K50" s="43"/>
      <c r="L50" s="97"/>
      <c r="M50" s="98"/>
      <c r="N50" s="99"/>
      <c r="O50" s="54"/>
    </row>
    <row r="51" customFormat="false" ht="13.5" hidden="false" customHeight="false" outlineLevel="0" collapsed="false">
      <c r="D51" s="43" t="n">
        <f aca="false">SUM(D19:D50)</f>
        <v>73836</v>
      </c>
      <c r="F51" s="43" t="n">
        <f aca="false">SUM(F19:F50)</f>
        <v>279678</v>
      </c>
      <c r="H51" s="43" t="n">
        <f aca="false">SUM(H19:H50)</f>
        <v>15663</v>
      </c>
      <c r="J51" s="43" t="n">
        <f aca="false">SUM(J19:J50)</f>
        <v>-17724</v>
      </c>
      <c r="K51" s="43" t="n">
        <f aca="false">SUM(K19:K50)</f>
        <v>386901</v>
      </c>
      <c r="L51" s="110" t="n">
        <f aca="false">SUM(L19:L50)</f>
        <v>98888.921</v>
      </c>
      <c r="M51" s="111" t="n">
        <f aca="false">SUM(M19:M50)</f>
        <v>666752.352</v>
      </c>
      <c r="N51" s="112" t="n">
        <f aca="false">SUM(N19:N50)</f>
        <v>33230.6208</v>
      </c>
      <c r="O51" s="49" t="n">
        <f aca="false">SUM(O19:O50)</f>
        <v>798871.8938</v>
      </c>
      <c r="Q51" s="113"/>
    </row>
    <row r="52" customFormat="false" ht="12.75" hidden="false" customHeight="false" outlineLevel="0" collapsed="false">
      <c r="I52" s="0" t="s">
        <v>85</v>
      </c>
      <c r="J52" s="114" t="n">
        <f aca="false">+J51/K51</f>
        <v>-0.0458101684927152</v>
      </c>
    </row>
    <row r="53" customFormat="false" ht="12.75" hidden="false" customHeight="false" outlineLevel="0" collapsed="false">
      <c r="K53" s="0" t="s">
        <v>86</v>
      </c>
      <c r="L53" s="41" t="n">
        <f aca="false">+L51/D51</f>
        <v>1.33930495964028</v>
      </c>
      <c r="M53" s="41" t="n">
        <f aca="false">+M51/F51</f>
        <v>2.384</v>
      </c>
      <c r="N53" s="115" t="n">
        <f aca="false">+N51/H51</f>
        <v>2.1216</v>
      </c>
      <c r="O53" s="116" t="n">
        <f aca="false">+O51/(K51+J51)</f>
        <v>2.16392650083835</v>
      </c>
    </row>
    <row r="55" customFormat="false" ht="12.75" hidden="false" customHeight="false" outlineLevel="0" collapsed="false">
      <c r="A55" s="0" t="s">
        <v>87</v>
      </c>
    </row>
    <row r="58" customFormat="false" ht="12.75" hidden="false" customHeight="false" outlineLevel="0" collapsed="false">
      <c r="H58" s="113"/>
      <c r="I58" s="113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1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53" activeCellId="0" sqref="E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41.42"/>
    <col collapsed="false" customWidth="true" hidden="false" outlineLevel="0" max="3" min="3" style="0" width="36.28"/>
    <col collapsed="false" customWidth="true" hidden="false" outlineLevel="0" max="4" min="4" style="0" width="19.56"/>
    <col collapsed="false" customWidth="true" hidden="false" outlineLevel="0" max="5" min="5" style="0" width="20.56"/>
    <col collapsed="false" customWidth="true" hidden="false" outlineLevel="0" max="6" min="6" style="0" width="32.99"/>
    <col collapsed="false" customWidth="true" hidden="false" outlineLevel="0" max="7" min="7" style="0" width="29.41"/>
    <col collapsed="false" customWidth="true" hidden="false" outlineLevel="0" max="8" min="8" style="0" width="13.99"/>
  </cols>
  <sheetData>
    <row r="1" customFormat="false" ht="12.75" hidden="false" customHeight="false" outlineLevel="0" collapsed="false">
      <c r="C1" s="12" t="s">
        <v>6</v>
      </c>
      <c r="D1" s="13"/>
      <c r="E1" s="13"/>
      <c r="F1" s="14" t="s">
        <v>7</v>
      </c>
      <c r="G1" s="15"/>
    </row>
    <row r="2" customFormat="false" ht="12.75" hidden="false" customHeight="false" outlineLevel="0" collapsed="false">
      <c r="C2" s="16"/>
      <c r="D2" s="17"/>
      <c r="E2" s="17"/>
      <c r="F2" s="18"/>
      <c r="G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18" t="s">
        <v>88</v>
      </c>
      <c r="G3" s="117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18" t="s">
        <v>89</v>
      </c>
      <c r="G4" s="18"/>
    </row>
    <row r="5" customFormat="false" ht="12.75" hidden="false" customHeight="false" outlineLevel="0" collapsed="false">
      <c r="C5" s="16"/>
      <c r="D5" s="17"/>
      <c r="E5" s="17"/>
      <c r="F5" s="18" t="s">
        <v>90</v>
      </c>
      <c r="G5" s="19" t="s">
        <v>13</v>
      </c>
    </row>
    <row r="6" customFormat="false" ht="12.75" hidden="false" customHeight="false" outlineLevel="0" collapsed="false">
      <c r="C6" s="16"/>
      <c r="D6" s="17"/>
      <c r="E6" s="17"/>
      <c r="F6" s="18" t="s">
        <v>91</v>
      </c>
      <c r="G6" s="21" t="n">
        <v>37256</v>
      </c>
    </row>
    <row r="7" customFormat="false" ht="12.75" hidden="false" customHeight="false" outlineLevel="0" collapsed="false">
      <c r="C7" s="16"/>
      <c r="D7" s="17"/>
      <c r="E7" s="17"/>
      <c r="F7" s="18"/>
      <c r="G7" s="18"/>
    </row>
    <row r="8" customFormat="false" ht="12.75" hidden="false" customHeight="false" outlineLevel="0" collapsed="false">
      <c r="C8" s="16"/>
      <c r="D8" s="17"/>
      <c r="E8" s="17"/>
      <c r="F8" s="18"/>
      <c r="G8" s="19" t="s">
        <v>17</v>
      </c>
    </row>
    <row r="9" customFormat="false" ht="12.75" hidden="false" customHeight="false" outlineLevel="0" collapsed="false">
      <c r="C9" s="16" t="s">
        <v>18</v>
      </c>
      <c r="D9" s="17"/>
      <c r="E9" s="17"/>
      <c r="F9" s="18" t="s">
        <v>92</v>
      </c>
      <c r="G9" s="22" t="s">
        <v>19</v>
      </c>
    </row>
    <row r="10" customFormat="false" ht="12.75" hidden="false" customHeight="false" outlineLevel="0" collapsed="false">
      <c r="C10" s="16" t="s">
        <v>20</v>
      </c>
      <c r="D10" s="17"/>
      <c r="E10" s="17"/>
      <c r="F10" s="18" t="s">
        <v>93</v>
      </c>
      <c r="G10" s="19" t="s">
        <v>21</v>
      </c>
    </row>
    <row r="11" customFormat="false" ht="12.75" hidden="false" customHeight="false" outlineLevel="0" collapsed="false">
      <c r="A11" s="23" t="s">
        <v>9</v>
      </c>
      <c r="B11" s="24"/>
      <c r="C11" s="25" t="s">
        <v>22</v>
      </c>
      <c r="D11" s="26"/>
      <c r="E11" s="26"/>
      <c r="F11" s="27" t="s">
        <v>94</v>
      </c>
      <c r="G11" s="28" t="s">
        <v>95</v>
      </c>
    </row>
    <row r="12" customFormat="false" ht="13.5" hidden="false" customHeight="false" outlineLevel="0" collapsed="false">
      <c r="A12" s="29" t="n">
        <f aca="true">NOW()</f>
        <v>45926.8884092787</v>
      </c>
      <c r="B12" s="30"/>
      <c r="C12" s="30"/>
      <c r="D12" s="30"/>
      <c r="E12" s="30"/>
      <c r="F12" s="30"/>
      <c r="G12" s="30"/>
      <c r="H12" s="31"/>
    </row>
    <row r="13" customFormat="false" ht="12.75" hidden="false" customHeight="false" outlineLevel="0" collapsed="false">
      <c r="A13" s="32" t="s">
        <v>25</v>
      </c>
      <c r="B13" s="32" t="s">
        <v>26</v>
      </c>
      <c r="C13" s="32" t="s">
        <v>27</v>
      </c>
      <c r="D13" s="32"/>
      <c r="E13" s="32"/>
    </row>
    <row r="14" customFormat="false" ht="12.75" hidden="false" customHeight="false" outlineLevel="0" collapsed="false">
      <c r="A14" s="32"/>
      <c r="B14" s="32"/>
      <c r="C14" s="32"/>
      <c r="D14" s="32"/>
      <c r="E14" s="32" t="s">
        <v>96</v>
      </c>
      <c r="F14" s="32" t="s">
        <v>97</v>
      </c>
    </row>
    <row r="15" customFormat="false" ht="12.75" hidden="false" customHeight="false" outlineLevel="0" collapsed="false">
      <c r="A15" s="33" t="n">
        <v>37196</v>
      </c>
      <c r="B15" s="34" t="n">
        <v>96023720</v>
      </c>
      <c r="C15" s="0" t="s">
        <v>98</v>
      </c>
      <c r="E15" s="118" t="n">
        <f aca="false">'Internal Kennedy Total'!M49</f>
        <v>345099</v>
      </c>
      <c r="F15" s="119" t="n">
        <f aca="false">SUM(G22:G26)/SUM(F22:F26)</f>
        <v>1.64448146052283</v>
      </c>
    </row>
    <row r="16" customFormat="false" ht="12.75" hidden="false" customHeight="false" outlineLevel="0" collapsed="false">
      <c r="A16" s="62"/>
      <c r="B16" s="34"/>
      <c r="C16" s="0" t="s">
        <v>99</v>
      </c>
      <c r="E16" s="118" t="n">
        <f aca="false">'Internal Kennedy Total'!N49</f>
        <v>768011</v>
      </c>
      <c r="F16" s="119" t="n">
        <f aca="false">SUM(G27:G31)/SUM(F27:F31)</f>
        <v>1.50626015638522</v>
      </c>
    </row>
    <row r="17" customFormat="false" ht="12.75" hidden="false" customHeight="false" outlineLevel="0" collapsed="false">
      <c r="E17" s="120"/>
      <c r="F17" s="115"/>
    </row>
    <row r="18" customFormat="false" ht="12.75" hidden="false" customHeight="false" outlineLevel="0" collapsed="false">
      <c r="C18" s="5" t="s">
        <v>100</v>
      </c>
      <c r="E18" s="118" t="n">
        <f aca="false">SUM(E15:E17)</f>
        <v>1113110</v>
      </c>
    </row>
    <row r="19" customFormat="false" ht="12.75" hidden="false" customHeight="false" outlineLevel="0" collapsed="false">
      <c r="E19" s="118"/>
    </row>
    <row r="21" customFormat="false" ht="12.75" hidden="false" customHeight="false" outlineLevel="0" collapsed="false">
      <c r="B21" s="35" t="s">
        <v>29</v>
      </c>
      <c r="C21" s="36" t="s">
        <v>30</v>
      </c>
      <c r="D21" s="37" t="s">
        <v>31</v>
      </c>
      <c r="E21" s="38" t="s">
        <v>32</v>
      </c>
      <c r="F21" s="38" t="s">
        <v>33</v>
      </c>
      <c r="G21" s="37" t="s">
        <v>34</v>
      </c>
    </row>
    <row r="22" customFormat="false" ht="12.75" hidden="false" customHeight="false" outlineLevel="0" collapsed="false">
      <c r="A22" s="121" t="str">
        <f aca="false">'Independent Summary'!A17</f>
        <v>11/01/01 - 11/30/01</v>
      </c>
      <c r="B22" s="0" t="s">
        <v>101</v>
      </c>
      <c r="C22" s="41" t="n">
        <f aca="false">+'Box Draw Detail'!K16</f>
        <v>-0.5134</v>
      </c>
      <c r="D22" s="42" t="n">
        <f aca="false">+G22/F22</f>
        <v>1.23650260398129</v>
      </c>
      <c r="E22" s="43" t="n">
        <f aca="false">+F22/'Box Draw Detail'!B$12</f>
        <v>38398.5071461756</v>
      </c>
      <c r="F22" s="43" t="n">
        <f aca="false">+'Box Draw Detail'!D57</f>
        <v>36696.8934088635</v>
      </c>
      <c r="G22" s="44" t="n">
        <f aca="false">+'Box Draw Detail'!P57</f>
        <v>45375.8042580836</v>
      </c>
    </row>
    <row r="23" customFormat="false" ht="12.75" hidden="false" customHeight="false" outlineLevel="0" collapsed="false">
      <c r="A23" s="0" t="str">
        <f aca="false">+A22</f>
        <v>11/01/01 - 11/30/01</v>
      </c>
      <c r="B23" s="0" t="s">
        <v>102</v>
      </c>
      <c r="C23" s="41" t="n">
        <f aca="false">+'Box Draw Detail'!K17</f>
        <v>-0.778</v>
      </c>
      <c r="D23" s="42" t="n">
        <f aca="false">+G23/F23</f>
        <v>2.262</v>
      </c>
      <c r="E23" s="43" t="n">
        <f aca="false">+F23/'Box Draw Detail'!$B$12</f>
        <v>113543.124929553</v>
      </c>
      <c r="F23" s="43" t="n">
        <f aca="false">+'Box Draw Detail'!F57</f>
        <v>108511.508975787</v>
      </c>
      <c r="G23" s="44" t="n">
        <f aca="false">+'Box Draw Detail'!Q57</f>
        <v>245453.033303231</v>
      </c>
    </row>
    <row r="24" customFormat="false" ht="12.75" hidden="false" customHeight="false" outlineLevel="0" collapsed="false">
      <c r="A24" s="0" t="str">
        <f aca="false">+A23</f>
        <v>11/01/01 - 11/30/01</v>
      </c>
      <c r="B24" s="0" t="s">
        <v>103</v>
      </c>
      <c r="C24" s="41" t="n">
        <f aca="false">+'Box Draw Detail'!K18</f>
        <v>-0.5134</v>
      </c>
      <c r="D24" s="42" t="n">
        <f aca="false">+G24/F24</f>
        <v>2.0266</v>
      </c>
      <c r="E24" s="43" t="n">
        <f aca="false">+F24/'Box Draw Detail'!$B$11</f>
        <v>39210.2868865944</v>
      </c>
      <c r="F24" s="43" t="n">
        <f aca="false">+'Box Draw Detail'!H57</f>
        <v>43263.5144425525</v>
      </c>
      <c r="G24" s="44" t="n">
        <f aca="false">+'Box Draw Detail'!R57</f>
        <v>87677.8383692768</v>
      </c>
    </row>
    <row r="25" customFormat="false" ht="12.75" hidden="false" customHeight="false" outlineLevel="0" collapsed="false">
      <c r="A25" s="0" t="str">
        <f aca="false">+A24</f>
        <v>11/01/01 - 11/30/01</v>
      </c>
      <c r="B25" s="0" t="s">
        <v>104</v>
      </c>
      <c r="C25" s="41" t="n">
        <f aca="false">+'Box Draw Detail'!K20</f>
        <v>-0.6807</v>
      </c>
      <c r="D25" s="42" t="n">
        <f aca="false">+G25/F25</f>
        <v>1.06920260398129</v>
      </c>
      <c r="E25" s="43" t="n">
        <f aca="false">+F25/'Box Draw Detail'!$B$11</f>
        <v>17435.9995846373</v>
      </c>
      <c r="F25" s="43" t="n">
        <f aca="false">+'Box Draw Detail'!J57</f>
        <v>19238.3856316082</v>
      </c>
      <c r="G25" s="44" t="n">
        <f aca="false">+'Box Draw Detail'!S57</f>
        <v>20569.7320137117</v>
      </c>
    </row>
    <row r="26" customFormat="false" ht="12.75" hidden="false" customHeight="false" outlineLevel="0" collapsed="false">
      <c r="A26" s="122" t="str">
        <f aca="false">+A25</f>
        <v>11/01/01 - 11/30/01</v>
      </c>
      <c r="B26" s="123" t="s">
        <v>105</v>
      </c>
      <c r="C26" s="124" t="n">
        <f aca="false">+'Box Draw Detail'!K19</f>
        <v>-0.5134</v>
      </c>
      <c r="D26" s="125" t="n">
        <f aca="false">+G26/F26</f>
        <v>1.22595601104793</v>
      </c>
      <c r="E26" s="126" t="n">
        <f aca="false">+F26/'Box Draw Detail'!$B$11</f>
        <v>124517.166831621</v>
      </c>
      <c r="F26" s="126" t="n">
        <f aca="false">+'Box Draw Detail'!L57</f>
        <v>137388.697541188</v>
      </c>
      <c r="G26" s="127" t="n">
        <f aca="false">+'Box Draw Detail'!T57</f>
        <v>168432.499600666</v>
      </c>
    </row>
    <row r="27" customFormat="false" ht="12.75" hidden="false" customHeight="false" outlineLevel="0" collapsed="false">
      <c r="A27" s="0" t="str">
        <f aca="false">+A26</f>
        <v>11/01/01 - 11/30/01</v>
      </c>
      <c r="B27" s="0" t="s">
        <v>106</v>
      </c>
      <c r="C27" s="41" t="n">
        <f aca="false">+'S Kitty Detail'!K16</f>
        <v>-0.6549</v>
      </c>
      <c r="D27" s="42" t="n">
        <f aca="false">+G27/F27</f>
        <v>1.10863298576335</v>
      </c>
      <c r="E27" s="43" t="n">
        <f aca="false">+F27/'Box Draw Detail'!$B$11</f>
        <v>73475.8003045069</v>
      </c>
      <c r="F27" s="43" t="n">
        <f aca="false">+'S Kitty Detail'!D57</f>
        <v>81071.1065911365</v>
      </c>
      <c r="G27" s="44" t="n">
        <f aca="false">+'S Kitty Detail'!P57</f>
        <v>89878.1029592707</v>
      </c>
    </row>
    <row r="28" customFormat="false" ht="12.75" hidden="false" customHeight="false" outlineLevel="0" collapsed="false">
      <c r="A28" s="0" t="str">
        <f aca="false">+A27</f>
        <v>11/01/01 - 11/30/01</v>
      </c>
      <c r="B28" s="0" t="s">
        <v>107</v>
      </c>
      <c r="C28" s="41" t="n">
        <f aca="false">+'S Kitty Detail'!K17</f>
        <v>-0.9194</v>
      </c>
      <c r="D28" s="42" t="n">
        <f aca="false">+G28/F28</f>
        <v>2.1206</v>
      </c>
      <c r="E28" s="43" t="n">
        <f aca="false">+F28/'Box Draw Detail'!$B$11</f>
        <v>217051.540081563</v>
      </c>
      <c r="F28" s="43" t="n">
        <f aca="false">+'S Kitty Detail'!F57</f>
        <v>239488.491024213</v>
      </c>
      <c r="G28" s="44" t="n">
        <f aca="false">+'S Kitty Detail'!Q57</f>
        <v>507859.294065945</v>
      </c>
    </row>
    <row r="29" customFormat="false" ht="12.75" hidden="false" customHeight="false" outlineLevel="0" collapsed="false">
      <c r="A29" s="0" t="str">
        <f aca="false">+A28</f>
        <v>11/01/01 - 11/30/01</v>
      </c>
      <c r="B29" s="0" t="s">
        <v>108</v>
      </c>
      <c r="C29" s="41" t="n">
        <f aca="false">+'S Kitty Detail'!K18</f>
        <v>-0.6549</v>
      </c>
      <c r="D29" s="42" t="n">
        <f aca="false">+G29/F29</f>
        <v>1.8851</v>
      </c>
      <c r="E29" s="43" t="n">
        <f aca="false">+F29/'Box Draw Detail'!$B$11</f>
        <v>86558.7723625757</v>
      </c>
      <c r="F29" s="43" t="n">
        <f aca="false">+'S Kitty Detail'!H57</f>
        <v>95506.4855574475</v>
      </c>
      <c r="G29" s="44" t="n">
        <f aca="false">+'S Kitty Detail'!R57</f>
        <v>180039.275924344</v>
      </c>
    </row>
    <row r="30" customFormat="false" ht="12.75" hidden="false" customHeight="false" outlineLevel="0" collapsed="false">
      <c r="A30" s="0" t="str">
        <f aca="false">+A29</f>
        <v>11/01/01 - 11/30/01</v>
      </c>
      <c r="B30" s="0" t="s">
        <v>109</v>
      </c>
      <c r="C30" s="41" t="n">
        <f aca="false">+'S Kitty Detail'!K19</f>
        <v>-0.6549</v>
      </c>
      <c r="D30" s="42" t="n">
        <f aca="false">+G30/F30</f>
        <v>1.09562970536917</v>
      </c>
      <c r="E30" s="43" t="n">
        <f aca="false">+F30/'Box Draw Detail'!$B$11</f>
        <v>280452.497234281</v>
      </c>
      <c r="F30" s="43" t="n">
        <f aca="false">+'S Kitty Detail'!L57</f>
        <v>309443.302458812</v>
      </c>
      <c r="G30" s="44" t="n">
        <f aca="false">+'S Kitty Detail'!T57</f>
        <v>339035.274301412</v>
      </c>
    </row>
    <row r="31" customFormat="false" ht="12.75" hidden="false" customHeight="false" outlineLevel="0" collapsed="false">
      <c r="A31" s="0" t="str">
        <f aca="false">+A30</f>
        <v>11/01/01 - 11/30/01</v>
      </c>
      <c r="B31" s="0" t="s">
        <v>110</v>
      </c>
      <c r="C31" s="41" t="n">
        <f aca="false">+'S Kitty Detail'!K20</f>
        <v>-0.8221</v>
      </c>
      <c r="D31" s="42" t="n">
        <f aca="false">+G31/F31</f>
        <v>0.941432985763353</v>
      </c>
      <c r="E31" s="43" t="n">
        <f aca="false">+F31/'Box Draw Detail'!$B$11</f>
        <v>38519.766921407</v>
      </c>
      <c r="F31" s="43" t="n">
        <f aca="false">+'S Kitty Detail'!J57</f>
        <v>42501.6143683918</v>
      </c>
      <c r="G31" s="44" t="n">
        <f aca="false">+'S Kitty Detail'!S57</f>
        <v>40012.4217145977</v>
      </c>
    </row>
    <row r="32" customFormat="false" ht="12.75" hidden="false" customHeight="false" outlineLevel="0" collapsed="false">
      <c r="A32" s="0" t="str">
        <f aca="false">+A31</f>
        <v>11/01/01 - 11/30/01</v>
      </c>
      <c r="B32" s="0" t="s">
        <v>111</v>
      </c>
      <c r="C32" s="0" t="s">
        <v>39</v>
      </c>
      <c r="D32" s="46" t="s">
        <v>40</v>
      </c>
      <c r="E32" s="43" t="n">
        <f aca="false">+F32/'Box Draw Detail'!$B$12</f>
        <v>33328.4356454818</v>
      </c>
      <c r="F32" s="43" t="n">
        <f aca="false">-+'Box Draw Detail'!M57</f>
        <v>31851.5</v>
      </c>
      <c r="G32" s="47" t="s">
        <v>41</v>
      </c>
    </row>
    <row r="33" customFormat="false" ht="12.75" hidden="false" customHeight="false" outlineLevel="0" collapsed="false">
      <c r="A33" s="0" t="str">
        <f aca="false">+A32</f>
        <v>11/01/01 - 11/30/01</v>
      </c>
      <c r="B33" s="0" t="s">
        <v>112</v>
      </c>
      <c r="C33" s="0" t="s">
        <v>39</v>
      </c>
      <c r="D33" s="46" t="s">
        <v>40</v>
      </c>
      <c r="E33" s="43" t="n">
        <f aca="false">+F33/'Box Draw Detail'!$B$11</f>
        <v>51197.1699391511</v>
      </c>
      <c r="F33" s="43" t="n">
        <f aca="false">-+'S Kitty Detail'!M57</f>
        <v>56489.5</v>
      </c>
      <c r="G33" s="47" t="s">
        <v>41</v>
      </c>
    </row>
    <row r="34" customFormat="false" ht="12.75" hidden="false" customHeight="false" outlineLevel="0" collapsed="false">
      <c r="A34" s="48" t="s">
        <v>42</v>
      </c>
      <c r="B34" s="32"/>
      <c r="C34" s="32"/>
      <c r="D34" s="49"/>
      <c r="E34" s="48" t="n">
        <f aca="false">SUM(E22:E33)</f>
        <v>1113689.06786755</v>
      </c>
      <c r="F34" s="48" t="n">
        <f aca="false">SUM(F22:F33)</f>
        <v>1201451</v>
      </c>
      <c r="G34" s="50" t="n">
        <f aca="false">SUM(G22:G32)</f>
        <v>1724333.27651054</v>
      </c>
    </row>
    <row r="35" customFormat="false" ht="12.75" hidden="false" customHeight="false" outlineLevel="0" collapsed="false">
      <c r="C35" s="41"/>
      <c r="D35" s="46"/>
      <c r="E35" s="46"/>
      <c r="F35" s="43"/>
      <c r="G35" s="47"/>
    </row>
    <row r="36" customFormat="false" ht="12.75" hidden="false" customHeight="false" outlineLevel="0" collapsed="false">
      <c r="D36" s="46"/>
      <c r="E36" s="46"/>
      <c r="F36" s="43"/>
      <c r="G36" s="47"/>
      <c r="K36" s="113"/>
    </row>
    <row r="37" customFormat="false" ht="12.75" hidden="false" customHeight="false" outlineLevel="0" collapsed="false">
      <c r="D37" s="59" t="s">
        <v>47</v>
      </c>
      <c r="E37" s="59"/>
      <c r="F37" s="60"/>
      <c r="G37" s="61" t="n">
        <f aca="false">SUM(G34:G35)</f>
        <v>1724333.27651054</v>
      </c>
    </row>
    <row r="40" customFormat="false" ht="12.75" hidden="false" customHeight="false" outlineLevel="0" collapsed="false">
      <c r="F40" s="113"/>
      <c r="G40" s="114"/>
    </row>
    <row r="41" customFormat="false" ht="12.75" hidden="false" customHeight="false" outlineLevel="0" collapsed="false">
      <c r="F41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3" activeCellId="0" sqref="C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8" width="16.7"/>
    <col collapsed="false" customWidth="true" hidden="false" outlineLevel="0" max="2" min="2" style="128" width="18.56"/>
    <col collapsed="false" customWidth="true" hidden="false" outlineLevel="0" max="3" min="3" style="128" width="19.85"/>
    <col collapsed="false" customWidth="true" hidden="false" outlineLevel="0" max="4" min="4" style="128" width="17.56"/>
    <col collapsed="false" customWidth="true" hidden="false" outlineLevel="0" max="5" min="5" style="128" width="20.99"/>
    <col collapsed="false" customWidth="true" hidden="false" outlineLevel="0" max="6" min="6" style="128" width="16.28"/>
    <col collapsed="false" customWidth="true" hidden="false" outlineLevel="0" max="7" min="7" style="128" width="15.56"/>
    <col collapsed="false" customWidth="true" hidden="false" outlineLevel="0" max="8" min="8" style="128" width="15.85"/>
    <col collapsed="false" customWidth="true" hidden="false" outlineLevel="0" max="14" min="9" style="128" width="15.56"/>
    <col collapsed="false" customWidth="true" hidden="false" outlineLevel="0" max="15" min="15" style="128" width="13.99"/>
    <col collapsed="false" customWidth="true" hidden="false" outlineLevel="0" max="17" min="16" style="128" width="13.28"/>
    <col collapsed="false" customWidth="true" hidden="false" outlineLevel="0" max="18" min="18" style="128" width="16.84"/>
    <col collapsed="false" customWidth="true" hidden="false" outlineLevel="0" max="19" min="19" style="128" width="13.28"/>
    <col collapsed="false" customWidth="true" hidden="false" outlineLevel="0" max="20" min="20" style="128" width="15.28"/>
    <col collapsed="false" customWidth="true" hidden="false" outlineLevel="0" max="21" min="21" style="128" width="13.28"/>
    <col collapsed="false" customWidth="true" hidden="false" outlineLevel="0" max="22" min="22" style="128" width="12.14"/>
    <col collapsed="false" customWidth="true" hidden="false" outlineLevel="0" max="24" min="23" style="128" width="14.99"/>
    <col collapsed="false" customWidth="true" hidden="false" outlineLevel="0" max="25" min="25" style="128" width="12.14"/>
    <col collapsed="false" customWidth="true" hidden="false" outlineLevel="0" max="26" min="26" style="128" width="15.41"/>
    <col collapsed="false" customWidth="true" hidden="false" outlineLevel="0" max="27" min="27" style="128" width="16.42"/>
    <col collapsed="false" customWidth="false" hidden="false" outlineLevel="0" max="257" min="28" style="128" width="9.14"/>
  </cols>
  <sheetData>
    <row r="1" customFormat="false" ht="12.75" hidden="false" customHeight="false" outlineLevel="0" collapsed="false">
      <c r="A1" s="129" t="s">
        <v>113</v>
      </c>
      <c r="B1" s="129" t="s">
        <v>49</v>
      </c>
      <c r="C1" s="129" t="s">
        <v>114</v>
      </c>
      <c r="F1" s="128" t="s">
        <v>51</v>
      </c>
      <c r="H1" s="129"/>
      <c r="I1" s="129"/>
      <c r="J1" s="129"/>
      <c r="K1" s="129"/>
      <c r="L1" s="129"/>
      <c r="M1" s="129"/>
      <c r="N1" s="129"/>
      <c r="O1" s="129"/>
      <c r="S1" s="130" t="n">
        <f aca="true">NOW()</f>
        <v>45926.8884093181</v>
      </c>
    </row>
    <row r="2" customFormat="false" ht="12.75" hidden="false" customHeight="false" outlineLevel="0" collapsed="false">
      <c r="A2" s="33" t="n">
        <f aca="false">+'Index Pricing'!A1</f>
        <v>37196</v>
      </c>
      <c r="B2" s="129" t="s">
        <v>52</v>
      </c>
      <c r="C2" s="129" t="s">
        <v>115</v>
      </c>
      <c r="H2" s="129"/>
      <c r="I2" s="129"/>
      <c r="J2" s="129"/>
      <c r="K2" s="129"/>
      <c r="L2" s="129"/>
      <c r="M2" s="129"/>
      <c r="N2" s="129"/>
      <c r="O2" s="129"/>
    </row>
    <row r="3" customFormat="false" ht="12.75" hidden="false" customHeight="false" outlineLevel="0" collapsed="false">
      <c r="A3" s="33"/>
      <c r="B3" s="129" t="s">
        <v>54</v>
      </c>
      <c r="C3" s="129" t="s">
        <v>116</v>
      </c>
      <c r="F3" s="128" t="s">
        <v>56</v>
      </c>
      <c r="G3" s="128" t="s">
        <v>57</v>
      </c>
      <c r="H3" s="129"/>
      <c r="I3" s="129"/>
      <c r="J3" s="129"/>
      <c r="K3" s="129"/>
      <c r="L3" s="129"/>
      <c r="M3" s="129"/>
      <c r="N3" s="129"/>
      <c r="O3" s="129"/>
    </row>
    <row r="4" customFormat="false" ht="12.75" hidden="false" customHeight="false" outlineLevel="0" collapsed="false">
      <c r="A4" s="33"/>
      <c r="B4" s="129"/>
      <c r="C4" s="129"/>
      <c r="H4" s="129"/>
      <c r="I4" s="129"/>
      <c r="J4" s="129"/>
      <c r="K4" s="129"/>
      <c r="L4" s="129"/>
      <c r="M4" s="129"/>
      <c r="N4" s="129"/>
      <c r="O4" s="129"/>
    </row>
    <row r="5" customFormat="false" ht="12.75" hidden="false" customHeight="false" outlineLevel="0" collapsed="false">
      <c r="A5" s="33" t="s">
        <v>117</v>
      </c>
      <c r="B5" s="129"/>
      <c r="C5" s="131" t="n">
        <f aca="false">+'Index Pricing'!B4</f>
        <v>3.04</v>
      </c>
      <c r="H5" s="129"/>
      <c r="I5" s="129"/>
      <c r="J5" s="129"/>
      <c r="K5" s="129"/>
      <c r="L5" s="129"/>
      <c r="M5" s="129"/>
      <c r="N5" s="129"/>
      <c r="O5" s="129"/>
    </row>
    <row r="6" customFormat="false" ht="12" hidden="false" customHeight="true" outlineLevel="0" collapsed="false">
      <c r="A6" s="33" t="s">
        <v>118</v>
      </c>
      <c r="B6" s="129"/>
      <c r="C6" s="131" t="n">
        <f aca="false">+'Index Pricing'!B3</f>
        <v>2.54</v>
      </c>
      <c r="H6" s="129"/>
      <c r="I6" s="129"/>
      <c r="J6" s="129"/>
      <c r="K6" s="129"/>
      <c r="L6" s="129"/>
      <c r="M6" s="129"/>
      <c r="N6" s="129"/>
      <c r="O6" s="129"/>
    </row>
    <row r="7" customFormat="false" ht="12.75" hidden="false" customHeight="false" outlineLevel="0" collapsed="false">
      <c r="A7" s="132" t="s">
        <v>119</v>
      </c>
      <c r="C7" s="133" t="n">
        <f aca="false">+'Internal Kennedy Total'!C7</f>
        <v>21032</v>
      </c>
      <c r="D7" s="129" t="s">
        <v>120</v>
      </c>
    </row>
    <row r="8" customFormat="false" ht="12.75" hidden="false" customHeight="false" outlineLevel="0" collapsed="false">
      <c r="A8" s="132" t="s">
        <v>121</v>
      </c>
      <c r="C8" s="133" t="n">
        <f aca="false">+'Internal Kennedy Total'!C8</f>
        <v>21893</v>
      </c>
      <c r="D8" s="129" t="s">
        <v>120</v>
      </c>
    </row>
    <row r="9" customFormat="false" ht="13.5" hidden="false" customHeight="false" outlineLevel="0" collapsed="false">
      <c r="A9" s="132"/>
      <c r="C9" s="134"/>
    </row>
    <row r="10" customFormat="false" ht="12.75" hidden="false" customHeight="false" outlineLevel="0" collapsed="false">
      <c r="A10" s="135"/>
      <c r="B10" s="136" t="s">
        <v>122</v>
      </c>
      <c r="C10" s="137" t="s">
        <v>123</v>
      </c>
      <c r="D10" s="137" t="s">
        <v>124</v>
      </c>
      <c r="E10" s="138" t="s">
        <v>125</v>
      </c>
    </row>
    <row r="11" customFormat="false" ht="12.75" hidden="false" customHeight="false" outlineLevel="0" collapsed="false">
      <c r="A11" s="139" t="s">
        <v>112</v>
      </c>
      <c r="B11" s="140" t="n">
        <f aca="false">'[1]Enron Detail'!$F$9</f>
        <v>1.10337153532391</v>
      </c>
      <c r="C11" s="141" t="n">
        <f aca="false">+C7*D11</f>
        <v>14511.4205711924</v>
      </c>
      <c r="D11" s="142" t="n">
        <f aca="false">'Internal Kennedy Total'!H8</f>
        <v>0.689968646405117</v>
      </c>
      <c r="E11" s="143" t="n">
        <v>0.61</v>
      </c>
    </row>
    <row r="12" customFormat="false" ht="13.5" hidden="false" customHeight="false" outlineLevel="0" collapsed="false">
      <c r="A12" s="144" t="s">
        <v>111</v>
      </c>
      <c r="B12" s="145" t="n">
        <f aca="false">'[1]Enron Detail'!$C$9</f>
        <v>0.955685419466065</v>
      </c>
      <c r="C12" s="146" t="n">
        <f aca="false">+C7-C11</f>
        <v>6520.57942880757</v>
      </c>
      <c r="D12" s="147" t="n">
        <f aca="false">'Internal Kennedy Total'!H7</f>
        <v>0.310031353594883</v>
      </c>
      <c r="E12" s="148" t="n">
        <v>0.47</v>
      </c>
    </row>
    <row r="13" customFormat="false" ht="12.75" hidden="false" customHeight="false" outlineLevel="0" collapsed="false">
      <c r="A13" s="149"/>
      <c r="I13" s="150"/>
    </row>
    <row r="14" customFormat="false" ht="13.5" hidden="false" customHeight="false" outlineLevel="0" collapsed="false">
      <c r="A14" s="149"/>
    </row>
    <row r="15" customFormat="false" ht="57" hidden="false" customHeight="true" outlineLevel="0" collapsed="false">
      <c r="A15" s="151" t="s">
        <v>126</v>
      </c>
      <c r="B15" s="67"/>
      <c r="C15" s="67" t="s">
        <v>61</v>
      </c>
      <c r="D15" s="67" t="s">
        <v>127</v>
      </c>
      <c r="E15" s="67" t="s">
        <v>63</v>
      </c>
      <c r="F15" s="68" t="str">
        <f aca="false">"WIC Med.Bow Fuel ("&amp;'Index Pricing'!$F$3*100&amp;"%*CIGindex)"</f>
        <v>WIC Med.Bow Fuel (0.68%*CIGindex)</v>
      </c>
      <c r="G15" s="67" t="s">
        <v>64</v>
      </c>
      <c r="H15" s="67" t="s">
        <v>128</v>
      </c>
      <c r="I15" s="67" t="s">
        <v>66</v>
      </c>
      <c r="J15" s="152"/>
      <c r="K15" s="69" t="s">
        <v>67</v>
      </c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</row>
    <row r="16" customFormat="false" ht="12.75" hidden="false" customHeight="false" outlineLevel="0" collapsed="false">
      <c r="A16" s="153" t="s">
        <v>129</v>
      </c>
      <c r="B16" s="154" t="s">
        <v>36</v>
      </c>
      <c r="C16" s="155" t="n">
        <v>0</v>
      </c>
      <c r="D16" s="154" t="n">
        <f aca="false">-E12</f>
        <v>-0.47</v>
      </c>
      <c r="E16" s="154"/>
      <c r="F16" s="154"/>
      <c r="G16" s="154"/>
      <c r="H16" s="154"/>
      <c r="I16" s="154" t="n">
        <f aca="false">+-M57*D16/(O57)</f>
        <v>-0.0433794505344843</v>
      </c>
      <c r="J16" s="156"/>
      <c r="K16" s="157" t="n">
        <f aca="false">ROUND(SUM(C16:J16),4)</f>
        <v>-0.5134</v>
      </c>
    </row>
    <row r="17" customFormat="false" ht="12.75" hidden="false" customHeight="false" outlineLevel="0" collapsed="false">
      <c r="A17" s="153" t="s">
        <v>129</v>
      </c>
      <c r="B17" s="154" t="s">
        <v>3</v>
      </c>
      <c r="C17" s="155" t="n">
        <v>0.01</v>
      </c>
      <c r="D17" s="154" t="n">
        <f aca="false">-E12</f>
        <v>-0.47</v>
      </c>
      <c r="E17" s="154" t="n">
        <f aca="false">-0.13-0.0025-0.0022</f>
        <v>-0.1347</v>
      </c>
      <c r="F17" s="154" t="n">
        <f aca="false">-'Index Pricing'!$F$3*'Index Pricing'!B3</f>
        <v>-0.017272</v>
      </c>
      <c r="G17" s="154" t="n">
        <v>-0.1226</v>
      </c>
      <c r="H17" s="154" t="n">
        <v>0</v>
      </c>
      <c r="I17" s="154" t="n">
        <f aca="false">+I16</f>
        <v>-0.0433794505344843</v>
      </c>
      <c r="J17" s="156"/>
      <c r="K17" s="157" t="n">
        <f aca="false">ROUND(SUM(C17:J17),4)</f>
        <v>-0.778</v>
      </c>
    </row>
    <row r="18" customFormat="false" ht="12.75" hidden="false" customHeight="false" outlineLevel="0" collapsed="false">
      <c r="A18" s="153" t="s">
        <v>129</v>
      </c>
      <c r="B18" s="154" t="s">
        <v>0</v>
      </c>
      <c r="C18" s="155" t="n">
        <v>0</v>
      </c>
      <c r="D18" s="154" t="n">
        <f aca="false">-$E$12</f>
        <v>-0.47</v>
      </c>
      <c r="E18" s="154"/>
      <c r="F18" s="154"/>
      <c r="G18" s="154"/>
      <c r="H18" s="154"/>
      <c r="I18" s="154" t="n">
        <f aca="false">+I17</f>
        <v>-0.0433794505344843</v>
      </c>
      <c r="J18" s="156"/>
      <c r="K18" s="157" t="n">
        <f aca="false">ROUND(SUM(C18:J18),4)</f>
        <v>-0.5134</v>
      </c>
    </row>
    <row r="19" customFormat="false" ht="12.75" hidden="false" customHeight="false" outlineLevel="0" collapsed="false">
      <c r="A19" s="153" t="s">
        <v>130</v>
      </c>
      <c r="B19" s="154" t="s">
        <v>36</v>
      </c>
      <c r="C19" s="158" t="s">
        <v>131</v>
      </c>
      <c r="D19" s="154" t="n">
        <f aca="false">-$E$12</f>
        <v>-0.47</v>
      </c>
      <c r="E19" s="154"/>
      <c r="F19" s="154"/>
      <c r="G19" s="154"/>
      <c r="H19" s="154"/>
      <c r="I19" s="154" t="n">
        <f aca="false">I18</f>
        <v>-0.0433794505344843</v>
      </c>
      <c r="J19" s="154"/>
      <c r="K19" s="157" t="n">
        <f aca="false">ROUND(SUM(C19:J19),4)</f>
        <v>-0.5134</v>
      </c>
      <c r="L19" s="159"/>
      <c r="N19" s="160"/>
    </row>
    <row r="20" customFormat="false" ht="12.75" hidden="false" customHeight="false" outlineLevel="0" collapsed="false">
      <c r="A20" s="153" t="s">
        <v>130</v>
      </c>
      <c r="B20" s="154" t="s">
        <v>36</v>
      </c>
      <c r="C20" s="155" t="n">
        <v>0.1</v>
      </c>
      <c r="D20" s="154" t="n">
        <f aca="false">-$E$12</f>
        <v>-0.47</v>
      </c>
      <c r="E20" s="154" t="n">
        <v>-0.25</v>
      </c>
      <c r="F20" s="154" t="n">
        <f aca="false">-'Index Pricing'!$F$3*'Index Pricing'!B3</f>
        <v>-0.017272</v>
      </c>
      <c r="G20" s="154"/>
      <c r="H20" s="154"/>
      <c r="I20" s="154" t="n">
        <f aca="false">I19</f>
        <v>-0.0433794505344843</v>
      </c>
      <c r="J20" s="154"/>
      <c r="K20" s="157" t="n">
        <f aca="false">ROUND(SUM(C20:J20),4)</f>
        <v>-0.6807</v>
      </c>
      <c r="L20" s="159"/>
    </row>
    <row r="21" customFormat="false" ht="13.5" hidden="false" customHeight="false" outlineLevel="0" collapsed="false"/>
    <row r="22" customFormat="false" ht="23.25" hidden="false" customHeight="false" outlineLevel="0" collapsed="false">
      <c r="C22" s="161" t="s">
        <v>132</v>
      </c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</row>
    <row r="23" customFormat="false" ht="57" hidden="false" customHeight="true" outlineLevel="0" collapsed="false">
      <c r="A23" s="70"/>
      <c r="B23" s="162"/>
      <c r="C23" s="163" t="s">
        <v>133</v>
      </c>
      <c r="D23" s="164" t="s">
        <v>134</v>
      </c>
      <c r="E23" s="163" t="s">
        <v>135</v>
      </c>
      <c r="F23" s="164" t="s">
        <v>72</v>
      </c>
      <c r="G23" s="163" t="s">
        <v>136</v>
      </c>
      <c r="H23" s="164" t="s">
        <v>137</v>
      </c>
      <c r="I23" s="163" t="s">
        <v>138</v>
      </c>
      <c r="J23" s="164" t="s">
        <v>139</v>
      </c>
      <c r="K23" s="163" t="s">
        <v>140</v>
      </c>
      <c r="L23" s="164" t="s">
        <v>141</v>
      </c>
      <c r="M23" s="165" t="s">
        <v>142</v>
      </c>
      <c r="N23" s="165" t="s">
        <v>143</v>
      </c>
      <c r="O23" s="166" t="s">
        <v>144</v>
      </c>
      <c r="P23" s="167" t="s">
        <v>145</v>
      </c>
      <c r="Q23" s="167"/>
      <c r="R23" s="167"/>
      <c r="S23" s="167"/>
      <c r="T23" s="167"/>
      <c r="U23" s="168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  <c r="IW23" s="70"/>
    </row>
    <row r="24" customFormat="false" ht="12.75" hidden="false" customHeight="false" outlineLevel="0" collapsed="false">
      <c r="A24" s="80"/>
      <c r="B24" s="169"/>
      <c r="C24" s="170"/>
      <c r="D24" s="169"/>
      <c r="E24" s="170"/>
      <c r="F24" s="171" t="n">
        <f aca="false">IF(+C7*0.8&gt;12000,12000,+C7*0.8)</f>
        <v>12000</v>
      </c>
      <c r="G24" s="170"/>
      <c r="H24" s="169"/>
      <c r="I24" s="170"/>
      <c r="J24" s="169"/>
      <c r="K24" s="170"/>
      <c r="L24" s="169"/>
      <c r="M24" s="172"/>
      <c r="N24" s="172"/>
      <c r="O24" s="173"/>
      <c r="P24" s="174"/>
      <c r="Q24" s="175"/>
      <c r="R24" s="175"/>
      <c r="S24" s="175"/>
      <c r="T24" s="176"/>
      <c r="U24" s="177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  <c r="HD24" s="80"/>
      <c r="HE24" s="80"/>
      <c r="HF24" s="80"/>
      <c r="HG24" s="80"/>
      <c r="HH24" s="80"/>
      <c r="HI24" s="80"/>
      <c r="HJ24" s="80"/>
      <c r="HK24" s="80"/>
      <c r="HL24" s="80"/>
      <c r="HM24" s="80"/>
      <c r="HN24" s="80"/>
      <c r="HO24" s="80"/>
      <c r="HP24" s="80"/>
      <c r="HQ24" s="80"/>
      <c r="HR24" s="80"/>
      <c r="HS24" s="80"/>
      <c r="HT24" s="80"/>
      <c r="HU24" s="80"/>
      <c r="HV24" s="80"/>
      <c r="HW24" s="80"/>
      <c r="HX24" s="80"/>
      <c r="HY24" s="80"/>
      <c r="HZ24" s="80"/>
      <c r="IA24" s="80"/>
      <c r="IB24" s="80"/>
      <c r="IC24" s="80"/>
      <c r="ID24" s="80"/>
      <c r="IE24" s="80"/>
      <c r="IF24" s="80"/>
      <c r="IG24" s="80"/>
      <c r="IH24" s="80"/>
      <c r="II24" s="80"/>
      <c r="IJ24" s="80"/>
      <c r="IK24" s="80"/>
      <c r="IL24" s="80"/>
      <c r="IM24" s="80"/>
      <c r="IN24" s="80"/>
      <c r="IO24" s="80"/>
      <c r="IP24" s="80"/>
      <c r="IQ24" s="80"/>
      <c r="IR24" s="80"/>
      <c r="IS24" s="80"/>
      <c r="IT24" s="80"/>
      <c r="IU24" s="80"/>
      <c r="IV24" s="80"/>
      <c r="IW24" s="80"/>
    </row>
    <row r="25" customFormat="false" ht="26.25" hidden="false" customHeight="false" outlineLevel="0" collapsed="false">
      <c r="A25" s="70"/>
      <c r="B25" s="162" t="s">
        <v>81</v>
      </c>
      <c r="C25" s="178" t="s">
        <v>146</v>
      </c>
      <c r="D25" s="162"/>
      <c r="E25" s="179" t="s">
        <v>83</v>
      </c>
      <c r="F25" s="180"/>
      <c r="G25" s="178" t="s">
        <v>84</v>
      </c>
      <c r="H25" s="162"/>
      <c r="I25" s="178" t="s">
        <v>146</v>
      </c>
      <c r="J25" s="162"/>
      <c r="K25" s="178" t="s">
        <v>146</v>
      </c>
      <c r="L25" s="162"/>
      <c r="M25" s="181"/>
      <c r="N25" s="181"/>
      <c r="O25" s="182"/>
      <c r="P25" s="183" t="s">
        <v>147</v>
      </c>
      <c r="Q25" s="184" t="s">
        <v>78</v>
      </c>
      <c r="R25" s="184" t="s">
        <v>148</v>
      </c>
      <c r="S25" s="184" t="s">
        <v>149</v>
      </c>
      <c r="T25" s="185" t="s">
        <v>150</v>
      </c>
      <c r="U25" s="186" t="s">
        <v>80</v>
      </c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70"/>
      <c r="IV25" s="70"/>
      <c r="IW25" s="70"/>
    </row>
    <row r="26" customFormat="false" ht="12.75" hidden="false" customHeight="false" outlineLevel="0" collapsed="false">
      <c r="A26" s="187" t="n">
        <f aca="false">+'Index Pricing'!A7</f>
        <v>37196</v>
      </c>
      <c r="B26" s="188" t="n">
        <f aca="false">+'Index Pricing'!B7</f>
        <v>2.67</v>
      </c>
      <c r="C26" s="189" t="n">
        <f aca="false">+B26+$K$16</f>
        <v>2.1566</v>
      </c>
      <c r="D26" s="190" t="n">
        <f aca="false">O26*'Internal Kennedy Total'!T18</f>
        <v>1356.3467500063</v>
      </c>
      <c r="E26" s="191" t="n">
        <f aca="false">+'Index Pricing'!$B$4+'Box Draw Detail'!$K$17</f>
        <v>2.262</v>
      </c>
      <c r="F26" s="192" t="n">
        <f aca="false">O26*'Internal Kennedy Total'!U18</f>
        <v>3869.74821685107</v>
      </c>
      <c r="G26" s="191" t="n">
        <f aca="false">$C$6+$K$18</f>
        <v>2.0266</v>
      </c>
      <c r="H26" s="193" t="n">
        <f aca="false">O26*'Internal Kennedy Total'!V18</f>
        <v>1556.28374121027</v>
      </c>
      <c r="I26" s="191" t="n">
        <f aca="false">B26+$K$20</f>
        <v>1.9893</v>
      </c>
      <c r="J26" s="194" t="n">
        <f aca="false">O26*'Internal Kennedy Total'!W18</f>
        <v>711.066234846385</v>
      </c>
      <c r="K26" s="191" t="n">
        <f aca="false">B26+$K$19+'Kennedy Gas Daily Pricing'!B7</f>
        <v>2.1066</v>
      </c>
      <c r="L26" s="194" t="n">
        <f aca="false">'Internal Kennedy Total'!X18*'Internal Kennedy Total'!M18</f>
        <v>5301.55505708597</v>
      </c>
      <c r="M26" s="195" t="n">
        <f aca="false">'[1]Enron Detail'!$D14</f>
        <v>-1199</v>
      </c>
      <c r="N26" s="196" t="n">
        <f aca="false">O26-M26</f>
        <v>13994</v>
      </c>
      <c r="O26" s="197" t="n">
        <f aca="false">'Internal Kennedy Total'!M18</f>
        <v>12795</v>
      </c>
      <c r="P26" s="198" t="n">
        <f aca="false">+C26*D26</f>
        <v>2925.09740106359</v>
      </c>
      <c r="Q26" s="198" t="n">
        <f aca="false">+E26*F26</f>
        <v>8753.37046651713</v>
      </c>
      <c r="R26" s="198" t="n">
        <f aca="false">+G26*H26</f>
        <v>3153.96462993674</v>
      </c>
      <c r="S26" s="198" t="n">
        <f aca="false">I26*J26</f>
        <v>1414.52406097991</v>
      </c>
      <c r="T26" s="199" t="n">
        <f aca="false">K26*L26</f>
        <v>11168.2558832573</v>
      </c>
      <c r="U26" s="200" t="n">
        <f aca="false">SUM(P26:T26)</f>
        <v>27415.2124417547</v>
      </c>
    </row>
    <row r="27" customFormat="false" ht="12.75" hidden="false" customHeight="false" outlineLevel="0" collapsed="false">
      <c r="A27" s="187" t="n">
        <f aca="false">+'Index Pricing'!A8</f>
        <v>37197</v>
      </c>
      <c r="B27" s="188" t="n">
        <f aca="false">+'Index Pricing'!B8</f>
        <v>2.36</v>
      </c>
      <c r="C27" s="201" t="n">
        <f aca="false">+B27+$K$16</f>
        <v>1.8466</v>
      </c>
      <c r="D27" s="202" t="n">
        <f aca="false">O27*'Internal Kennedy Total'!T19</f>
        <v>1266.10627763892</v>
      </c>
      <c r="E27" s="203" t="n">
        <f aca="false">+'Index Pricing'!$B$4+'Box Draw Detail'!$K$17</f>
        <v>2.262</v>
      </c>
      <c r="F27" s="204" t="n">
        <f aca="false">O27*'Internal Kennedy Total'!U19</f>
        <v>3612.28609882715</v>
      </c>
      <c r="G27" s="203" t="n">
        <f aca="false">$C$6+$K$18</f>
        <v>2.0266</v>
      </c>
      <c r="H27" s="205" t="n">
        <f aca="false">O27*'Internal Kennedy Total'!V19</f>
        <v>1452.74105941165</v>
      </c>
      <c r="I27" s="203" t="n">
        <f aca="false">B27+$K$20</f>
        <v>1.6793</v>
      </c>
      <c r="J27" s="206" t="n">
        <f aca="false">O27*'Internal Kennedy Total'!W19</f>
        <v>663.757570659489</v>
      </c>
      <c r="K27" s="203" t="n">
        <f aca="false">B27+$K$19+'Kennedy Gas Daily Pricing'!B8</f>
        <v>1.7966</v>
      </c>
      <c r="L27" s="206" t="n">
        <f aca="false">'Internal Kennedy Total'!X19*'Internal Kennedy Total'!M19</f>
        <v>5530.1089934628</v>
      </c>
      <c r="M27" s="207" t="n">
        <f aca="false">'[1]Enron Detail'!$D15</f>
        <v>-1219</v>
      </c>
      <c r="N27" s="208" t="n">
        <f aca="false">O27-M27</f>
        <v>13744</v>
      </c>
      <c r="O27" s="209" t="n">
        <f aca="false">'Internal Kennedy Total'!M19</f>
        <v>12525</v>
      </c>
      <c r="P27" s="198" t="n">
        <f aca="false">+C27*D27</f>
        <v>2337.99185228802</v>
      </c>
      <c r="Q27" s="198" t="n">
        <f aca="false">+E27*F27</f>
        <v>8170.99115554701</v>
      </c>
      <c r="R27" s="198" t="n">
        <f aca="false">+G27*H27</f>
        <v>2944.12503100365</v>
      </c>
      <c r="S27" s="198" t="n">
        <f aca="false">I27*J27</f>
        <v>1114.64808840848</v>
      </c>
      <c r="T27" s="199" t="n">
        <f aca="false">K27*L27</f>
        <v>9935.39381765526</v>
      </c>
      <c r="U27" s="210" t="n">
        <f aca="false">SUM(P27:T27)</f>
        <v>24503.1499449024</v>
      </c>
    </row>
    <row r="28" customFormat="false" ht="12.75" hidden="false" customHeight="false" outlineLevel="0" collapsed="false">
      <c r="A28" s="187" t="n">
        <f aca="false">+'Index Pricing'!A9</f>
        <v>37198</v>
      </c>
      <c r="B28" s="188" t="n">
        <f aca="false">+'Index Pricing'!B9</f>
        <v>2.015</v>
      </c>
      <c r="C28" s="201" t="n">
        <f aca="false">+B28+$K$16</f>
        <v>1.5016</v>
      </c>
      <c r="D28" s="202" t="n">
        <f aca="false">O28*'Internal Kennedy Total'!T20</f>
        <v>1218.93350377687</v>
      </c>
      <c r="E28" s="203" t="n">
        <f aca="false">+'Index Pricing'!$B$4+'Box Draw Detail'!$K$17</f>
        <v>2.262</v>
      </c>
      <c r="F28" s="204" t="n">
        <f aca="false">O28*'Internal Kennedy Total'!U20</f>
        <v>3477.69901220221</v>
      </c>
      <c r="G28" s="203" t="n">
        <f aca="false">$C$6+$K$18</f>
        <v>2.0266</v>
      </c>
      <c r="H28" s="205" t="n">
        <f aca="false">O28*'Internal Kennedy Total'!V20</f>
        <v>1398.61461940732</v>
      </c>
      <c r="I28" s="203" t="n">
        <f aca="false">B28+$K$20</f>
        <v>1.3343</v>
      </c>
      <c r="J28" s="206" t="n">
        <f aca="false">O28*'Internal Kennedy Total'!W20</f>
        <v>639.027193492156</v>
      </c>
      <c r="K28" s="203" t="n">
        <f aca="false">B28+$K$19+'Kennedy Gas Daily Pricing'!B9</f>
        <v>1.4516</v>
      </c>
      <c r="L28" s="206" t="n">
        <f aca="false">'Internal Kennedy Total'!X20*'Internal Kennedy Total'!M20</f>
        <v>5734.72567112144</v>
      </c>
      <c r="M28" s="207" t="n">
        <f aca="false">'[1]Enron Detail'!$D16</f>
        <v>-1098</v>
      </c>
      <c r="N28" s="208" t="n">
        <f aca="false">O28-M28</f>
        <v>13567</v>
      </c>
      <c r="O28" s="209" t="n">
        <f aca="false">'Internal Kennedy Total'!M20</f>
        <v>12469</v>
      </c>
      <c r="P28" s="198" t="n">
        <f aca="false">+C28*D28</f>
        <v>1830.35054927135</v>
      </c>
      <c r="Q28" s="198" t="n">
        <f aca="false">+E28*F28</f>
        <v>7866.5551656014</v>
      </c>
      <c r="R28" s="198" t="n">
        <f aca="false">+G28*H28</f>
        <v>2834.43238769088</v>
      </c>
      <c r="S28" s="198" t="n">
        <f aca="false">I28*J28</f>
        <v>852.653984276584</v>
      </c>
      <c r="T28" s="199" t="n">
        <f aca="false">K28*L28</f>
        <v>8324.52778419989</v>
      </c>
      <c r="U28" s="210" t="n">
        <f aca="false">SUM(P28:T28)</f>
        <v>21708.5198710401</v>
      </c>
    </row>
    <row r="29" customFormat="false" ht="12.75" hidden="false" customHeight="false" outlineLevel="0" collapsed="false">
      <c r="A29" s="187" t="n">
        <f aca="false">+'Index Pricing'!A10</f>
        <v>37199</v>
      </c>
      <c r="B29" s="188" t="n">
        <f aca="false">+'Index Pricing'!B10</f>
        <v>2.015</v>
      </c>
      <c r="C29" s="201" t="n">
        <f aca="false">+B29+$K$16</f>
        <v>1.5016</v>
      </c>
      <c r="D29" s="202" t="n">
        <f aca="false">O29*'Internal Kennedy Total'!T21</f>
        <v>1238.02397333144</v>
      </c>
      <c r="E29" s="203" t="n">
        <f aca="false">+'Index Pricing'!$B$4+'Box Draw Detail'!$K$17</f>
        <v>2.262</v>
      </c>
      <c r="F29" s="204" t="n">
        <f aca="false">O29*'Internal Kennedy Total'!U21</f>
        <v>3532.16540180155</v>
      </c>
      <c r="G29" s="203" t="n">
        <f aca="false">$C$6+$K$18</f>
        <v>2.0266</v>
      </c>
      <c r="H29" s="205" t="n">
        <f aca="false">O29*'Internal Kennedy Total'!V21</f>
        <v>1420.51918575786</v>
      </c>
      <c r="I29" s="203" t="n">
        <f aca="false">B29+$K$20</f>
        <v>1.3343</v>
      </c>
      <c r="J29" s="206" t="n">
        <f aca="false">O29*'Internal Kennedy Total'!W21</f>
        <v>649.035392581034</v>
      </c>
      <c r="K29" s="203" t="n">
        <f aca="false">B29+$K$19+'Kennedy Gas Daily Pricing'!B10</f>
        <v>1.4516</v>
      </c>
      <c r="L29" s="206" t="n">
        <f aca="false">'Internal Kennedy Total'!X21*'Internal Kennedy Total'!M21</f>
        <v>5610.25604652812</v>
      </c>
      <c r="M29" s="207" t="n">
        <f aca="false">'[1]Enron Detail'!$D17</f>
        <v>-1167</v>
      </c>
      <c r="N29" s="208" t="n">
        <f aca="false">O29-M29</f>
        <v>13617</v>
      </c>
      <c r="O29" s="209" t="n">
        <f aca="false">'Internal Kennedy Total'!M21</f>
        <v>12450</v>
      </c>
      <c r="P29" s="198" t="n">
        <f aca="false">+C29*D29</f>
        <v>1859.01679835449</v>
      </c>
      <c r="Q29" s="198" t="n">
        <f aca="false">+E29*F29</f>
        <v>7989.7581388751</v>
      </c>
      <c r="R29" s="198" t="n">
        <f aca="false">+G29*H29</f>
        <v>2878.82418185687</v>
      </c>
      <c r="S29" s="198" t="n">
        <f aca="false">I29*J29</f>
        <v>866.007924320874</v>
      </c>
      <c r="T29" s="199" t="n">
        <f aca="false">K29*L29</f>
        <v>8143.84767714022</v>
      </c>
      <c r="U29" s="210" t="n">
        <f aca="false">SUM(P29:T29)</f>
        <v>21737.4547205476</v>
      </c>
    </row>
    <row r="30" customFormat="false" ht="12.75" hidden="false" customHeight="false" outlineLevel="0" collapsed="false">
      <c r="A30" s="187" t="n">
        <f aca="false">+'Index Pricing'!A11</f>
        <v>37200</v>
      </c>
      <c r="B30" s="188" t="n">
        <f aca="false">+'Index Pricing'!B11</f>
        <v>2.015</v>
      </c>
      <c r="C30" s="201" t="n">
        <f aca="false">+B30+$K$16</f>
        <v>1.5016</v>
      </c>
      <c r="D30" s="202" t="n">
        <f aca="false">O30*'Internal Kennedy Total'!T22</f>
        <v>1207.01423437719</v>
      </c>
      <c r="E30" s="203" t="n">
        <f aca="false">+'Index Pricing'!$B$4+'Box Draw Detail'!$K$17</f>
        <v>2.262</v>
      </c>
      <c r="F30" s="204" t="n">
        <f aca="false">O30*'Internal Kennedy Total'!U22</f>
        <v>3443.69253745275</v>
      </c>
      <c r="G30" s="203" t="n">
        <f aca="false">$C$6+$K$18</f>
        <v>2.0266</v>
      </c>
      <c r="H30" s="205" t="n">
        <f aca="false">O30*'Internal Kennedy Total'!V22</f>
        <v>1384.93834881225</v>
      </c>
      <c r="I30" s="203" t="n">
        <f aca="false">B30+$K$20</f>
        <v>1.3343</v>
      </c>
      <c r="J30" s="206" t="n">
        <f aca="false">O30*'Internal Kennedy Total'!W22</f>
        <v>632.778503756942</v>
      </c>
      <c r="K30" s="203" t="n">
        <f aca="false">B30+$K$19+'Kennedy Gas Daily Pricing'!B11</f>
        <v>1.4516</v>
      </c>
      <c r="L30" s="206" t="n">
        <f aca="false">'Internal Kennedy Total'!X22*'Internal Kennedy Total'!M22</f>
        <v>5629.57637560088</v>
      </c>
      <c r="M30" s="207" t="n">
        <f aca="false">'[1]Enron Detail'!$D18</f>
        <v>-1199</v>
      </c>
      <c r="N30" s="208" t="n">
        <f aca="false">O30-M30</f>
        <v>13497</v>
      </c>
      <c r="O30" s="209" t="n">
        <f aca="false">'Internal Kennedy Total'!M22</f>
        <v>12298</v>
      </c>
      <c r="P30" s="198" t="n">
        <f aca="false">+C30*D30</f>
        <v>1812.45257434079</v>
      </c>
      <c r="Q30" s="198" t="n">
        <f aca="false">+E30*F30</f>
        <v>7789.63251971811</v>
      </c>
      <c r="R30" s="198" t="n">
        <f aca="false">+G30*H30</f>
        <v>2806.7160577029</v>
      </c>
      <c r="S30" s="198" t="n">
        <f aca="false">I30*J30</f>
        <v>844.316357562888</v>
      </c>
      <c r="T30" s="199" t="n">
        <f aca="false">K30*L30</f>
        <v>8171.89306682224</v>
      </c>
      <c r="U30" s="210" t="n">
        <f aca="false">SUM(P30:T30)</f>
        <v>21425.0105761469</v>
      </c>
    </row>
    <row r="31" customFormat="false" ht="12.75" hidden="false" customHeight="false" outlineLevel="0" collapsed="false">
      <c r="A31" s="187" t="n">
        <f aca="false">+'Index Pricing'!A12</f>
        <v>37201</v>
      </c>
      <c r="B31" s="188" t="n">
        <f aca="false">+'Index Pricing'!B12</f>
        <v>2.16</v>
      </c>
      <c r="C31" s="201" t="n">
        <f aca="false">+B31+$K$16</f>
        <v>1.6466</v>
      </c>
      <c r="D31" s="202" t="n">
        <f aca="false">O31*'Internal Kennedy Total'!T23</f>
        <v>1257.46391752577</v>
      </c>
      <c r="E31" s="203" t="n">
        <f aca="false">+'Index Pricing'!$B$4+'Box Draw Detail'!$K$17</f>
        <v>2.262</v>
      </c>
      <c r="F31" s="204" t="n">
        <f aca="false">O31*'Internal Kennedy Total'!U23</f>
        <v>3587.62886597938</v>
      </c>
      <c r="G31" s="203" t="n">
        <f aca="false">$C$6+$K$18</f>
        <v>2.0266</v>
      </c>
      <c r="H31" s="205" t="n">
        <f aca="false">O31*'Internal Kennedy Total'!V23</f>
        <v>1442.82474226804</v>
      </c>
      <c r="I31" s="203" t="n">
        <f aca="false">B31+$K$20</f>
        <v>1.4793</v>
      </c>
      <c r="J31" s="206" t="n">
        <f aca="false">O31*'Internal Kennedy Total'!W23</f>
        <v>659.226804123711</v>
      </c>
      <c r="K31" s="203" t="n">
        <f aca="false">B31+$K$19+'Kennedy Gas Daily Pricing'!B12</f>
        <v>1.5966</v>
      </c>
      <c r="L31" s="206" t="n">
        <f aca="false">'Internal Kennedy Total'!X23*'Internal Kennedy Total'!M23</f>
        <v>5667.85567010309</v>
      </c>
      <c r="M31" s="207" t="n">
        <f aca="false">'[1]Enron Detail'!$D19</f>
        <v>-1207</v>
      </c>
      <c r="N31" s="208" t="n">
        <f aca="false">O31-M31</f>
        <v>13822</v>
      </c>
      <c r="O31" s="209" t="n">
        <f aca="false">'Internal Kennedy Total'!M23</f>
        <v>12615</v>
      </c>
      <c r="P31" s="198" t="n">
        <f aca="false">+C31*D31</f>
        <v>2070.54008659794</v>
      </c>
      <c r="Q31" s="198" t="n">
        <f aca="false">+E31*F31</f>
        <v>8115.21649484536</v>
      </c>
      <c r="R31" s="198" t="n">
        <f aca="false">+G31*H31</f>
        <v>2924.02862268041</v>
      </c>
      <c r="S31" s="198" t="n">
        <f aca="false">I31*J31</f>
        <v>975.194211340206</v>
      </c>
      <c r="T31" s="199" t="n">
        <f aca="false">K31*L31</f>
        <v>9049.2983628866</v>
      </c>
      <c r="U31" s="210" t="n">
        <f aca="false">SUM(P31:T31)</f>
        <v>23134.2777783505</v>
      </c>
    </row>
    <row r="32" customFormat="false" ht="12.75" hidden="false" customHeight="false" outlineLevel="0" collapsed="false">
      <c r="A32" s="187" t="n">
        <f aca="false">+'Index Pricing'!A13</f>
        <v>37202</v>
      </c>
      <c r="B32" s="211" t="n">
        <f aca="false">+'Index Pricing'!B13</f>
        <v>2.135</v>
      </c>
      <c r="C32" s="201" t="n">
        <f aca="false">+B32+$K$16</f>
        <v>1.6216</v>
      </c>
      <c r="D32" s="202" t="n">
        <f aca="false">O32*'Internal Kennedy Total'!T24</f>
        <v>1214.08795811518</v>
      </c>
      <c r="E32" s="203" t="n">
        <f aca="false">+'Index Pricing'!$B$4+'Box Draw Detail'!$K$17</f>
        <v>2.262</v>
      </c>
      <c r="F32" s="204" t="n">
        <f aca="false">O32*'Internal Kennedy Total'!U24</f>
        <v>3463.87434554974</v>
      </c>
      <c r="G32" s="203" t="n">
        <f aca="false">$C$6+$K$18</f>
        <v>2.0266</v>
      </c>
      <c r="H32" s="205" t="n">
        <f aca="false">O32*'Internal Kennedy Total'!V24</f>
        <v>1393.05479930192</v>
      </c>
      <c r="I32" s="203" t="n">
        <f aca="false">B32+$K$20</f>
        <v>1.4543</v>
      </c>
      <c r="J32" s="206" t="n">
        <f aca="false">O32*'Internal Kennedy Total'!W24</f>
        <v>636.486910994764</v>
      </c>
      <c r="K32" s="203" t="n">
        <f aca="false">B32+$K$19+'Kennedy Gas Daily Pricing'!B13</f>
        <v>1.5716</v>
      </c>
      <c r="L32" s="206" t="n">
        <f aca="false">'Internal Kennedy Total'!X24*'Internal Kennedy Total'!M24</f>
        <v>5697.49598603839</v>
      </c>
      <c r="M32" s="207" t="n">
        <f aca="false">'[1]Enron Detail'!$D20</f>
        <v>-1182</v>
      </c>
      <c r="N32" s="208" t="n">
        <f aca="false">O32-M32</f>
        <v>13587</v>
      </c>
      <c r="O32" s="209" t="n">
        <f aca="false">'Internal Kennedy Total'!M24</f>
        <v>12405</v>
      </c>
      <c r="P32" s="198" t="n">
        <f aca="false">+C32*D32</f>
        <v>1968.76503287958</v>
      </c>
      <c r="Q32" s="198" t="n">
        <f aca="false">+E32*F32</f>
        <v>7835.28376963351</v>
      </c>
      <c r="R32" s="198" t="n">
        <f aca="false">+G32*H32</f>
        <v>2823.16485626527</v>
      </c>
      <c r="S32" s="198" t="n">
        <f aca="false">I32*J32</f>
        <v>925.642914659686</v>
      </c>
      <c r="T32" s="199" t="n">
        <f aca="false">K32*L32</f>
        <v>8954.18469165794</v>
      </c>
      <c r="U32" s="210" t="n">
        <f aca="false">SUM(P32:T32)</f>
        <v>22507.041265096</v>
      </c>
    </row>
    <row r="33" customFormat="false" ht="12.75" hidden="false" customHeight="false" outlineLevel="0" collapsed="false">
      <c r="A33" s="187" t="n">
        <f aca="false">+'Index Pricing'!A14</f>
        <v>37203</v>
      </c>
      <c r="B33" s="188" t="n">
        <f aca="false">+'Index Pricing'!B14</f>
        <v>2.13</v>
      </c>
      <c r="C33" s="201" t="n">
        <f aca="false">+B33+$K$16</f>
        <v>1.6166</v>
      </c>
      <c r="D33" s="202" t="n">
        <f aca="false">O33*'Internal Kennedy Total'!T25</f>
        <v>1171.78138331352</v>
      </c>
      <c r="E33" s="203" t="n">
        <f aca="false">+'Index Pricing'!$B$4+'Box Draw Detail'!$K$17</f>
        <v>2.262</v>
      </c>
      <c r="F33" s="204" t="n">
        <f aca="false">O33*'Internal Kennedy Total'!U25</f>
        <v>3343.17085110847</v>
      </c>
      <c r="G33" s="203" t="n">
        <f aca="false">$C$6+$K$18</f>
        <v>2.0266</v>
      </c>
      <c r="H33" s="205" t="n">
        <f aca="false">O33*'Internal Kennedy Total'!V25</f>
        <v>1344.51187728746</v>
      </c>
      <c r="I33" s="203" t="n">
        <f aca="false">B33+$K$20</f>
        <v>1.4493</v>
      </c>
      <c r="J33" s="206" t="n">
        <f aca="false">O33*'Internal Kennedy Total'!W25</f>
        <v>614.307643891181</v>
      </c>
      <c r="K33" s="203" t="n">
        <f aca="false">B33+$K$19+'Kennedy Gas Daily Pricing'!B14</f>
        <v>1.5666</v>
      </c>
      <c r="L33" s="206" t="n">
        <f aca="false">'Internal Kennedy Total'!X25*'Internal Kennedy Total'!M25</f>
        <v>5477.22824439938</v>
      </c>
      <c r="M33" s="207" t="n">
        <f aca="false">'[1]Enron Detail'!$D21</f>
        <v>-1061</v>
      </c>
      <c r="N33" s="208" t="n">
        <f aca="false">O33-M33</f>
        <v>13012</v>
      </c>
      <c r="O33" s="209" t="n">
        <f aca="false">'Internal Kennedy Total'!M25</f>
        <v>11951</v>
      </c>
      <c r="P33" s="198" t="n">
        <f aca="false">+C33*D33</f>
        <v>1894.30178426463</v>
      </c>
      <c r="Q33" s="198" t="n">
        <f aca="false">+E33*F33</f>
        <v>7562.25246520736</v>
      </c>
      <c r="R33" s="198" t="n">
        <f aca="false">+G33*H33</f>
        <v>2724.78777051076</v>
      </c>
      <c r="S33" s="198" t="n">
        <f aca="false">I33*J33</f>
        <v>890.316068291489</v>
      </c>
      <c r="T33" s="199" t="n">
        <f aca="false">K33*L33</f>
        <v>8580.62576767606</v>
      </c>
      <c r="U33" s="210" t="n">
        <f aca="false">SUM(P33:T33)</f>
        <v>21652.2838559503</v>
      </c>
    </row>
    <row r="34" customFormat="false" ht="12.75" hidden="false" customHeight="false" outlineLevel="0" collapsed="false">
      <c r="A34" s="187" t="n">
        <f aca="false">+'Index Pricing'!A15</f>
        <v>37204</v>
      </c>
      <c r="B34" s="188" t="n">
        <f aca="false">+'Index Pricing'!B15</f>
        <v>1.935</v>
      </c>
      <c r="C34" s="201" t="n">
        <f aca="false">+B34+$K$16</f>
        <v>1.4216</v>
      </c>
      <c r="D34" s="202" t="n">
        <f aca="false">O34*'Internal Kennedy Total'!T26</f>
        <v>1260.15796991049</v>
      </c>
      <c r="E34" s="203" t="n">
        <f aca="false">+'Index Pricing'!$B$4+'Box Draw Detail'!$K$17</f>
        <v>2.262</v>
      </c>
      <c r="F34" s="204" t="n">
        <f aca="false">O34*'Internal Kennedy Total'!U26</f>
        <v>3595.31517806132</v>
      </c>
      <c r="G34" s="203" t="n">
        <f aca="false">$C$6+$K$18</f>
        <v>2.0266</v>
      </c>
      <c r="H34" s="205" t="n">
        <f aca="false">O34*'Internal Kennedy Total'!V26</f>
        <v>1445.91592077699</v>
      </c>
      <c r="I34" s="203" t="n">
        <f aca="false">B34+$K$20</f>
        <v>1.2543</v>
      </c>
      <c r="J34" s="206" t="n">
        <f aca="false">O34*'Internal Kennedy Total'!W26</f>
        <v>660.639163968768</v>
      </c>
      <c r="K34" s="203" t="n">
        <f aca="false">B34+$K$19+'Kennedy Gas Daily Pricing'!B15</f>
        <v>1.3716</v>
      </c>
      <c r="L34" s="206" t="n">
        <f aca="false">'Internal Kennedy Total'!X26*'Internal Kennedy Total'!M26</f>
        <v>5623.97176728242</v>
      </c>
      <c r="M34" s="207" t="n">
        <f aca="false">'[1]Enron Detail'!$D22</f>
        <v>-1078</v>
      </c>
      <c r="N34" s="208" t="n">
        <f aca="false">O34-M34</f>
        <v>13664</v>
      </c>
      <c r="O34" s="209" t="n">
        <f aca="false">'Internal Kennedy Total'!M26</f>
        <v>12586</v>
      </c>
      <c r="P34" s="198" t="n">
        <f aca="false">+C34*D34</f>
        <v>1791.44057002476</v>
      </c>
      <c r="Q34" s="198" t="n">
        <f aca="false">+E34*F34</f>
        <v>8132.60293277471</v>
      </c>
      <c r="R34" s="198" t="n">
        <f aca="false">+G34*H34</f>
        <v>2930.29320504666</v>
      </c>
      <c r="S34" s="198" t="n">
        <f aca="false">I34*J34</f>
        <v>828.639703366026</v>
      </c>
      <c r="T34" s="199" t="n">
        <f aca="false">K34*L34</f>
        <v>7713.83967600457</v>
      </c>
      <c r="U34" s="210" t="n">
        <f aca="false">SUM(P34:T34)</f>
        <v>21396.8160872167</v>
      </c>
    </row>
    <row r="35" customFormat="false" ht="12.75" hidden="false" customHeight="false" outlineLevel="0" collapsed="false">
      <c r="A35" s="187" t="n">
        <f aca="false">+'Index Pricing'!A16</f>
        <v>37205</v>
      </c>
      <c r="B35" s="188" t="n">
        <f aca="false">+'Index Pricing'!B16</f>
        <v>1.7</v>
      </c>
      <c r="C35" s="201" t="n">
        <f aca="false">+B35+$K$16</f>
        <v>1.1866</v>
      </c>
      <c r="D35" s="202" t="n">
        <f aca="false">O35*'Internal Kennedy Total'!T27</f>
        <v>1371.81594161195</v>
      </c>
      <c r="E35" s="203" t="n">
        <f aca="false">+'Index Pricing'!$B$4+'Box Draw Detail'!$K$17</f>
        <v>2.262</v>
      </c>
      <c r="F35" s="204" t="n">
        <f aca="false">O35*'Internal Kennedy Total'!U27</f>
        <v>3913.88285766605</v>
      </c>
      <c r="G35" s="203" t="n">
        <f aca="false">$C$6+$K$18</f>
        <v>2.0266</v>
      </c>
      <c r="H35" s="205" t="n">
        <f aca="false">O35*'Internal Kennedy Total'!V27</f>
        <v>1574.03322259136</v>
      </c>
      <c r="I35" s="203" t="n">
        <f aca="false">B35+$K$20</f>
        <v>1.0193</v>
      </c>
      <c r="J35" s="206" t="n">
        <f aca="false">O35*'Internal Kennedy Total'!W27</f>
        <v>719.175975096136</v>
      </c>
      <c r="K35" s="203" t="n">
        <f aca="false">B35+$K$19+'Kennedy Gas Daily Pricing'!B16</f>
        <v>1.1366</v>
      </c>
      <c r="L35" s="206" t="n">
        <f aca="false">'Internal Kennedy Total'!X27*'Internal Kennedy Total'!M27</f>
        <v>4889.0920030345</v>
      </c>
      <c r="M35" s="207" t="n">
        <f aca="false">'[1]Enron Detail'!$D23</f>
        <v>-1138</v>
      </c>
      <c r="N35" s="208" t="n">
        <f aca="false">O35-M35</f>
        <v>13606</v>
      </c>
      <c r="O35" s="209" t="n">
        <f aca="false">'Internal Kennedy Total'!M27</f>
        <v>12468</v>
      </c>
      <c r="P35" s="198" t="n">
        <f aca="false">+C35*D35</f>
        <v>1627.79679631674</v>
      </c>
      <c r="Q35" s="198" t="n">
        <f aca="false">+E35*F35</f>
        <v>8853.2030240406</v>
      </c>
      <c r="R35" s="198" t="n">
        <f aca="false">+G35*H35</f>
        <v>3189.93572890365</v>
      </c>
      <c r="S35" s="198" t="n">
        <f aca="false">I35*J35</f>
        <v>733.056071415492</v>
      </c>
      <c r="T35" s="199" t="n">
        <f aca="false">K35*L35</f>
        <v>5556.94197064902</v>
      </c>
      <c r="U35" s="210" t="n">
        <f aca="false">SUM(P35:T35)</f>
        <v>19960.9335913255</v>
      </c>
    </row>
    <row r="36" customFormat="false" ht="12.75" hidden="false" customHeight="false" outlineLevel="0" collapsed="false">
      <c r="A36" s="187" t="n">
        <f aca="false">+'Index Pricing'!A17</f>
        <v>37206</v>
      </c>
      <c r="B36" s="188" t="n">
        <f aca="false">+'Index Pricing'!B17</f>
        <v>1.7</v>
      </c>
      <c r="C36" s="201" t="n">
        <f aca="false">+B36+$K$16</f>
        <v>1.1866</v>
      </c>
      <c r="D36" s="202" t="n">
        <f aca="false">O36*'Internal Kennedy Total'!T28</f>
        <v>1382.33985603839</v>
      </c>
      <c r="E36" s="203" t="n">
        <f aca="false">+'Index Pricing'!$B$4+'Box Draw Detail'!$K$17</f>
        <v>2.262</v>
      </c>
      <c r="F36" s="204" t="n">
        <f aca="false">O36*'Internal Kennedy Total'!U28</f>
        <v>3943.90829112237</v>
      </c>
      <c r="G36" s="203" t="n">
        <f aca="false">$C$6+$K$18</f>
        <v>2.0266</v>
      </c>
      <c r="H36" s="205" t="n">
        <f aca="false">O36*'Internal Kennedy Total'!V28</f>
        <v>1586.10845107971</v>
      </c>
      <c r="I36" s="203" t="n">
        <f aca="false">B36+$K$20</f>
        <v>1.0193</v>
      </c>
      <c r="J36" s="206" t="n">
        <f aca="false">O36*'Internal Kennedy Total'!W28</f>
        <v>724.693148493735</v>
      </c>
      <c r="K36" s="203" t="n">
        <f aca="false">B36+$K$19+'Kennedy Gas Daily Pricing'!B17</f>
        <v>1.1366</v>
      </c>
      <c r="L36" s="206" t="n">
        <f aca="false">'Internal Kennedy Total'!X28*'Internal Kennedy Total'!M28</f>
        <v>4690.9502532658</v>
      </c>
      <c r="M36" s="207" t="n">
        <f aca="false">'[1]Enron Detail'!$D24</f>
        <v>-1118</v>
      </c>
      <c r="N36" s="208" t="n">
        <f aca="false">O36-M36</f>
        <v>13446</v>
      </c>
      <c r="O36" s="209" t="n">
        <f aca="false">'Internal Kennedy Total'!M28</f>
        <v>12328</v>
      </c>
      <c r="P36" s="198" t="n">
        <f aca="false">+C36*D36</f>
        <v>1640.28447317515</v>
      </c>
      <c r="Q36" s="198" t="n">
        <f aca="false">+E36*F36</f>
        <v>8921.1205545188</v>
      </c>
      <c r="R36" s="198" t="n">
        <f aca="false">+G36*H36</f>
        <v>3214.40738695815</v>
      </c>
      <c r="S36" s="198" t="n">
        <f aca="false">I36*J36</f>
        <v>738.679726259664</v>
      </c>
      <c r="T36" s="199" t="n">
        <f aca="false">K36*L36</f>
        <v>5331.7340578619</v>
      </c>
      <c r="U36" s="210" t="n">
        <f aca="false">SUM(P36:T36)</f>
        <v>19846.2261987737</v>
      </c>
    </row>
    <row r="37" customFormat="false" ht="12.75" hidden="false" customHeight="false" outlineLevel="0" collapsed="false">
      <c r="A37" s="187" t="n">
        <f aca="false">+'Index Pricing'!A18</f>
        <v>37207</v>
      </c>
      <c r="B37" s="188" t="n">
        <f aca="false">+'Index Pricing'!B18</f>
        <v>1.7</v>
      </c>
      <c r="C37" s="201" t="n">
        <f aca="false">+B37+$K$16</f>
        <v>1.1866</v>
      </c>
      <c r="D37" s="202" t="n">
        <f aca="false">O37*'Internal Kennedy Total'!T29</f>
        <v>1344.65757767914</v>
      </c>
      <c r="E37" s="203" t="n">
        <f aca="false">+'Index Pricing'!$B$4+'Box Draw Detail'!$K$17</f>
        <v>2.262</v>
      </c>
      <c r="F37" s="204" t="n">
        <f aca="false">O37*'Internal Kennedy Total'!U29</f>
        <v>3836.39822447686</v>
      </c>
      <c r="G37" s="203" t="n">
        <f aca="false">$C$6+$K$18</f>
        <v>2.0266</v>
      </c>
      <c r="H37" s="205" t="n">
        <f aca="false">O37*'Internal Kennedy Total'!V29</f>
        <v>1542.87148594378</v>
      </c>
      <c r="I37" s="203" t="n">
        <f aca="false">B37+$K$20</f>
        <v>1.0193</v>
      </c>
      <c r="J37" s="206" t="n">
        <f aca="false">O37*'Internal Kennedy Total'!W29</f>
        <v>704.938173747622</v>
      </c>
      <c r="K37" s="203" t="n">
        <f aca="false">B37+$K$19+'Kennedy Gas Daily Pricing'!B18</f>
        <v>1.1366</v>
      </c>
      <c r="L37" s="206" t="n">
        <f aca="false">'Internal Kennedy Total'!X29*'Internal Kennedy Total'!M29</f>
        <v>4671.13453815261</v>
      </c>
      <c r="M37" s="207" t="n">
        <f aca="false">'[1]Enron Detail'!$D25</f>
        <v>-1165</v>
      </c>
      <c r="N37" s="208" t="n">
        <f aca="false">O37-M37</f>
        <v>13265</v>
      </c>
      <c r="O37" s="209" t="n">
        <f aca="false">'Internal Kennedy Total'!M29</f>
        <v>12100</v>
      </c>
      <c r="P37" s="198" t="n">
        <f aca="false">+C37*D37</f>
        <v>1595.57068167406</v>
      </c>
      <c r="Q37" s="198" t="n">
        <f aca="false">+E37*F37</f>
        <v>8677.93278376665</v>
      </c>
      <c r="R37" s="198" t="n">
        <f aca="false">+G37*H37</f>
        <v>3126.78335341366</v>
      </c>
      <c r="S37" s="198" t="n">
        <f aca="false">I37*J37</f>
        <v>718.543480500951</v>
      </c>
      <c r="T37" s="199" t="n">
        <f aca="false">K37*L37</f>
        <v>5309.21151606426</v>
      </c>
      <c r="U37" s="210" t="n">
        <f aca="false">SUM(P37:T37)</f>
        <v>19428.0418154196</v>
      </c>
    </row>
    <row r="38" customFormat="false" ht="12.75" hidden="false" customHeight="false" outlineLevel="0" collapsed="false">
      <c r="A38" s="187" t="n">
        <f aca="false">+'Index Pricing'!A19</f>
        <v>37208</v>
      </c>
      <c r="B38" s="188" t="n">
        <f aca="false">+'Index Pricing'!B19</f>
        <v>1.52</v>
      </c>
      <c r="C38" s="201" t="n">
        <f aca="false">+B38+$K$16</f>
        <v>1.0066</v>
      </c>
      <c r="D38" s="202" t="n">
        <f aca="false">O38*'Internal Kennedy Total'!T30</f>
        <v>1443.00234089703</v>
      </c>
      <c r="E38" s="203" t="n">
        <f aca="false">+'Index Pricing'!$B$4+'Box Draw Detail'!$K$17</f>
        <v>2.262</v>
      </c>
      <c r="F38" s="204" t="n">
        <f aca="false">O38*'Internal Kennedy Total'!U30</f>
        <v>4116.98242766628</v>
      </c>
      <c r="G38" s="203" t="n">
        <f aca="false">$C$6+$K$18</f>
        <v>2.0266</v>
      </c>
      <c r="H38" s="205" t="n">
        <f aca="false">O38*'Internal Kennedy Total'!V30</f>
        <v>1655.71309965979</v>
      </c>
      <c r="I38" s="203" t="n">
        <f aca="false">B38+$K$20</f>
        <v>0.8393</v>
      </c>
      <c r="J38" s="206" t="n">
        <f aca="false">O38*'Internal Kennedy Total'!W30</f>
        <v>756.495521083679</v>
      </c>
      <c r="K38" s="203" t="n">
        <f aca="false">B38+$K$19+'Kennedy Gas Daily Pricing'!B19</f>
        <v>0.9566</v>
      </c>
      <c r="L38" s="206" t="n">
        <f aca="false">'Internal Kennedy Total'!X30*'Internal Kennedy Total'!M30</f>
        <v>3019.80661069322</v>
      </c>
      <c r="M38" s="207" t="n">
        <f aca="false">'[1]Enron Detail'!$D26</f>
        <v>-1179</v>
      </c>
      <c r="N38" s="208" t="n">
        <f aca="false">O38-M38</f>
        <v>12171</v>
      </c>
      <c r="O38" s="209" t="n">
        <f aca="false">'Internal Kennedy Total'!M30</f>
        <v>10992</v>
      </c>
      <c r="P38" s="198" t="n">
        <f aca="false">+C38*D38</f>
        <v>1452.52615634695</v>
      </c>
      <c r="Q38" s="198" t="n">
        <f aca="false">+E38*F38</f>
        <v>9312.61425138113</v>
      </c>
      <c r="R38" s="198" t="n">
        <f aca="false">+G38*H38</f>
        <v>3355.46816777053</v>
      </c>
      <c r="S38" s="198" t="n">
        <f aca="false">I38*J38</f>
        <v>634.926690845532</v>
      </c>
      <c r="T38" s="199" t="n">
        <f aca="false">K38*L38</f>
        <v>2888.74700378913</v>
      </c>
      <c r="U38" s="210" t="n">
        <f aca="false">SUM(P38:T38)</f>
        <v>17644.2822701333</v>
      </c>
    </row>
    <row r="39" customFormat="false" ht="12.75" hidden="false" customHeight="false" outlineLevel="0" collapsed="false">
      <c r="A39" s="187" t="n">
        <f aca="false">+'Index Pricing'!A20</f>
        <v>37209</v>
      </c>
      <c r="B39" s="188" t="n">
        <f aca="false">+'Index Pricing'!B20</f>
        <v>1.595</v>
      </c>
      <c r="C39" s="201" t="n">
        <f aca="false">+B39+$K$16</f>
        <v>1.0816</v>
      </c>
      <c r="D39" s="202" t="n">
        <f aca="false">O39*'Internal Kennedy Total'!T31</f>
        <v>1398.36398489034</v>
      </c>
      <c r="E39" s="203" t="n">
        <f aca="false">+'Index Pricing'!$B$4+'Box Draw Detail'!$K$17</f>
        <v>2.262</v>
      </c>
      <c r="F39" s="204" t="n">
        <f aca="false">O39*'Internal Kennedy Total'!U31</f>
        <v>3989.62620510797</v>
      </c>
      <c r="G39" s="203" t="n">
        <f aca="false">$C$6+$K$18</f>
        <v>2.0266</v>
      </c>
      <c r="H39" s="205" t="n">
        <f aca="false">O39*'Internal Kennedy Total'!V31</f>
        <v>1604.49467215425</v>
      </c>
      <c r="I39" s="203" t="n">
        <f aca="false">B39+$K$20</f>
        <v>0.9143</v>
      </c>
      <c r="J39" s="206" t="n">
        <f aca="false">O39*'Internal Kennedy Total'!W31</f>
        <v>733.093815188589</v>
      </c>
      <c r="K39" s="203" t="n">
        <f aca="false">B39+$K$19+'Kennedy Gas Daily Pricing'!B20</f>
        <v>1.0316</v>
      </c>
      <c r="L39" s="206" t="n">
        <f aca="false">'Internal Kennedy Total'!X31*'Internal Kennedy Total'!M31</f>
        <v>4068.42132265885</v>
      </c>
      <c r="M39" s="207" t="n">
        <f aca="false">'[1]Enron Detail'!$D27</f>
        <v>-1214</v>
      </c>
      <c r="N39" s="208" t="n">
        <f aca="false">O39-M39</f>
        <v>13008</v>
      </c>
      <c r="O39" s="209" t="n">
        <f aca="false">'Internal Kennedy Total'!M31</f>
        <v>11794</v>
      </c>
      <c r="P39" s="198" t="n">
        <f aca="false">+C39*D39</f>
        <v>1512.47048605739</v>
      </c>
      <c r="Q39" s="198" t="n">
        <f aca="false">+E39*F39</f>
        <v>9024.53447595422</v>
      </c>
      <c r="R39" s="198" t="n">
        <f aca="false">+G39*H39</f>
        <v>3251.66890258781</v>
      </c>
      <c r="S39" s="198" t="n">
        <f aca="false">I39*J39</f>
        <v>670.267675226927</v>
      </c>
      <c r="T39" s="199" t="n">
        <f aca="false">K39*L39</f>
        <v>4196.98343645487</v>
      </c>
      <c r="U39" s="210" t="n">
        <f aca="false">SUM(P39:T39)</f>
        <v>18655.9249762812</v>
      </c>
    </row>
    <row r="40" customFormat="false" ht="12.75" hidden="false" customHeight="false" outlineLevel="0" collapsed="false">
      <c r="A40" s="187" t="n">
        <f aca="false">+'Index Pricing'!A21</f>
        <v>37210</v>
      </c>
      <c r="B40" s="188" t="n">
        <f aca="false">+'Index Pricing'!B21</f>
        <v>1.84</v>
      </c>
      <c r="C40" s="201" t="n">
        <f aca="false">+B40+$K$16</f>
        <v>1.3266</v>
      </c>
      <c r="D40" s="202" t="n">
        <f aca="false">O40*'Internal Kennedy Total'!T32</f>
        <v>1328.51787573759</v>
      </c>
      <c r="E40" s="203" t="n">
        <f aca="false">+'Index Pricing'!$B$4+'Box Draw Detail'!$K$17</f>
        <v>2.262</v>
      </c>
      <c r="F40" s="204" t="n">
        <f aca="false">O40*'Internal Kennedy Total'!U32</f>
        <v>3790.35057271781</v>
      </c>
      <c r="G40" s="203" t="n">
        <f aca="false">$C$6+$K$18</f>
        <v>2.0266</v>
      </c>
      <c r="H40" s="205" t="n">
        <f aca="false">O40*'Internal Kennedy Total'!V32</f>
        <v>1524.35265532801</v>
      </c>
      <c r="I40" s="203" t="n">
        <f aca="false">B40+$K$20</f>
        <v>1.1593</v>
      </c>
      <c r="J40" s="206" t="n">
        <f aca="false">O40*'Internal Kennedy Total'!W32</f>
        <v>696.476917736897</v>
      </c>
      <c r="K40" s="203" t="n">
        <f aca="false">B40+$K$19+'Kennedy Gas Daily Pricing'!B21</f>
        <v>1.2766</v>
      </c>
      <c r="L40" s="206" t="n">
        <f aca="false">'Internal Kennedy Total'!X32*'Internal Kennedy Total'!M32</f>
        <v>4490.30197847969</v>
      </c>
      <c r="M40" s="207" t="n">
        <f aca="false">'[1]Enron Detail'!$D28</f>
        <v>-1370</v>
      </c>
      <c r="N40" s="208" t="n">
        <f aca="false">O40-M40</f>
        <v>13200</v>
      </c>
      <c r="O40" s="209" t="n">
        <f aca="false">'Internal Kennedy Total'!M32</f>
        <v>11830</v>
      </c>
      <c r="P40" s="198" t="n">
        <f aca="false">+C40*D40</f>
        <v>1762.41181395349</v>
      </c>
      <c r="Q40" s="198" t="n">
        <f aca="false">+E40*F40</f>
        <v>8573.77299548768</v>
      </c>
      <c r="R40" s="198" t="n">
        <f aca="false">+G40*H40</f>
        <v>3089.25309128775</v>
      </c>
      <c r="S40" s="198" t="n">
        <f aca="false">I40*J40</f>
        <v>807.425690732385</v>
      </c>
      <c r="T40" s="199" t="n">
        <f aca="false">K40*L40</f>
        <v>5732.31950572718</v>
      </c>
      <c r="U40" s="210" t="n">
        <f aca="false">SUM(P40:T40)</f>
        <v>19965.1830971885</v>
      </c>
    </row>
    <row r="41" customFormat="false" ht="12.75" hidden="false" customHeight="false" outlineLevel="0" collapsed="false">
      <c r="A41" s="187" t="n">
        <f aca="false">+'Index Pricing'!A22</f>
        <v>37211</v>
      </c>
      <c r="B41" s="188" t="n">
        <f aca="false">+'Index Pricing'!B22</f>
        <v>1.435</v>
      </c>
      <c r="C41" s="201" t="n">
        <f aca="false">+B41+$K$16</f>
        <v>0.9216</v>
      </c>
      <c r="D41" s="202" t="n">
        <f aca="false">O41*'Internal Kennedy Total'!T33</f>
        <v>1339.91429480045</v>
      </c>
      <c r="E41" s="203" t="n">
        <f aca="false">+'Index Pricing'!$B$4+'Box Draw Detail'!$K$17</f>
        <v>2.262</v>
      </c>
      <c r="F41" s="204" t="n">
        <f aca="false">O41*'Internal Kennedy Total'!U33</f>
        <v>3822.8653204007</v>
      </c>
      <c r="G41" s="203" t="n">
        <f aca="false">$C$6+$K$18</f>
        <v>2.0266</v>
      </c>
      <c r="H41" s="205" t="n">
        <f aca="false">O41*'Internal Kennedy Total'!V33</f>
        <v>1537.42900302115</v>
      </c>
      <c r="I41" s="203" t="n">
        <f aca="false">B41+$K$20</f>
        <v>0.7543</v>
      </c>
      <c r="J41" s="206" t="n">
        <f aca="false">O41*'Internal Kennedy Total'!W33</f>
        <v>702.451502623629</v>
      </c>
      <c r="K41" s="203" t="n">
        <f aca="false">B41+$K$19+'Kennedy Gas Daily Pricing'!B22</f>
        <v>0.8716</v>
      </c>
      <c r="L41" s="206" t="n">
        <f aca="false">'Internal Kennedy Total'!X33*'Internal Kennedy Total'!M33</f>
        <v>4618.33987915408</v>
      </c>
      <c r="M41" s="207" t="n">
        <f aca="false">'[1]Enron Detail'!$D29</f>
        <v>-979</v>
      </c>
      <c r="N41" s="208" t="n">
        <f aca="false">O41-M41</f>
        <v>13000</v>
      </c>
      <c r="O41" s="209" t="n">
        <f aca="false">'Internal Kennedy Total'!M33</f>
        <v>12021</v>
      </c>
      <c r="P41" s="198" t="n">
        <f aca="false">+C41*D41</f>
        <v>1234.86501408809</v>
      </c>
      <c r="Q41" s="198" t="n">
        <f aca="false">+E41*F41</f>
        <v>8647.32135474638</v>
      </c>
      <c r="R41" s="198" t="n">
        <f aca="false">+G41*H41</f>
        <v>3115.75361752266</v>
      </c>
      <c r="S41" s="198" t="n">
        <f aca="false">I41*J41</f>
        <v>529.859168429003</v>
      </c>
      <c r="T41" s="199" t="n">
        <f aca="false">K41*L41</f>
        <v>4025.3450386707</v>
      </c>
      <c r="U41" s="210" t="n">
        <f aca="false">SUM(P41:T41)</f>
        <v>17553.1441934568</v>
      </c>
    </row>
    <row r="42" customFormat="false" ht="12.75" hidden="false" customHeight="false" outlineLevel="0" collapsed="false">
      <c r="A42" s="187" t="n">
        <f aca="false">+'Index Pricing'!A23</f>
        <v>37212</v>
      </c>
      <c r="B42" s="188" t="n">
        <f aca="false">+'Index Pricing'!B23</f>
        <v>1.135</v>
      </c>
      <c r="C42" s="201" t="n">
        <f aca="false">+B42+$K$16</f>
        <v>0.6216</v>
      </c>
      <c r="D42" s="202" t="n">
        <f aca="false">O42*'Internal Kennedy Total'!T34</f>
        <v>1390.36308713874</v>
      </c>
      <c r="E42" s="203" t="n">
        <f aca="false">+'Index Pricing'!$B$4+'Box Draw Detail'!$K$17</f>
        <v>2.262</v>
      </c>
      <c r="F42" s="204" t="n">
        <f aca="false">O42*'Internal Kennedy Total'!U34</f>
        <v>3966.79910738584</v>
      </c>
      <c r="G42" s="203" t="n">
        <f aca="false">$C$6+$K$18</f>
        <v>2.0266</v>
      </c>
      <c r="H42" s="205" t="n">
        <f aca="false">O42*'Internal Kennedy Total'!V34</f>
        <v>1595.31437435367</v>
      </c>
      <c r="I42" s="203" t="n">
        <f aca="false">B42+$K$20</f>
        <v>0.4543</v>
      </c>
      <c r="J42" s="206" t="n">
        <f aca="false">O42*'Internal Kennedy Total'!W34</f>
        <v>728.899335982148</v>
      </c>
      <c r="K42" s="203" t="n">
        <f aca="false">B42+$K$19+'Kennedy Gas Daily Pricing'!B23</f>
        <v>0.5716</v>
      </c>
      <c r="L42" s="206" t="n">
        <f aca="false">'Internal Kennedy Total'!X34*'Internal Kennedy Total'!M34</f>
        <v>4465.62409513961</v>
      </c>
      <c r="M42" s="207" t="n">
        <f aca="false">'[1]Enron Detail'!$D30</f>
        <v>-1065</v>
      </c>
      <c r="N42" s="208" t="n">
        <f aca="false">O42-M42</f>
        <v>13212</v>
      </c>
      <c r="O42" s="209" t="n">
        <f aca="false">'Internal Kennedy Total'!M34</f>
        <v>12147</v>
      </c>
      <c r="P42" s="198" t="n">
        <f aca="false">+C42*D42</f>
        <v>864.249694965439</v>
      </c>
      <c r="Q42" s="198" t="n">
        <f aca="false">+E42*F42</f>
        <v>8972.89958090677</v>
      </c>
      <c r="R42" s="198" t="n">
        <f aca="false">+G42*H42</f>
        <v>3233.06411106515</v>
      </c>
      <c r="S42" s="198" t="n">
        <f aca="false">I42*J42</f>
        <v>331.13896833669</v>
      </c>
      <c r="T42" s="199" t="n">
        <f aca="false">K42*L42</f>
        <v>2552.5507327818</v>
      </c>
      <c r="U42" s="210" t="n">
        <f aca="false">SUM(P42:T42)</f>
        <v>15953.9030880558</v>
      </c>
    </row>
    <row r="43" customFormat="false" ht="12.75" hidden="false" customHeight="false" outlineLevel="0" collapsed="false">
      <c r="A43" s="187" t="n">
        <f aca="false">+'Index Pricing'!A24</f>
        <v>37213</v>
      </c>
      <c r="B43" s="188" t="n">
        <f aca="false">+'Index Pricing'!B24</f>
        <v>1.135</v>
      </c>
      <c r="C43" s="201" t="n">
        <f aca="false">+B43+$K$16</f>
        <v>0.6216</v>
      </c>
      <c r="D43" s="202" t="n">
        <f aca="false">O43*'Internal Kennedy Total'!T35</f>
        <v>1458.2801802329</v>
      </c>
      <c r="E43" s="203" t="n">
        <f aca="false">+'Index Pricing'!$B$4+'Box Draw Detail'!$K$17</f>
        <v>2.262</v>
      </c>
      <c r="F43" s="204" t="n">
        <f aca="false">O43*'Internal Kennedy Total'!U35</f>
        <v>4160.57112762596</v>
      </c>
      <c r="G43" s="203" t="n">
        <f aca="false">$C$6+$K$18</f>
        <v>2.0266</v>
      </c>
      <c r="H43" s="205" t="n">
        <f aca="false">O43*'Internal Kennedy Total'!V35</f>
        <v>1673.24302182691</v>
      </c>
      <c r="I43" s="203" t="n">
        <f aca="false">B43+$K$20</f>
        <v>0.4543</v>
      </c>
      <c r="J43" s="206" t="n">
        <f aca="false">O43*'Internal Kennedy Total'!W35</f>
        <v>764.50494470127</v>
      </c>
      <c r="K43" s="203" t="n">
        <f aca="false">B43+$K$19+'Kennedy Gas Daily Pricing'!B24</f>
        <v>0.5716</v>
      </c>
      <c r="L43" s="206" t="n">
        <f aca="false">'Internal Kennedy Total'!X35*'Internal Kennedy Total'!M35</f>
        <v>3793.40072561297</v>
      </c>
      <c r="M43" s="207" t="n">
        <f aca="false">'[1]Enron Detail'!$D31</f>
        <v>-931</v>
      </c>
      <c r="N43" s="208" t="n">
        <f aca="false">O43-M43</f>
        <v>12781</v>
      </c>
      <c r="O43" s="209" t="n">
        <f aca="false">'Internal Kennedy Total'!M35</f>
        <v>11850</v>
      </c>
      <c r="P43" s="198" t="n">
        <f aca="false">+C43*D43</f>
        <v>906.46696003277</v>
      </c>
      <c r="Q43" s="198" t="n">
        <f aca="false">+E43*F43</f>
        <v>9411.21189068992</v>
      </c>
      <c r="R43" s="198" t="n">
        <f aca="false">+G43*H43</f>
        <v>3390.99430803441</v>
      </c>
      <c r="S43" s="198" t="n">
        <f aca="false">I43*J43</f>
        <v>347.314596377787</v>
      </c>
      <c r="T43" s="199" t="n">
        <f aca="false">K43*L43</f>
        <v>2168.30785476037</v>
      </c>
      <c r="U43" s="210" t="n">
        <f aca="false">SUM(P43:T43)</f>
        <v>16224.2956098953</v>
      </c>
    </row>
    <row r="44" customFormat="false" ht="12.75" hidden="false" customHeight="false" outlineLevel="0" collapsed="false">
      <c r="A44" s="187" t="n">
        <f aca="false">+'Index Pricing'!A25</f>
        <v>37214</v>
      </c>
      <c r="B44" s="188" t="n">
        <f aca="false">+'Index Pricing'!B25</f>
        <v>1.135</v>
      </c>
      <c r="C44" s="201" t="n">
        <f aca="false">+B44+$K$16</f>
        <v>0.6216</v>
      </c>
      <c r="D44" s="202" t="n">
        <f aca="false">O44*'Internal Kennedy Total'!T36</f>
        <v>1312.14557165862</v>
      </c>
      <c r="E44" s="203" t="n">
        <f aca="false">+'Index Pricing'!$B$4+'Box Draw Detail'!$K$17</f>
        <v>2.262</v>
      </c>
      <c r="F44" s="204" t="n">
        <f aca="false">O44*'Internal Kennedy Total'!U36</f>
        <v>3743.63929146538</v>
      </c>
      <c r="G44" s="203" t="n">
        <f aca="false">$C$6+$K$18</f>
        <v>2.0266</v>
      </c>
      <c r="H44" s="205" t="n">
        <f aca="false">O44*'Internal Kennedy Total'!V36</f>
        <v>1505.56693505099</v>
      </c>
      <c r="I44" s="203" t="n">
        <f aca="false">B44+$K$20</f>
        <v>0.4543</v>
      </c>
      <c r="J44" s="206" t="n">
        <f aca="false">O44*'Internal Kennedy Total'!W36</f>
        <v>687.893719806763</v>
      </c>
      <c r="K44" s="203" t="n">
        <f aca="false">B44+$K$19+'Kennedy Gas Daily Pricing'!B25</f>
        <v>0.5716</v>
      </c>
      <c r="L44" s="206" t="n">
        <f aca="false">'Internal Kennedy Total'!X36*'Internal Kennedy Total'!M36</f>
        <v>4374.75448201825</v>
      </c>
      <c r="M44" s="207" t="n">
        <f aca="false">'[1]Enron Detail'!$D32</f>
        <v>-1105</v>
      </c>
      <c r="N44" s="208" t="n">
        <f aca="false">O44-M44</f>
        <v>12729</v>
      </c>
      <c r="O44" s="209" t="n">
        <f aca="false">'Internal Kennedy Total'!M36</f>
        <v>11624</v>
      </c>
      <c r="P44" s="198" t="n">
        <f aca="false">+C44*D44</f>
        <v>815.629687342995</v>
      </c>
      <c r="Q44" s="198" t="n">
        <f aca="false">+E44*F44</f>
        <v>8468.11207729469</v>
      </c>
      <c r="R44" s="198" t="n">
        <f aca="false">+G44*H44</f>
        <v>3051.18195057434</v>
      </c>
      <c r="S44" s="198" t="n">
        <f aca="false">I44*J44</f>
        <v>312.510116908213</v>
      </c>
      <c r="T44" s="199" t="n">
        <f aca="false">K44*L44</f>
        <v>2500.60966192163</v>
      </c>
      <c r="U44" s="210" t="n">
        <f aca="false">SUM(P44:T44)</f>
        <v>15148.0434940419</v>
      </c>
    </row>
    <row r="45" customFormat="false" ht="12.75" hidden="false" customHeight="false" outlineLevel="0" collapsed="false">
      <c r="A45" s="187" t="n">
        <f aca="false">+'Index Pricing'!A26</f>
        <v>37215</v>
      </c>
      <c r="B45" s="188" t="n">
        <f aca="false">+'Index Pricing'!B26</f>
        <v>1.535</v>
      </c>
      <c r="C45" s="201" t="n">
        <f aca="false">+B45+$K$16</f>
        <v>1.0216</v>
      </c>
      <c r="D45" s="202" t="n">
        <f aca="false">O45*'Internal Kennedy Total'!T37</f>
        <v>1243.78254027726</v>
      </c>
      <c r="E45" s="203" t="n">
        <f aca="false">+'Index Pricing'!$B$4+'Box Draw Detail'!$K$17</f>
        <v>2.262</v>
      </c>
      <c r="F45" s="204" t="n">
        <f aca="false">O45*'Internal Kennedy Total'!U37</f>
        <v>3548.59497939303</v>
      </c>
      <c r="G45" s="203" t="n">
        <f aca="false">$C$6+$K$18</f>
        <v>2.0266</v>
      </c>
      <c r="H45" s="205" t="n">
        <f aca="false">O45*'Internal Kennedy Total'!V37</f>
        <v>1427.12661421256</v>
      </c>
      <c r="I45" s="203" t="n">
        <f aca="false">B45+$K$20</f>
        <v>0.8543</v>
      </c>
      <c r="J45" s="206" t="n">
        <f aca="false">O45*'Internal Kennedy Total'!W37</f>
        <v>652.05432746347</v>
      </c>
      <c r="K45" s="203" t="n">
        <f aca="false">B45+$K$19+'Kennedy Gas Daily Pricing'!B26</f>
        <v>0.9716</v>
      </c>
      <c r="L45" s="206" t="n">
        <f aca="false">'Internal Kennedy Total'!X37*'Internal Kennedy Total'!M37</f>
        <v>4967.44153865368</v>
      </c>
      <c r="M45" s="207" t="n">
        <f aca="false">'[1]Enron Detail'!$D33</f>
        <v>-1177</v>
      </c>
      <c r="N45" s="208" t="n">
        <f aca="false">O45-M45</f>
        <v>13016</v>
      </c>
      <c r="O45" s="209" t="n">
        <f aca="false">'Internal Kennedy Total'!M37</f>
        <v>11839</v>
      </c>
      <c r="P45" s="198" t="n">
        <f aca="false">+C45*D45</f>
        <v>1270.64824314725</v>
      </c>
      <c r="Q45" s="198" t="n">
        <f aca="false">+E45*F45</f>
        <v>8026.92184338704</v>
      </c>
      <c r="R45" s="198" t="n">
        <f aca="false">+G45*H45</f>
        <v>2892.21479636318</v>
      </c>
      <c r="S45" s="198" t="n">
        <f aca="false">I45*J45</f>
        <v>557.050011952042</v>
      </c>
      <c r="T45" s="199" t="n">
        <f aca="false">K45*L45</f>
        <v>4826.36619895591</v>
      </c>
      <c r="U45" s="210" t="n">
        <f aca="false">SUM(P45:T45)</f>
        <v>17573.2010938054</v>
      </c>
    </row>
    <row r="46" customFormat="false" ht="12.75" hidden="false" customHeight="false" outlineLevel="0" collapsed="false">
      <c r="A46" s="187" t="n">
        <f aca="false">+'Index Pricing'!A27</f>
        <v>37216</v>
      </c>
      <c r="B46" s="188" t="n">
        <f aca="false">+'Index Pricing'!B27</f>
        <v>2.205</v>
      </c>
      <c r="C46" s="201" t="n">
        <f aca="false">+B46+$K$16</f>
        <v>1.6916</v>
      </c>
      <c r="D46" s="202" t="n">
        <f aca="false">O46*'Internal Kennedy Total'!T38</f>
        <v>1225.32738038392</v>
      </c>
      <c r="E46" s="203" t="n">
        <f aca="false">+'Index Pricing'!$B$4+'Box Draw Detail'!$K$17</f>
        <v>2.262</v>
      </c>
      <c r="F46" s="204" t="n">
        <f aca="false">O46*'Internal Kennedy Total'!U38</f>
        <v>3495.94117085283</v>
      </c>
      <c r="G46" s="203" t="n">
        <f aca="false">$C$6+$K$18</f>
        <v>2.0266</v>
      </c>
      <c r="H46" s="205" t="n">
        <f aca="false">O46*'Internal Kennedy Total'!V38</f>
        <v>1405.95100754465</v>
      </c>
      <c r="I46" s="203" t="n">
        <f aca="false">B46+$K$20</f>
        <v>1.5243</v>
      </c>
      <c r="J46" s="206" t="n">
        <f aca="false">O46*'Internal Kennedy Total'!W38</f>
        <v>642.379190144208</v>
      </c>
      <c r="K46" s="203" t="n">
        <f aca="false">B46+$K$19+'Kennedy Gas Daily Pricing'!B27</f>
        <v>1.6416</v>
      </c>
      <c r="L46" s="206" t="n">
        <f aca="false">'Internal Kennedy Total'!X38*'Internal Kennedy Total'!M38</f>
        <v>5432.4012510744</v>
      </c>
      <c r="M46" s="207" t="n">
        <f aca="false">'[1]Enron Detail'!$D34</f>
        <v>-1205</v>
      </c>
      <c r="N46" s="208" t="n">
        <f aca="false">O46-M46</f>
        <v>13407</v>
      </c>
      <c r="O46" s="209" t="n">
        <f aca="false">'Internal Kennedy Total'!M38</f>
        <v>12202</v>
      </c>
      <c r="P46" s="198" t="n">
        <f aca="false">+C46*D46</f>
        <v>2072.76379665744</v>
      </c>
      <c r="Q46" s="198" t="n">
        <f aca="false">+E46*F46</f>
        <v>7907.8189284691</v>
      </c>
      <c r="R46" s="198" t="n">
        <f aca="false">+G46*H46</f>
        <v>2849.30031188998</v>
      </c>
      <c r="S46" s="198" t="n">
        <f aca="false">I46*J46</f>
        <v>979.178599536816</v>
      </c>
      <c r="T46" s="199" t="n">
        <f aca="false">K46*L46</f>
        <v>8917.82989376373</v>
      </c>
      <c r="U46" s="210" t="n">
        <f aca="false">SUM(P46:T46)</f>
        <v>22726.8915303171</v>
      </c>
    </row>
    <row r="47" customFormat="false" ht="12.75" hidden="false" customHeight="false" outlineLevel="0" collapsed="false">
      <c r="A47" s="187" t="n">
        <f aca="false">+'Index Pricing'!A28</f>
        <v>37217</v>
      </c>
      <c r="B47" s="188" t="n">
        <f aca="false">+'Index Pricing'!B28</f>
        <v>1.43</v>
      </c>
      <c r="C47" s="201" t="n">
        <f aca="false">+B47+$K$16</f>
        <v>0.9166</v>
      </c>
      <c r="D47" s="202" t="n">
        <f aca="false">O47*'Internal Kennedy Total'!T39</f>
        <v>1201.95329573906</v>
      </c>
      <c r="E47" s="203" t="n">
        <f aca="false">+'Index Pricing'!$B$4+'Box Draw Detail'!$K$17</f>
        <v>2.262</v>
      </c>
      <c r="F47" s="204" t="n">
        <f aca="false">O47*'Internal Kennedy Total'!U39</f>
        <v>3429.25334019702</v>
      </c>
      <c r="G47" s="203" t="n">
        <f aca="false">$C$6+$K$18</f>
        <v>2.0266</v>
      </c>
      <c r="H47" s="205" t="n">
        <f aca="false">O47*'Internal Kennedy Total'!V39</f>
        <v>1379.13138498257</v>
      </c>
      <c r="I47" s="203" t="n">
        <f aca="false">B47+$K$20</f>
        <v>0.7493</v>
      </c>
      <c r="J47" s="206" t="n">
        <f aca="false">O47*'Internal Kennedy Total'!W39</f>
        <v>630.125301261202</v>
      </c>
      <c r="K47" s="203" t="n">
        <f aca="false">B47+$K$19+'Kennedy Gas Daily Pricing'!B28</f>
        <v>0.8666</v>
      </c>
      <c r="L47" s="206" t="n">
        <f aca="false">'Internal Kennedy Total'!X39*'Internal Kennedy Total'!M39</f>
        <v>5572.53667782016</v>
      </c>
      <c r="M47" s="207" t="n">
        <f aca="false">'[1]Enron Detail'!$D35</f>
        <v>-1098</v>
      </c>
      <c r="N47" s="208" t="n">
        <f aca="false">O47-M47</f>
        <v>13311</v>
      </c>
      <c r="O47" s="209" t="n">
        <f aca="false">'Internal Kennedy Total'!M39</f>
        <v>12213</v>
      </c>
      <c r="P47" s="198" t="n">
        <f aca="false">+C47*D47</f>
        <v>1101.71039087442</v>
      </c>
      <c r="Q47" s="198" t="n">
        <f aca="false">+E47*F47</f>
        <v>7756.97105552566</v>
      </c>
      <c r="R47" s="198" t="n">
        <f aca="false">+G47*H47</f>
        <v>2794.94766480567</v>
      </c>
      <c r="S47" s="198" t="n">
        <f aca="false">I47*J47</f>
        <v>472.152888235019</v>
      </c>
      <c r="T47" s="199" t="n">
        <f aca="false">K47*L47</f>
        <v>4829.16028499895</v>
      </c>
      <c r="U47" s="210" t="n">
        <f aca="false">SUM(P47:T47)</f>
        <v>16954.9422844397</v>
      </c>
    </row>
    <row r="48" customFormat="false" ht="12.75" hidden="false" customHeight="false" outlineLevel="0" collapsed="false">
      <c r="A48" s="187" t="n">
        <f aca="false">+'Index Pricing'!A29</f>
        <v>37218</v>
      </c>
      <c r="B48" s="188" t="n">
        <f aca="false">+'Index Pricing'!B29</f>
        <v>1.43</v>
      </c>
      <c r="C48" s="201" t="n">
        <f aca="false">+B48+$K$16</f>
        <v>0.9166</v>
      </c>
      <c r="D48" s="202" t="n">
        <f aca="false">O48*'Internal Kennedy Total'!T40</f>
        <v>1200.52377622378</v>
      </c>
      <c r="E48" s="203" t="n">
        <f aca="false">+'Index Pricing'!$B$4+'Box Draw Detail'!$K$17</f>
        <v>2.262</v>
      </c>
      <c r="F48" s="204" t="n">
        <f aca="false">O48*'Internal Kennedy Total'!U40</f>
        <v>3425.17482517483</v>
      </c>
      <c r="G48" s="203" t="n">
        <f aca="false">$C$6+$K$18</f>
        <v>2.0266</v>
      </c>
      <c r="H48" s="205" t="n">
        <f aca="false">O48*'Internal Kennedy Total'!V40</f>
        <v>1377.49114219114</v>
      </c>
      <c r="I48" s="203" t="n">
        <f aca="false">B48+$K$20</f>
        <v>0.7493</v>
      </c>
      <c r="J48" s="206" t="n">
        <f aca="false">O48*'Internal Kennedy Total'!W40</f>
        <v>629.375874125874</v>
      </c>
      <c r="K48" s="203" t="n">
        <f aca="false">B48+$K$19+'Kennedy Gas Daily Pricing'!B29</f>
        <v>0.8666</v>
      </c>
      <c r="L48" s="206" t="n">
        <f aca="false">'Internal Kennedy Total'!X40*'Internal Kennedy Total'!M40</f>
        <v>5612.43438228438</v>
      </c>
      <c r="M48" s="207" t="n">
        <f aca="false">'[1]Enron Detail'!$D36</f>
        <v>-1057</v>
      </c>
      <c r="N48" s="208" t="n">
        <f aca="false">O48-M48</f>
        <v>13302</v>
      </c>
      <c r="O48" s="209" t="n">
        <f aca="false">'Internal Kennedy Total'!M40</f>
        <v>12245</v>
      </c>
      <c r="P48" s="198" t="n">
        <f aca="false">+C48*D48</f>
        <v>1100.40009328671</v>
      </c>
      <c r="Q48" s="198" t="n">
        <f aca="false">+E48*F48</f>
        <v>7747.74545454546</v>
      </c>
      <c r="R48" s="198" t="n">
        <f aca="false">+G48*H48</f>
        <v>2791.62354876457</v>
      </c>
      <c r="S48" s="198" t="n">
        <f aca="false">I48*J48</f>
        <v>471.591342482517</v>
      </c>
      <c r="T48" s="199" t="n">
        <f aca="false">K48*L48</f>
        <v>4863.73563568765</v>
      </c>
      <c r="U48" s="210" t="n">
        <f aca="false">SUM(P48:T48)</f>
        <v>16975.0960747669</v>
      </c>
    </row>
    <row r="49" customFormat="false" ht="12.75" hidden="false" customHeight="false" outlineLevel="0" collapsed="false">
      <c r="A49" s="187" t="n">
        <f aca="false">+'Index Pricing'!A30</f>
        <v>37219</v>
      </c>
      <c r="B49" s="188" t="n">
        <f aca="false">+'Index Pricing'!B30</f>
        <v>1.43</v>
      </c>
      <c r="C49" s="201" t="n">
        <f aca="false">+B49+$K$16</f>
        <v>0.9166</v>
      </c>
      <c r="D49" s="202" t="n">
        <f aca="false">O49*'Internal Kennedy Total'!T41</f>
        <v>1288.91061083816</v>
      </c>
      <c r="E49" s="203" t="n">
        <f aca="false">+'Index Pricing'!$B$4+'Box Draw Detail'!$K$17</f>
        <v>2.262</v>
      </c>
      <c r="F49" s="204" t="n">
        <f aca="false">O49*'Internal Kennedy Total'!U41</f>
        <v>3677.34839040845</v>
      </c>
      <c r="G49" s="203" t="n">
        <f aca="false">$C$6+$K$18</f>
        <v>2.0266</v>
      </c>
      <c r="H49" s="205" t="n">
        <f aca="false">O49*'Internal Kennedy Total'!V41</f>
        <v>1478.9069443426</v>
      </c>
      <c r="I49" s="203" t="n">
        <f aca="false">B49+$K$20</f>
        <v>0.7493</v>
      </c>
      <c r="J49" s="206" t="n">
        <f aca="false">O49*'Internal Kennedy Total'!W41</f>
        <v>675.712766737552</v>
      </c>
      <c r="K49" s="203" t="n">
        <f aca="false">B49+$K$19+'Kennedy Gas Daily Pricing'!B30</f>
        <v>0.8666</v>
      </c>
      <c r="L49" s="206" t="n">
        <f aca="false">'Internal Kennedy Total'!X41*'Internal Kennedy Total'!M41</f>
        <v>5416.12128767324</v>
      </c>
      <c r="M49" s="207" t="n">
        <f aca="false">'[1]Enron Detail'!$D37</f>
        <v>-870</v>
      </c>
      <c r="N49" s="208" t="n">
        <f aca="false">O49-M49</f>
        <v>13407</v>
      </c>
      <c r="O49" s="209" t="n">
        <f aca="false">'Internal Kennedy Total'!M41</f>
        <v>12537</v>
      </c>
      <c r="P49" s="198" t="n">
        <f aca="false">+C49*D49</f>
        <v>1181.41546589426</v>
      </c>
      <c r="Q49" s="198" t="n">
        <f aca="false">+E49*F49</f>
        <v>8318.16205910391</v>
      </c>
      <c r="R49" s="198" t="n">
        <f aca="false">+G49*H49</f>
        <v>2997.15281340471</v>
      </c>
      <c r="S49" s="198" t="n">
        <f aca="false">I49*J49</f>
        <v>506.311576116448</v>
      </c>
      <c r="T49" s="199" t="n">
        <f aca="false">K49*L49</f>
        <v>4693.61070789763</v>
      </c>
      <c r="U49" s="210" t="n">
        <f aca="false">SUM(P49:T49)</f>
        <v>17696.652622417</v>
      </c>
    </row>
    <row r="50" customFormat="false" ht="12.75" hidden="false" customHeight="false" outlineLevel="0" collapsed="false">
      <c r="A50" s="187" t="n">
        <f aca="false">+'Index Pricing'!A31</f>
        <v>37220</v>
      </c>
      <c r="B50" s="188" t="n">
        <f aca="false">+'Index Pricing'!B31</f>
        <v>1.43</v>
      </c>
      <c r="C50" s="201" t="n">
        <f aca="false">+B50+$K$16</f>
        <v>0.9166</v>
      </c>
      <c r="D50" s="202" t="n">
        <f aca="false">O50*'Internal Kennedy Total'!T42</f>
        <v>1551.86674820364</v>
      </c>
      <c r="E50" s="203" t="n">
        <f aca="false">+'Index Pricing'!$B$4+'Box Draw Detail'!$K$17</f>
        <v>2.262</v>
      </c>
      <c r="F50" s="204" t="n">
        <f aca="false">O50*'Internal Kennedy Total'!U42</f>
        <v>4427.57988075218</v>
      </c>
      <c r="G50" s="203" t="n">
        <f aca="false">$C$6+$K$18</f>
        <v>2.0266</v>
      </c>
      <c r="H50" s="205" t="n">
        <f aca="false">O50*'Internal Kennedy Total'!V42</f>
        <v>1780.6250420425</v>
      </c>
      <c r="I50" s="203" t="n">
        <f aca="false">B50+$K$20</f>
        <v>0.7493</v>
      </c>
      <c r="J50" s="206" t="n">
        <f aca="false">O50*'Internal Kennedy Total'!W42</f>
        <v>813.567803088213</v>
      </c>
      <c r="K50" s="203" t="n">
        <f aca="false">B50+$K$19+'Kennedy Gas Daily Pricing'!B31</f>
        <v>0.8666</v>
      </c>
      <c r="L50" s="206" t="n">
        <f aca="false">'Internal Kennedy Total'!X42*'Internal Kennedy Total'!M42</f>
        <v>3493.36052591347</v>
      </c>
      <c r="M50" s="207" t="n">
        <f aca="false">'[1]Enron Detail'!$D38</f>
        <v>-1235</v>
      </c>
      <c r="N50" s="208" t="n">
        <f aca="false">O50-M50</f>
        <v>13302</v>
      </c>
      <c r="O50" s="209" t="n">
        <f aca="false">'Internal Kennedy Total'!M42</f>
        <v>12067</v>
      </c>
      <c r="P50" s="198" t="n">
        <f aca="false">+C50*D50</f>
        <v>1422.44106140346</v>
      </c>
      <c r="Q50" s="198" t="n">
        <f aca="false">+E50*F50</f>
        <v>10015.1856902614</v>
      </c>
      <c r="R50" s="198" t="n">
        <f aca="false">+G50*H50</f>
        <v>3608.61471020333</v>
      </c>
      <c r="S50" s="198" t="n">
        <f aca="false">I50*J50</f>
        <v>609.606354853998</v>
      </c>
      <c r="T50" s="199" t="n">
        <f aca="false">K50*L50</f>
        <v>3027.34623175661</v>
      </c>
      <c r="U50" s="210" t="n">
        <f aca="false">SUM(P50:T50)</f>
        <v>18683.1940484788</v>
      </c>
    </row>
    <row r="51" customFormat="false" ht="12.75" hidden="false" customHeight="false" outlineLevel="0" collapsed="false">
      <c r="A51" s="187" t="n">
        <f aca="false">+'Index Pricing'!A32</f>
        <v>37221</v>
      </c>
      <c r="B51" s="188" t="n">
        <f aca="false">+'Index Pricing'!B32</f>
        <v>1.43</v>
      </c>
      <c r="C51" s="201" t="n">
        <f aca="false">+B51+$K$16</f>
        <v>0.9166</v>
      </c>
      <c r="D51" s="202" t="n">
        <f aca="false">O51*'Internal Kennedy Total'!T43</f>
        <v>1286.26327968592</v>
      </c>
      <c r="E51" s="203" t="n">
        <f aca="false">+'Index Pricing'!$B$4+'Box Draw Detail'!$K$17</f>
        <v>2.262</v>
      </c>
      <c r="F51" s="204" t="n">
        <f aca="false">O51*'Internal Kennedy Total'!U43</f>
        <v>3669.79537713528</v>
      </c>
      <c r="G51" s="203" t="n">
        <f aca="false">$C$6+$K$18</f>
        <v>2.0266</v>
      </c>
      <c r="H51" s="205" t="n">
        <f aca="false">O51*'Internal Kennedy Total'!V43</f>
        <v>1475.86937417124</v>
      </c>
      <c r="I51" s="203" t="n">
        <f aca="false">B51+$K$20</f>
        <v>0.7493</v>
      </c>
      <c r="J51" s="206" t="n">
        <f aca="false">O51*'Internal Kennedy Total'!W43</f>
        <v>674.324900548608</v>
      </c>
      <c r="K51" s="203" t="n">
        <f aca="false">B51+$K$19+'Kennedy Gas Daily Pricing'!B32</f>
        <v>0.8666</v>
      </c>
      <c r="L51" s="206" t="n">
        <f aca="false">'Internal Kennedy Total'!X43*'Internal Kennedy Total'!M43</f>
        <v>4655.74706845896</v>
      </c>
      <c r="M51" s="207" t="n">
        <f aca="false">'[1]Enron Detail'!$D39</f>
        <v>-1058</v>
      </c>
      <c r="N51" s="208" t="n">
        <f aca="false">O51-M51</f>
        <v>12820</v>
      </c>
      <c r="O51" s="209" t="n">
        <f aca="false">'Internal Kennedy Total'!M43</f>
        <v>11762</v>
      </c>
      <c r="P51" s="198" t="n">
        <f aca="false">+C51*D51</f>
        <v>1178.98892216011</v>
      </c>
      <c r="Q51" s="198" t="n">
        <f aca="false">+E51*F51</f>
        <v>8301.07714308</v>
      </c>
      <c r="R51" s="198" t="n">
        <f aca="false">+G51*H51</f>
        <v>2990.99687369543</v>
      </c>
      <c r="S51" s="198" t="n">
        <f aca="false">I51*J51</f>
        <v>505.271647981072</v>
      </c>
      <c r="T51" s="199" t="n">
        <f aca="false">K51*L51</f>
        <v>4034.67040952653</v>
      </c>
      <c r="U51" s="210" t="n">
        <f aca="false">SUM(P51:T51)</f>
        <v>17011.0049964432</v>
      </c>
    </row>
    <row r="52" customFormat="false" ht="12.75" hidden="false" customHeight="false" outlineLevel="0" collapsed="false">
      <c r="A52" s="187" t="n">
        <f aca="false">+'Index Pricing'!A33</f>
        <v>37222</v>
      </c>
      <c r="B52" s="188" t="n">
        <f aca="false">+'Index Pricing'!B33</f>
        <v>1.88</v>
      </c>
      <c r="C52" s="201" t="n">
        <f aca="false">+B52+$K$16</f>
        <v>1.3666</v>
      </c>
      <c r="D52" s="202" t="n">
        <f aca="false">O52*'Internal Kennedy Total'!T44</f>
        <v>1302.66326611939</v>
      </c>
      <c r="E52" s="203" t="n">
        <f aca="false">+'Index Pricing'!$B$4+'Box Draw Detail'!$K$17</f>
        <v>2.262</v>
      </c>
      <c r="F52" s="204" t="n">
        <f aca="false">O52*'Internal Kennedy Total'!U44</f>
        <v>3716.58563800112</v>
      </c>
      <c r="G52" s="203" t="n">
        <f aca="false">$C$6+$K$18</f>
        <v>2.0266</v>
      </c>
      <c r="H52" s="205" t="n">
        <f aca="false">O52*'Internal Kennedy Total'!V44</f>
        <v>1494.68685741612</v>
      </c>
      <c r="I52" s="203" t="n">
        <f aca="false">B52+$K$20</f>
        <v>1.1993</v>
      </c>
      <c r="J52" s="206" t="n">
        <f aca="false">O52*'Internal Kennedy Total'!W44</f>
        <v>682.922610982705</v>
      </c>
      <c r="K52" s="203" t="n">
        <f aca="false">B52+$K$19+'Kennedy Gas Daily Pricing'!B33</f>
        <v>1.3166</v>
      </c>
      <c r="L52" s="206" t="n">
        <f aca="false">'Internal Kennedy Total'!X44*'Internal Kennedy Total'!M44</f>
        <v>4461.14162748067</v>
      </c>
      <c r="M52" s="207" t="n">
        <f aca="false">'[1]Enron Detail'!$D40</f>
        <v>-1075</v>
      </c>
      <c r="N52" s="208" t="n">
        <f aca="false">O52-M52</f>
        <v>12733</v>
      </c>
      <c r="O52" s="209" t="n">
        <f aca="false">'Internal Kennedy Total'!M44</f>
        <v>11658</v>
      </c>
      <c r="P52" s="198" t="n">
        <f aca="false">+C52*D52</f>
        <v>1780.21961947876</v>
      </c>
      <c r="Q52" s="198" t="n">
        <f aca="false">+E52*F52</f>
        <v>8406.91671315852</v>
      </c>
      <c r="R52" s="198" t="n">
        <f aca="false">+G52*H52</f>
        <v>3029.1323852395</v>
      </c>
      <c r="S52" s="198" t="n">
        <f aca="false">I52*J52</f>
        <v>819.029087351558</v>
      </c>
      <c r="T52" s="199" t="n">
        <f aca="false">K52*L52</f>
        <v>5873.53906674106</v>
      </c>
      <c r="U52" s="210" t="n">
        <f aca="false">SUM(P52:T52)</f>
        <v>19908.8368719694</v>
      </c>
    </row>
    <row r="53" customFormat="false" ht="12.75" hidden="false" customHeight="false" outlineLevel="0" collapsed="false">
      <c r="A53" s="187" t="n">
        <f aca="false">+'Index Pricing'!A34</f>
        <v>37223</v>
      </c>
      <c r="B53" s="188" t="n">
        <f aca="false">+'Index Pricing'!B34</f>
        <v>2.16</v>
      </c>
      <c r="C53" s="201" t="n">
        <f aca="false">+B53+$K$16</f>
        <v>1.6466</v>
      </c>
      <c r="D53" s="202" t="n">
        <f aca="false">O53*'Internal Kennedy Total'!T45</f>
        <v>1436.2858327116</v>
      </c>
      <c r="E53" s="203" t="n">
        <f aca="false">+'Index Pricing'!$B$4+'Box Draw Detail'!$K$17</f>
        <v>2.262</v>
      </c>
      <c r="F53" s="204" t="n">
        <f aca="false">O53*'Internal Kennedy Total'!U45</f>
        <v>4097.81977949101</v>
      </c>
      <c r="G53" s="203" t="n">
        <f aca="false">$C$6+$K$18</f>
        <v>2.0266</v>
      </c>
      <c r="H53" s="205" t="n">
        <f aca="false">O53*'Internal Kennedy Total'!V45</f>
        <v>1648.00652131863</v>
      </c>
      <c r="I53" s="203" t="n">
        <f aca="false">B53+$K$20</f>
        <v>1.4793</v>
      </c>
      <c r="J53" s="206" t="n">
        <f aca="false">O53*'Internal Kennedy Total'!W45</f>
        <v>752.974384481472</v>
      </c>
      <c r="K53" s="203" t="n">
        <f aca="false">B53+$K$19+'Kennedy Gas Daily Pricing'!B34</f>
        <v>1.5966</v>
      </c>
      <c r="L53" s="206" t="n">
        <f aca="false">'Internal Kennedy Total'!X45*'Internal Kennedy Total'!M45</f>
        <v>4422.91348199729</v>
      </c>
      <c r="M53" s="207" t="n">
        <f aca="false">'[1]Enron Detail'!$D41</f>
        <v>-858</v>
      </c>
      <c r="N53" s="208" t="n">
        <f aca="false">O53-M53</f>
        <v>13216</v>
      </c>
      <c r="O53" s="209" t="n">
        <f aca="false">'Internal Kennedy Total'!M45</f>
        <v>12358</v>
      </c>
      <c r="P53" s="198" t="n">
        <f aca="false">+C53*D53</f>
        <v>2364.98825214292</v>
      </c>
      <c r="Q53" s="198" t="n">
        <f aca="false">+E53*F53</f>
        <v>9269.26834120866</v>
      </c>
      <c r="R53" s="198" t="n">
        <f aca="false">+G53*H53</f>
        <v>3339.85001610434</v>
      </c>
      <c r="S53" s="198" t="n">
        <f aca="false">I53*J53</f>
        <v>1113.87500696344</v>
      </c>
      <c r="T53" s="199" t="n">
        <f aca="false">K53*L53</f>
        <v>7061.62366535688</v>
      </c>
      <c r="U53" s="210" t="n">
        <f aca="false">SUM(P53:T53)</f>
        <v>23149.6052817762</v>
      </c>
    </row>
    <row r="54" customFormat="false" ht="12.75" hidden="false" customHeight="false" outlineLevel="0" collapsed="false">
      <c r="A54" s="187" t="n">
        <f aca="false">+'Index Pricing'!A35</f>
        <v>37224</v>
      </c>
      <c r="B54" s="188" t="n">
        <f aca="false">+'Index Pricing'!B35</f>
        <v>2.38</v>
      </c>
      <c r="C54" s="201" t="n">
        <f aca="false">+B54+$K$16</f>
        <v>1.8666</v>
      </c>
      <c r="D54" s="202" t="n">
        <f aca="false">O54*'Internal Kennedy Total'!T46</f>
        <v>0</v>
      </c>
      <c r="E54" s="203" t="n">
        <f aca="false">+'Index Pricing'!$B$4+'Box Draw Detail'!$K$17</f>
        <v>2.262</v>
      </c>
      <c r="F54" s="204" t="n">
        <f aca="false">O54*'Internal Kennedy Total'!U46</f>
        <v>3812.81166091293</v>
      </c>
      <c r="G54" s="203" t="n">
        <f aca="false">$C$6+$K$18</f>
        <v>2.0266</v>
      </c>
      <c r="H54" s="205" t="n">
        <f aca="false">O54*'Internal Kennedy Total'!V46</f>
        <v>1157.18833908707</v>
      </c>
      <c r="I54" s="203" t="n">
        <f aca="false">B54+$K$20</f>
        <v>1.6993</v>
      </c>
      <c r="J54" s="206" t="n">
        <f aca="false">O54*'Internal Kennedy Total'!W46</f>
        <v>0</v>
      </c>
      <c r="K54" s="203" t="n">
        <f aca="false">B54+$K$19+'Kennedy Gas Daily Pricing'!B35</f>
        <v>1.8166</v>
      </c>
      <c r="L54" s="206" t="n">
        <f aca="false">'Internal Kennedy Total'!X46*'Internal Kennedy Total'!M46</f>
        <v>0</v>
      </c>
      <c r="M54" s="207" t="n">
        <f aca="false">'[1]Enron Detail'!$D42</f>
        <v>-544.5</v>
      </c>
      <c r="N54" s="208" t="n">
        <f aca="false">O54-M54</f>
        <v>5514.5</v>
      </c>
      <c r="O54" s="209" t="n">
        <f aca="false">'Internal Kennedy Total'!M46</f>
        <v>4970</v>
      </c>
      <c r="P54" s="198" t="n">
        <f aca="false">+C54*D54</f>
        <v>0</v>
      </c>
      <c r="Q54" s="198" t="n">
        <f aca="false">+E54*F54</f>
        <v>8624.57997698504</v>
      </c>
      <c r="R54" s="198" t="n">
        <f aca="false">+G54*H54</f>
        <v>2345.15788799386</v>
      </c>
      <c r="S54" s="198" t="n">
        <f aca="false">I54*J54</f>
        <v>0</v>
      </c>
      <c r="T54" s="199" t="n">
        <f aca="false">K54*L54</f>
        <v>0</v>
      </c>
      <c r="U54" s="210" t="n">
        <f aca="false">SUM(P54:T54)</f>
        <v>10969.7378649789</v>
      </c>
    </row>
    <row r="55" customFormat="false" ht="12.75" hidden="false" customHeight="false" outlineLevel="0" collapsed="false">
      <c r="A55" s="187" t="n">
        <f aca="false">+'Index Pricing'!A36</f>
        <v>37225</v>
      </c>
      <c r="B55" s="188" t="n">
        <f aca="false">+'Index Pricing'!B36</f>
        <v>2.025</v>
      </c>
      <c r="C55" s="201" t="n">
        <f aca="false">+B55+$K$16</f>
        <v>1.5116</v>
      </c>
      <c r="D55" s="202" t="n">
        <v>0</v>
      </c>
      <c r="E55" s="203" t="n">
        <f aca="false">+'Index Pricing'!$B$4+'Box Draw Detail'!$K$17</f>
        <v>2.262</v>
      </c>
      <c r="F55" s="204" t="n">
        <v>0</v>
      </c>
      <c r="G55" s="203" t="n">
        <f aca="false">$C$6+$K$18</f>
        <v>2.0266</v>
      </c>
      <c r="H55" s="205" t="n">
        <v>0</v>
      </c>
      <c r="I55" s="203" t="n">
        <f aca="false">B55+$K$20</f>
        <v>1.3443</v>
      </c>
      <c r="J55" s="206" t="n">
        <v>0</v>
      </c>
      <c r="K55" s="203" t="n">
        <f aca="false">B55+$K$19+'Kennedy Gas Daily Pricing'!B36</f>
        <v>1.4616</v>
      </c>
      <c r="L55" s="206" t="n">
        <v>0</v>
      </c>
      <c r="M55" s="207" t="n">
        <f aca="false">'[1]Enron Detail'!$D43</f>
        <v>0</v>
      </c>
      <c r="N55" s="208" t="n">
        <f aca="false">O55-M55</f>
        <v>0</v>
      </c>
      <c r="O55" s="209" t="n">
        <f aca="false">'Internal Kennedy Total'!M47</f>
        <v>0</v>
      </c>
      <c r="P55" s="198" t="n">
        <f aca="false">+C55*D55</f>
        <v>0</v>
      </c>
      <c r="Q55" s="198" t="n">
        <f aca="false">+E55*F55</f>
        <v>0</v>
      </c>
      <c r="R55" s="198" t="n">
        <f aca="false">+G55*H55</f>
        <v>0</v>
      </c>
      <c r="S55" s="198" t="n">
        <f aca="false">I55*J55</f>
        <v>0</v>
      </c>
      <c r="T55" s="199" t="n">
        <f aca="false">K55*L55</f>
        <v>0</v>
      </c>
      <c r="U55" s="210" t="n">
        <f aca="false">SUM(P55:T55)</f>
        <v>0</v>
      </c>
    </row>
    <row r="56" customFormat="false" ht="13.5" hidden="false" customHeight="false" outlineLevel="0" collapsed="false">
      <c r="A56" s="187"/>
      <c r="B56" s="188"/>
      <c r="C56" s="212"/>
      <c r="D56" s="213"/>
      <c r="E56" s="214"/>
      <c r="F56" s="215"/>
      <c r="G56" s="214"/>
      <c r="H56" s="216"/>
      <c r="I56" s="217"/>
      <c r="J56" s="218"/>
      <c r="K56" s="217"/>
      <c r="L56" s="218"/>
      <c r="M56" s="219"/>
      <c r="N56" s="220"/>
      <c r="O56" s="221"/>
      <c r="P56" s="222"/>
      <c r="Q56" s="222"/>
      <c r="R56" s="222"/>
      <c r="S56" s="222"/>
      <c r="T56" s="223"/>
      <c r="U56" s="224"/>
    </row>
    <row r="57" customFormat="false" ht="12.75" hidden="false" customHeight="false" outlineLevel="0" collapsed="false">
      <c r="D57" s="225" t="n">
        <f aca="false">SUM(D26:D56)</f>
        <v>36696.8934088635</v>
      </c>
      <c r="F57" s="226" t="n">
        <f aca="false">SUM(F26:F56)</f>
        <v>108511.508975787</v>
      </c>
      <c r="H57" s="225" t="n">
        <f aca="false">SUM(H26:H56)</f>
        <v>43263.5144425525</v>
      </c>
      <c r="J57" s="227" t="n">
        <f aca="false">SUM(J26:J56)</f>
        <v>19238.3856316082</v>
      </c>
      <c r="K57" s="227"/>
      <c r="L57" s="227" t="n">
        <f aca="false">SUM(L26:L56)</f>
        <v>137388.697541188</v>
      </c>
      <c r="M57" s="228" t="n">
        <f aca="false">SUM(M26:M56)</f>
        <v>-31851.5</v>
      </c>
      <c r="N57" s="229" t="n">
        <f aca="false">SUM(N26:N56)</f>
        <v>376950.5</v>
      </c>
      <c r="O57" s="229" t="n">
        <f aca="false">SUM(O26:O56)</f>
        <v>345099</v>
      </c>
      <c r="P57" s="230" t="n">
        <f aca="false">SUM(P26:P56)</f>
        <v>45375.8042580836</v>
      </c>
      <c r="Q57" s="230" t="n">
        <f aca="false">SUM(Q26:Q56)</f>
        <v>245453.033303231</v>
      </c>
      <c r="R57" s="230" t="n">
        <f aca="false">SUM(R26:R56)</f>
        <v>87677.8383692768</v>
      </c>
      <c r="S57" s="230" t="n">
        <f aca="false">SUM(S26:S56)</f>
        <v>20569.7320137117</v>
      </c>
      <c r="T57" s="230" t="n">
        <f aca="false">SUM(T26:T56)</f>
        <v>168432.499600666</v>
      </c>
      <c r="U57" s="231" t="n">
        <f aca="false">SUM(P57:T57)</f>
        <v>567508.907544969</v>
      </c>
    </row>
    <row r="58" customFormat="false" ht="12.75" hidden="false" customHeight="false" outlineLevel="0" collapsed="false">
      <c r="D58" s="160"/>
      <c r="F58" s="160"/>
      <c r="M58" s="160"/>
      <c r="P58" s="114"/>
      <c r="R58" s="232"/>
    </row>
    <row r="59" customFormat="false" ht="12.75" hidden="false" customHeight="false" outlineLevel="0" collapsed="false">
      <c r="N59" s="80"/>
      <c r="O59" s="80"/>
      <c r="Q59" s="59" t="s">
        <v>151</v>
      </c>
      <c r="R59" s="233" t="n">
        <f aca="false">U57/N57</f>
        <v>1.50552634243745</v>
      </c>
    </row>
    <row r="60" customFormat="false" ht="12.75" hidden="false" customHeight="false" outlineLevel="0" collapsed="false">
      <c r="A60" s="128" t="s">
        <v>87</v>
      </c>
      <c r="S60" s="43"/>
    </row>
    <row r="61" customFormat="false" ht="12.75" hidden="false" customHeight="false" outlineLevel="0" collapsed="false">
      <c r="U61" s="234"/>
    </row>
    <row r="62" customFormat="false" ht="12.75" hidden="false" customHeight="false" outlineLevel="0" collapsed="false">
      <c r="R62" s="235"/>
      <c r="S62" s="235"/>
      <c r="U62" s="236"/>
    </row>
    <row r="63" customFormat="false" ht="12.75" hidden="false" customHeight="false" outlineLevel="0" collapsed="false">
      <c r="S63" s="236"/>
    </row>
    <row r="64" customFormat="false" ht="12.75" hidden="false" customHeight="false" outlineLevel="0" collapsed="false">
      <c r="S64" s="234"/>
    </row>
  </sheetData>
  <mergeCells count="2">
    <mergeCell ref="C22:U22"/>
    <mergeCell ref="P23:T23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34" activeCellId="0" sqref="E3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8" width="16.7"/>
    <col collapsed="false" customWidth="true" hidden="false" outlineLevel="0" max="2" min="2" style="128" width="18.56"/>
    <col collapsed="false" customWidth="true" hidden="false" outlineLevel="0" max="3" min="3" style="128" width="20.41"/>
    <col collapsed="false" customWidth="true" hidden="false" outlineLevel="0" max="4" min="4" style="128" width="17.56"/>
    <col collapsed="false" customWidth="true" hidden="false" outlineLevel="0" max="5" min="5" style="128" width="20.99"/>
    <col collapsed="false" customWidth="true" hidden="false" outlineLevel="0" max="6" min="6" style="128" width="16.28"/>
    <col collapsed="false" customWidth="true" hidden="false" outlineLevel="0" max="7" min="7" style="128" width="15.56"/>
    <col collapsed="false" customWidth="true" hidden="false" outlineLevel="0" max="8" min="8" style="128" width="15.85"/>
    <col collapsed="false" customWidth="true" hidden="false" outlineLevel="0" max="14" min="9" style="128" width="15.56"/>
    <col collapsed="false" customWidth="true" hidden="false" outlineLevel="0" max="15" min="15" style="128" width="13.99"/>
    <col collapsed="false" customWidth="true" hidden="false" outlineLevel="0" max="17" min="16" style="128" width="13.28"/>
    <col collapsed="false" customWidth="true" hidden="false" outlineLevel="0" max="18" min="18" style="128" width="16.84"/>
    <col collapsed="false" customWidth="true" hidden="false" outlineLevel="0" max="19" min="19" style="128" width="15.56"/>
    <col collapsed="false" customWidth="true" hidden="false" outlineLevel="0" max="21" min="20" style="128" width="14.99"/>
    <col collapsed="false" customWidth="true" hidden="false" outlineLevel="0" max="22" min="22" style="128" width="13.28"/>
    <col collapsed="false" customWidth="true" hidden="false" outlineLevel="0" max="24" min="23" style="128" width="14.99"/>
    <col collapsed="false" customWidth="true" hidden="false" outlineLevel="0" max="25" min="25" style="128" width="12.14"/>
    <col collapsed="false" customWidth="true" hidden="false" outlineLevel="0" max="26" min="26" style="128" width="13.28"/>
    <col collapsed="false" customWidth="true" hidden="false" outlineLevel="0" max="27" min="27" style="128" width="14.99"/>
    <col collapsed="false" customWidth="false" hidden="false" outlineLevel="0" max="28" min="28" style="128" width="9.14"/>
    <col collapsed="false" customWidth="true" hidden="false" outlineLevel="0" max="29" min="29" style="128" width="11.13"/>
    <col collapsed="false" customWidth="false" hidden="false" outlineLevel="0" max="257" min="30" style="128" width="9.14"/>
  </cols>
  <sheetData>
    <row r="1" customFormat="false" ht="12.75" hidden="false" customHeight="false" outlineLevel="0" collapsed="false">
      <c r="A1" s="129" t="s">
        <v>113</v>
      </c>
      <c r="B1" s="129" t="s">
        <v>49</v>
      </c>
      <c r="C1" s="129" t="s">
        <v>114</v>
      </c>
      <c r="F1" s="128" t="s">
        <v>51</v>
      </c>
      <c r="H1" s="129"/>
      <c r="I1" s="129"/>
      <c r="J1" s="129"/>
      <c r="K1" s="129"/>
      <c r="L1" s="129"/>
      <c r="M1" s="129"/>
      <c r="N1" s="129"/>
      <c r="O1" s="129"/>
      <c r="S1" s="130" t="n">
        <f aca="true">NOW()</f>
        <v>45926.8884093482</v>
      </c>
    </row>
    <row r="2" customFormat="false" ht="12.75" hidden="false" customHeight="false" outlineLevel="0" collapsed="false">
      <c r="A2" s="33" t="n">
        <f aca="false">+'Index Pricing'!A1</f>
        <v>37196</v>
      </c>
      <c r="B2" s="129" t="s">
        <v>52</v>
      </c>
      <c r="C2" s="129" t="s">
        <v>115</v>
      </c>
      <c r="H2" s="129"/>
      <c r="I2" s="129"/>
      <c r="J2" s="129"/>
      <c r="K2" s="129"/>
      <c r="L2" s="129"/>
      <c r="M2" s="129"/>
      <c r="N2" s="129"/>
      <c r="O2" s="129"/>
    </row>
    <row r="3" customFormat="false" ht="12.75" hidden="false" customHeight="false" outlineLevel="0" collapsed="false">
      <c r="A3" s="33"/>
      <c r="B3" s="129" t="s">
        <v>54</v>
      </c>
      <c r="C3" s="129" t="s">
        <v>116</v>
      </c>
      <c r="F3" s="128" t="s">
        <v>56</v>
      </c>
      <c r="G3" s="128" t="s">
        <v>57</v>
      </c>
      <c r="H3" s="129"/>
      <c r="I3" s="129"/>
      <c r="J3" s="129"/>
      <c r="K3" s="129"/>
      <c r="L3" s="129"/>
      <c r="M3" s="129"/>
      <c r="N3" s="129"/>
      <c r="O3" s="129"/>
    </row>
    <row r="4" customFormat="false" ht="12.75" hidden="false" customHeight="false" outlineLevel="0" collapsed="false">
      <c r="A4" s="33"/>
      <c r="B4" s="129"/>
      <c r="C4" s="129"/>
      <c r="H4" s="129"/>
      <c r="I4" s="129"/>
      <c r="J4" s="129"/>
      <c r="K4" s="129"/>
      <c r="L4" s="129"/>
      <c r="M4" s="129"/>
      <c r="N4" s="129"/>
      <c r="O4" s="129"/>
    </row>
    <row r="5" customFormat="false" ht="12.75" hidden="false" customHeight="false" outlineLevel="0" collapsed="false">
      <c r="A5" s="33" t="s">
        <v>117</v>
      </c>
      <c r="B5" s="129"/>
      <c r="C5" s="131" t="n">
        <f aca="false">+'Index Pricing'!B4</f>
        <v>3.04</v>
      </c>
      <c r="H5" s="129"/>
      <c r="I5" s="129"/>
      <c r="J5" s="129"/>
      <c r="K5" s="129"/>
      <c r="L5" s="129"/>
      <c r="M5" s="129"/>
      <c r="N5" s="129"/>
      <c r="O5" s="129"/>
    </row>
    <row r="6" customFormat="false" ht="12" hidden="false" customHeight="true" outlineLevel="0" collapsed="false">
      <c r="A6" s="33" t="s">
        <v>118</v>
      </c>
      <c r="B6" s="129"/>
      <c r="C6" s="131" t="n">
        <f aca="false">+'Index Pricing'!B3</f>
        <v>2.54</v>
      </c>
      <c r="H6" s="129"/>
      <c r="I6" s="129"/>
      <c r="J6" s="129"/>
      <c r="K6" s="129"/>
      <c r="L6" s="129"/>
      <c r="M6" s="129"/>
      <c r="N6" s="129"/>
      <c r="O6" s="129"/>
    </row>
    <row r="7" customFormat="false" ht="12.75" hidden="false" customHeight="false" outlineLevel="0" collapsed="false">
      <c r="A7" s="132" t="s">
        <v>119</v>
      </c>
      <c r="C7" s="133" t="n">
        <f aca="false">+'Internal Kennedy Total'!C7</f>
        <v>21032</v>
      </c>
      <c r="D7" s="129" t="s">
        <v>120</v>
      </c>
    </row>
    <row r="8" customFormat="false" ht="12.75" hidden="false" customHeight="false" outlineLevel="0" collapsed="false">
      <c r="A8" s="132" t="s">
        <v>121</v>
      </c>
      <c r="C8" s="133" t="n">
        <f aca="false">+'Internal Kennedy Total'!C8</f>
        <v>21893</v>
      </c>
      <c r="D8" s="129" t="s">
        <v>120</v>
      </c>
    </row>
    <row r="9" customFormat="false" ht="13.5" hidden="false" customHeight="false" outlineLevel="0" collapsed="false">
      <c r="A9" s="132"/>
      <c r="C9" s="134"/>
    </row>
    <row r="10" customFormat="false" ht="12.75" hidden="false" customHeight="false" outlineLevel="0" collapsed="false">
      <c r="A10" s="135"/>
      <c r="B10" s="136" t="s">
        <v>122</v>
      </c>
      <c r="C10" s="137" t="s">
        <v>123</v>
      </c>
      <c r="D10" s="137" t="s">
        <v>124</v>
      </c>
      <c r="E10" s="138" t="s">
        <v>125</v>
      </c>
    </row>
    <row r="11" customFormat="false" ht="12.75" hidden="false" customHeight="false" outlineLevel="0" collapsed="false">
      <c r="A11" s="139" t="s">
        <v>112</v>
      </c>
      <c r="B11" s="140" t="n">
        <f aca="false">'[1]Enron Detail'!$F$9</f>
        <v>1.10337153532391</v>
      </c>
      <c r="C11" s="141" t="n">
        <f aca="false">+C7*D11</f>
        <v>14511.4205711924</v>
      </c>
      <c r="D11" s="142" t="n">
        <f aca="false">'Internal Kennedy Total'!H8</f>
        <v>0.689968646405117</v>
      </c>
      <c r="E11" s="237" t="n">
        <v>0.61</v>
      </c>
      <c r="F11" s="128" t="n">
        <v>0.596</v>
      </c>
    </row>
    <row r="12" customFormat="false" ht="13.5" hidden="false" customHeight="false" outlineLevel="0" collapsed="false">
      <c r="A12" s="144" t="s">
        <v>111</v>
      </c>
      <c r="B12" s="145" t="n">
        <f aca="false">'[1]Enron Detail'!$C$9</f>
        <v>0.955685419466065</v>
      </c>
      <c r="C12" s="146" t="n">
        <f aca="false">+C7-C11</f>
        <v>6520.57942880757</v>
      </c>
      <c r="D12" s="147" t="n">
        <f aca="false">'Internal Kennedy Total'!H7</f>
        <v>0.310031353594883</v>
      </c>
      <c r="E12" s="238" t="n">
        <v>0.47</v>
      </c>
      <c r="F12" s="128" t="n">
        <v>0.456</v>
      </c>
    </row>
    <row r="13" customFormat="false" ht="12.75" hidden="false" customHeight="false" outlineLevel="0" collapsed="false">
      <c r="A13" s="149"/>
      <c r="I13" s="150"/>
    </row>
    <row r="14" customFormat="false" ht="13.5" hidden="false" customHeight="false" outlineLevel="0" collapsed="false">
      <c r="A14" s="149"/>
    </row>
    <row r="15" customFormat="false" ht="57" hidden="false" customHeight="true" outlineLevel="0" collapsed="false">
      <c r="A15" s="151" t="s">
        <v>152</v>
      </c>
      <c r="B15" s="67"/>
      <c r="C15" s="67" t="s">
        <v>61</v>
      </c>
      <c r="D15" s="67" t="s">
        <v>153</v>
      </c>
      <c r="E15" s="67" t="s">
        <v>63</v>
      </c>
      <c r="F15" s="68" t="str">
        <f aca="false">"WIC Med.Bow Fuel ("&amp;'Index Pricing'!$F$3*100&amp;"%*CIGindex)"</f>
        <v>WIC Med.Bow Fuel (0.68%*CIGindex)</v>
      </c>
      <c r="G15" s="67" t="s">
        <v>64</v>
      </c>
      <c r="H15" s="67" t="s">
        <v>128</v>
      </c>
      <c r="I15" s="67" t="s">
        <v>66</v>
      </c>
      <c r="J15" s="152"/>
      <c r="K15" s="69" t="s">
        <v>67</v>
      </c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</row>
    <row r="16" customFormat="false" ht="12.75" hidden="false" customHeight="false" outlineLevel="0" collapsed="false">
      <c r="A16" s="153" t="s">
        <v>129</v>
      </c>
      <c r="B16" s="154" t="s">
        <v>36</v>
      </c>
      <c r="C16" s="155" t="n">
        <v>0</v>
      </c>
      <c r="D16" s="154" t="n">
        <f aca="false">-$E$11</f>
        <v>-0.61</v>
      </c>
      <c r="E16" s="154"/>
      <c r="F16" s="154"/>
      <c r="G16" s="154"/>
      <c r="H16" s="154"/>
      <c r="I16" s="154" t="n">
        <f aca="false">+-M57*D16/(O57)</f>
        <v>-0.0448673196087035</v>
      </c>
      <c r="J16" s="156"/>
      <c r="K16" s="157" t="n">
        <f aca="false">ROUND(SUM(C16:J16),4)</f>
        <v>-0.6549</v>
      </c>
    </row>
    <row r="17" customFormat="false" ht="12.75" hidden="false" customHeight="false" outlineLevel="0" collapsed="false">
      <c r="A17" s="153" t="s">
        <v>129</v>
      </c>
      <c r="B17" s="154" t="s">
        <v>3</v>
      </c>
      <c r="C17" s="155" t="n">
        <v>0.01</v>
      </c>
      <c r="D17" s="154" t="n">
        <f aca="false">-$E$11</f>
        <v>-0.61</v>
      </c>
      <c r="E17" s="154" t="n">
        <f aca="false">-0.13-0.0025-0.0022</f>
        <v>-0.1347</v>
      </c>
      <c r="F17" s="154" t="n">
        <f aca="false">-'Index Pricing'!$F$3*'Index Pricing'!B3</f>
        <v>-0.017272</v>
      </c>
      <c r="G17" s="154" t="n">
        <v>-0.1226</v>
      </c>
      <c r="H17" s="154" t="n">
        <v>0</v>
      </c>
      <c r="I17" s="154" t="n">
        <f aca="false">+I16</f>
        <v>-0.0448673196087035</v>
      </c>
      <c r="J17" s="156"/>
      <c r="K17" s="157" t="n">
        <f aca="false">ROUND(SUM(C17:J17),4)</f>
        <v>-0.9194</v>
      </c>
    </row>
    <row r="18" customFormat="false" ht="12.75" hidden="false" customHeight="false" outlineLevel="0" collapsed="false">
      <c r="A18" s="153" t="s">
        <v>129</v>
      </c>
      <c r="B18" s="154" t="s">
        <v>0</v>
      </c>
      <c r="C18" s="155" t="n">
        <v>0</v>
      </c>
      <c r="D18" s="154" t="n">
        <f aca="false">-$E$11</f>
        <v>-0.61</v>
      </c>
      <c r="E18" s="154"/>
      <c r="F18" s="154"/>
      <c r="G18" s="154"/>
      <c r="H18" s="154"/>
      <c r="I18" s="154" t="n">
        <f aca="false">+I17</f>
        <v>-0.0448673196087035</v>
      </c>
      <c r="J18" s="156"/>
      <c r="K18" s="157" t="n">
        <f aca="false">ROUND(SUM(C18:J18),4)</f>
        <v>-0.6549</v>
      </c>
    </row>
    <row r="19" customFormat="false" ht="12.75" hidden="false" customHeight="false" outlineLevel="0" collapsed="false">
      <c r="A19" s="153" t="s">
        <v>130</v>
      </c>
      <c r="B19" s="154" t="s">
        <v>36</v>
      </c>
      <c r="C19" s="158" t="s">
        <v>131</v>
      </c>
      <c r="D19" s="154" t="n">
        <f aca="false">-$E$11</f>
        <v>-0.61</v>
      </c>
      <c r="E19" s="154"/>
      <c r="F19" s="154"/>
      <c r="G19" s="154"/>
      <c r="H19" s="154"/>
      <c r="I19" s="154" t="n">
        <f aca="false">I18</f>
        <v>-0.0448673196087035</v>
      </c>
      <c r="J19" s="156"/>
      <c r="K19" s="157" t="n">
        <f aca="false">ROUND(SUM(C19:J19),4)</f>
        <v>-0.6549</v>
      </c>
      <c r="L19" s="159"/>
      <c r="N19" s="160"/>
      <c r="O19" s="160"/>
    </row>
    <row r="20" customFormat="false" ht="12.75" hidden="false" customHeight="false" outlineLevel="0" collapsed="false">
      <c r="A20" s="153" t="s">
        <v>130</v>
      </c>
      <c r="B20" s="154" t="s">
        <v>36</v>
      </c>
      <c r="C20" s="155" t="n">
        <v>0.1</v>
      </c>
      <c r="D20" s="154" t="n">
        <f aca="false">D18</f>
        <v>-0.61</v>
      </c>
      <c r="E20" s="154" t="n">
        <v>-0.25</v>
      </c>
      <c r="F20" s="154" t="n">
        <f aca="false">-'Index Pricing'!$F$3*'Index Pricing'!B3</f>
        <v>-0.017272</v>
      </c>
      <c r="G20" s="154"/>
      <c r="H20" s="154"/>
      <c r="I20" s="154" t="n">
        <f aca="false">I19</f>
        <v>-0.0448673196087035</v>
      </c>
      <c r="J20" s="156"/>
      <c r="K20" s="157" t="n">
        <f aca="false">ROUND(SUM(C20:J20),4)</f>
        <v>-0.8221</v>
      </c>
      <c r="L20" s="159"/>
    </row>
    <row r="21" customFormat="false" ht="13.5" hidden="false" customHeight="false" outlineLevel="0" collapsed="false">
      <c r="A21" s="239"/>
      <c r="B21" s="239"/>
      <c r="C21" s="240"/>
      <c r="D21" s="239"/>
      <c r="E21" s="239"/>
      <c r="F21" s="239"/>
      <c r="G21" s="239"/>
      <c r="H21" s="239"/>
      <c r="I21" s="239"/>
      <c r="J21" s="241"/>
      <c r="K21" s="241"/>
      <c r="L21" s="241"/>
      <c r="M21" s="242"/>
      <c r="N21" s="159"/>
    </row>
    <row r="22" customFormat="false" ht="23.25" hidden="false" customHeight="false" outlineLevel="0" collapsed="false"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0"/>
      <c r="W22" s="0"/>
    </row>
    <row r="23" customFormat="false" ht="57" hidden="false" customHeight="true" outlineLevel="0" collapsed="false">
      <c r="A23" s="70"/>
      <c r="B23" s="162"/>
      <c r="C23" s="163" t="s">
        <v>133</v>
      </c>
      <c r="D23" s="164" t="s">
        <v>134</v>
      </c>
      <c r="E23" s="163" t="s">
        <v>135</v>
      </c>
      <c r="F23" s="164" t="s">
        <v>72</v>
      </c>
      <c r="G23" s="163" t="s">
        <v>136</v>
      </c>
      <c r="H23" s="164" t="s">
        <v>137</v>
      </c>
      <c r="I23" s="163" t="s">
        <v>138</v>
      </c>
      <c r="J23" s="164" t="s">
        <v>139</v>
      </c>
      <c r="K23" s="163" t="s">
        <v>140</v>
      </c>
      <c r="L23" s="164" t="s">
        <v>141</v>
      </c>
      <c r="M23" s="165" t="s">
        <v>154</v>
      </c>
      <c r="N23" s="165" t="s">
        <v>155</v>
      </c>
      <c r="O23" s="166" t="s">
        <v>144</v>
      </c>
      <c r="P23" s="167" t="s">
        <v>156</v>
      </c>
      <c r="Q23" s="167"/>
      <c r="R23" s="167"/>
      <c r="S23" s="167"/>
      <c r="T23" s="167"/>
      <c r="U23" s="168"/>
      <c r="V23" s="0"/>
      <c r="W23" s="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  <c r="IW23" s="70"/>
    </row>
    <row r="24" customFormat="false" ht="12.75" hidden="false" customHeight="false" outlineLevel="0" collapsed="false">
      <c r="B24" s="176"/>
      <c r="C24" s="244"/>
      <c r="D24" s="176"/>
      <c r="E24" s="244"/>
      <c r="F24" s="204" t="n">
        <f aca="false">IF(+C7*0.8&gt;12000,12000,+C7*0.8)</f>
        <v>12000</v>
      </c>
      <c r="G24" s="244"/>
      <c r="H24" s="176"/>
      <c r="I24" s="170"/>
      <c r="J24" s="169"/>
      <c r="K24" s="170"/>
      <c r="L24" s="169"/>
      <c r="M24" s="245" t="s">
        <v>157</v>
      </c>
      <c r="N24" s="245"/>
      <c r="O24" s="246"/>
      <c r="P24" s="174"/>
      <c r="Q24" s="175"/>
      <c r="R24" s="175"/>
      <c r="S24" s="175"/>
      <c r="T24" s="176"/>
      <c r="U24" s="247"/>
    </row>
    <row r="25" customFormat="false" ht="26.25" hidden="false" customHeight="false" outlineLevel="0" collapsed="false">
      <c r="A25" s="70"/>
      <c r="B25" s="162" t="s">
        <v>81</v>
      </c>
      <c r="C25" s="178" t="s">
        <v>146</v>
      </c>
      <c r="D25" s="162"/>
      <c r="E25" s="179" t="s">
        <v>83</v>
      </c>
      <c r="F25" s="180"/>
      <c r="G25" s="178" t="s">
        <v>84</v>
      </c>
      <c r="H25" s="162"/>
      <c r="I25" s="178" t="s">
        <v>146</v>
      </c>
      <c r="J25" s="162"/>
      <c r="K25" s="178" t="s">
        <v>146</v>
      </c>
      <c r="L25" s="162"/>
      <c r="M25" s="181"/>
      <c r="N25" s="181"/>
      <c r="O25" s="182"/>
      <c r="P25" s="183" t="s">
        <v>147</v>
      </c>
      <c r="Q25" s="184" t="s">
        <v>78</v>
      </c>
      <c r="R25" s="184" t="s">
        <v>148</v>
      </c>
      <c r="S25" s="184" t="s">
        <v>149</v>
      </c>
      <c r="T25" s="185" t="s">
        <v>150</v>
      </c>
      <c r="U25" s="186" t="s">
        <v>80</v>
      </c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70"/>
      <c r="IV25" s="70"/>
      <c r="IW25" s="70"/>
    </row>
    <row r="26" customFormat="false" ht="12.75" hidden="false" customHeight="false" outlineLevel="0" collapsed="false">
      <c r="A26" s="187" t="n">
        <f aca="false">+'Index Pricing'!A7</f>
        <v>37196</v>
      </c>
      <c r="B26" s="188" t="n">
        <f aca="false">+'Index Pricing'!B7</f>
        <v>2.67</v>
      </c>
      <c r="C26" s="189" t="n">
        <f aca="false">+B26+$K$16</f>
        <v>2.0151</v>
      </c>
      <c r="D26" s="190" t="n">
        <f aca="false">O26*'Internal Kennedy Total'!T18</f>
        <v>2849.6532499937</v>
      </c>
      <c r="E26" s="191" t="n">
        <f aca="false">+'Index Pricing'!$B$4+'S Kitty Detail'!$K$17</f>
        <v>2.1206</v>
      </c>
      <c r="F26" s="192" t="n">
        <f aca="false">O26*'Internal Kennedy Total'!U18</f>
        <v>8130.25178314893</v>
      </c>
      <c r="G26" s="191" t="n">
        <f aca="false">$C$6+$K$18</f>
        <v>1.8851</v>
      </c>
      <c r="H26" s="193" t="n">
        <f aca="false">O26*'Internal Kennedy Total'!V18</f>
        <v>3269.71625878973</v>
      </c>
      <c r="I26" s="191" t="n">
        <f aca="false">B26+$K$20</f>
        <v>1.8479</v>
      </c>
      <c r="J26" s="194" t="n">
        <f aca="false">O26*'Internal Kennedy Total'!W18</f>
        <v>1493.93376515362</v>
      </c>
      <c r="K26" s="191" t="n">
        <f aca="false">B26+$K$19+'Kennedy Gas Daily Pricing'!B7</f>
        <v>1.9651</v>
      </c>
      <c r="L26" s="194" t="n">
        <f aca="false">O26*'Internal Kennedy Total'!X18</f>
        <v>11138.444942914</v>
      </c>
      <c r="M26" s="195" t="n">
        <f aca="false">'[1]Enron Detail'!$G14</f>
        <v>-2211</v>
      </c>
      <c r="N26" s="196" t="n">
        <f aca="false">O26-M26</f>
        <v>29093</v>
      </c>
      <c r="O26" s="197" t="n">
        <f aca="false">'Internal Kennedy Total'!N18</f>
        <v>26882</v>
      </c>
      <c r="P26" s="198" t="n">
        <f aca="false">+C26*D26</f>
        <v>5742.3362640623</v>
      </c>
      <c r="Q26" s="198" t="n">
        <f aca="false">+E26*F26</f>
        <v>17241.0119313456</v>
      </c>
      <c r="R26" s="198" t="n">
        <f aca="false">+G26*H26</f>
        <v>6163.74211944451</v>
      </c>
      <c r="S26" s="198" t="n">
        <f aca="false">I26*J26</f>
        <v>2760.64020462737</v>
      </c>
      <c r="T26" s="199" t="n">
        <f aca="false">K26*L26</f>
        <v>21888.1581573204</v>
      </c>
      <c r="U26" s="200" t="n">
        <f aca="false">SUM(P26:T26)</f>
        <v>53795.8886768002</v>
      </c>
      <c r="W26" s="248"/>
    </row>
    <row r="27" customFormat="false" ht="12.75" hidden="false" customHeight="false" outlineLevel="0" collapsed="false">
      <c r="A27" s="187" t="n">
        <f aca="false">+A26+1</f>
        <v>37197</v>
      </c>
      <c r="B27" s="188" t="n">
        <f aca="false">+'Index Pricing'!B8</f>
        <v>2.36</v>
      </c>
      <c r="C27" s="201" t="n">
        <f aca="false">+B27+$K$16</f>
        <v>1.7051</v>
      </c>
      <c r="D27" s="202" t="n">
        <f aca="false">O27*'Internal Kennedy Total'!T19</f>
        <v>2939.89372236108</v>
      </c>
      <c r="E27" s="203" t="n">
        <f aca="false">+'Index Pricing'!$B$4+'S Kitty Detail'!$K$17</f>
        <v>2.1206</v>
      </c>
      <c r="F27" s="204" t="n">
        <f aca="false">O27*'Internal Kennedy Total'!U19</f>
        <v>8387.71390117285</v>
      </c>
      <c r="G27" s="203" t="n">
        <f aca="false">$C$6+$K$18</f>
        <v>1.8851</v>
      </c>
      <c r="H27" s="205" t="n">
        <f aca="false">O27*'Internal Kennedy Total'!V19</f>
        <v>3373.25894058835</v>
      </c>
      <c r="I27" s="203" t="n">
        <f aca="false">B27+$K$20</f>
        <v>1.5379</v>
      </c>
      <c r="J27" s="206" t="n">
        <f aca="false">O27*'Internal Kennedy Total'!W19</f>
        <v>1541.24242934051</v>
      </c>
      <c r="K27" s="203" t="n">
        <f aca="false">B27+$K$19+'Kennedy Gas Daily Pricing'!B8</f>
        <v>1.6551</v>
      </c>
      <c r="L27" s="206" t="n">
        <f aca="false">O27*'Internal Kennedy Total'!X19</f>
        <v>12840.8910065372</v>
      </c>
      <c r="M27" s="207" t="n">
        <f aca="false">'[1]Enron Detail'!$G15</f>
        <v>-2525</v>
      </c>
      <c r="N27" s="208" t="n">
        <f aca="false">O27-M27</f>
        <v>31608</v>
      </c>
      <c r="O27" s="209" t="n">
        <f aca="false">'Internal Kennedy Total'!N19</f>
        <v>29083</v>
      </c>
      <c r="P27" s="198" t="n">
        <f aca="false">+C27*D27</f>
        <v>5012.81278599789</v>
      </c>
      <c r="Q27" s="198" t="n">
        <f aca="false">+E27*F27</f>
        <v>17786.9860988271</v>
      </c>
      <c r="R27" s="198" t="n">
        <f aca="false">+G27*H27</f>
        <v>6358.9304289031</v>
      </c>
      <c r="S27" s="198" t="n">
        <f aca="false">I27*J27</f>
        <v>2370.27673208277</v>
      </c>
      <c r="T27" s="199" t="n">
        <f aca="false">K27*L27</f>
        <v>21252.9587049197</v>
      </c>
      <c r="U27" s="210" t="n">
        <f aca="false">SUM(P27:T27)</f>
        <v>52781.9647507306</v>
      </c>
    </row>
    <row r="28" customFormat="false" ht="12.75" hidden="false" customHeight="false" outlineLevel="0" collapsed="false">
      <c r="A28" s="187" t="n">
        <f aca="false">+A27+1</f>
        <v>37198</v>
      </c>
      <c r="B28" s="188" t="n">
        <f aca="false">+'Index Pricing'!B9</f>
        <v>2.015</v>
      </c>
      <c r="C28" s="201" t="n">
        <f aca="false">+B28+$K$16</f>
        <v>1.3601</v>
      </c>
      <c r="D28" s="202" t="n">
        <f aca="false">O28*'Internal Kennedy Total'!T20</f>
        <v>2987.06649622313</v>
      </c>
      <c r="E28" s="203" t="n">
        <f aca="false">+'Index Pricing'!$B$4+'S Kitty Detail'!$K$17</f>
        <v>2.1206</v>
      </c>
      <c r="F28" s="204" t="n">
        <f aca="false">O28*'Internal Kennedy Total'!U20</f>
        <v>8522.30098779779</v>
      </c>
      <c r="G28" s="203" t="n">
        <f aca="false">$C$6+$K$18</f>
        <v>1.8851</v>
      </c>
      <c r="H28" s="205" t="n">
        <f aca="false">O28*'Internal Kennedy Total'!V20</f>
        <v>3427.38538059268</v>
      </c>
      <c r="I28" s="203" t="n">
        <f aca="false">B28+$K$20</f>
        <v>1.1929</v>
      </c>
      <c r="J28" s="206" t="n">
        <f aca="false">O28*'Internal Kennedy Total'!W20</f>
        <v>1565.97280650784</v>
      </c>
      <c r="K28" s="203" t="n">
        <f aca="false">B28+$K$19+'Kennedy Gas Daily Pricing'!B9</f>
        <v>1.3101</v>
      </c>
      <c r="L28" s="206" t="n">
        <f aca="false">O28*'Internal Kennedy Total'!X20</f>
        <v>14053.2743288786</v>
      </c>
      <c r="M28" s="207" t="n">
        <f aca="false">'[1]Enron Detail'!$G16</f>
        <v>-2192</v>
      </c>
      <c r="N28" s="208" t="n">
        <f aca="false">O28-M28</f>
        <v>32748</v>
      </c>
      <c r="O28" s="209" t="n">
        <f aca="false">'Internal Kennedy Total'!N20</f>
        <v>30556</v>
      </c>
      <c r="P28" s="198" t="n">
        <f aca="false">+C28*D28</f>
        <v>4062.70914151307</v>
      </c>
      <c r="Q28" s="198" t="n">
        <f aca="false">+E28*F28</f>
        <v>18072.391474724</v>
      </c>
      <c r="R28" s="198" t="n">
        <f aca="false">+G28*H28</f>
        <v>6460.96418095526</v>
      </c>
      <c r="S28" s="198" t="n">
        <f aca="false">I28*J28</f>
        <v>1868.04896088321</v>
      </c>
      <c r="T28" s="199" t="n">
        <f aca="false">K28*L28</f>
        <v>18411.1946982638</v>
      </c>
      <c r="U28" s="210" t="n">
        <f aca="false">SUM(P28:T28)</f>
        <v>48875.3084563393</v>
      </c>
    </row>
    <row r="29" customFormat="false" ht="12.75" hidden="false" customHeight="false" outlineLevel="0" collapsed="false">
      <c r="A29" s="187" t="n">
        <f aca="false">+A28+1</f>
        <v>37199</v>
      </c>
      <c r="B29" s="188" t="n">
        <f aca="false">+'Index Pricing'!B10</f>
        <v>2.015</v>
      </c>
      <c r="C29" s="201" t="n">
        <f aca="false">+B29+$K$16</f>
        <v>1.3601</v>
      </c>
      <c r="D29" s="202" t="n">
        <f aca="false">O29*'Internal Kennedy Total'!T21</f>
        <v>2967.97602666856</v>
      </c>
      <c r="E29" s="203" t="n">
        <f aca="false">+'Index Pricing'!$B$4+'S Kitty Detail'!$K$17</f>
        <v>2.1206</v>
      </c>
      <c r="F29" s="204" t="n">
        <f aca="false">O29*'Internal Kennedy Total'!U21</f>
        <v>8467.83459819846</v>
      </c>
      <c r="G29" s="203" t="n">
        <f aca="false">$C$6+$K$18</f>
        <v>1.8851</v>
      </c>
      <c r="H29" s="205" t="n">
        <f aca="false">O29*'Internal Kennedy Total'!V21</f>
        <v>3405.48081424215</v>
      </c>
      <c r="I29" s="203" t="n">
        <f aca="false">B29+$K$20</f>
        <v>1.1929</v>
      </c>
      <c r="J29" s="206" t="n">
        <f aca="false">O29*'Internal Kennedy Total'!W21</f>
        <v>1555.96460741897</v>
      </c>
      <c r="K29" s="203" t="n">
        <f aca="false">B29+$K$19+'Kennedy Gas Daily Pricing'!B10</f>
        <v>1.3101</v>
      </c>
      <c r="L29" s="206" t="n">
        <f aca="false">O29*'Internal Kennedy Total'!X21</f>
        <v>13449.7439534719</v>
      </c>
      <c r="M29" s="207" t="n">
        <f aca="false">'[1]Enron Detail'!$G17</f>
        <v>-541</v>
      </c>
      <c r="N29" s="208" t="n">
        <f aca="false">O29-M29</f>
        <v>30388</v>
      </c>
      <c r="O29" s="209" t="n">
        <f aca="false">'Internal Kennedy Total'!N21</f>
        <v>29847</v>
      </c>
      <c r="P29" s="198" t="n">
        <f aca="false">+C29*D29</f>
        <v>4036.74419387191</v>
      </c>
      <c r="Q29" s="198" t="n">
        <f aca="false">+E29*F29</f>
        <v>17956.8900489396</v>
      </c>
      <c r="R29" s="198" t="n">
        <f aca="false">+G29*H29</f>
        <v>6419.67188292787</v>
      </c>
      <c r="S29" s="198" t="n">
        <f aca="false">I29*J29</f>
        <v>1856.11018019008</v>
      </c>
      <c r="T29" s="199" t="n">
        <f aca="false">K29*L29</f>
        <v>17620.5095534435</v>
      </c>
      <c r="U29" s="210" t="n">
        <f aca="false">SUM(P29:T29)</f>
        <v>47889.925859373</v>
      </c>
    </row>
    <row r="30" customFormat="false" ht="12.75" hidden="false" customHeight="false" outlineLevel="0" collapsed="false">
      <c r="A30" s="187" t="n">
        <f aca="false">+A29+1</f>
        <v>37200</v>
      </c>
      <c r="B30" s="188" t="n">
        <f aca="false">+'Index Pricing'!B11</f>
        <v>2.015</v>
      </c>
      <c r="C30" s="201" t="n">
        <f aca="false">+B30+$K$16</f>
        <v>1.3601</v>
      </c>
      <c r="D30" s="202" t="n">
        <f aca="false">O30*'Internal Kennedy Total'!T22</f>
        <v>2998.98576562281</v>
      </c>
      <c r="E30" s="203" t="n">
        <f aca="false">+'Index Pricing'!$B$4+'S Kitty Detail'!$K$17</f>
        <v>2.1206</v>
      </c>
      <c r="F30" s="204" t="n">
        <f aca="false">O30*'Internal Kennedy Total'!U22</f>
        <v>8556.30746254726</v>
      </c>
      <c r="G30" s="203" t="n">
        <f aca="false">$C$6+$K$18</f>
        <v>1.8851</v>
      </c>
      <c r="H30" s="205" t="n">
        <f aca="false">O30*'Internal Kennedy Total'!V22</f>
        <v>3441.06165118775</v>
      </c>
      <c r="I30" s="203" t="n">
        <f aca="false">B30+$K$20</f>
        <v>1.1929</v>
      </c>
      <c r="J30" s="206" t="n">
        <f aca="false">O30*'Internal Kennedy Total'!W22</f>
        <v>1572.22149624306</v>
      </c>
      <c r="K30" s="203" t="n">
        <f aca="false">B30+$K$19+'Kennedy Gas Daily Pricing'!B11</f>
        <v>1.3101</v>
      </c>
      <c r="L30" s="206" t="n">
        <f aca="false">O30*'Internal Kennedy Total'!X22</f>
        <v>13987.4236243991</v>
      </c>
      <c r="M30" s="207" t="n">
        <f aca="false">'[1]Enron Detail'!$G18</f>
        <v>-2213</v>
      </c>
      <c r="N30" s="208" t="n">
        <f aca="false">O30-M30</f>
        <v>32769</v>
      </c>
      <c r="O30" s="209" t="n">
        <f aca="false">'Internal Kennedy Total'!N22</f>
        <v>30556</v>
      </c>
      <c r="P30" s="198" t="n">
        <f aca="false">+C30*D30</f>
        <v>4078.92053982359</v>
      </c>
      <c r="Q30" s="198" t="n">
        <f aca="false">+E30*F30</f>
        <v>18144.5056050777</v>
      </c>
      <c r="R30" s="198" t="n">
        <f aca="false">+G30*H30</f>
        <v>6486.74531865403</v>
      </c>
      <c r="S30" s="198" t="n">
        <f aca="false">I30*J30</f>
        <v>1875.50302286834</v>
      </c>
      <c r="T30" s="199" t="n">
        <f aca="false">K30*L30</f>
        <v>18324.9236903253</v>
      </c>
      <c r="U30" s="210" t="n">
        <f aca="false">SUM(P30:T30)</f>
        <v>48910.598176749</v>
      </c>
    </row>
    <row r="31" customFormat="false" ht="12.75" hidden="false" customHeight="false" outlineLevel="0" collapsed="false">
      <c r="A31" s="187" t="n">
        <f aca="false">+A30+1</f>
        <v>37201</v>
      </c>
      <c r="B31" s="188" t="n">
        <f aca="false">+'Index Pricing'!B12</f>
        <v>2.16</v>
      </c>
      <c r="C31" s="201" t="n">
        <f aca="false">+B31+$K$16</f>
        <v>1.5051</v>
      </c>
      <c r="D31" s="202" t="n">
        <f aca="false">O31*'Internal Kennedy Total'!T23</f>
        <v>2948.53608247423</v>
      </c>
      <c r="E31" s="203" t="n">
        <f aca="false">+'Index Pricing'!$B$4+'S Kitty Detail'!$K$17</f>
        <v>2.1206</v>
      </c>
      <c r="F31" s="204" t="n">
        <f aca="false">O31*'Internal Kennedy Total'!U23</f>
        <v>8412.37113402062</v>
      </c>
      <c r="G31" s="203" t="n">
        <f aca="false">$C$6+$K$18</f>
        <v>1.8851</v>
      </c>
      <c r="H31" s="205" t="n">
        <f aca="false">O31*'Internal Kennedy Total'!V23</f>
        <v>3383.17525773196</v>
      </c>
      <c r="I31" s="203" t="n">
        <f aca="false">B31+$K$20</f>
        <v>1.3379</v>
      </c>
      <c r="J31" s="206" t="n">
        <f aca="false">O31*'Internal Kennedy Total'!W23</f>
        <v>1545.77319587629</v>
      </c>
      <c r="K31" s="203" t="n">
        <f aca="false">B31+$K$19+'Kennedy Gas Daily Pricing'!B12</f>
        <v>1.4551</v>
      </c>
      <c r="L31" s="206" t="n">
        <f aca="false">O31*'Internal Kennedy Total'!X23</f>
        <v>13290.1443298969</v>
      </c>
      <c r="M31" s="207" t="n">
        <f aca="false">'[1]Enron Detail'!$G19</f>
        <v>-2109</v>
      </c>
      <c r="N31" s="208" t="n">
        <f aca="false">O31-M31</f>
        <v>31689</v>
      </c>
      <c r="O31" s="209" t="n">
        <f aca="false">'Internal Kennedy Total'!N23</f>
        <v>29580</v>
      </c>
      <c r="P31" s="198" t="n">
        <f aca="false">+C31*D31</f>
        <v>4437.84165773196</v>
      </c>
      <c r="Q31" s="198" t="n">
        <f aca="false">+E31*F31</f>
        <v>17839.2742268041</v>
      </c>
      <c r="R31" s="198" t="n">
        <f aca="false">+G31*H31</f>
        <v>6377.62367835052</v>
      </c>
      <c r="S31" s="198" t="n">
        <f aca="false">I31*J31</f>
        <v>2068.08995876289</v>
      </c>
      <c r="T31" s="199" t="n">
        <f aca="false">K31*L31</f>
        <v>19338.489014433</v>
      </c>
      <c r="U31" s="210" t="n">
        <f aca="false">SUM(P31:T31)</f>
        <v>50061.3185360825</v>
      </c>
    </row>
    <row r="32" customFormat="false" ht="12.75" hidden="false" customHeight="false" outlineLevel="0" collapsed="false">
      <c r="A32" s="187" t="n">
        <f aca="false">+A31+1</f>
        <v>37202</v>
      </c>
      <c r="B32" s="211" t="n">
        <f aca="false">+'Index Pricing'!B13</f>
        <v>2.135</v>
      </c>
      <c r="C32" s="201" t="n">
        <f aca="false">+B32+$K$16</f>
        <v>1.4801</v>
      </c>
      <c r="D32" s="202" t="n">
        <f aca="false">O32*'Internal Kennedy Total'!T24</f>
        <v>2991.91204188482</v>
      </c>
      <c r="E32" s="203" t="n">
        <f aca="false">+'Index Pricing'!$B$4+'S Kitty Detail'!$K$17</f>
        <v>2.1206</v>
      </c>
      <c r="F32" s="204" t="n">
        <f aca="false">O32*'Internal Kennedy Total'!U24</f>
        <v>8536.12565445026</v>
      </c>
      <c r="G32" s="203" t="n">
        <f aca="false">$C$6+$K$18</f>
        <v>1.8851</v>
      </c>
      <c r="H32" s="205" t="n">
        <f aca="false">O32*'Internal Kennedy Total'!V24</f>
        <v>3432.94520069808</v>
      </c>
      <c r="I32" s="203" t="n">
        <f aca="false">B32+$K$20</f>
        <v>1.3129</v>
      </c>
      <c r="J32" s="206" t="n">
        <f aca="false">O32*'Internal Kennedy Total'!W24</f>
        <v>1568.51308900524</v>
      </c>
      <c r="K32" s="203" t="n">
        <f aca="false">B32+$K$19+'Kennedy Gas Daily Pricing'!B13</f>
        <v>1.4301</v>
      </c>
      <c r="L32" s="206" t="n">
        <f aca="false">O32*'Internal Kennedy Total'!X24</f>
        <v>14040.5040139616</v>
      </c>
      <c r="M32" s="207" t="n">
        <f aca="false">'[1]Enron Detail'!$G20</f>
        <v>-2146</v>
      </c>
      <c r="N32" s="208" t="n">
        <f aca="false">O32-M32</f>
        <v>32716</v>
      </c>
      <c r="O32" s="209" t="n">
        <f aca="false">'Internal Kennedy Total'!N24</f>
        <v>30570</v>
      </c>
      <c r="P32" s="198" t="n">
        <f aca="false">+C32*D32</f>
        <v>4428.32901319372</v>
      </c>
      <c r="Q32" s="198" t="n">
        <f aca="false">+E32*F32</f>
        <v>18101.7080628272</v>
      </c>
      <c r="R32" s="198" t="n">
        <f aca="false">+G32*H32</f>
        <v>6471.44499783595</v>
      </c>
      <c r="S32" s="198" t="n">
        <f aca="false">I32*J32</f>
        <v>2059.30083455497</v>
      </c>
      <c r="T32" s="199" t="n">
        <f aca="false">K32*L32</f>
        <v>20079.3247903665</v>
      </c>
      <c r="U32" s="210" t="n">
        <f aca="false">SUM(P32:T32)</f>
        <v>51140.1076987784</v>
      </c>
    </row>
    <row r="33" customFormat="false" ht="12.75" hidden="false" customHeight="false" outlineLevel="0" collapsed="false">
      <c r="A33" s="187" t="n">
        <f aca="false">+A32+1</f>
        <v>37203</v>
      </c>
      <c r="B33" s="188" t="n">
        <f aca="false">+'Index Pricing'!B14</f>
        <v>2.13</v>
      </c>
      <c r="C33" s="201" t="n">
        <f aca="false">+B33+$K$16</f>
        <v>1.4751</v>
      </c>
      <c r="D33" s="202" t="n">
        <f aca="false">O33*'Internal Kennedy Total'!T25</f>
        <v>3034.21861668648</v>
      </c>
      <c r="E33" s="203" t="n">
        <f aca="false">+'Index Pricing'!$B$4+'S Kitty Detail'!$K$17</f>
        <v>2.1206</v>
      </c>
      <c r="F33" s="204" t="n">
        <f aca="false">O33*'Internal Kennedy Total'!U25</f>
        <v>8656.82914889153</v>
      </c>
      <c r="G33" s="203" t="n">
        <f aca="false">$C$6+$K$18</f>
        <v>1.8851</v>
      </c>
      <c r="H33" s="205" t="n">
        <f aca="false">O33*'Internal Kennedy Total'!V25</f>
        <v>3481.48812271254</v>
      </c>
      <c r="I33" s="203" t="n">
        <f aca="false">B33+$K$20</f>
        <v>1.3079</v>
      </c>
      <c r="J33" s="206" t="n">
        <f aca="false">O33*'Internal Kennedy Total'!W25</f>
        <v>1590.69235610882</v>
      </c>
      <c r="K33" s="203" t="n">
        <f aca="false">B33+$K$19+'Kennedy Gas Daily Pricing'!B14</f>
        <v>1.4251</v>
      </c>
      <c r="L33" s="206" t="n">
        <f aca="false">O33*'Internal Kennedy Total'!X25</f>
        <v>14182.7717556006</v>
      </c>
      <c r="M33" s="207" t="n">
        <f aca="false">'[1]Enron Detail'!$G21</f>
        <v>-1970</v>
      </c>
      <c r="N33" s="208" t="n">
        <f aca="false">O33-M33</f>
        <v>32916</v>
      </c>
      <c r="O33" s="209" t="n">
        <f aca="false">'Internal Kennedy Total'!N25</f>
        <v>30946</v>
      </c>
      <c r="P33" s="198" t="n">
        <f aca="false">+C33*D33</f>
        <v>4475.77588147423</v>
      </c>
      <c r="Q33" s="198" t="n">
        <f aca="false">+E33*F33</f>
        <v>18357.6718931394</v>
      </c>
      <c r="R33" s="198" t="n">
        <f aca="false">+G33*H33</f>
        <v>6562.95326012542</v>
      </c>
      <c r="S33" s="198" t="n">
        <f aca="false">I33*J33</f>
        <v>2080.46653255472</v>
      </c>
      <c r="T33" s="199" t="n">
        <f aca="false">K33*L33</f>
        <v>20211.8680289064</v>
      </c>
      <c r="U33" s="210" t="n">
        <f aca="false">SUM(P33:T33)</f>
        <v>51688.7355962002</v>
      </c>
    </row>
    <row r="34" customFormat="false" ht="12.75" hidden="false" customHeight="false" outlineLevel="0" collapsed="false">
      <c r="A34" s="187" t="n">
        <f aca="false">+A33+1</f>
        <v>37204</v>
      </c>
      <c r="B34" s="188" t="n">
        <f aca="false">+'Index Pricing'!B15</f>
        <v>1.935</v>
      </c>
      <c r="C34" s="201" t="n">
        <f aca="false">+B34+$K$16</f>
        <v>1.2801</v>
      </c>
      <c r="D34" s="202" t="n">
        <f aca="false">O34*'Internal Kennedy Total'!T26</f>
        <v>2945.84203008951</v>
      </c>
      <c r="E34" s="203" t="n">
        <f aca="false">+'Index Pricing'!$B$4+'S Kitty Detail'!$K$17</f>
        <v>2.1206</v>
      </c>
      <c r="F34" s="204" t="n">
        <f aca="false">O34*'Internal Kennedy Total'!U26</f>
        <v>8404.68482193868</v>
      </c>
      <c r="G34" s="203" t="n">
        <f aca="false">$C$6+$K$18</f>
        <v>1.8851</v>
      </c>
      <c r="H34" s="205" t="n">
        <f aca="false">O34*'Internal Kennedy Total'!V26</f>
        <v>3380.08407922301</v>
      </c>
      <c r="I34" s="203" t="n">
        <f aca="false">B34+$K$20</f>
        <v>1.1129</v>
      </c>
      <c r="J34" s="206" t="n">
        <f aca="false">O34*'Internal Kennedy Total'!W26</f>
        <v>1544.36083603123</v>
      </c>
      <c r="K34" s="203" t="n">
        <f aca="false">B34+$K$19+'Kennedy Gas Daily Pricing'!B15</f>
        <v>1.2301</v>
      </c>
      <c r="L34" s="206" t="n">
        <f aca="false">O34*'Internal Kennedy Total'!X26</f>
        <v>13147.0282327176</v>
      </c>
      <c r="M34" s="207" t="n">
        <f aca="false">'[1]Enron Detail'!$G22</f>
        <v>-1865</v>
      </c>
      <c r="N34" s="208" t="n">
        <f aca="false">O34-M34</f>
        <v>31287</v>
      </c>
      <c r="O34" s="209" t="n">
        <f aca="false">'Internal Kennedy Total'!N26</f>
        <v>29422</v>
      </c>
      <c r="P34" s="198" t="n">
        <f aca="false">+C34*D34</f>
        <v>3770.97238271758</v>
      </c>
      <c r="Q34" s="198" t="n">
        <f aca="false">+E34*F34</f>
        <v>17822.9746334032</v>
      </c>
      <c r="R34" s="198" t="n">
        <f aca="false">+G34*H34</f>
        <v>6371.79649774329</v>
      </c>
      <c r="S34" s="198" t="n">
        <f aca="false">I34*J34</f>
        <v>1718.71917441916</v>
      </c>
      <c r="T34" s="199" t="n">
        <f aca="false">K34*L34</f>
        <v>16172.1594290659</v>
      </c>
      <c r="U34" s="210" t="n">
        <f aca="false">SUM(P34:T34)</f>
        <v>45856.6221173491</v>
      </c>
    </row>
    <row r="35" customFormat="false" ht="12.75" hidden="false" customHeight="false" outlineLevel="0" collapsed="false">
      <c r="A35" s="187" t="n">
        <f aca="false">+A34+1</f>
        <v>37205</v>
      </c>
      <c r="B35" s="188" t="n">
        <f aca="false">+'Index Pricing'!B16</f>
        <v>1.7</v>
      </c>
      <c r="C35" s="201" t="n">
        <f aca="false">+B35+$K$16</f>
        <v>1.0451</v>
      </c>
      <c r="D35" s="202" t="n">
        <f aca="false">O35*'Internal Kennedy Total'!T27</f>
        <v>2834.18405838805</v>
      </c>
      <c r="E35" s="203" t="n">
        <f aca="false">+'Index Pricing'!$B$4+'S Kitty Detail'!$K$17</f>
        <v>2.1206</v>
      </c>
      <c r="F35" s="204" t="n">
        <f aca="false">O35*'Internal Kennedy Total'!U27</f>
        <v>8086.11714233395</v>
      </c>
      <c r="G35" s="203" t="n">
        <f aca="false">$C$6+$K$18</f>
        <v>1.8851</v>
      </c>
      <c r="H35" s="205" t="n">
        <f aca="false">O35*'Internal Kennedy Total'!V27</f>
        <v>3251.96677740864</v>
      </c>
      <c r="I35" s="203" t="n">
        <f aca="false">B35+$K$20</f>
        <v>0.8779</v>
      </c>
      <c r="J35" s="206" t="n">
        <f aca="false">O35*'Internal Kennedy Total'!W27</f>
        <v>1485.82402490386</v>
      </c>
      <c r="K35" s="203" t="n">
        <f aca="false">B35+$K$19+'Kennedy Gas Daily Pricing'!B16</f>
        <v>0.9951</v>
      </c>
      <c r="L35" s="206" t="n">
        <f aca="false">O35*'Internal Kennedy Total'!X27</f>
        <v>10100.9079969655</v>
      </c>
      <c r="M35" s="207" t="n">
        <f aca="false">'[1]Enron Detail'!$G23</f>
        <v>-1889</v>
      </c>
      <c r="N35" s="208" t="n">
        <f aca="false">O35-M35</f>
        <v>27648</v>
      </c>
      <c r="O35" s="209" t="n">
        <f aca="false">'Internal Kennedy Total'!N27</f>
        <v>25759</v>
      </c>
      <c r="P35" s="198" t="n">
        <f aca="false">+C35*D35</f>
        <v>2962.00575942135</v>
      </c>
      <c r="Q35" s="198" t="n">
        <f aca="false">+E35*F35</f>
        <v>17147.4200120334</v>
      </c>
      <c r="R35" s="198" t="n">
        <f aca="false">+G35*H35</f>
        <v>6130.28257209302</v>
      </c>
      <c r="S35" s="198" t="n">
        <f aca="false">I35*J35</f>
        <v>1304.4049114631</v>
      </c>
      <c r="T35" s="199" t="n">
        <f aca="false">K35*L35</f>
        <v>10051.4135477804</v>
      </c>
      <c r="U35" s="210" t="n">
        <f aca="false">SUM(P35:T35)</f>
        <v>37595.5268027912</v>
      </c>
    </row>
    <row r="36" customFormat="false" ht="12.75" hidden="false" customHeight="false" outlineLevel="0" collapsed="false">
      <c r="A36" s="187" t="n">
        <f aca="false">+A35+1</f>
        <v>37206</v>
      </c>
      <c r="B36" s="188" t="n">
        <f aca="false">+'Index Pricing'!B17</f>
        <v>1.7</v>
      </c>
      <c r="C36" s="201" t="n">
        <f aca="false">+B36+$K$16</f>
        <v>1.0451</v>
      </c>
      <c r="D36" s="202" t="n">
        <f aca="false">O36*'Internal Kennedy Total'!T28</f>
        <v>2823.66014396161</v>
      </c>
      <c r="E36" s="203" t="n">
        <f aca="false">+'Index Pricing'!$B$4+'S Kitty Detail'!$K$17</f>
        <v>2.1206</v>
      </c>
      <c r="F36" s="204" t="n">
        <f aca="false">O36*'Internal Kennedy Total'!U28</f>
        <v>8056.09170887763</v>
      </c>
      <c r="G36" s="203" t="n">
        <f aca="false">$C$6+$K$18</f>
        <v>1.8851</v>
      </c>
      <c r="H36" s="205" t="n">
        <f aca="false">O36*'Internal Kennedy Total'!V28</f>
        <v>3239.89154892029</v>
      </c>
      <c r="I36" s="203" t="n">
        <f aca="false">B36+$K$20</f>
        <v>0.8779</v>
      </c>
      <c r="J36" s="206" t="n">
        <f aca="false">O36*'Internal Kennedy Total'!W28</f>
        <v>1480.30685150627</v>
      </c>
      <c r="K36" s="203" t="n">
        <f aca="false">B36+$K$19+'Kennedy Gas Daily Pricing'!B17</f>
        <v>0.9951</v>
      </c>
      <c r="L36" s="206" t="n">
        <f aca="false">O36*'Internal Kennedy Total'!X28</f>
        <v>9582.04974673421</v>
      </c>
      <c r="M36" s="207" t="n">
        <f aca="false">'[1]Enron Detail'!$G24</f>
        <v>-1847</v>
      </c>
      <c r="N36" s="208" t="n">
        <f aca="false">O36-M36</f>
        <v>27029</v>
      </c>
      <c r="O36" s="209" t="n">
        <f aca="false">'Internal Kennedy Total'!N28</f>
        <v>25182</v>
      </c>
      <c r="P36" s="198" t="n">
        <f aca="false">+C36*D36</f>
        <v>2951.00721645428</v>
      </c>
      <c r="Q36" s="198" t="n">
        <f aca="false">+E36*F36</f>
        <v>17083.7480778459</v>
      </c>
      <c r="R36" s="198" t="n">
        <f aca="false">+G36*H36</f>
        <v>6107.51955886964</v>
      </c>
      <c r="S36" s="198" t="n">
        <f aca="false">I36*J36</f>
        <v>1299.56138493735</v>
      </c>
      <c r="T36" s="199" t="n">
        <f aca="false">K36*L36</f>
        <v>9535.09770297521</v>
      </c>
      <c r="U36" s="210" t="n">
        <f aca="false">SUM(P36:T36)</f>
        <v>36976.9339410824</v>
      </c>
    </row>
    <row r="37" customFormat="false" ht="12.75" hidden="false" customHeight="false" outlineLevel="0" collapsed="false">
      <c r="A37" s="187" t="n">
        <f aca="false">+A36+1</f>
        <v>37207</v>
      </c>
      <c r="B37" s="188" t="n">
        <f aca="false">+'Index Pricing'!B18</f>
        <v>1.7</v>
      </c>
      <c r="C37" s="201" t="n">
        <f aca="false">+B37+$K$16</f>
        <v>1.0451</v>
      </c>
      <c r="D37" s="202" t="n">
        <f aca="false">O37*'Internal Kennedy Total'!T29</f>
        <v>2861.34242232086</v>
      </c>
      <c r="E37" s="203" t="n">
        <f aca="false">+'Index Pricing'!$B$4+'S Kitty Detail'!$K$17</f>
        <v>2.1206</v>
      </c>
      <c r="F37" s="204" t="n">
        <f aca="false">O37*'Internal Kennedy Total'!U29</f>
        <v>8163.60177552315</v>
      </c>
      <c r="G37" s="203" t="n">
        <f aca="false">$C$6+$K$18</f>
        <v>1.8851</v>
      </c>
      <c r="H37" s="205" t="n">
        <f aca="false">O37*'Internal Kennedy Total'!V29</f>
        <v>3283.12851405623</v>
      </c>
      <c r="I37" s="203" t="n">
        <f aca="false">B37+$K$20</f>
        <v>0.8779</v>
      </c>
      <c r="J37" s="206" t="n">
        <f aca="false">O37*'Internal Kennedy Total'!W29</f>
        <v>1500.06182625238</v>
      </c>
      <c r="K37" s="203" t="n">
        <f aca="false">B37+$K$19+'Kennedy Gas Daily Pricing'!B18</f>
        <v>0.9951</v>
      </c>
      <c r="L37" s="206" t="n">
        <f aca="false">O37*'Internal Kennedy Total'!X29</f>
        <v>9939.86546184739</v>
      </c>
      <c r="M37" s="207" t="n">
        <f aca="false">'[1]Enron Detail'!$G25</f>
        <v>-1963</v>
      </c>
      <c r="N37" s="208" t="n">
        <f aca="false">O37-M37</f>
        <v>27711</v>
      </c>
      <c r="O37" s="209" t="n">
        <f aca="false">'Internal Kennedy Total'!N29</f>
        <v>25748</v>
      </c>
      <c r="P37" s="198" t="n">
        <f aca="false">+C37*D37</f>
        <v>2990.38896556753</v>
      </c>
      <c r="Q37" s="198" t="n">
        <f aca="false">+E37*F37</f>
        <v>17311.7339251744</v>
      </c>
      <c r="R37" s="198" t="n">
        <f aca="false">+G37*H37</f>
        <v>6189.02556184739</v>
      </c>
      <c r="S37" s="198" t="n">
        <f aca="false">I37*J37</f>
        <v>1316.90427726696</v>
      </c>
      <c r="T37" s="199" t="n">
        <f aca="false">K37*L37</f>
        <v>9891.16012108434</v>
      </c>
      <c r="U37" s="210" t="n">
        <f aca="false">SUM(P37:T37)</f>
        <v>37699.2128509406</v>
      </c>
    </row>
    <row r="38" customFormat="false" ht="12.75" hidden="false" customHeight="false" outlineLevel="0" collapsed="false">
      <c r="A38" s="187" t="n">
        <f aca="false">+A37+1</f>
        <v>37208</v>
      </c>
      <c r="B38" s="188" t="n">
        <f aca="false">+'Index Pricing'!B19</f>
        <v>1.52</v>
      </c>
      <c r="C38" s="201" t="n">
        <f aca="false">+B38+$K$16</f>
        <v>0.8651</v>
      </c>
      <c r="D38" s="202" t="n">
        <f aca="false">O38*'Internal Kennedy Total'!T30</f>
        <v>2762.99765910297</v>
      </c>
      <c r="E38" s="203" t="n">
        <f aca="false">+'Index Pricing'!$B$4+'S Kitty Detail'!$K$17</f>
        <v>2.1206</v>
      </c>
      <c r="F38" s="204" t="n">
        <f aca="false">O38*'Internal Kennedy Total'!U30</f>
        <v>7883.01757233372</v>
      </c>
      <c r="G38" s="203" t="n">
        <f aca="false">$C$6+$K$18</f>
        <v>1.8851</v>
      </c>
      <c r="H38" s="205" t="n">
        <f aca="false">O38*'Internal Kennedy Total'!V30</f>
        <v>3170.28690034021</v>
      </c>
      <c r="I38" s="203" t="n">
        <f aca="false">B38+$K$20</f>
        <v>0.6979</v>
      </c>
      <c r="J38" s="206" t="n">
        <f aca="false">O38*'Internal Kennedy Total'!W30</f>
        <v>1448.50447891632</v>
      </c>
      <c r="K38" s="203" t="n">
        <f aca="false">B38+$K$19+'Kennedy Gas Daily Pricing'!B19</f>
        <v>0.8151</v>
      </c>
      <c r="L38" s="206" t="n">
        <f aca="false">O38*'Internal Kennedy Total'!X30</f>
        <v>5782.19338930678</v>
      </c>
      <c r="M38" s="207" t="n">
        <f aca="false">'[1]Enron Detail'!$G26</f>
        <v>-1690</v>
      </c>
      <c r="N38" s="208" t="n">
        <f aca="false">O38-M38</f>
        <v>22737</v>
      </c>
      <c r="O38" s="209" t="n">
        <f aca="false">'Internal Kennedy Total'!N30</f>
        <v>21047</v>
      </c>
      <c r="P38" s="198" t="n">
        <f aca="false">+C38*D38</f>
        <v>2390.26927488998</v>
      </c>
      <c r="Q38" s="198" t="n">
        <f aca="false">+E38*F38</f>
        <v>16716.7270638909</v>
      </c>
      <c r="R38" s="198" t="n">
        <f aca="false">+G38*H38</f>
        <v>5976.30783583133</v>
      </c>
      <c r="S38" s="198" t="n">
        <f aca="false">I38*J38</f>
        <v>1010.9112758357</v>
      </c>
      <c r="T38" s="199" t="n">
        <f aca="false">K38*L38</f>
        <v>4713.06583162396</v>
      </c>
      <c r="U38" s="210" t="n">
        <f aca="false">SUM(P38:T38)</f>
        <v>30807.2812820719</v>
      </c>
    </row>
    <row r="39" customFormat="false" ht="12.75" hidden="false" customHeight="false" outlineLevel="0" collapsed="false">
      <c r="A39" s="187" t="n">
        <f aca="false">+A38+1</f>
        <v>37209</v>
      </c>
      <c r="B39" s="188" t="n">
        <f aca="false">+'Index Pricing'!B20</f>
        <v>1.595</v>
      </c>
      <c r="C39" s="201" t="n">
        <f aca="false">+B39+$K$16</f>
        <v>0.9401</v>
      </c>
      <c r="D39" s="202" t="n">
        <f aca="false">O39*'Internal Kennedy Total'!T31</f>
        <v>2807.63601510966</v>
      </c>
      <c r="E39" s="203" t="n">
        <f aca="false">+'Index Pricing'!$B$4+'S Kitty Detail'!$K$17</f>
        <v>2.1206</v>
      </c>
      <c r="F39" s="204" t="n">
        <f aca="false">O39*'Internal Kennedy Total'!U31</f>
        <v>8010.37379489203</v>
      </c>
      <c r="G39" s="203" t="n">
        <f aca="false">$C$6+$K$18</f>
        <v>1.8851</v>
      </c>
      <c r="H39" s="205" t="n">
        <f aca="false">O39*'Internal Kennedy Total'!V31</f>
        <v>3221.50532784575</v>
      </c>
      <c r="I39" s="203" t="n">
        <f aca="false">B39+$K$20</f>
        <v>0.7729</v>
      </c>
      <c r="J39" s="206" t="n">
        <f aca="false">O39*'Internal Kennedy Total'!W31</f>
        <v>1471.90618481141</v>
      </c>
      <c r="K39" s="203" t="n">
        <f aca="false">B39+$K$19+'Kennedy Gas Daily Pricing'!B20</f>
        <v>0.8901</v>
      </c>
      <c r="L39" s="206" t="n">
        <f aca="false">O39*'Internal Kennedy Total'!X31</f>
        <v>8168.57867734115</v>
      </c>
      <c r="M39" s="207" t="n">
        <f aca="false">'[1]Enron Detail'!$G27</f>
        <v>-2623</v>
      </c>
      <c r="N39" s="208" t="n">
        <f aca="false">O39-M39</f>
        <v>26303</v>
      </c>
      <c r="O39" s="209" t="n">
        <f aca="false">'Internal Kennedy Total'!N31</f>
        <v>23680</v>
      </c>
      <c r="P39" s="198" t="n">
        <f aca="false">+C39*D39</f>
        <v>2639.45861780459</v>
      </c>
      <c r="Q39" s="198" t="n">
        <f aca="false">+E39*F39</f>
        <v>16986.798669448</v>
      </c>
      <c r="R39" s="198" t="n">
        <f aca="false">+G39*H39</f>
        <v>6072.85969352202</v>
      </c>
      <c r="S39" s="198" t="n">
        <f aca="false">I39*J39</f>
        <v>1137.63629024074</v>
      </c>
      <c r="T39" s="199" t="n">
        <f aca="false">K39*L39</f>
        <v>7270.85188070136</v>
      </c>
      <c r="U39" s="210" t="n">
        <f aca="false">SUM(P39:T39)</f>
        <v>34107.6051517168</v>
      </c>
    </row>
    <row r="40" customFormat="false" ht="12.75" hidden="false" customHeight="false" outlineLevel="0" collapsed="false">
      <c r="A40" s="187" t="n">
        <f aca="false">+A39+1</f>
        <v>37210</v>
      </c>
      <c r="B40" s="188" t="n">
        <f aca="false">+'Index Pricing'!B21</f>
        <v>1.84</v>
      </c>
      <c r="C40" s="201" t="n">
        <f aca="false">+B40+$K$16</f>
        <v>1.1851</v>
      </c>
      <c r="D40" s="202" t="n">
        <f aca="false">O40*'Internal Kennedy Total'!T32</f>
        <v>2877.48212426241</v>
      </c>
      <c r="E40" s="203" t="n">
        <f aca="false">+'Index Pricing'!$B$4+'S Kitty Detail'!$K$17</f>
        <v>2.1206</v>
      </c>
      <c r="F40" s="204" t="n">
        <f aca="false">O40*'Internal Kennedy Total'!U32</f>
        <v>8209.6494272822</v>
      </c>
      <c r="G40" s="203" t="n">
        <f aca="false">$C$6+$K$18</f>
        <v>1.8851</v>
      </c>
      <c r="H40" s="205" t="n">
        <f aca="false">O40*'Internal Kennedy Total'!V32</f>
        <v>3301.64734467199</v>
      </c>
      <c r="I40" s="203" t="n">
        <f aca="false">B40+$K$20</f>
        <v>1.0179</v>
      </c>
      <c r="J40" s="206" t="n">
        <f aca="false">O40*'Internal Kennedy Total'!W32</f>
        <v>1508.5230822631</v>
      </c>
      <c r="K40" s="203" t="n">
        <f aca="false">B40+$K$19+'Kennedy Gas Daily Pricing'!B21</f>
        <v>1.1351</v>
      </c>
      <c r="L40" s="206" t="n">
        <f aca="false">O40*'Internal Kennedy Total'!X32</f>
        <v>9725.69802152031</v>
      </c>
      <c r="M40" s="207" t="n">
        <f aca="false">'[1]Enron Detail'!$G28</f>
        <v>-2434</v>
      </c>
      <c r="N40" s="208" t="n">
        <f aca="false">O40-M40</f>
        <v>28057</v>
      </c>
      <c r="O40" s="209" t="n">
        <f aca="false">'Internal Kennedy Total'!N32</f>
        <v>25623</v>
      </c>
      <c r="P40" s="198" t="n">
        <f aca="false">+C40*D40</f>
        <v>3410.10406546338</v>
      </c>
      <c r="Q40" s="198" t="n">
        <f aca="false">+E40*F40</f>
        <v>17409.3825754946</v>
      </c>
      <c r="R40" s="198" t="n">
        <f aca="false">+G40*H40</f>
        <v>6223.93540944117</v>
      </c>
      <c r="S40" s="198" t="n">
        <f aca="false">I40*J40</f>
        <v>1535.52564543561</v>
      </c>
      <c r="T40" s="199" t="n">
        <f aca="false">K40*L40</f>
        <v>11039.6398242277</v>
      </c>
      <c r="U40" s="210" t="n">
        <f aca="false">SUM(P40:T40)</f>
        <v>39618.5875200625</v>
      </c>
    </row>
    <row r="41" customFormat="false" ht="12.75" hidden="false" customHeight="false" outlineLevel="0" collapsed="false">
      <c r="A41" s="187" t="n">
        <f aca="false">+A40+1</f>
        <v>37211</v>
      </c>
      <c r="B41" s="188" t="n">
        <f aca="false">+'Index Pricing'!B22</f>
        <v>1.435</v>
      </c>
      <c r="C41" s="201" t="n">
        <f aca="false">+B41+$K$16</f>
        <v>0.7801</v>
      </c>
      <c r="D41" s="202" t="n">
        <f aca="false">O41*'Internal Kennedy Total'!T33</f>
        <v>2866.08570519956</v>
      </c>
      <c r="E41" s="203" t="n">
        <f aca="false">+'Index Pricing'!$B$4+'S Kitty Detail'!$K$17</f>
        <v>2.1206</v>
      </c>
      <c r="F41" s="204" t="n">
        <f aca="false">O41*'Internal Kennedy Total'!U33</f>
        <v>8177.1346795993</v>
      </c>
      <c r="G41" s="203" t="n">
        <f aca="false">$C$6+$K$18</f>
        <v>1.8851</v>
      </c>
      <c r="H41" s="205" t="n">
        <f aca="false">O41*'Internal Kennedy Total'!V33</f>
        <v>3288.57099697885</v>
      </c>
      <c r="I41" s="203" t="n">
        <f aca="false">B41+$K$20</f>
        <v>0.6129</v>
      </c>
      <c r="J41" s="206" t="n">
        <f aca="false">O41*'Internal Kennedy Total'!W33</f>
        <v>1502.54849737637</v>
      </c>
      <c r="K41" s="203" t="n">
        <f aca="false">B41+$K$19+'Kennedy Gas Daily Pricing'!B22</f>
        <v>0.7301</v>
      </c>
      <c r="L41" s="206" t="n">
        <f aca="false">O41*'Internal Kennedy Total'!X33</f>
        <v>9878.66012084592</v>
      </c>
      <c r="M41" s="207" t="n">
        <f aca="false">'[1]Enron Detail'!$G29</f>
        <v>-1902</v>
      </c>
      <c r="N41" s="208" t="n">
        <f aca="false">O41-M41</f>
        <v>27615</v>
      </c>
      <c r="O41" s="209" t="n">
        <f aca="false">'Internal Kennedy Total'!N33</f>
        <v>25713</v>
      </c>
      <c r="P41" s="198" t="n">
        <f aca="false">+C41*D41</f>
        <v>2235.83345862617</v>
      </c>
      <c r="Q41" s="198" t="n">
        <f aca="false">+E41*F41</f>
        <v>17340.4318015583</v>
      </c>
      <c r="R41" s="198" t="n">
        <f aca="false">+G41*H41</f>
        <v>6199.28518640483</v>
      </c>
      <c r="S41" s="198" t="n">
        <f aca="false">I41*J41</f>
        <v>920.911974041978</v>
      </c>
      <c r="T41" s="199" t="n">
        <f aca="false">K41*L41</f>
        <v>7212.40975422961</v>
      </c>
      <c r="U41" s="210" t="n">
        <f aca="false">SUM(P41:T41)</f>
        <v>33908.8721748609</v>
      </c>
    </row>
    <row r="42" customFormat="false" ht="12.75" hidden="false" customHeight="false" outlineLevel="0" collapsed="false">
      <c r="A42" s="187" t="n">
        <f aca="false">+A41+1</f>
        <v>37212</v>
      </c>
      <c r="B42" s="188" t="n">
        <f aca="false">+'Index Pricing'!B23</f>
        <v>1.135</v>
      </c>
      <c r="C42" s="201" t="n">
        <f aca="false">+B42+$K$16</f>
        <v>0.4801</v>
      </c>
      <c r="D42" s="202" t="n">
        <f aca="false">O42*'Internal Kennedy Total'!T34</f>
        <v>2815.63691286126</v>
      </c>
      <c r="E42" s="203" t="n">
        <f aca="false">+'Index Pricing'!$B$4+'S Kitty Detail'!$K$17</f>
        <v>2.1206</v>
      </c>
      <c r="F42" s="204" t="n">
        <f aca="false">O42*'Internal Kennedy Total'!U34</f>
        <v>8033.20089261416</v>
      </c>
      <c r="G42" s="203" t="n">
        <f aca="false">$C$6+$K$18</f>
        <v>1.8851</v>
      </c>
      <c r="H42" s="205" t="n">
        <f aca="false">O42*'Internal Kennedy Total'!V34</f>
        <v>3230.68562564633</v>
      </c>
      <c r="I42" s="203" t="n">
        <f aca="false">B42+$K$20</f>
        <v>0.3129</v>
      </c>
      <c r="J42" s="206" t="n">
        <f aca="false">O42*'Internal Kennedy Total'!W34</f>
        <v>1476.10066401785</v>
      </c>
      <c r="K42" s="203" t="n">
        <f aca="false">B42+$K$19+'Kennedy Gas Daily Pricing'!B23</f>
        <v>0.4301</v>
      </c>
      <c r="L42" s="206" t="n">
        <f aca="false">O42*'Internal Kennedy Total'!X34</f>
        <v>9043.37590486039</v>
      </c>
      <c r="M42" s="207" t="n">
        <f aca="false">'[1]Enron Detail'!$G30</f>
        <v>-1799</v>
      </c>
      <c r="N42" s="208" t="n">
        <f aca="false">O42-M42</f>
        <v>26398</v>
      </c>
      <c r="O42" s="209" t="n">
        <f aca="false">'Internal Kennedy Total'!N34</f>
        <v>24599</v>
      </c>
      <c r="P42" s="198" t="n">
        <f aca="false">+C42*D42</f>
        <v>1351.78728186469</v>
      </c>
      <c r="Q42" s="198" t="n">
        <f aca="false">+E42*F42</f>
        <v>17035.2058128776</v>
      </c>
      <c r="R42" s="198" t="n">
        <f aca="false">+G42*H42</f>
        <v>6090.1654729059</v>
      </c>
      <c r="S42" s="198" t="n">
        <f aca="false">I42*J42</f>
        <v>461.871897771186</v>
      </c>
      <c r="T42" s="199" t="n">
        <f aca="false">K42*L42</f>
        <v>3889.55597668046</v>
      </c>
      <c r="U42" s="210" t="n">
        <f aca="false">SUM(P42:T42)</f>
        <v>28828.5864420998</v>
      </c>
    </row>
    <row r="43" customFormat="false" ht="12.75" hidden="false" customHeight="false" outlineLevel="0" collapsed="false">
      <c r="A43" s="187" t="n">
        <f aca="false">+A42+1</f>
        <v>37213</v>
      </c>
      <c r="B43" s="188" t="n">
        <f aca="false">+'Index Pricing'!B24</f>
        <v>1.135</v>
      </c>
      <c r="C43" s="201" t="n">
        <f aca="false">+B43+$K$16</f>
        <v>0.4801</v>
      </c>
      <c r="D43" s="202" t="n">
        <f aca="false">O43*'Internal Kennedy Total'!T35</f>
        <v>2747.7198197671</v>
      </c>
      <c r="E43" s="203" t="n">
        <f aca="false">+'Index Pricing'!$B$4+'S Kitty Detail'!$K$17</f>
        <v>2.1206</v>
      </c>
      <c r="F43" s="204" t="n">
        <f aca="false">O43*'Internal Kennedy Total'!U35</f>
        <v>7839.42887237404</v>
      </c>
      <c r="G43" s="203" t="n">
        <f aca="false">$C$6+$K$18</f>
        <v>1.8851</v>
      </c>
      <c r="H43" s="205" t="n">
        <f aca="false">O43*'Internal Kennedy Total'!V35</f>
        <v>3152.75697817309</v>
      </c>
      <c r="I43" s="203" t="n">
        <f aca="false">B43+$K$20</f>
        <v>0.3129</v>
      </c>
      <c r="J43" s="206" t="n">
        <f aca="false">O43*'Internal Kennedy Total'!W35</f>
        <v>1440.49505529873</v>
      </c>
      <c r="K43" s="203" t="n">
        <f aca="false">B43+$K$19+'Kennedy Gas Daily Pricing'!B24</f>
        <v>0.4301</v>
      </c>
      <c r="L43" s="206" t="n">
        <f aca="false">O43*'Internal Kennedy Total'!X35</f>
        <v>7147.59927438703</v>
      </c>
      <c r="M43" s="207" t="n">
        <f aca="false">'[1]Enron Detail'!$G31</f>
        <v>-1464</v>
      </c>
      <c r="N43" s="208" t="n">
        <f aca="false">O43-M43</f>
        <v>23792</v>
      </c>
      <c r="O43" s="209" t="n">
        <f aca="false">'Internal Kennedy Total'!N35</f>
        <v>22328</v>
      </c>
      <c r="P43" s="198" t="n">
        <f aca="false">+C43*D43</f>
        <v>1319.18028547019</v>
      </c>
      <c r="Q43" s="198" t="n">
        <f aca="false">+E43*F43</f>
        <v>16624.2928667564</v>
      </c>
      <c r="R43" s="198" t="n">
        <f aca="false">+G43*H43</f>
        <v>5943.2621795541</v>
      </c>
      <c r="S43" s="198" t="n">
        <f aca="false">I43*J43</f>
        <v>450.730902802973</v>
      </c>
      <c r="T43" s="199" t="n">
        <f aca="false">K43*L43</f>
        <v>3074.18244791386</v>
      </c>
      <c r="U43" s="210" t="n">
        <f aca="false">SUM(P43:T43)</f>
        <v>27411.6486824975</v>
      </c>
    </row>
    <row r="44" customFormat="false" ht="12.75" hidden="false" customHeight="false" outlineLevel="0" collapsed="false">
      <c r="A44" s="187" t="n">
        <f aca="false">+A43+1</f>
        <v>37214</v>
      </c>
      <c r="B44" s="188" t="n">
        <f aca="false">+'Index Pricing'!B25</f>
        <v>1.135</v>
      </c>
      <c r="C44" s="201" t="n">
        <f aca="false">+B44+$K$16</f>
        <v>0.4801</v>
      </c>
      <c r="D44" s="202" t="n">
        <f aca="false">O44*'Internal Kennedy Total'!T36</f>
        <v>2893.85442834139</v>
      </c>
      <c r="E44" s="203" t="n">
        <f aca="false">+'Index Pricing'!$B$4+'S Kitty Detail'!$K$17</f>
        <v>2.1206</v>
      </c>
      <c r="F44" s="204" t="n">
        <f aca="false">O44*'Internal Kennedy Total'!U36</f>
        <v>8256.36070853462</v>
      </c>
      <c r="G44" s="203" t="n">
        <f aca="false">$C$6+$K$18</f>
        <v>1.8851</v>
      </c>
      <c r="H44" s="205" t="n">
        <f aca="false">O44*'Internal Kennedy Total'!V36</f>
        <v>3320.43306494901</v>
      </c>
      <c r="I44" s="203" t="n">
        <f aca="false">B44+$K$20</f>
        <v>0.3129</v>
      </c>
      <c r="J44" s="206" t="n">
        <f aca="false">O44*'Internal Kennedy Total'!W36</f>
        <v>1517.10628019324</v>
      </c>
      <c r="K44" s="203" t="n">
        <f aca="false">B44+$K$19+'Kennedy Gas Daily Pricing'!B25</f>
        <v>0.4301</v>
      </c>
      <c r="L44" s="206" t="n">
        <f aca="false">O44*'Internal Kennedy Total'!X36</f>
        <v>9648.24551798175</v>
      </c>
      <c r="M44" s="207" t="n">
        <f aca="false">'[1]Enron Detail'!$G32</f>
        <v>-1961</v>
      </c>
      <c r="N44" s="208" t="n">
        <f aca="false">O44-M44</f>
        <v>27597</v>
      </c>
      <c r="O44" s="209" t="n">
        <f aca="false">'Internal Kennedy Total'!N36</f>
        <v>25636</v>
      </c>
      <c r="P44" s="198" t="n">
        <f aca="false">+C44*D44</f>
        <v>1389.3395110467</v>
      </c>
      <c r="Q44" s="198" t="n">
        <f aca="false">+E44*F44</f>
        <v>17508.4385185185</v>
      </c>
      <c r="R44" s="198" t="n">
        <f aca="false">+G44*H44</f>
        <v>6259.34837073537</v>
      </c>
      <c r="S44" s="198" t="n">
        <f aca="false">I44*J44</f>
        <v>474.702555072464</v>
      </c>
      <c r="T44" s="199" t="n">
        <f aca="false">K44*L44</f>
        <v>4149.71039728395</v>
      </c>
      <c r="U44" s="210" t="n">
        <f aca="false">SUM(P44:T44)</f>
        <v>29781.539352657</v>
      </c>
    </row>
    <row r="45" customFormat="false" ht="12.75" hidden="false" customHeight="false" outlineLevel="0" collapsed="false">
      <c r="A45" s="187" t="n">
        <f aca="false">+A44+1</f>
        <v>37215</v>
      </c>
      <c r="B45" s="188" t="n">
        <f aca="false">+'Index Pricing'!B26</f>
        <v>1.535</v>
      </c>
      <c r="C45" s="201" t="n">
        <f aca="false">+B45+$K$16</f>
        <v>0.8801</v>
      </c>
      <c r="D45" s="202" t="n">
        <f aca="false">O45*'Internal Kennedy Total'!T37</f>
        <v>2962.21745972274</v>
      </c>
      <c r="E45" s="203" t="n">
        <f aca="false">+'Index Pricing'!$B$4+'S Kitty Detail'!$K$17</f>
        <v>2.1206</v>
      </c>
      <c r="F45" s="204" t="n">
        <f aca="false">O45*'Internal Kennedy Total'!U37</f>
        <v>8451.40502060697</v>
      </c>
      <c r="G45" s="203" t="n">
        <f aca="false">$C$6+$K$18</f>
        <v>1.8851</v>
      </c>
      <c r="H45" s="205" t="n">
        <f aca="false">O45*'Internal Kennedy Total'!V37</f>
        <v>3398.87338578744</v>
      </c>
      <c r="I45" s="203" t="n">
        <f aca="false">B45+$K$20</f>
        <v>0.7129</v>
      </c>
      <c r="J45" s="206" t="n">
        <f aca="false">O45*'Internal Kennedy Total'!W37</f>
        <v>1552.94567253653</v>
      </c>
      <c r="K45" s="203" t="n">
        <f aca="false">B45+$K$19+'Kennedy Gas Daily Pricing'!B26</f>
        <v>0.8301</v>
      </c>
      <c r="L45" s="206" t="n">
        <f aca="false">O45*'Internal Kennedy Total'!X37</f>
        <v>11830.5584613463</v>
      </c>
      <c r="M45" s="207" t="n">
        <f aca="false">'[1]Enron Detail'!$G33</f>
        <v>-2229</v>
      </c>
      <c r="N45" s="208" t="n">
        <f aca="false">O45-M45</f>
        <v>30425</v>
      </c>
      <c r="O45" s="209" t="n">
        <f aca="false">'Internal Kennedy Total'!N37</f>
        <v>28196</v>
      </c>
      <c r="P45" s="198" t="n">
        <f aca="false">+C45*D45</f>
        <v>2607.04758630199</v>
      </c>
      <c r="Q45" s="198" t="n">
        <f aca="false">+E45*F45</f>
        <v>17922.0494866991</v>
      </c>
      <c r="R45" s="198" t="n">
        <f aca="false">+G45*H45</f>
        <v>6407.2162195479</v>
      </c>
      <c r="S45" s="198" t="n">
        <f aca="false">I45*J45</f>
        <v>1107.09496995129</v>
      </c>
      <c r="T45" s="199" t="n">
        <f aca="false">K45*L45</f>
        <v>9820.54657876358</v>
      </c>
      <c r="U45" s="210" t="n">
        <f aca="false">SUM(P45:T45)</f>
        <v>37863.9548412639</v>
      </c>
    </row>
    <row r="46" customFormat="false" ht="12.75" hidden="false" customHeight="false" outlineLevel="0" collapsed="false">
      <c r="A46" s="187" t="n">
        <f aca="false">+A45+1</f>
        <v>37216</v>
      </c>
      <c r="B46" s="188" t="n">
        <f aca="false">+'Index Pricing'!B27</f>
        <v>2.205</v>
      </c>
      <c r="C46" s="201" t="n">
        <f aca="false">+B46+$K$16</f>
        <v>1.5501</v>
      </c>
      <c r="D46" s="202" t="n">
        <f aca="false">O46*'Internal Kennedy Total'!T38</f>
        <v>2980.67261961608</v>
      </c>
      <c r="E46" s="203" t="n">
        <f aca="false">+'Index Pricing'!$B$4+'S Kitty Detail'!$K$17</f>
        <v>2.1206</v>
      </c>
      <c r="F46" s="204" t="n">
        <f aca="false">O46*'Internal Kennedy Total'!U38</f>
        <v>8504.05882914717</v>
      </c>
      <c r="G46" s="203" t="n">
        <f aca="false">$C$6+$K$18</f>
        <v>1.8851</v>
      </c>
      <c r="H46" s="205" t="n">
        <f aca="false">O46*'Internal Kennedy Total'!V38</f>
        <v>3420.04899245535</v>
      </c>
      <c r="I46" s="203" t="n">
        <f aca="false">B46+$K$20</f>
        <v>1.3829</v>
      </c>
      <c r="J46" s="206" t="n">
        <f aca="false">O46*'Internal Kennedy Total'!W38</f>
        <v>1562.62080985579</v>
      </c>
      <c r="K46" s="203" t="n">
        <f aca="false">B46+$K$19+'Kennedy Gas Daily Pricing'!B27</f>
        <v>1.5001</v>
      </c>
      <c r="L46" s="206" t="n">
        <f aca="false">O46*'Internal Kennedy Total'!X38</f>
        <v>13214.5987489256</v>
      </c>
      <c r="M46" s="207" t="n">
        <f aca="false">'[1]Enron Detail'!$G34</f>
        <v>-2158</v>
      </c>
      <c r="N46" s="208" t="n">
        <f aca="false">O46-M46</f>
        <v>31840</v>
      </c>
      <c r="O46" s="209" t="n">
        <f aca="false">'Internal Kennedy Total'!N38</f>
        <v>29682</v>
      </c>
      <c r="P46" s="198" t="n">
        <f aca="false">+C46*D46</f>
        <v>4620.34062766689</v>
      </c>
      <c r="Q46" s="198" t="n">
        <f aca="false">+E46*F46</f>
        <v>18033.7071530895</v>
      </c>
      <c r="R46" s="198" t="n">
        <f aca="false">+G46*H46</f>
        <v>6447.13435567759</v>
      </c>
      <c r="S46" s="198" t="n">
        <f aca="false">I46*J46</f>
        <v>2160.94831794958</v>
      </c>
      <c r="T46" s="199" t="n">
        <f aca="false">K46*L46</f>
        <v>19823.2195832633</v>
      </c>
      <c r="U46" s="210" t="n">
        <f aca="false">SUM(P46:T46)</f>
        <v>51085.3500376468</v>
      </c>
    </row>
    <row r="47" customFormat="false" ht="12.75" hidden="false" customHeight="false" outlineLevel="0" collapsed="false">
      <c r="A47" s="187" t="n">
        <f aca="false">+A46+1</f>
        <v>37217</v>
      </c>
      <c r="B47" s="188" t="n">
        <f aca="false">+'Index Pricing'!B28</f>
        <v>1.43</v>
      </c>
      <c r="C47" s="201" t="n">
        <f aca="false">+B47+$K$16</f>
        <v>0.7751</v>
      </c>
      <c r="D47" s="202" t="n">
        <f aca="false">O47*'Internal Kennedy Total'!T39</f>
        <v>3004.04670426095</v>
      </c>
      <c r="E47" s="203" t="n">
        <f aca="false">+'Index Pricing'!$B$4+'S Kitty Detail'!$K$17</f>
        <v>2.1206</v>
      </c>
      <c r="F47" s="204" t="n">
        <f aca="false">O47*'Internal Kennedy Total'!U39</f>
        <v>8570.74665980298</v>
      </c>
      <c r="G47" s="203" t="n">
        <f aca="false">$C$6+$K$18</f>
        <v>1.8851</v>
      </c>
      <c r="H47" s="205" t="n">
        <f aca="false">O47*'Internal Kennedy Total'!V39</f>
        <v>3446.86861501743</v>
      </c>
      <c r="I47" s="203" t="n">
        <f aca="false">B47+$K$20</f>
        <v>0.6079</v>
      </c>
      <c r="J47" s="206" t="n">
        <f aca="false">O47*'Internal Kennedy Total'!W39</f>
        <v>1574.8746987388</v>
      </c>
      <c r="K47" s="203" t="n">
        <f aca="false">B47+$K$19+'Kennedy Gas Daily Pricing'!B28</f>
        <v>0.7251</v>
      </c>
      <c r="L47" s="206" t="n">
        <f aca="false">O47*'Internal Kennedy Total'!X39</f>
        <v>13927.4633221798</v>
      </c>
      <c r="M47" s="207" t="n">
        <f aca="false">'[1]Enron Detail'!$G35</f>
        <v>-1937</v>
      </c>
      <c r="N47" s="208" t="n">
        <f aca="false">O47-M47</f>
        <v>32461</v>
      </c>
      <c r="O47" s="209" t="n">
        <f aca="false">'Internal Kennedy Total'!N39</f>
        <v>30524</v>
      </c>
      <c r="P47" s="198" t="n">
        <f aca="false">+C47*D47</f>
        <v>2328.43660047266</v>
      </c>
      <c r="Q47" s="198" t="n">
        <f aca="false">+E47*F47</f>
        <v>18175.1253667782</v>
      </c>
      <c r="R47" s="198" t="n">
        <f aca="false">+G47*H47</f>
        <v>6497.69202616936</v>
      </c>
      <c r="S47" s="198" t="n">
        <f aca="false">I47*J47</f>
        <v>957.366329363315</v>
      </c>
      <c r="T47" s="199" t="n">
        <f aca="false">K47*L47</f>
        <v>10098.8036549126</v>
      </c>
      <c r="U47" s="210" t="n">
        <f aca="false">SUM(P47:T47)</f>
        <v>38057.4239776961</v>
      </c>
    </row>
    <row r="48" customFormat="false" ht="12.75" hidden="false" customHeight="false" outlineLevel="0" collapsed="false">
      <c r="A48" s="187" t="n">
        <f aca="false">+A47+1</f>
        <v>37218</v>
      </c>
      <c r="B48" s="188" t="n">
        <f aca="false">+'Index Pricing'!B29</f>
        <v>1.43</v>
      </c>
      <c r="C48" s="201" t="n">
        <f aca="false">+B48+$K$16</f>
        <v>0.7751</v>
      </c>
      <c r="D48" s="202" t="n">
        <f aca="false">O48*'Internal Kennedy Total'!T40</f>
        <v>3005.47622377622</v>
      </c>
      <c r="E48" s="203" t="n">
        <f aca="false">+'Index Pricing'!$B$4+'S Kitty Detail'!$K$17</f>
        <v>2.1206</v>
      </c>
      <c r="F48" s="204" t="n">
        <f aca="false">O48*'Internal Kennedy Total'!U40</f>
        <v>8574.82517482518</v>
      </c>
      <c r="G48" s="203" t="n">
        <f aca="false">$C$6+$K$18</f>
        <v>1.8851</v>
      </c>
      <c r="H48" s="205" t="n">
        <f aca="false">O48*'Internal Kennedy Total'!V40</f>
        <v>3448.50885780886</v>
      </c>
      <c r="I48" s="203" t="n">
        <f aca="false">B48+$K$20</f>
        <v>0.6079</v>
      </c>
      <c r="J48" s="206" t="n">
        <f aca="false">O48*'Internal Kennedy Total'!W40</f>
        <v>1575.62412587413</v>
      </c>
      <c r="K48" s="203" t="n">
        <f aca="false">B48+$K$19+'Kennedy Gas Daily Pricing'!B29</f>
        <v>0.7251</v>
      </c>
      <c r="L48" s="206" t="n">
        <f aca="false">O48*'Internal Kennedy Total'!X40</f>
        <v>14050.5656177156</v>
      </c>
      <c r="M48" s="207" t="n">
        <f aca="false">'[1]Enron Detail'!$G36</f>
        <v>-1800</v>
      </c>
      <c r="N48" s="208" t="n">
        <f aca="false">O48-M48</f>
        <v>32455</v>
      </c>
      <c r="O48" s="209" t="n">
        <f aca="false">'Internal Kennedy Total'!N40</f>
        <v>30655</v>
      </c>
      <c r="P48" s="198" t="n">
        <f aca="false">+C48*D48</f>
        <v>2329.54462104895</v>
      </c>
      <c r="Q48" s="198" t="n">
        <f aca="false">+E48*F48</f>
        <v>18183.7742657343</v>
      </c>
      <c r="R48" s="198" t="n">
        <f aca="false">+G48*H48</f>
        <v>6500.78404785548</v>
      </c>
      <c r="S48" s="198" t="n">
        <f aca="false">I48*J48</f>
        <v>957.821906118881</v>
      </c>
      <c r="T48" s="199" t="n">
        <f aca="false">K48*L48</f>
        <v>10188.0651294056</v>
      </c>
      <c r="U48" s="210" t="n">
        <f aca="false">SUM(P48:T48)</f>
        <v>38159.9899701632</v>
      </c>
    </row>
    <row r="49" customFormat="false" ht="12.75" hidden="false" customHeight="false" outlineLevel="0" collapsed="false">
      <c r="A49" s="187" t="n">
        <f aca="false">+A48+1</f>
        <v>37219</v>
      </c>
      <c r="B49" s="188" t="n">
        <f aca="false">+'Index Pricing'!B30</f>
        <v>1.43</v>
      </c>
      <c r="C49" s="201" t="n">
        <f aca="false">+B49+$K$16</f>
        <v>0.7751</v>
      </c>
      <c r="D49" s="202" t="n">
        <f aca="false">O49*'Internal Kennedy Total'!T41</f>
        <v>2917.08938916184</v>
      </c>
      <c r="E49" s="203" t="n">
        <f aca="false">+'Index Pricing'!$B$4+'S Kitty Detail'!$K$17</f>
        <v>2.1206</v>
      </c>
      <c r="F49" s="204" t="n">
        <f aca="false">O49*'Internal Kennedy Total'!U41</f>
        <v>8322.65160959155</v>
      </c>
      <c r="G49" s="203" t="n">
        <f aca="false">$C$6+$K$18</f>
        <v>1.8851</v>
      </c>
      <c r="H49" s="205" t="n">
        <f aca="false">O49*'Internal Kennedy Total'!V41</f>
        <v>3347.0930556574</v>
      </c>
      <c r="I49" s="203" t="n">
        <f aca="false">B49+$K$20</f>
        <v>0.6079</v>
      </c>
      <c r="J49" s="206" t="n">
        <f aca="false">O49*'Internal Kennedy Total'!W41</f>
        <v>1529.28723326245</v>
      </c>
      <c r="K49" s="203" t="n">
        <f aca="false">B49+$K$19+'Kennedy Gas Daily Pricing'!B30</f>
        <v>0.7251</v>
      </c>
      <c r="L49" s="206" t="n">
        <f aca="false">O49*'Internal Kennedy Total'!X41</f>
        <v>12257.8787123268</v>
      </c>
      <c r="M49" s="207" t="n">
        <f aca="false">'[1]Enron Detail'!$G37</f>
        <v>-2225</v>
      </c>
      <c r="N49" s="208" t="n">
        <f aca="false">O49-M49</f>
        <v>30599</v>
      </c>
      <c r="O49" s="209" t="n">
        <f aca="false">'Internal Kennedy Total'!N41</f>
        <v>28374</v>
      </c>
      <c r="P49" s="198" t="n">
        <f aca="false">+C49*D49</f>
        <v>2261.03598553934</v>
      </c>
      <c r="Q49" s="198" t="n">
        <f aca="false">+E49*F49</f>
        <v>17649.0150032998</v>
      </c>
      <c r="R49" s="198" t="n">
        <f aca="false">+G49*H49</f>
        <v>6309.60511921977</v>
      </c>
      <c r="S49" s="198" t="n">
        <f aca="false">I49*J49</f>
        <v>929.653709100242</v>
      </c>
      <c r="T49" s="199" t="n">
        <f aca="false">K49*L49</f>
        <v>8888.18785430813</v>
      </c>
      <c r="U49" s="210" t="n">
        <f aca="false">SUM(P49:T49)</f>
        <v>36037.4976714673</v>
      </c>
    </row>
    <row r="50" customFormat="false" ht="12.75" hidden="false" customHeight="false" outlineLevel="0" collapsed="false">
      <c r="A50" s="187" t="n">
        <f aca="false">+A49+1</f>
        <v>37220</v>
      </c>
      <c r="B50" s="188" t="n">
        <f aca="false">+'Index Pricing'!B31</f>
        <v>1.43</v>
      </c>
      <c r="C50" s="201" t="n">
        <f aca="false">+B50+$K$16</f>
        <v>0.7751</v>
      </c>
      <c r="D50" s="202" t="n">
        <f aca="false">O50*'Internal Kennedy Total'!T42</f>
        <v>2654.13325179636</v>
      </c>
      <c r="E50" s="203" t="n">
        <f aca="false">+'Index Pricing'!$B$4+'S Kitty Detail'!$K$17</f>
        <v>2.1206</v>
      </c>
      <c r="F50" s="204" t="n">
        <f aca="false">O50*'Internal Kennedy Total'!U42</f>
        <v>7572.42011924782</v>
      </c>
      <c r="G50" s="203" t="n">
        <f aca="false">$C$6+$K$18</f>
        <v>1.8851</v>
      </c>
      <c r="H50" s="205" t="n">
        <f aca="false">O50*'Internal Kennedy Total'!V42</f>
        <v>3045.3749579575</v>
      </c>
      <c r="I50" s="203" t="n">
        <f aca="false">B50+$K$20</f>
        <v>0.6079</v>
      </c>
      <c r="J50" s="206" t="n">
        <f aca="false">O50*'Internal Kennedy Total'!W42</f>
        <v>1391.43219691179</v>
      </c>
      <c r="K50" s="203" t="n">
        <f aca="false">B50+$K$19+'Kennedy Gas Daily Pricing'!B31</f>
        <v>0.7251</v>
      </c>
      <c r="L50" s="206" t="n">
        <f aca="false">O50*'Internal Kennedy Total'!X42</f>
        <v>5974.63947408653</v>
      </c>
      <c r="M50" s="207" t="n">
        <f aca="false">'[1]Enron Detail'!$G38</f>
        <v>-1772</v>
      </c>
      <c r="N50" s="208" t="n">
        <f aca="false">O50-M50</f>
        <v>22410</v>
      </c>
      <c r="O50" s="209" t="n">
        <f aca="false">'Internal Kennedy Total'!N42</f>
        <v>20638</v>
      </c>
      <c r="P50" s="198" t="n">
        <f aca="false">+C50*D50</f>
        <v>2057.21868346736</v>
      </c>
      <c r="Q50" s="198" t="n">
        <f aca="false">+E50*F50</f>
        <v>16058.0741048769</v>
      </c>
      <c r="R50" s="198" t="n">
        <f aca="false">+G50*H50</f>
        <v>5740.83633324568</v>
      </c>
      <c r="S50" s="198" t="n">
        <f aca="false">I50*J50</f>
        <v>845.851632502675</v>
      </c>
      <c r="T50" s="199" t="n">
        <f aca="false">K50*L50</f>
        <v>4332.21108266014</v>
      </c>
      <c r="U50" s="210" t="n">
        <f aca="false">SUM(P50:T50)</f>
        <v>29034.1918367528</v>
      </c>
    </row>
    <row r="51" customFormat="false" ht="12.75" hidden="false" customHeight="false" outlineLevel="0" collapsed="false">
      <c r="A51" s="187" t="n">
        <f aca="false">+A50+1</f>
        <v>37221</v>
      </c>
      <c r="B51" s="188" t="n">
        <f aca="false">+'Index Pricing'!B32</f>
        <v>1.43</v>
      </c>
      <c r="C51" s="201" t="n">
        <f aca="false">+B51+$K$16</f>
        <v>0.7751</v>
      </c>
      <c r="D51" s="202" t="n">
        <f aca="false">O51*'Internal Kennedy Total'!T43</f>
        <v>2919.73672031408</v>
      </c>
      <c r="E51" s="203" t="n">
        <f aca="false">+'Index Pricing'!$B$4+'S Kitty Detail'!$K$17</f>
        <v>2.1206</v>
      </c>
      <c r="F51" s="204" t="n">
        <f aca="false">O51*'Internal Kennedy Total'!U43</f>
        <v>8330.20462286472</v>
      </c>
      <c r="G51" s="203" t="n">
        <f aca="false">$C$6+$K$18</f>
        <v>1.8851</v>
      </c>
      <c r="H51" s="205" t="n">
        <f aca="false">O51*'Internal Kennedy Total'!V43</f>
        <v>3350.13062582876</v>
      </c>
      <c r="I51" s="203" t="n">
        <f aca="false">B51+$K$20</f>
        <v>0.6079</v>
      </c>
      <c r="J51" s="206" t="n">
        <f aca="false">O51*'Internal Kennedy Total'!W43</f>
        <v>1530.67509945139</v>
      </c>
      <c r="K51" s="203" t="n">
        <f aca="false">B51+$K$19+'Kennedy Gas Daily Pricing'!B32</f>
        <v>0.7251</v>
      </c>
      <c r="L51" s="206" t="n">
        <f aca="false">O51*'Internal Kennedy Total'!X43</f>
        <v>10568.252931541</v>
      </c>
      <c r="M51" s="207" t="n">
        <f aca="false">'[1]Enron Detail'!$G39</f>
        <v>-2004</v>
      </c>
      <c r="N51" s="208" t="n">
        <f aca="false">O51-M51</f>
        <v>28703</v>
      </c>
      <c r="O51" s="209" t="n">
        <f aca="false">'Internal Kennedy Total'!N43</f>
        <v>26699</v>
      </c>
      <c r="P51" s="198" t="n">
        <f aca="false">+C51*D51</f>
        <v>2263.08793191545</v>
      </c>
      <c r="Q51" s="198" t="n">
        <f aca="false">+E51*F51</f>
        <v>17665.0319232469</v>
      </c>
      <c r="R51" s="198" t="n">
        <f aca="false">+G51*H51</f>
        <v>6315.3312427498</v>
      </c>
      <c r="S51" s="198" t="n">
        <f aca="false">I51*J51</f>
        <v>930.497392956501</v>
      </c>
      <c r="T51" s="199" t="n">
        <f aca="false">K51*L51</f>
        <v>7663.04020066041</v>
      </c>
      <c r="U51" s="210" t="n">
        <f aca="false">SUM(P51:T51)</f>
        <v>34836.9886915291</v>
      </c>
    </row>
    <row r="52" customFormat="false" ht="12.75" hidden="false" customHeight="false" outlineLevel="0" collapsed="false">
      <c r="A52" s="187" t="n">
        <f aca="false">+A51+1</f>
        <v>37222</v>
      </c>
      <c r="B52" s="188" t="n">
        <f aca="false">+'Index Pricing'!B33</f>
        <v>1.88</v>
      </c>
      <c r="C52" s="201" t="n">
        <f aca="false">+B52+$K$16</f>
        <v>1.2251</v>
      </c>
      <c r="D52" s="202" t="n">
        <f aca="false">O52*'Internal Kennedy Total'!T44</f>
        <v>2903.33673388061</v>
      </c>
      <c r="E52" s="203" t="n">
        <f aca="false">+'Index Pricing'!$B$4+'S Kitty Detail'!$K$17</f>
        <v>2.1206</v>
      </c>
      <c r="F52" s="204" t="n">
        <f aca="false">O52*'Internal Kennedy Total'!U44</f>
        <v>8283.41436199888</v>
      </c>
      <c r="G52" s="203" t="n">
        <f aca="false">$C$6+$K$18</f>
        <v>1.8851</v>
      </c>
      <c r="H52" s="205" t="n">
        <f aca="false">O52*'Internal Kennedy Total'!V44</f>
        <v>3331.31314258388</v>
      </c>
      <c r="I52" s="203" t="n">
        <f aca="false">B52+$K$20</f>
        <v>1.0579</v>
      </c>
      <c r="J52" s="206" t="n">
        <f aca="false">O52*'Internal Kennedy Total'!W44</f>
        <v>1522.0773890173</v>
      </c>
      <c r="K52" s="203" t="n">
        <f aca="false">B52+$K$19+'Kennedy Gas Daily Pricing'!B33</f>
        <v>1.1751</v>
      </c>
      <c r="L52" s="206" t="n">
        <f aca="false">O52*'Internal Kennedy Total'!X44</f>
        <v>9942.85837251933</v>
      </c>
      <c r="M52" s="207" t="n">
        <f aca="false">'[1]Enron Detail'!$G40</f>
        <v>-2215</v>
      </c>
      <c r="N52" s="208" t="n">
        <f aca="false">O52-M52</f>
        <v>28198</v>
      </c>
      <c r="O52" s="209" t="n">
        <f aca="false">'Internal Kennedy Total'!N44</f>
        <v>25983</v>
      </c>
      <c r="P52" s="198" t="n">
        <f aca="false">+C52*D52</f>
        <v>3556.87783267713</v>
      </c>
      <c r="Q52" s="198" t="n">
        <f aca="false">+E52*F52</f>
        <v>17565.8084960548</v>
      </c>
      <c r="R52" s="198" t="n">
        <f aca="false">+G52*H52</f>
        <v>6279.85840508488</v>
      </c>
      <c r="S52" s="198" t="n">
        <f aca="false">I52*J52</f>
        <v>1610.2056698414</v>
      </c>
      <c r="T52" s="199" t="n">
        <f aca="false">K52*L52</f>
        <v>11683.8528735475</v>
      </c>
      <c r="U52" s="210" t="n">
        <f aca="false">SUM(P52:T52)</f>
        <v>40696.6032772057</v>
      </c>
    </row>
    <row r="53" customFormat="false" ht="12.75" hidden="false" customHeight="false" outlineLevel="0" collapsed="false">
      <c r="A53" s="187" t="n">
        <f aca="false">+A52+1</f>
        <v>37223</v>
      </c>
      <c r="B53" s="188" t="n">
        <f aca="false">+'Index Pricing'!B34</f>
        <v>2.16</v>
      </c>
      <c r="C53" s="201" t="n">
        <f aca="false">+B53+$K$16</f>
        <v>1.5051</v>
      </c>
      <c r="D53" s="202" t="n">
        <f aca="false">O53*'Internal Kennedy Total'!T45</f>
        <v>2769.7141672884</v>
      </c>
      <c r="E53" s="203" t="n">
        <f aca="false">+'Index Pricing'!$B$4+'S Kitty Detail'!$K$17</f>
        <v>2.1206</v>
      </c>
      <c r="F53" s="204" t="n">
        <f aca="false">O53*'Internal Kennedy Total'!U45</f>
        <v>7902.18022050899</v>
      </c>
      <c r="G53" s="203" t="n">
        <f aca="false">$C$6+$K$18</f>
        <v>1.8851</v>
      </c>
      <c r="H53" s="205" t="n">
        <f aca="false">O53*'Internal Kennedy Total'!V45</f>
        <v>3177.99347868137</v>
      </c>
      <c r="I53" s="203" t="n">
        <f aca="false">B53+$K$20</f>
        <v>1.3379</v>
      </c>
      <c r="J53" s="206" t="n">
        <f aca="false">O53*'Internal Kennedy Total'!W45</f>
        <v>1452.02561551853</v>
      </c>
      <c r="K53" s="203" t="n">
        <f aca="false">B53+$K$19+'Kennedy Gas Daily Pricing'!B34</f>
        <v>1.4551</v>
      </c>
      <c r="L53" s="206" t="n">
        <f aca="false">O53*'Internal Kennedy Total'!X45</f>
        <v>8529.08651800271</v>
      </c>
      <c r="M53" s="207" t="n">
        <f aca="false">'[1]Enron Detail'!$G41</f>
        <v>-1642</v>
      </c>
      <c r="N53" s="208" t="n">
        <f aca="false">O53-M53</f>
        <v>25473</v>
      </c>
      <c r="O53" s="209" t="n">
        <f aca="false">'Internal Kennedy Total'!N45</f>
        <v>23831</v>
      </c>
      <c r="P53" s="198" t="n">
        <f aca="false">+C53*D53</f>
        <v>4168.69679318577</v>
      </c>
      <c r="Q53" s="198" t="n">
        <f aca="false">+E53*F53</f>
        <v>16757.3633756114</v>
      </c>
      <c r="R53" s="198" t="n">
        <f aca="false">+G53*H53</f>
        <v>5990.83550666225</v>
      </c>
      <c r="S53" s="198" t="n">
        <f aca="false">I53*J53</f>
        <v>1942.66507100224</v>
      </c>
      <c r="T53" s="199" t="n">
        <f aca="false">K53*L53</f>
        <v>12410.6737923457</v>
      </c>
      <c r="U53" s="210" t="n">
        <f aca="false">SUM(P53:T53)</f>
        <v>41270.2345388074</v>
      </c>
    </row>
    <row r="54" customFormat="false" ht="12.75" hidden="false" customHeight="false" outlineLevel="0" collapsed="false">
      <c r="A54" s="187" t="n">
        <f aca="false">+A53+1</f>
        <v>37224</v>
      </c>
      <c r="B54" s="188" t="n">
        <f aca="false">+'Index Pricing'!B35</f>
        <v>2.38</v>
      </c>
      <c r="C54" s="201" t="n">
        <f aca="false">+B54+$K$16</f>
        <v>1.7251</v>
      </c>
      <c r="D54" s="202" t="n">
        <f aca="false">O54*'Internal Kennedy Total'!T46</f>
        <v>0</v>
      </c>
      <c r="E54" s="203" t="n">
        <f aca="false">+'Index Pricing'!$B$4+'S Kitty Detail'!$K$17</f>
        <v>2.1206</v>
      </c>
      <c r="F54" s="204" t="n">
        <f aca="false">O54*'Internal Kennedy Total'!U46</f>
        <v>8187.18833908707</v>
      </c>
      <c r="G54" s="203" t="n">
        <f aca="false">$C$6+$K$18</f>
        <v>1.8851</v>
      </c>
      <c r="H54" s="205" t="n">
        <f aca="false">O54*'Internal Kennedy Total'!V46</f>
        <v>2484.81166091293</v>
      </c>
      <c r="I54" s="203" t="n">
        <f aca="false">B54+$K$20</f>
        <v>1.5579</v>
      </c>
      <c r="J54" s="206" t="n">
        <f aca="false">O54*'Internal Kennedy Total'!W46</f>
        <v>0</v>
      </c>
      <c r="K54" s="203" t="n">
        <f aca="false">B54+$K$19+'Kennedy Gas Daily Pricing'!B35</f>
        <v>1.6751</v>
      </c>
      <c r="L54" s="206" t="n">
        <f aca="false">O54*'Internal Kennedy Total'!X46</f>
        <v>0</v>
      </c>
      <c r="M54" s="207" t="n">
        <f aca="false">'[1]Enron Detail'!$G42</f>
        <v>-1163.5</v>
      </c>
      <c r="N54" s="208" t="n">
        <f aca="false">O54-M54</f>
        <v>11835.5</v>
      </c>
      <c r="O54" s="209" t="n">
        <f aca="false">'Internal Kennedy Total'!N46</f>
        <v>10672</v>
      </c>
      <c r="P54" s="198" t="n">
        <f aca="false">+C54*D54</f>
        <v>0</v>
      </c>
      <c r="Q54" s="198" t="n">
        <f aca="false">+E54*F54</f>
        <v>17361.751591868</v>
      </c>
      <c r="R54" s="198" t="n">
        <f aca="false">+G54*H54</f>
        <v>4684.11846198696</v>
      </c>
      <c r="S54" s="198" t="n">
        <f aca="false">I54*J54</f>
        <v>0</v>
      </c>
      <c r="T54" s="199" t="n">
        <f aca="false">K54*L54</f>
        <v>0</v>
      </c>
      <c r="U54" s="210" t="n">
        <f aca="false">SUM(P54:T54)</f>
        <v>22045.870053855</v>
      </c>
    </row>
    <row r="55" customFormat="false" ht="12.75" hidden="false" customHeight="false" outlineLevel="0" collapsed="false">
      <c r="A55" s="187" t="n">
        <f aca="false">+A54+1</f>
        <v>37225</v>
      </c>
      <c r="B55" s="188" t="n">
        <f aca="false">+'Index Pricing'!B36</f>
        <v>2.025</v>
      </c>
      <c r="C55" s="201" t="n">
        <f aca="false">+B55+$K$16</f>
        <v>1.3701</v>
      </c>
      <c r="D55" s="202" t="n">
        <v>0</v>
      </c>
      <c r="E55" s="203" t="n">
        <f aca="false">+'Index Pricing'!$B$4+'S Kitty Detail'!$K$17</f>
        <v>2.1206</v>
      </c>
      <c r="F55" s="204" t="n">
        <v>0</v>
      </c>
      <c r="G55" s="203" t="n">
        <f aca="false">$C$6+$K$18</f>
        <v>1.8851</v>
      </c>
      <c r="H55" s="205" t="n">
        <v>0</v>
      </c>
      <c r="I55" s="203" t="n">
        <f aca="false">B55+$K$20</f>
        <v>1.2029</v>
      </c>
      <c r="J55" s="206" t="n">
        <v>0</v>
      </c>
      <c r="K55" s="203" t="n">
        <f aca="false">B55+$K$19+'Kennedy Gas Daily Pricing'!B36</f>
        <v>1.3201</v>
      </c>
      <c r="L55" s="206" t="n">
        <v>0</v>
      </c>
      <c r="M55" s="207" t="n">
        <f aca="false">'[1]Enron Detail'!$G43</f>
        <v>0</v>
      </c>
      <c r="N55" s="208" t="n">
        <f aca="false">O55-M55</f>
        <v>0</v>
      </c>
      <c r="O55" s="209" t="n">
        <f aca="false">'Internal Kennedy Total'!N47</f>
        <v>0</v>
      </c>
      <c r="P55" s="198" t="n">
        <f aca="false">+C55*D55</f>
        <v>0</v>
      </c>
      <c r="Q55" s="198" t="n">
        <f aca="false">+E55*F55</f>
        <v>0</v>
      </c>
      <c r="R55" s="198" t="n">
        <f aca="false">+G55*H55</f>
        <v>0</v>
      </c>
      <c r="S55" s="198" t="n">
        <f aca="false">I55*J55</f>
        <v>0</v>
      </c>
      <c r="T55" s="199" t="n">
        <f aca="false">K55*L55</f>
        <v>0</v>
      </c>
      <c r="U55" s="210" t="n">
        <f aca="false">SUM(P55:T55)</f>
        <v>0</v>
      </c>
    </row>
    <row r="56" customFormat="false" ht="13.5" hidden="false" customHeight="false" outlineLevel="0" collapsed="false">
      <c r="A56" s="187"/>
      <c r="B56" s="188"/>
      <c r="C56" s="212"/>
      <c r="D56" s="213"/>
      <c r="E56" s="214"/>
      <c r="F56" s="215"/>
      <c r="G56" s="214"/>
      <c r="H56" s="216"/>
      <c r="I56" s="217"/>
      <c r="J56" s="218"/>
      <c r="K56" s="217"/>
      <c r="L56" s="218"/>
      <c r="M56" s="219"/>
      <c r="N56" s="220"/>
      <c r="O56" s="221"/>
      <c r="P56" s="222"/>
      <c r="Q56" s="222"/>
      <c r="R56" s="222"/>
      <c r="S56" s="222"/>
      <c r="T56" s="223"/>
      <c r="U56" s="224"/>
    </row>
    <row r="57" customFormat="false" ht="12.75" hidden="false" customHeight="false" outlineLevel="0" collapsed="false">
      <c r="D57" s="225" t="n">
        <f aca="false">SUM(D26:D56)</f>
        <v>81071.1065911365</v>
      </c>
      <c r="F57" s="226" t="n">
        <f aca="false">SUM(F26:F56)</f>
        <v>239488.491024213</v>
      </c>
      <c r="H57" s="225" t="n">
        <f aca="false">SUM(H26:H56)</f>
        <v>95506.4855574475</v>
      </c>
      <c r="J57" s="227" t="n">
        <f aca="false">SUM(J26:J56)</f>
        <v>42501.6143683918</v>
      </c>
      <c r="K57" s="227"/>
      <c r="L57" s="227" t="n">
        <f aca="false">SUM(L26:L56)</f>
        <v>309443.302458812</v>
      </c>
      <c r="M57" s="228" t="n">
        <f aca="false">SUM(M26:M56)</f>
        <v>-56489.5</v>
      </c>
      <c r="N57" s="229" t="n">
        <f aca="false">SUM(N26:N56)</f>
        <v>824500.5</v>
      </c>
      <c r="O57" s="229" t="n">
        <f aca="false">SUM(O26:O56)</f>
        <v>768011</v>
      </c>
      <c r="P57" s="230" t="n">
        <f aca="false">SUM(P26:P56)</f>
        <v>89878.1029592707</v>
      </c>
      <c r="Q57" s="230" t="n">
        <f aca="false">SUM(Q26:Q56)</f>
        <v>507859.294065945</v>
      </c>
      <c r="R57" s="230" t="n">
        <f aca="false">SUM(R26:R56)</f>
        <v>180039.275924344</v>
      </c>
      <c r="S57" s="230" t="n">
        <f aca="false">SUM(S26:S56)</f>
        <v>40012.4217145977</v>
      </c>
      <c r="T57" s="230" t="n">
        <f aca="false">SUM(T26:T56)</f>
        <v>339035.274301412</v>
      </c>
      <c r="U57" s="231" t="n">
        <f aca="false">SUM(P57:T57)</f>
        <v>1156824.36896557</v>
      </c>
    </row>
    <row r="58" customFormat="false" ht="12.75" hidden="false" customHeight="false" outlineLevel="0" collapsed="false">
      <c r="D58" s="160"/>
      <c r="F58" s="160"/>
      <c r="M58" s="160"/>
      <c r="P58" s="114"/>
      <c r="R58" s="232"/>
    </row>
    <row r="59" customFormat="false" ht="12.75" hidden="false" customHeight="false" outlineLevel="0" collapsed="false">
      <c r="L59" s="249"/>
      <c r="Q59" s="59" t="s">
        <v>151</v>
      </c>
      <c r="R59" s="233" t="n">
        <f aca="false">U57/N57</f>
        <v>1.4030608458886</v>
      </c>
      <c r="U59" s="248"/>
      <c r="V59" s="234"/>
    </row>
    <row r="60" customFormat="false" ht="12.75" hidden="false" customHeight="false" outlineLevel="0" collapsed="false">
      <c r="A60" s="128" t="s">
        <v>87</v>
      </c>
      <c r="O60" s="150"/>
      <c r="S60" s="43"/>
      <c r="Z60" s="248"/>
    </row>
    <row r="61" customFormat="false" ht="12.75" hidden="false" customHeight="false" outlineLevel="0" collapsed="false">
      <c r="U61" s="234"/>
    </row>
    <row r="62" customFormat="false" ht="12.75" hidden="false" customHeight="false" outlineLevel="0" collapsed="false">
      <c r="R62" s="235"/>
      <c r="S62" s="235"/>
      <c r="U62" s="236"/>
    </row>
    <row r="63" customFormat="false" ht="12.75" hidden="false" customHeight="false" outlineLevel="0" collapsed="false">
      <c r="U63" s="236"/>
    </row>
    <row r="64" customFormat="false" ht="12.75" hidden="false" customHeight="false" outlineLevel="0" collapsed="false">
      <c r="U64" s="234"/>
    </row>
  </sheetData>
  <mergeCells count="2">
    <mergeCell ref="C22:U22"/>
    <mergeCell ref="P23:T23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59"/>
  <sheetViews>
    <sheetView showFormulas="false" showGridLines="false" showRowColHeaders="true" showZeros="true" rightToLeft="false" tabSelected="false" showOutlineSymbols="true" defaultGridColor="true" view="normal" topLeftCell="G2" colorId="64" zoomScale="75" zoomScaleNormal="75" zoomScalePageLayoutView="100" workbookViewId="0">
      <selection pane="topLeft" activeCell="T6" activeCellId="0" sqref="T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85"/>
    <col collapsed="false" customWidth="true" hidden="false" outlineLevel="0" max="2" min="2" style="0" width="18.41"/>
    <col collapsed="false" customWidth="true" hidden="false" outlineLevel="0" max="3" min="3" style="0" width="21.28"/>
    <col collapsed="false" customWidth="true" hidden="false" outlineLevel="0" max="4" min="4" style="0" width="17.42"/>
    <col collapsed="false" customWidth="true" hidden="false" outlineLevel="0" max="5" min="5" style="0" width="20.99"/>
    <col collapsed="false" customWidth="true" hidden="false" outlineLevel="0" max="6" min="6" style="0" width="14.85"/>
    <col collapsed="false" customWidth="true" hidden="false" outlineLevel="0" max="17" min="7" style="0" width="15.56"/>
    <col collapsed="false" customWidth="true" hidden="false" outlineLevel="0" max="18" min="18" style="0" width="13.7"/>
    <col collapsed="false" customWidth="true" hidden="false" outlineLevel="0" max="19" min="19" style="0" width="11.99"/>
    <col collapsed="false" customWidth="true" hidden="false" outlineLevel="0" max="20" min="20" style="0" width="11.85"/>
    <col collapsed="false" customWidth="true" hidden="false" outlineLevel="0" max="21" min="21" style="0" width="10.85"/>
    <col collapsed="false" customWidth="true" hidden="false" outlineLevel="0" max="22" min="22" style="0" width="11.85"/>
    <col collapsed="false" customWidth="true" hidden="false" outlineLevel="0" max="23" min="23" style="0" width="10.41"/>
    <col collapsed="false" customWidth="true" hidden="false" outlineLevel="0" max="24" min="24" style="0" width="13.14"/>
    <col collapsed="false" customWidth="true" hidden="false" outlineLevel="0" max="25" min="25" style="0" width="12.28"/>
    <col collapsed="false" customWidth="true" hidden="false" outlineLevel="0" max="30" min="30" style="0" width="11.42"/>
    <col collapsed="false" customWidth="true" hidden="false" outlineLevel="0" max="37" min="37" style="0" width="10.71"/>
  </cols>
  <sheetData>
    <row r="1" customFormat="false" ht="18" hidden="false" customHeight="false" outlineLevel="0" collapsed="false">
      <c r="A1" s="250" t="s">
        <v>158</v>
      </c>
      <c r="B1" s="32"/>
      <c r="C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W1" s="3" t="n">
        <f aca="true">NOW()</f>
        <v>45926.8884093787</v>
      </c>
    </row>
    <row r="2" customFormat="false" ht="12.75" hidden="false" customHeight="false" outlineLevel="0" collapsed="false">
      <c r="A2" s="33"/>
      <c r="B2" s="32"/>
      <c r="C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customFormat="false" ht="12.75" hidden="false" customHeight="false" outlineLevel="0" collapsed="false">
      <c r="A3" s="33"/>
      <c r="B3" s="32"/>
      <c r="C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customFormat="false" ht="12.75" hidden="false" customHeight="false" outlineLevel="0" collapsed="false">
      <c r="A4" s="33"/>
      <c r="B4" s="32"/>
      <c r="C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customFormat="false" ht="12.75" hidden="false" customHeight="false" outlineLevel="0" collapsed="false">
      <c r="A5" s="33" t="s">
        <v>159</v>
      </c>
      <c r="B5" s="32"/>
      <c r="C5" s="54" t="n">
        <f aca="false">'Box Draw Detail'!C5</f>
        <v>3.04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customFormat="false" ht="12" hidden="false" customHeight="true" outlineLevel="0" collapsed="false">
      <c r="A6" s="33" t="s">
        <v>160</v>
      </c>
      <c r="B6" s="32"/>
      <c r="C6" s="54" t="n">
        <f aca="false">'Box Draw Detail'!C6</f>
        <v>2.54</v>
      </c>
      <c r="G6" s="12" t="s">
        <v>161</v>
      </c>
      <c r="H6" s="13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customFormat="false" ht="12.75" hidden="false" customHeight="false" outlineLevel="0" collapsed="false">
      <c r="A7" s="64" t="s">
        <v>119</v>
      </c>
      <c r="C7" s="251" t="n">
        <v>21032</v>
      </c>
      <c r="G7" s="16" t="s">
        <v>111</v>
      </c>
      <c r="H7" s="252" t="n">
        <f aca="false">SUM(M18:M48)/SUM($O$18:$O$48)</f>
        <v>0.310031353594883</v>
      </c>
    </row>
    <row r="8" customFormat="false" ht="12.75" hidden="false" customHeight="false" outlineLevel="0" collapsed="false">
      <c r="A8" s="64" t="s">
        <v>121</v>
      </c>
      <c r="C8" s="251" t="n">
        <v>21893</v>
      </c>
      <c r="G8" s="25" t="s">
        <v>99</v>
      </c>
      <c r="H8" s="253" t="n">
        <f aca="false">SUM(N18:N48)/SUM($O$18:$O$48)</f>
        <v>0.689968646405117</v>
      </c>
    </row>
    <row r="9" customFormat="false" ht="12.75" hidden="false" customHeight="false" outlineLevel="0" collapsed="false">
      <c r="A9" s="64" t="s">
        <v>122</v>
      </c>
      <c r="B9" s="254" t="n">
        <f aca="false">'Box Draw Detail'!B11</f>
        <v>1.10337153532391</v>
      </c>
      <c r="C9" s="255"/>
      <c r="D9" s="0" t="s">
        <v>112</v>
      </c>
      <c r="E9" s="256" t="n">
        <f aca="false">'Box Draw Detail'!C11</f>
        <v>14511.4205711924</v>
      </c>
      <c r="F9" s="0" t="s">
        <v>123</v>
      </c>
    </row>
    <row r="10" customFormat="false" ht="12.75" hidden="false" customHeight="false" outlineLevel="0" collapsed="false">
      <c r="A10" s="64" t="s">
        <v>122</v>
      </c>
      <c r="B10" s="254" t="n">
        <f aca="false">'Box Draw Detail'!B12</f>
        <v>0.955685419466065</v>
      </c>
      <c r="C10" s="48"/>
      <c r="D10" s="0" t="s">
        <v>111</v>
      </c>
      <c r="E10" s="0" t="n">
        <f aca="false">'Box Draw Detail'!C12</f>
        <v>6520.57942880757</v>
      </c>
      <c r="F10" s="0" t="s">
        <v>123</v>
      </c>
      <c r="H10" s="0" t="n">
        <v>0.319430145880946</v>
      </c>
    </row>
    <row r="11" customFormat="false" ht="12.75" hidden="false" customHeight="false" outlineLevel="0" collapsed="false">
      <c r="A11" s="62" t="s">
        <v>59</v>
      </c>
      <c r="B11" s="54" t="n">
        <f aca="false">'Box Draw Detail'!E12</f>
        <v>0.47</v>
      </c>
      <c r="C11" s="0" t="s">
        <v>162</v>
      </c>
      <c r="D11" s="0" t="s">
        <v>111</v>
      </c>
      <c r="H11" s="0" t="n">
        <v>0.680569854119054</v>
      </c>
    </row>
    <row r="12" customFormat="false" ht="12.75" hidden="false" customHeight="false" outlineLevel="0" collapsed="false">
      <c r="A12" s="62" t="s">
        <v>59</v>
      </c>
      <c r="B12" s="54" t="n">
        <f aca="false">'Box Draw Detail'!E11</f>
        <v>0.61</v>
      </c>
      <c r="C12" s="0" t="s">
        <v>162</v>
      </c>
      <c r="D12" s="0" t="s">
        <v>112</v>
      </c>
    </row>
    <row r="14" customFormat="false" ht="13.5" hidden="false" customHeight="false" outlineLevel="0" collapsed="false">
      <c r="C14" s="30"/>
      <c r="D14" s="30"/>
      <c r="E14" s="257"/>
      <c r="F14" s="30"/>
      <c r="G14" s="30"/>
      <c r="H14" s="30"/>
    </row>
    <row r="15" customFormat="false" ht="57" hidden="false" customHeight="true" outlineLevel="0" collapsed="false">
      <c r="A15" s="80"/>
      <c r="B15" s="84"/>
      <c r="C15" s="163" t="s">
        <v>133</v>
      </c>
      <c r="D15" s="164" t="s">
        <v>134</v>
      </c>
      <c r="E15" s="258" t="s">
        <v>135</v>
      </c>
      <c r="F15" s="259" t="s">
        <v>72</v>
      </c>
      <c r="G15" s="258" t="s">
        <v>136</v>
      </c>
      <c r="H15" s="259" t="s">
        <v>137</v>
      </c>
      <c r="I15" s="258" t="s">
        <v>163</v>
      </c>
      <c r="J15" s="259" t="s">
        <v>164</v>
      </c>
      <c r="K15" s="258" t="s">
        <v>165</v>
      </c>
      <c r="L15" s="259" t="s">
        <v>166</v>
      </c>
      <c r="M15" s="260" t="s">
        <v>167</v>
      </c>
      <c r="N15" s="168" t="s">
        <v>168</v>
      </c>
      <c r="O15" s="261" t="s">
        <v>169</v>
      </c>
      <c r="P15" s="260" t="s">
        <v>170</v>
      </c>
      <c r="Q15" s="168" t="s">
        <v>171</v>
      </c>
      <c r="T15" s="262" t="s">
        <v>134</v>
      </c>
      <c r="U15" s="259" t="s">
        <v>72</v>
      </c>
      <c r="V15" s="259" t="s">
        <v>137</v>
      </c>
      <c r="W15" s="263" t="s">
        <v>172</v>
      </c>
      <c r="X15" s="264" t="s">
        <v>173</v>
      </c>
      <c r="Y15" s="261" t="s">
        <v>169</v>
      </c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customFormat="false" ht="12.75" hidden="false" customHeight="false" outlineLevel="0" collapsed="false">
      <c r="A16" s="80"/>
      <c r="B16" s="265"/>
      <c r="C16" s="170"/>
      <c r="D16" s="169"/>
      <c r="E16" s="170"/>
      <c r="F16" s="171"/>
      <c r="G16" s="170"/>
      <c r="H16" s="169"/>
      <c r="I16" s="170"/>
      <c r="J16" s="169"/>
      <c r="K16" s="170"/>
      <c r="L16" s="169"/>
      <c r="M16" s="266"/>
      <c r="N16" s="267"/>
      <c r="O16" s="268"/>
      <c r="P16" s="266"/>
      <c r="Q16" s="267"/>
      <c r="T16" s="269"/>
      <c r="U16" s="171"/>
      <c r="V16" s="169"/>
      <c r="W16" s="83"/>
      <c r="X16" s="269"/>
      <c r="Y16" s="268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</row>
    <row r="17" customFormat="false" ht="26.25" hidden="false" customHeight="false" outlineLevel="0" collapsed="false">
      <c r="A17" s="70"/>
      <c r="B17" s="270" t="s">
        <v>174</v>
      </c>
      <c r="C17" s="178" t="s">
        <v>175</v>
      </c>
      <c r="D17" s="162"/>
      <c r="E17" s="179" t="s">
        <v>83</v>
      </c>
      <c r="F17" s="271"/>
      <c r="G17" s="179" t="s">
        <v>176</v>
      </c>
      <c r="H17" s="180"/>
      <c r="I17" s="179" t="s">
        <v>177</v>
      </c>
      <c r="J17" s="180"/>
      <c r="K17" s="179" t="s">
        <v>178</v>
      </c>
      <c r="L17" s="180"/>
      <c r="M17" s="272"/>
      <c r="N17" s="273"/>
      <c r="O17" s="274"/>
      <c r="P17" s="272"/>
      <c r="Q17" s="273"/>
      <c r="R17" s="70"/>
      <c r="S17" s="70"/>
      <c r="T17" s="275"/>
      <c r="U17" s="271"/>
      <c r="V17" s="180"/>
      <c r="W17" s="276"/>
      <c r="X17" s="275"/>
      <c r="Y17" s="274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</row>
    <row r="18" customFormat="false" ht="12.75" hidden="false" customHeight="false" outlineLevel="0" collapsed="false">
      <c r="A18" s="8" t="n">
        <f aca="false">+'Index Pricing'!A7</f>
        <v>37196</v>
      </c>
      <c r="B18" s="277" t="n">
        <f aca="false">+'Index Pricing'!B7</f>
        <v>2.67</v>
      </c>
      <c r="C18" s="92" t="n">
        <f aca="false">P18*'Box Draw Detail'!C26+Q18*'S Kitty Detail'!C26</f>
        <v>2.06073078105704</v>
      </c>
      <c r="D18" s="95" t="n">
        <f aca="false">MAX(0,MIN($C$7,O18)-F18-H18)</f>
        <v>4206</v>
      </c>
      <c r="E18" s="94" t="n">
        <f aca="false">P18*'Box Draw Detail'!E26+Q18*'S Kitty Detail'!E26</f>
        <v>2.16619853315523</v>
      </c>
      <c r="F18" s="278" t="n">
        <f aca="false">ROUND(MIN(12000,$C$7*0.8,O18),0)</f>
        <v>12000</v>
      </c>
      <c r="G18" s="94" t="n">
        <f aca="false">P18*'Box Draw Detail'!G26+Q18*'S Kitty Detail'!G26</f>
        <v>1.93073078105704</v>
      </c>
      <c r="H18" s="278" t="n">
        <f aca="false">ROUND(MAX(0,MIN(0.8*$C$7,O18)-F18),0)</f>
        <v>4826</v>
      </c>
      <c r="I18" s="94" t="n">
        <f aca="false">P18*'Box Draw Detail'!I26+'S Kitty Detail'!I26*Q18</f>
        <v>1.89349853315523</v>
      </c>
      <c r="J18" s="278" t="n">
        <f aca="false">ROUND(MIN('Kennedy Gas Daily Pricing'!D7,MAX(0,O18-SUM(D18,F18,H18))),0)</f>
        <v>2205</v>
      </c>
      <c r="K18" s="94" t="n">
        <f aca="false">P18*'Box Draw Detail'!K26+Q18*'S Kitty Detail'!K26</f>
        <v>2.01073078105704</v>
      </c>
      <c r="L18" s="279" t="n">
        <f aca="false">MAX(0,O18-SUM(D18,F18,H18,J18))</f>
        <v>16440</v>
      </c>
      <c r="M18" s="280" t="n">
        <f aca="false">SUM('[1]Enron Detail'!$C14:$D14)</f>
        <v>12795</v>
      </c>
      <c r="N18" s="281" t="n">
        <f aca="false">SUM('[1]Enron Detail'!$F14:$G14)</f>
        <v>26882</v>
      </c>
      <c r="O18" s="282" t="n">
        <f aca="false">+M18+N18</f>
        <v>39677</v>
      </c>
      <c r="P18" s="283" t="n">
        <f aca="false">M18/$O18</f>
        <v>0.322479018070923</v>
      </c>
      <c r="Q18" s="284" t="n">
        <f aca="false">N18/$O18</f>
        <v>0.677520981929077</v>
      </c>
      <c r="S18" s="8" t="n">
        <f aca="false">A18</f>
        <v>37196</v>
      </c>
      <c r="T18" s="285" t="n">
        <f aca="false">D18/$O18</f>
        <v>0.106005998437382</v>
      </c>
      <c r="U18" s="286" t="n">
        <f aca="false">F18/$O18</f>
        <v>0.302442220934042</v>
      </c>
      <c r="V18" s="286" t="n">
        <f aca="false">H18/$O18</f>
        <v>0.121632179852307</v>
      </c>
      <c r="W18" s="286" t="n">
        <f aca="false">J18/$O18</f>
        <v>0.0555737580966303</v>
      </c>
      <c r="X18" s="286" t="n">
        <f aca="false">L18/$O18</f>
        <v>0.414345842679638</v>
      </c>
      <c r="Y18" s="287" t="n">
        <f aca="false">SUM(T18:X18)</f>
        <v>1</v>
      </c>
      <c r="AA18" s="288"/>
      <c r="AB18" s="286"/>
      <c r="AC18" s="286"/>
      <c r="AD18" s="289"/>
      <c r="AE18" s="290"/>
    </row>
    <row r="19" customFormat="false" ht="12.75" hidden="false" customHeight="false" outlineLevel="0" collapsed="false">
      <c r="A19" s="8" t="n">
        <f aca="false">+'Index Pricing'!A8</f>
        <v>37197</v>
      </c>
      <c r="B19" s="291" t="n">
        <f aca="false">+'Index Pricing'!B8</f>
        <v>2.36</v>
      </c>
      <c r="C19" s="100" t="n">
        <f aca="false">P19*'Box Draw Detail'!C27+Q19*'S Kitty Detail'!C27</f>
        <v>1.747694873582</v>
      </c>
      <c r="D19" s="103" t="n">
        <f aca="false">MAX(0,MIN($C$7,O19)-F19-H19)</f>
        <v>4206</v>
      </c>
      <c r="E19" s="102" t="n">
        <f aca="false">P19*'Box Draw Detail'!E27+Q19*'S Kitty Detail'!E27</f>
        <v>2.16316477119785</v>
      </c>
      <c r="F19" s="292" t="n">
        <f aca="false">ROUND(MIN(12000,$C$7*0.8,O19),0)</f>
        <v>12000</v>
      </c>
      <c r="G19" s="102" t="n">
        <f aca="false">P19*'Box Draw Detail'!G27+Q19*'S Kitty Detail'!G27</f>
        <v>1.927694873582</v>
      </c>
      <c r="H19" s="292" t="n">
        <f aca="false">ROUND(MAX(0,MIN(0.8*$C$7,O19)-F19),0)</f>
        <v>4826</v>
      </c>
      <c r="I19" s="102" t="n">
        <f aca="false">P19*'Box Draw Detail'!I27+'S Kitty Detail'!I27*Q19</f>
        <v>1.58046477119785</v>
      </c>
      <c r="J19" s="292" t="n">
        <f aca="false">ROUND(MIN('Kennedy Gas Daily Pricing'!D8,MAX(0,O19-SUM(D19,F19,H19))),0)</f>
        <v>2205</v>
      </c>
      <c r="K19" s="102" t="n">
        <f aca="false">P19*'Box Draw Detail'!K27+Q19*'S Kitty Detail'!K27</f>
        <v>1.697694873582</v>
      </c>
      <c r="L19" s="293" t="n">
        <f aca="false">MAX(0,O19-SUM(D19,F19,H19,J19))</f>
        <v>18371</v>
      </c>
      <c r="M19" s="280" t="n">
        <f aca="false">SUM('[1]Enron Detail'!$C15:$D15)</f>
        <v>12525</v>
      </c>
      <c r="N19" s="281" t="n">
        <f aca="false">SUM('[1]Enron Detail'!$F15:$G15)</f>
        <v>29083</v>
      </c>
      <c r="O19" s="282" t="n">
        <f aca="false">+M19+N19</f>
        <v>41608</v>
      </c>
      <c r="P19" s="283" t="n">
        <f aca="false">M19/$O19</f>
        <v>0.301023841568929</v>
      </c>
      <c r="Q19" s="284" t="n">
        <f aca="false">N19/$O19</f>
        <v>0.698976158431071</v>
      </c>
      <c r="S19" s="8" t="n">
        <f aca="false">A19</f>
        <v>37197</v>
      </c>
      <c r="T19" s="285" t="n">
        <f aca="false">D19/$O19</f>
        <v>0.101086329552009</v>
      </c>
      <c r="U19" s="286" t="n">
        <f aca="false">F19/$O19</f>
        <v>0.288406075754663</v>
      </c>
      <c r="V19" s="286" t="n">
        <f aca="false">H19/$O19</f>
        <v>0.115987310132667</v>
      </c>
      <c r="W19" s="286" t="n">
        <f aca="false">J19/$O19</f>
        <v>0.0529946164199193</v>
      </c>
      <c r="X19" s="286" t="n">
        <f aca="false">L19/$O19</f>
        <v>0.441525668140742</v>
      </c>
      <c r="Y19" s="287" t="n">
        <f aca="false">SUM(T19:X19)</f>
        <v>1</v>
      </c>
      <c r="AA19" s="288"/>
      <c r="AB19" s="286"/>
      <c r="AC19" s="286"/>
      <c r="AD19" s="289"/>
    </row>
    <row r="20" customFormat="false" ht="12.75" hidden="false" customHeight="false" outlineLevel="0" collapsed="false">
      <c r="A20" s="8" t="n">
        <f aca="false">+'Index Pricing'!A9</f>
        <v>37198</v>
      </c>
      <c r="B20" s="291" t="n">
        <f aca="false">+'Index Pricing'!B9</f>
        <v>2.015</v>
      </c>
      <c r="C20" s="100" t="n">
        <f aca="false">P20*'Box Draw Detail'!C28+Q20*'S Kitty Detail'!C28</f>
        <v>1.40110786751888</v>
      </c>
      <c r="D20" s="103" t="n">
        <f aca="false">MAX(0,MIN($C$7,O20)-F20-H20)</f>
        <v>4206</v>
      </c>
      <c r="E20" s="102" t="n">
        <f aca="false">P20*'Box Draw Detail'!E28+Q20*'S Kitty Detail'!E28</f>
        <v>2.16157888669378</v>
      </c>
      <c r="F20" s="292" t="n">
        <f aca="false">ROUND(MIN(12000,$C$7*0.8,O20),0)</f>
        <v>12000</v>
      </c>
      <c r="G20" s="102" t="n">
        <f aca="false">P20*'Box Draw Detail'!G28+Q20*'S Kitty Detail'!G28</f>
        <v>1.92610786751888</v>
      </c>
      <c r="H20" s="292" t="n">
        <f aca="false">ROUND(MAX(0,MIN(0.8*$C$7,O20)-F20),0)</f>
        <v>4826</v>
      </c>
      <c r="I20" s="102" t="n">
        <f aca="false">P20*'Box Draw Detail'!I28+'S Kitty Detail'!I28*Q20</f>
        <v>1.23387888669378</v>
      </c>
      <c r="J20" s="292" t="n">
        <f aca="false">ROUND(MIN('Kennedy Gas Daily Pricing'!D9,MAX(0,O20-SUM(D20,F20,H20))),0)</f>
        <v>2205</v>
      </c>
      <c r="K20" s="102" t="n">
        <f aca="false">P20*'Box Draw Detail'!K28+Q20*'S Kitty Detail'!K28</f>
        <v>1.35110786751888</v>
      </c>
      <c r="L20" s="293" t="n">
        <f aca="false">MAX(0,O20-SUM(D20,F20,H20,J20))</f>
        <v>19788</v>
      </c>
      <c r="M20" s="280" t="n">
        <f aca="false">SUM('[1]Enron Detail'!$C16:$D16)</f>
        <v>12469</v>
      </c>
      <c r="N20" s="281" t="n">
        <f aca="false">SUM('[1]Enron Detail'!$F16:$G16)</f>
        <v>30556</v>
      </c>
      <c r="O20" s="282" t="n">
        <f aca="false">+M20+N20</f>
        <v>43025</v>
      </c>
      <c r="P20" s="283" t="n">
        <f aca="false">M20/$O20</f>
        <v>0.289808251016851</v>
      </c>
      <c r="Q20" s="284" t="n">
        <f aca="false">N20/$O20</f>
        <v>0.710191748983149</v>
      </c>
      <c r="S20" s="8" t="n">
        <f aca="false">A20</f>
        <v>37198</v>
      </c>
      <c r="T20" s="285" t="n">
        <f aca="false">D20/$O20</f>
        <v>0.0977571179546775</v>
      </c>
      <c r="U20" s="286" t="n">
        <f aca="false">F20/$O20</f>
        <v>0.278907611853574</v>
      </c>
      <c r="V20" s="286" t="n">
        <f aca="false">H20/$O20</f>
        <v>0.112167344567112</v>
      </c>
      <c r="W20" s="286" t="n">
        <f aca="false">J20/$O20</f>
        <v>0.0512492736780941</v>
      </c>
      <c r="X20" s="286" t="n">
        <f aca="false">L20/$O20</f>
        <v>0.459918651946543</v>
      </c>
      <c r="Y20" s="287" t="n">
        <f aca="false">SUM(T20:X20)</f>
        <v>1</v>
      </c>
      <c r="AA20" s="288"/>
      <c r="AB20" s="286"/>
      <c r="AC20" s="286"/>
      <c r="AD20" s="289"/>
    </row>
    <row r="21" customFormat="false" ht="12.75" hidden="false" customHeight="false" outlineLevel="0" collapsed="false">
      <c r="A21" s="8" t="n">
        <f aca="false">+'Index Pricing'!A10</f>
        <v>37199</v>
      </c>
      <c r="B21" s="291" t="n">
        <f aca="false">+'Index Pricing'!B10</f>
        <v>2.015</v>
      </c>
      <c r="C21" s="100" t="n">
        <f aca="false">P21*'Box Draw Detail'!C29+Q21*'S Kitty Detail'!C29</f>
        <v>1.40175011702958</v>
      </c>
      <c r="D21" s="103" t="n">
        <f aca="false">MAX(0,MIN($C$7,O21)-F21-H21)</f>
        <v>4206</v>
      </c>
      <c r="E21" s="102" t="n">
        <f aca="false">P21*'Box Draw Detail'!E29+Q21*'S Kitty Detail'!E29</f>
        <v>2.1622206823179</v>
      </c>
      <c r="F21" s="292" t="n">
        <f aca="false">ROUND(MIN(12000,$C$7*0.8,O21),0)</f>
        <v>12000</v>
      </c>
      <c r="G21" s="102" t="n">
        <f aca="false">P21*'Box Draw Detail'!G29+Q21*'S Kitty Detail'!G29</f>
        <v>1.92675011702958</v>
      </c>
      <c r="H21" s="292" t="n">
        <f aca="false">ROUND(MAX(0,MIN(0.8*$C$7,O21)-F21),0)</f>
        <v>4826</v>
      </c>
      <c r="I21" s="102" t="n">
        <f aca="false">P21*'Box Draw Detail'!I29+'S Kitty Detail'!I29*Q21</f>
        <v>1.2345206823179</v>
      </c>
      <c r="J21" s="292" t="n">
        <f aca="false">ROUND(MIN('Kennedy Gas Daily Pricing'!D10,MAX(0,O21-SUM(D21,F21,H21))),0)</f>
        <v>2205</v>
      </c>
      <c r="K21" s="102" t="n">
        <f aca="false">P21*'Box Draw Detail'!K29+Q21*'S Kitty Detail'!K29</f>
        <v>1.35175011702958</v>
      </c>
      <c r="L21" s="293" t="n">
        <f aca="false">MAX(0,O21-SUM(D21,F21,H21,J21))</f>
        <v>19060</v>
      </c>
      <c r="M21" s="280" t="n">
        <f aca="false">SUM('[1]Enron Detail'!$C17:$D17)</f>
        <v>12450</v>
      </c>
      <c r="N21" s="281" t="n">
        <f aca="false">SUM('[1]Enron Detail'!$F17:$G17)</f>
        <v>29847</v>
      </c>
      <c r="O21" s="282" t="n">
        <f aca="false">+M21+N21</f>
        <v>42297</v>
      </c>
      <c r="P21" s="283" t="n">
        <f aca="false">M21/$O21</f>
        <v>0.294347116816796</v>
      </c>
      <c r="Q21" s="284" t="n">
        <f aca="false">N21/$O21</f>
        <v>0.705652883183205</v>
      </c>
      <c r="S21" s="8" t="n">
        <f aca="false">A21</f>
        <v>37199</v>
      </c>
      <c r="T21" s="285" t="n">
        <f aca="false">D21/$O21</f>
        <v>0.0994396765728066</v>
      </c>
      <c r="U21" s="286" t="n">
        <f aca="false">F21/$O21</f>
        <v>0.283708064401731</v>
      </c>
      <c r="V21" s="286" t="n">
        <f aca="false">H21/$O21</f>
        <v>0.114097926566896</v>
      </c>
      <c r="W21" s="286" t="n">
        <f aca="false">J21/$O21</f>
        <v>0.052131356833818</v>
      </c>
      <c r="X21" s="286" t="n">
        <f aca="false">L21/$O21</f>
        <v>0.450622975624749</v>
      </c>
      <c r="Y21" s="287" t="n">
        <f aca="false">SUM(T21:X21)</f>
        <v>1</v>
      </c>
      <c r="AA21" s="288"/>
      <c r="AB21" s="286"/>
      <c r="AC21" s="286"/>
      <c r="AD21" s="289"/>
    </row>
    <row r="22" customFormat="false" ht="12.75" hidden="false" customHeight="false" outlineLevel="0" collapsed="false">
      <c r="A22" s="8" t="n">
        <f aca="false">+'Index Pricing'!A11</f>
        <v>37200</v>
      </c>
      <c r="B22" s="291" t="n">
        <f aca="false">+'Index Pricing'!B11</f>
        <v>2.015</v>
      </c>
      <c r="C22" s="100" t="n">
        <f aca="false">P22*'Box Draw Detail'!C30+Q22*'S Kitty Detail'!C30</f>
        <v>1.40070687450413</v>
      </c>
      <c r="D22" s="103" t="n">
        <f aca="false">MAX(0,MIN($C$7,O22)-F22-H22)</f>
        <v>4206</v>
      </c>
      <c r="E22" s="102" t="n">
        <f aca="false">P22*'Box Draw Detail'!E30+Q22*'S Kitty Detail'!E30</f>
        <v>2.16117817706632</v>
      </c>
      <c r="F22" s="292" t="n">
        <f aca="false">ROUND(MIN(12000,$C$7*0.8,O22),0)</f>
        <v>12000</v>
      </c>
      <c r="G22" s="102" t="n">
        <f aca="false">P22*'Box Draw Detail'!G30+Q22*'S Kitty Detail'!G30</f>
        <v>1.92570687450413</v>
      </c>
      <c r="H22" s="292" t="n">
        <f aca="false">ROUND(MAX(0,MIN(0.8*$C$7,O22)-F22),0)</f>
        <v>4826</v>
      </c>
      <c r="I22" s="102" t="n">
        <f aca="false">P22*'Box Draw Detail'!I30+'S Kitty Detail'!I30*Q22</f>
        <v>1.23347817706632</v>
      </c>
      <c r="J22" s="292" t="n">
        <f aca="false">ROUND(MIN('Kennedy Gas Daily Pricing'!D11,MAX(0,O22-SUM(D22,F22,H22))),0)</f>
        <v>2205</v>
      </c>
      <c r="K22" s="102" t="n">
        <f aca="false">P22*'Box Draw Detail'!K30+Q22*'S Kitty Detail'!K30</f>
        <v>1.35070687450413</v>
      </c>
      <c r="L22" s="293" t="n">
        <f aca="false">MAX(0,O22-SUM(D22,F22,H22,J22))</f>
        <v>19617</v>
      </c>
      <c r="M22" s="280" t="n">
        <f aca="false">SUM('[1]Enron Detail'!$C18:$D18)</f>
        <v>12298</v>
      </c>
      <c r="N22" s="281" t="n">
        <f aca="false">SUM('[1]Enron Detail'!$F18:$G18)</f>
        <v>30556</v>
      </c>
      <c r="O22" s="282" t="n">
        <f aca="false">+M22+N22</f>
        <v>42854</v>
      </c>
      <c r="P22" s="283" t="n">
        <f aca="false">M22/$O22</f>
        <v>0.286974378121062</v>
      </c>
      <c r="Q22" s="284" t="n">
        <f aca="false">N22/$O22</f>
        <v>0.713025621878938</v>
      </c>
      <c r="S22" s="8" t="n">
        <f aca="false">A22</f>
        <v>37200</v>
      </c>
      <c r="T22" s="285" t="n">
        <f aca="false">D22/$O22</f>
        <v>0.0981471974611472</v>
      </c>
      <c r="U22" s="286" t="n">
        <f aca="false">F22/$O22</f>
        <v>0.280020534839222</v>
      </c>
      <c r="V22" s="286" t="n">
        <f aca="false">H22/$O22</f>
        <v>0.112614925094507</v>
      </c>
      <c r="W22" s="286" t="n">
        <f aca="false">J22/$O22</f>
        <v>0.051453773276707</v>
      </c>
      <c r="X22" s="286" t="n">
        <f aca="false">L22/$O22</f>
        <v>0.457763569328417</v>
      </c>
      <c r="Y22" s="287" t="n">
        <f aca="false">SUM(T22:X22)</f>
        <v>1</v>
      </c>
      <c r="AA22" s="288"/>
      <c r="AB22" s="286"/>
      <c r="AC22" s="286"/>
      <c r="AD22" s="289"/>
    </row>
    <row r="23" customFormat="false" ht="12.75" hidden="false" customHeight="false" outlineLevel="0" collapsed="false">
      <c r="A23" s="8" t="n">
        <f aca="false">+'Index Pricing'!A12</f>
        <v>37201</v>
      </c>
      <c r="B23" s="291" t="n">
        <f aca="false">+'Index Pricing'!B12</f>
        <v>2.16</v>
      </c>
      <c r="C23" s="100" t="n">
        <f aca="false">P23*'Box Draw Detail'!C31+Q23*'S Kitty Detail'!C31</f>
        <v>1.54740412371134</v>
      </c>
      <c r="D23" s="103" t="n">
        <f aca="false">MAX(0,MIN($C$7,O23)-F23-H23)</f>
        <v>4206</v>
      </c>
      <c r="E23" s="102" t="n">
        <f aca="false">P23*'Box Draw Detail'!E31+Q23*'S Kitty Detail'!E31</f>
        <v>2.16287422680412</v>
      </c>
      <c r="F23" s="292" t="n">
        <f aca="false">ROUND(MIN(12000,$C$7*0.8,O23),0)</f>
        <v>12000</v>
      </c>
      <c r="G23" s="102" t="n">
        <f aca="false">P23*'Box Draw Detail'!G31+Q23*'S Kitty Detail'!G31</f>
        <v>1.92740412371134</v>
      </c>
      <c r="H23" s="292" t="n">
        <f aca="false">ROUND(MAX(0,MIN(0.8*$C$7,O23)-F23),0)</f>
        <v>4826</v>
      </c>
      <c r="I23" s="102" t="n">
        <f aca="false">P23*'Box Draw Detail'!I31+'S Kitty Detail'!I31*Q23</f>
        <v>1.38017422680412</v>
      </c>
      <c r="J23" s="292" t="n">
        <f aca="false">ROUND(MIN('Kennedy Gas Daily Pricing'!D12,MAX(0,O23-SUM(D23,F23,H23))),0)</f>
        <v>2205</v>
      </c>
      <c r="K23" s="102" t="n">
        <f aca="false">P23*'Box Draw Detail'!K31+Q23*'S Kitty Detail'!K31</f>
        <v>1.49740412371134</v>
      </c>
      <c r="L23" s="293" t="n">
        <f aca="false">MAX(0,O23-SUM(D23,F23,H23,J23))</f>
        <v>18958</v>
      </c>
      <c r="M23" s="280" t="n">
        <f aca="false">SUM('[1]Enron Detail'!$C19:$D19)</f>
        <v>12615</v>
      </c>
      <c r="N23" s="281" t="n">
        <f aca="false">SUM('[1]Enron Detail'!$F19:$G19)</f>
        <v>29580</v>
      </c>
      <c r="O23" s="282" t="n">
        <f aca="false">+M23+N23</f>
        <v>42195</v>
      </c>
      <c r="P23" s="283" t="n">
        <f aca="false">M23/$O23</f>
        <v>0.298969072164948</v>
      </c>
      <c r="Q23" s="284" t="n">
        <f aca="false">N23/$O23</f>
        <v>0.701030927835052</v>
      </c>
      <c r="S23" s="8" t="n">
        <f aca="false">A23</f>
        <v>37201</v>
      </c>
      <c r="T23" s="285" t="n">
        <f aca="false">D23/$O23</f>
        <v>0.0996800568787771</v>
      </c>
      <c r="U23" s="286" t="n">
        <f aca="false">F23/$O23</f>
        <v>0.284393885531461</v>
      </c>
      <c r="V23" s="286" t="n">
        <f aca="false">H23/$O23</f>
        <v>0.114373740964569</v>
      </c>
      <c r="W23" s="286" t="n">
        <f aca="false">J23/$O23</f>
        <v>0.052257376466406</v>
      </c>
      <c r="X23" s="286" t="n">
        <f aca="false">L23/$O23</f>
        <v>0.449294940158787</v>
      </c>
      <c r="Y23" s="287" t="n">
        <f aca="false">SUM(T23:X23)</f>
        <v>1</v>
      </c>
      <c r="AA23" s="288"/>
      <c r="AB23" s="286"/>
      <c r="AC23" s="286"/>
      <c r="AD23" s="289"/>
    </row>
    <row r="24" customFormat="false" ht="12.75" hidden="false" customHeight="false" outlineLevel="0" collapsed="false">
      <c r="A24" s="8" t="n">
        <f aca="false">+'Index Pricing'!A13</f>
        <v>37202</v>
      </c>
      <c r="B24" s="294" t="n">
        <f aca="false">+'Index Pricing'!B13</f>
        <v>2.135</v>
      </c>
      <c r="C24" s="100" t="n">
        <f aca="false">P24*'Box Draw Detail'!C32+Q24*'S Kitty Detail'!C32</f>
        <v>1.52094485165794</v>
      </c>
      <c r="D24" s="103" t="n">
        <f aca="false">MAX(0,MIN($C$7,O24)-F24-H24)</f>
        <v>4206</v>
      </c>
      <c r="E24" s="102" t="n">
        <f aca="false">P24*'Box Draw Detail'!E32+Q24*'S Kitty Detail'!E32</f>
        <v>2.16141598603839</v>
      </c>
      <c r="F24" s="292" t="n">
        <f aca="false">ROUND(MIN(12000,$C$7*0.8,O24),0)</f>
        <v>12000</v>
      </c>
      <c r="G24" s="102" t="n">
        <f aca="false">P24*'Box Draw Detail'!G32+Q24*'S Kitty Detail'!G32</f>
        <v>1.92594485165794</v>
      </c>
      <c r="H24" s="292" t="n">
        <f aca="false">ROUND(MAX(0,MIN(0.8*$C$7,O24)-F24),0)</f>
        <v>4826</v>
      </c>
      <c r="I24" s="102" t="n">
        <f aca="false">P24*'Box Draw Detail'!I32+'S Kitty Detail'!I32*Q24</f>
        <v>1.35371598603839</v>
      </c>
      <c r="J24" s="292" t="n">
        <f aca="false">ROUND(MIN('Kennedy Gas Daily Pricing'!D13,MAX(0,O24-SUM(D24,F24,H24))),0)</f>
        <v>2205</v>
      </c>
      <c r="K24" s="102" t="n">
        <f aca="false">P24*'Box Draw Detail'!K32+Q24*'S Kitty Detail'!K32</f>
        <v>1.47094485165794</v>
      </c>
      <c r="L24" s="293" t="n">
        <f aca="false">MAX(0,O24-SUM(D24,F24,H24,J24))</f>
        <v>19738</v>
      </c>
      <c r="M24" s="280" t="n">
        <f aca="false">SUM('[1]Enron Detail'!$C20:$D20)</f>
        <v>12405</v>
      </c>
      <c r="N24" s="281" t="n">
        <f aca="false">SUM('[1]Enron Detail'!$F20:$G20)</f>
        <v>30570</v>
      </c>
      <c r="O24" s="282" t="n">
        <f aca="false">+M24+N24</f>
        <v>42975</v>
      </c>
      <c r="P24" s="283" t="n">
        <f aca="false">M24/$O24</f>
        <v>0.288656195462478</v>
      </c>
      <c r="Q24" s="284" t="n">
        <f aca="false">N24/$O24</f>
        <v>0.711343804537522</v>
      </c>
      <c r="S24" s="8" t="n">
        <f aca="false">A24</f>
        <v>37202</v>
      </c>
      <c r="T24" s="285" t="n">
        <f aca="false">D24/$O24</f>
        <v>0.0978708551483421</v>
      </c>
      <c r="U24" s="286" t="n">
        <f aca="false">F24/$O24</f>
        <v>0.279232111692845</v>
      </c>
      <c r="V24" s="286" t="n">
        <f aca="false">H24/$O24</f>
        <v>0.112297847585806</v>
      </c>
      <c r="W24" s="286" t="n">
        <f aca="false">J24/$O24</f>
        <v>0.0513089005235602</v>
      </c>
      <c r="X24" s="286" t="n">
        <f aca="false">L24/$O24</f>
        <v>0.459290285049447</v>
      </c>
      <c r="Y24" s="287" t="n">
        <f aca="false">SUM(T24:X24)</f>
        <v>1</v>
      </c>
      <c r="AA24" s="288"/>
      <c r="AB24" s="286"/>
      <c r="AC24" s="286"/>
      <c r="AD24" s="289"/>
    </row>
    <row r="25" customFormat="false" ht="12.75" hidden="false" customHeight="false" outlineLevel="0" collapsed="false">
      <c r="A25" s="8" t="n">
        <f aca="false">+'Index Pricing'!A14</f>
        <v>37203</v>
      </c>
      <c r="B25" s="291" t="n">
        <f aca="false">+'Index Pricing'!B14</f>
        <v>2.13</v>
      </c>
      <c r="C25" s="100" t="n">
        <f aca="false">P25*'Box Draw Detail'!C33+Q25*'S Kitty Detail'!C33</f>
        <v>1.51452155628599</v>
      </c>
      <c r="D25" s="103" t="n">
        <f aca="false">MAX(0,MIN($C$7,O25)-F25-H25)</f>
        <v>4206</v>
      </c>
      <c r="E25" s="102" t="n">
        <f aca="false">P25*'Box Draw Detail'!E33+Q25*'S Kitty Detail'!E33</f>
        <v>2.15999369652889</v>
      </c>
      <c r="F25" s="292" t="n">
        <f aca="false">ROUND(MIN(12000,$C$7*0.8,O25),0)</f>
        <v>12000</v>
      </c>
      <c r="G25" s="102" t="n">
        <f aca="false">P25*'Box Draw Detail'!G33+Q25*'S Kitty Detail'!G33</f>
        <v>1.92452155628599</v>
      </c>
      <c r="H25" s="292" t="n">
        <f aca="false">ROUND(MAX(0,MIN(0.8*$C$7,O25)-F25),0)</f>
        <v>4826</v>
      </c>
      <c r="I25" s="102" t="n">
        <f aca="false">P25*'Box Draw Detail'!I33+'S Kitty Detail'!I33*Q25</f>
        <v>1.34729369652889</v>
      </c>
      <c r="J25" s="292" t="n">
        <f aca="false">ROUND(MIN('Kennedy Gas Daily Pricing'!D14,MAX(0,O25-SUM(D25,F25,H25))),0)</f>
        <v>2205</v>
      </c>
      <c r="K25" s="102" t="n">
        <f aca="false">P25*'Box Draw Detail'!K33+Q25*'S Kitty Detail'!K33</f>
        <v>1.46452155628599</v>
      </c>
      <c r="L25" s="293" t="n">
        <f aca="false">MAX(0,O25-SUM(D25,F25,H25,J25))</f>
        <v>19660</v>
      </c>
      <c r="M25" s="280" t="n">
        <f aca="false">SUM('[1]Enron Detail'!$C21:$D21)</f>
        <v>11951</v>
      </c>
      <c r="N25" s="281" t="n">
        <f aca="false">SUM('[1]Enron Detail'!$F21:$G21)</f>
        <v>30946</v>
      </c>
      <c r="O25" s="282" t="n">
        <f aca="false">+M25+N25</f>
        <v>42897</v>
      </c>
      <c r="P25" s="283" t="n">
        <f aca="false">M25/$O25</f>
        <v>0.278597570925706</v>
      </c>
      <c r="Q25" s="284" t="n">
        <f aca="false">N25/$O25</f>
        <v>0.721402429074294</v>
      </c>
      <c r="S25" s="8" t="n">
        <f aca="false">A25</f>
        <v>37203</v>
      </c>
      <c r="T25" s="285" t="n">
        <f aca="false">D25/$O25</f>
        <v>0.0980488146024198</v>
      </c>
      <c r="U25" s="286" t="n">
        <f aca="false">F25/$O25</f>
        <v>0.279739841946989</v>
      </c>
      <c r="V25" s="286" t="n">
        <f aca="false">H25/$O25</f>
        <v>0.112502039769681</v>
      </c>
      <c r="W25" s="286" t="n">
        <f aca="false">J25/$O25</f>
        <v>0.0514021959577593</v>
      </c>
      <c r="X25" s="286" t="n">
        <f aca="false">L25/$O25</f>
        <v>0.458307107723151</v>
      </c>
      <c r="Y25" s="287" t="n">
        <f aca="false">SUM(T25:X25)</f>
        <v>1</v>
      </c>
      <c r="AA25" s="288"/>
      <c r="AB25" s="286"/>
      <c r="AC25" s="286"/>
      <c r="AD25" s="289"/>
    </row>
    <row r="26" customFormat="false" ht="12.75" hidden="false" customHeight="false" outlineLevel="0" collapsed="false">
      <c r="A26" s="8" t="n">
        <f aca="false">+'Index Pricing'!A15</f>
        <v>37204</v>
      </c>
      <c r="B26" s="291" t="n">
        <f aca="false">+'Index Pricing'!B15</f>
        <v>1.935</v>
      </c>
      <c r="C26" s="100" t="n">
        <f aca="false">P26*'Box Draw Detail'!C34+Q26*'S Kitty Detail'!C34</f>
        <v>1.32249475814131</v>
      </c>
      <c r="D26" s="103" t="n">
        <f aca="false">MAX(0,MIN($C$7,O26)-F26-H26)</f>
        <v>4206</v>
      </c>
      <c r="E26" s="102" t="n">
        <f aca="false">P26*'Box Draw Detail'!E34+Q26*'S Kitty Detail'!E34</f>
        <v>2.16296479718149</v>
      </c>
      <c r="F26" s="292" t="n">
        <f aca="false">ROUND(MIN(12000,$C$7*0.8,O26),0)</f>
        <v>12000</v>
      </c>
      <c r="G26" s="102" t="n">
        <f aca="false">P26*'Box Draw Detail'!G34+Q26*'S Kitty Detail'!G34</f>
        <v>1.92749475814131</v>
      </c>
      <c r="H26" s="292" t="n">
        <f aca="false">ROUND(MAX(0,MIN(0.8*$C$7,O26)-F26),0)</f>
        <v>4826</v>
      </c>
      <c r="I26" s="102" t="n">
        <f aca="false">P26*'Box Draw Detail'!I34+'S Kitty Detail'!I34*Q26</f>
        <v>1.15526479718149</v>
      </c>
      <c r="J26" s="292" t="n">
        <f aca="false">ROUND(MIN('Kennedy Gas Daily Pricing'!D15,MAX(0,O26-SUM(D26,F26,H26))),0)</f>
        <v>2205</v>
      </c>
      <c r="K26" s="102" t="n">
        <f aca="false">P26*'Box Draw Detail'!K34+Q26*'S Kitty Detail'!K34</f>
        <v>1.27249475814131</v>
      </c>
      <c r="L26" s="293" t="n">
        <f aca="false">MAX(0,O26-SUM(D26,F26,H26,J26))</f>
        <v>18771</v>
      </c>
      <c r="M26" s="280" t="n">
        <f aca="false">SUM('[1]Enron Detail'!$C22:$D22)</f>
        <v>12586</v>
      </c>
      <c r="N26" s="281" t="n">
        <f aca="false">SUM('[1]Enron Detail'!$F22:$G22)</f>
        <v>29422</v>
      </c>
      <c r="O26" s="282" t="n">
        <f aca="false">+M26+N26</f>
        <v>42008</v>
      </c>
      <c r="P26" s="283" t="n">
        <f aca="false">M26/$O26</f>
        <v>0.299609598171777</v>
      </c>
      <c r="Q26" s="284" t="n">
        <f aca="false">N26/$O26</f>
        <v>0.700390401828223</v>
      </c>
      <c r="S26" s="8" t="n">
        <f aca="false">A26</f>
        <v>37204</v>
      </c>
      <c r="T26" s="285" t="n">
        <f aca="false">D26/$O26</f>
        <v>0.100123785945534</v>
      </c>
      <c r="U26" s="286" t="n">
        <f aca="false">F26/$O26</f>
        <v>0.285659874309655</v>
      </c>
      <c r="V26" s="286" t="n">
        <f aca="false">H26/$O26</f>
        <v>0.114882879451533</v>
      </c>
      <c r="W26" s="286" t="n">
        <f aca="false">J26/$O26</f>
        <v>0.0524900019043992</v>
      </c>
      <c r="X26" s="286" t="n">
        <f aca="false">L26/$O26</f>
        <v>0.446843458388878</v>
      </c>
      <c r="Y26" s="287" t="n">
        <f aca="false">SUM(T26:X26)</f>
        <v>1</v>
      </c>
      <c r="AA26" s="288"/>
      <c r="AB26" s="286"/>
      <c r="AC26" s="286"/>
      <c r="AD26" s="289"/>
    </row>
    <row r="27" customFormat="false" ht="12.75" hidden="false" customHeight="false" outlineLevel="0" collapsed="false">
      <c r="A27" s="8" t="n">
        <f aca="false">+'Index Pricing'!A16</f>
        <v>37205</v>
      </c>
      <c r="B27" s="291" t="n">
        <f aca="false">+'Index Pricing'!B16</f>
        <v>1.7</v>
      </c>
      <c r="C27" s="100" t="n">
        <f aca="false">P27*'Box Draw Detail'!C35+Q27*'S Kitty Detail'!C35</f>
        <v>1.09125120202998</v>
      </c>
      <c r="D27" s="103" t="n">
        <f aca="false">MAX(0,MIN($C$7,O27)-F27-H27)</f>
        <v>4206</v>
      </c>
      <c r="E27" s="102" t="n">
        <f aca="false">P27*'Box Draw Detail'!E35+Q27*'S Kitty Detail'!E35</f>
        <v>2.1667185863395</v>
      </c>
      <c r="F27" s="292" t="n">
        <f aca="false">ROUND(MIN(12000,$C$7*0.8,O27),0)</f>
        <v>12000</v>
      </c>
      <c r="G27" s="102" t="n">
        <f aca="false">P27*'Box Draw Detail'!G35+Q27*'S Kitty Detail'!G35</f>
        <v>1.93125120202998</v>
      </c>
      <c r="H27" s="292" t="n">
        <f aca="false">ROUND(MAX(0,MIN(0.8*$C$7,O27)-F27),0)</f>
        <v>4826</v>
      </c>
      <c r="I27" s="102" t="n">
        <f aca="false">P27*'Box Draw Detail'!I35+'S Kitty Detail'!I35*Q27</f>
        <v>0.924018586339498</v>
      </c>
      <c r="J27" s="292" t="n">
        <f aca="false">ROUND(MIN('Kennedy Gas Daily Pricing'!D16,MAX(0,O27-SUM(D27,F27,H27))),0)</f>
        <v>2205</v>
      </c>
      <c r="K27" s="102" t="n">
        <f aca="false">P27*'Box Draw Detail'!K35+Q27*'S Kitty Detail'!K35</f>
        <v>1.04125120202998</v>
      </c>
      <c r="L27" s="293" t="n">
        <f aca="false">MAX(0,O27-SUM(D27,F27,H27,J27))</f>
        <v>14990</v>
      </c>
      <c r="M27" s="280" t="n">
        <f aca="false">SUM('[1]Enron Detail'!$C23:$D23)</f>
        <v>12468</v>
      </c>
      <c r="N27" s="281" t="n">
        <f aca="false">SUM('[1]Enron Detail'!$F23:$G23)</f>
        <v>25759</v>
      </c>
      <c r="O27" s="282" t="n">
        <f aca="false">+M27+N27</f>
        <v>38227</v>
      </c>
      <c r="P27" s="283" t="n">
        <f aca="false">M27/$O27</f>
        <v>0.326156904805504</v>
      </c>
      <c r="Q27" s="284" t="n">
        <f aca="false">N27/$O27</f>
        <v>0.673843095194496</v>
      </c>
      <c r="S27" s="8" t="n">
        <f aca="false">A27</f>
        <v>37205</v>
      </c>
      <c r="T27" s="285" t="n">
        <f aca="false">D27/$O27</f>
        <v>0.11002694430638</v>
      </c>
      <c r="U27" s="286" t="n">
        <f aca="false">F27/$O27</f>
        <v>0.313914249090957</v>
      </c>
      <c r="V27" s="286" t="n">
        <f aca="false">H27/$O27</f>
        <v>0.12624584717608</v>
      </c>
      <c r="W27" s="286" t="n">
        <f aca="false">J27/$O27</f>
        <v>0.0576817432704633</v>
      </c>
      <c r="X27" s="286" t="n">
        <f aca="false">L27/$O27</f>
        <v>0.39213121615612</v>
      </c>
      <c r="Y27" s="287" t="n">
        <f aca="false">SUM(T27:X27)</f>
        <v>1</v>
      </c>
      <c r="AA27" s="288"/>
      <c r="AB27" s="286"/>
      <c r="AC27" s="286"/>
      <c r="AD27" s="289"/>
    </row>
    <row r="28" customFormat="false" ht="12.75" hidden="false" customHeight="false" outlineLevel="0" collapsed="false">
      <c r="A28" s="8" t="n">
        <f aca="false">+'Index Pricing'!A17</f>
        <v>37206</v>
      </c>
      <c r="B28" s="291" t="n">
        <f aca="false">+'Index Pricing'!B17</f>
        <v>1.7</v>
      </c>
      <c r="C28" s="100" t="n">
        <f aca="false">P28*'Box Draw Detail'!C36+Q28*'S Kitty Detail'!C36</f>
        <v>1.09160525193282</v>
      </c>
      <c r="D28" s="103" t="n">
        <f aca="false">MAX(0,MIN($C$7,O28)-F28-H28)</f>
        <v>4206</v>
      </c>
      <c r="E28" s="102" t="n">
        <f aca="false">P28*'Box Draw Detail'!E36+Q28*'S Kitty Detail'!E36</f>
        <v>2.16707238603039</v>
      </c>
      <c r="F28" s="292" t="n">
        <f aca="false">ROUND(MIN(12000,$C$7*0.8,O28),0)</f>
        <v>12000</v>
      </c>
      <c r="G28" s="102" t="n">
        <f aca="false">P28*'Box Draw Detail'!G36+Q28*'S Kitty Detail'!G36</f>
        <v>1.93160525193282</v>
      </c>
      <c r="H28" s="292" t="n">
        <f aca="false">ROUND(MAX(0,MIN(0.8*$C$7,O28)-F28),0)</f>
        <v>4826</v>
      </c>
      <c r="I28" s="102" t="n">
        <f aca="false">P28*'Box Draw Detail'!I36+'S Kitty Detail'!I36*Q28</f>
        <v>0.924372386030392</v>
      </c>
      <c r="J28" s="292" t="n">
        <f aca="false">ROUND(MIN('Kennedy Gas Daily Pricing'!D17,MAX(0,O28-SUM(D28,F28,H28))),0)</f>
        <v>2205</v>
      </c>
      <c r="K28" s="102" t="n">
        <f aca="false">P28*'Box Draw Detail'!K36+Q28*'S Kitty Detail'!K36</f>
        <v>1.04160525193282</v>
      </c>
      <c r="L28" s="293" t="n">
        <f aca="false">MAX(0,O28-SUM(D28,F28,H28,J28))</f>
        <v>14273</v>
      </c>
      <c r="M28" s="280" t="n">
        <f aca="false">SUM('[1]Enron Detail'!$C24:$D24)</f>
        <v>12328</v>
      </c>
      <c r="N28" s="281" t="n">
        <f aca="false">SUM('[1]Enron Detail'!$F24:$G24)</f>
        <v>25182</v>
      </c>
      <c r="O28" s="282" t="n">
        <f aca="false">+M28+N28</f>
        <v>37510</v>
      </c>
      <c r="P28" s="283" t="n">
        <f aca="false">M28/$O28</f>
        <v>0.328659024260197</v>
      </c>
      <c r="Q28" s="284" t="n">
        <f aca="false">N28/$O28</f>
        <v>0.671340975739803</v>
      </c>
      <c r="S28" s="8" t="n">
        <f aca="false">A28</f>
        <v>37206</v>
      </c>
      <c r="T28" s="285" t="n">
        <f aca="false">D28/$O28</f>
        <v>0.112130098640363</v>
      </c>
      <c r="U28" s="286" t="n">
        <f aca="false">F28/$O28</f>
        <v>0.319914689416156</v>
      </c>
      <c r="V28" s="286" t="n">
        <f aca="false">H28/$O28</f>
        <v>0.128659024260197</v>
      </c>
      <c r="W28" s="286" t="n">
        <f aca="false">J28/$O28</f>
        <v>0.0587843241802186</v>
      </c>
      <c r="X28" s="286" t="n">
        <f aca="false">L28/$O28</f>
        <v>0.380511863503066</v>
      </c>
      <c r="Y28" s="287" t="n">
        <f aca="false">SUM(T28:X28)</f>
        <v>1</v>
      </c>
      <c r="AA28" s="288"/>
      <c r="AB28" s="286"/>
      <c r="AC28" s="286"/>
      <c r="AD28" s="289"/>
    </row>
    <row r="29" customFormat="false" ht="12.75" hidden="false" customHeight="false" outlineLevel="0" collapsed="false">
      <c r="A29" s="8" t="n">
        <f aca="false">+'Index Pricing'!A18</f>
        <v>37207</v>
      </c>
      <c r="B29" s="291" t="n">
        <f aca="false">+'Index Pricing'!B18</f>
        <v>1.7</v>
      </c>
      <c r="C29" s="100" t="n">
        <f aca="false">P29*'Box Draw Detail'!C37+Q29*'S Kitty Detail'!C37</f>
        <v>1.09033752906362</v>
      </c>
      <c r="D29" s="103" t="n">
        <f aca="false">MAX(0,MIN($C$7,O29)-F29-H29)</f>
        <v>4206</v>
      </c>
      <c r="E29" s="102" t="n">
        <f aca="false">P29*'Box Draw Detail'!E37+Q29*'S Kitty Detail'!E37</f>
        <v>2.16580555907842</v>
      </c>
      <c r="F29" s="292" t="n">
        <f aca="false">ROUND(MIN(12000,$C$7*0.8,O29),0)</f>
        <v>12000</v>
      </c>
      <c r="G29" s="102" t="n">
        <f aca="false">P29*'Box Draw Detail'!G37+Q29*'S Kitty Detail'!G37</f>
        <v>1.93033752906362</v>
      </c>
      <c r="H29" s="292" t="n">
        <f aca="false">ROUND(MAX(0,MIN(0.8*$C$7,O29)-F29),0)</f>
        <v>4826</v>
      </c>
      <c r="I29" s="102" t="n">
        <f aca="false">P29*'Box Draw Detail'!I37+'S Kitty Detail'!I37*Q29</f>
        <v>0.923105559078419</v>
      </c>
      <c r="J29" s="292" t="n">
        <f aca="false">ROUND(MIN('Kennedy Gas Daily Pricing'!D18,MAX(0,O29-SUM(D29,F29,H29))),0)</f>
        <v>2205</v>
      </c>
      <c r="K29" s="102" t="n">
        <f aca="false">P29*'Box Draw Detail'!K37+Q29*'S Kitty Detail'!K37</f>
        <v>1.04033752906362</v>
      </c>
      <c r="L29" s="293" t="n">
        <f aca="false">MAX(0,O29-SUM(D29,F29,H29,J29))</f>
        <v>14611</v>
      </c>
      <c r="M29" s="280" t="n">
        <f aca="false">SUM('[1]Enron Detail'!$C25:$D25)</f>
        <v>12100</v>
      </c>
      <c r="N29" s="281" t="n">
        <f aca="false">SUM('[1]Enron Detail'!$F25:$G25)</f>
        <v>25748</v>
      </c>
      <c r="O29" s="282" t="n">
        <f aca="false">+M29+N29</f>
        <v>37848</v>
      </c>
      <c r="P29" s="283" t="n">
        <f aca="false">M29/$O29</f>
        <v>0.319699852039738</v>
      </c>
      <c r="Q29" s="284" t="n">
        <f aca="false">N29/$O29</f>
        <v>0.680300147960262</v>
      </c>
      <c r="S29" s="8" t="n">
        <f aca="false">A29</f>
        <v>37207</v>
      </c>
      <c r="T29" s="285" t="n">
        <f aca="false">D29/$O29</f>
        <v>0.111128725428028</v>
      </c>
      <c r="U29" s="286" t="n">
        <f aca="false">F29/$O29</f>
        <v>0.317057704502219</v>
      </c>
      <c r="V29" s="286" t="n">
        <f aca="false">H29/$O29</f>
        <v>0.127510040160643</v>
      </c>
      <c r="W29" s="286" t="n">
        <f aca="false">J29/$O29</f>
        <v>0.0582593532022828</v>
      </c>
      <c r="X29" s="286" t="n">
        <f aca="false">L29/$O29</f>
        <v>0.386044176706827</v>
      </c>
      <c r="Y29" s="287" t="n">
        <f aca="false">SUM(T29:X29)</f>
        <v>1</v>
      </c>
      <c r="AA29" s="288"/>
      <c r="AB29" s="286"/>
      <c r="AC29" s="286"/>
      <c r="AD29" s="289"/>
    </row>
    <row r="30" customFormat="false" ht="12.75" hidden="false" customHeight="false" outlineLevel="0" collapsed="false">
      <c r="A30" s="8" t="n">
        <f aca="false">+'Index Pricing'!A19</f>
        <v>37208</v>
      </c>
      <c r="B30" s="291" t="n">
        <f aca="false">+'Index Pricing'!B19</f>
        <v>1.52</v>
      </c>
      <c r="C30" s="100" t="n">
        <f aca="false">P30*'Box Draw Detail'!C38+Q30*'S Kitty Detail'!C38</f>
        <v>0.913646084459565</v>
      </c>
      <c r="D30" s="103" t="n">
        <f aca="false">MAX(0,MIN($C$7,O30)-F30-H30)</f>
        <v>4206</v>
      </c>
      <c r="E30" s="102" t="n">
        <f aca="false">P30*'Box Draw Detail'!E38+Q30*'S Kitty Detail'!E38</f>
        <v>2.16911177627267</v>
      </c>
      <c r="F30" s="292" t="n">
        <f aca="false">ROUND(MIN(12000,$C$7*0.8,O30),0)</f>
        <v>12000</v>
      </c>
      <c r="G30" s="102" t="n">
        <f aca="false">P30*'Box Draw Detail'!G38+Q30*'S Kitty Detail'!G38</f>
        <v>1.93364608445956</v>
      </c>
      <c r="H30" s="292" t="n">
        <f aca="false">ROUND(MAX(0,MIN(0.8*$C$7,O30)-F30),0)</f>
        <v>4826</v>
      </c>
      <c r="I30" s="102" t="n">
        <f aca="false">P30*'Box Draw Detail'!I38+'S Kitty Detail'!I38*Q30</f>
        <v>0.746411776272668</v>
      </c>
      <c r="J30" s="292" t="n">
        <f aca="false">ROUND(MIN('Kennedy Gas Daily Pricing'!D19,MAX(0,O30-SUM(D30,F30,H30))),0)</f>
        <v>2205</v>
      </c>
      <c r="K30" s="102" t="n">
        <f aca="false">P30*'Box Draw Detail'!K38+Q30*'S Kitty Detail'!K38</f>
        <v>0.863646084459565</v>
      </c>
      <c r="L30" s="293" t="n">
        <f aca="false">MAX(0,O30-SUM(D30,F30,H30,J30))</f>
        <v>8802</v>
      </c>
      <c r="M30" s="280" t="n">
        <f aca="false">SUM('[1]Enron Detail'!$C26:$D26)</f>
        <v>10992</v>
      </c>
      <c r="N30" s="281" t="n">
        <f aca="false">SUM('[1]Enron Detail'!$F26:$G26)</f>
        <v>21047</v>
      </c>
      <c r="O30" s="282" t="n">
        <f aca="false">+M30+N30</f>
        <v>32039</v>
      </c>
      <c r="P30" s="283" t="n">
        <f aca="false">M30/$O30</f>
        <v>0.34308186897219</v>
      </c>
      <c r="Q30" s="284" t="n">
        <f aca="false">N30/$O30</f>
        <v>0.65691813102781</v>
      </c>
      <c r="S30" s="8" t="n">
        <f aca="false">A30</f>
        <v>37208</v>
      </c>
      <c r="T30" s="285" t="n">
        <f aca="false">D30/$O30</f>
        <v>0.131277505540123</v>
      </c>
      <c r="U30" s="286" t="n">
        <f aca="false">F30/$O30</f>
        <v>0.37454352507881</v>
      </c>
      <c r="V30" s="286" t="n">
        <f aca="false">H30/$O30</f>
        <v>0.150628921002528</v>
      </c>
      <c r="W30" s="286" t="n">
        <f aca="false">J30/$O30</f>
        <v>0.0688223727332314</v>
      </c>
      <c r="X30" s="286" t="n">
        <f aca="false">L30/$O30</f>
        <v>0.274727675645307</v>
      </c>
      <c r="Y30" s="287" t="n">
        <f aca="false">SUM(T30:X30)</f>
        <v>1</v>
      </c>
      <c r="AA30" s="288"/>
      <c r="AB30" s="286"/>
      <c r="AC30" s="286"/>
      <c r="AD30" s="289"/>
    </row>
    <row r="31" customFormat="false" ht="12.75" hidden="false" customHeight="false" outlineLevel="0" collapsed="false">
      <c r="A31" s="8" t="n">
        <f aca="false">+'Index Pricing'!A20</f>
        <v>37209</v>
      </c>
      <c r="B31" s="291" t="n">
        <f aca="false">+'Index Pricing'!B20</f>
        <v>1.595</v>
      </c>
      <c r="C31" s="100" t="n">
        <f aca="false">P31*'Box Draw Detail'!C39+Q31*'S Kitty Detail'!C39</f>
        <v>0.987144342335231</v>
      </c>
      <c r="D31" s="103" t="n">
        <f aca="false">MAX(0,MIN($C$7,O31)-F31-H31)</f>
        <v>4206</v>
      </c>
      <c r="E31" s="102" t="n">
        <f aca="false">P31*'Box Draw Detail'!E39+Q31*'S Kitty Detail'!E39</f>
        <v>2.16761109545019</v>
      </c>
      <c r="F31" s="292" t="n">
        <f aca="false">ROUND(MIN(12000,$C$7*0.8,O31),0)</f>
        <v>12000</v>
      </c>
      <c r="G31" s="102" t="n">
        <f aca="false">P31*'Box Draw Detail'!G39+Q31*'S Kitty Detail'!G39</f>
        <v>1.93214434233523</v>
      </c>
      <c r="H31" s="292" t="n">
        <f aca="false">ROUND(MAX(0,MIN(0.8*$C$7,O31)-F31),0)</f>
        <v>4826</v>
      </c>
      <c r="I31" s="102" t="n">
        <f aca="false">P31*'Box Draw Detail'!I39+'S Kitty Detail'!I39*Q31</f>
        <v>0.819911095450189</v>
      </c>
      <c r="J31" s="292" t="n">
        <f aca="false">ROUND(MIN('Kennedy Gas Daily Pricing'!D20,MAX(0,O31-SUM(D31,F31,H31))),0)</f>
        <v>2205</v>
      </c>
      <c r="K31" s="102" t="n">
        <f aca="false">P31*'Box Draw Detail'!K39+Q31*'S Kitty Detail'!K39</f>
        <v>0.937144342335231</v>
      </c>
      <c r="L31" s="293" t="n">
        <f aca="false">MAX(0,O31-SUM(D31,F31,H31,J31))</f>
        <v>12237</v>
      </c>
      <c r="M31" s="280" t="n">
        <f aca="false">SUM('[1]Enron Detail'!$C27:$D27)</f>
        <v>11794</v>
      </c>
      <c r="N31" s="281" t="n">
        <f aca="false">SUM('[1]Enron Detail'!$F27:$G27)</f>
        <v>23680</v>
      </c>
      <c r="O31" s="282" t="n">
        <f aca="false">+M31+N31</f>
        <v>35474</v>
      </c>
      <c r="P31" s="283" t="n">
        <f aca="false">M31/$O31</f>
        <v>0.332468850425664</v>
      </c>
      <c r="Q31" s="284" t="n">
        <f aca="false">N31/$O31</f>
        <v>0.667531149574336</v>
      </c>
      <c r="S31" s="8" t="n">
        <f aca="false">A31</f>
        <v>37209</v>
      </c>
      <c r="T31" s="285" t="n">
        <f aca="false">D31/$O31</f>
        <v>0.118565710097536</v>
      </c>
      <c r="U31" s="286" t="n">
        <f aca="false">F31/$O31</f>
        <v>0.3382759203924</v>
      </c>
      <c r="V31" s="286" t="n">
        <f aca="false">H31/$O31</f>
        <v>0.13604329931781</v>
      </c>
      <c r="W31" s="286" t="n">
        <f aca="false">J31/$O31</f>
        <v>0.0621582003721035</v>
      </c>
      <c r="X31" s="286" t="n">
        <f aca="false">L31/$O31</f>
        <v>0.34495686982015</v>
      </c>
      <c r="Y31" s="287" t="n">
        <f aca="false">SUM(T31:X31)</f>
        <v>1</v>
      </c>
      <c r="AA31" s="288"/>
      <c r="AB31" s="286"/>
      <c r="AC31" s="286"/>
      <c r="AD31" s="289"/>
    </row>
    <row r="32" customFormat="false" ht="12.75" hidden="false" customHeight="false" outlineLevel="0" collapsed="false">
      <c r="A32" s="8" t="n">
        <f aca="false">+'Index Pricing'!A21</f>
        <v>37210</v>
      </c>
      <c r="B32" s="291" t="n">
        <f aca="false">+'Index Pricing'!B21</f>
        <v>1.84</v>
      </c>
      <c r="C32" s="100" t="n">
        <f aca="false">P32*'Box Draw Detail'!C40+Q32*'S Kitty Detail'!C40</f>
        <v>1.2297945505033</v>
      </c>
      <c r="D32" s="103" t="n">
        <f aca="false">MAX(0,MIN($C$7,O32)-F32-H32)</f>
        <v>4206</v>
      </c>
      <c r="E32" s="102" t="n">
        <f aca="false">P32*'Box Draw Detail'!E40+Q32*'S Kitty Detail'!E40</f>
        <v>2.16526296424853</v>
      </c>
      <c r="F32" s="292" t="n">
        <f aca="false">ROUND(MIN(12000,$C$7*0.8,O32),0)</f>
        <v>12000</v>
      </c>
      <c r="G32" s="102" t="n">
        <f aca="false">P32*'Box Draw Detail'!G40+Q32*'S Kitty Detail'!G40</f>
        <v>1.9297945505033</v>
      </c>
      <c r="H32" s="292" t="n">
        <f aca="false">ROUND(MAX(0,MIN(0.8*$C$7,O32)-F32),0)</f>
        <v>4826</v>
      </c>
      <c r="I32" s="102" t="n">
        <f aca="false">P32*'Box Draw Detail'!I40+'S Kitty Detail'!I40*Q32</f>
        <v>1.06256296424852</v>
      </c>
      <c r="J32" s="292" t="n">
        <f aca="false">ROUND(MIN('Kennedy Gas Daily Pricing'!D21,MAX(0,O32-SUM(D32,F32,H32))),0)</f>
        <v>2205</v>
      </c>
      <c r="K32" s="102" t="n">
        <f aca="false">P32*'Box Draw Detail'!K40+Q32*'S Kitty Detail'!K40</f>
        <v>1.1797945505033</v>
      </c>
      <c r="L32" s="293" t="n">
        <f aca="false">MAX(0,O32-SUM(D32,F32,H32,J32))</f>
        <v>14216</v>
      </c>
      <c r="M32" s="280" t="n">
        <f aca="false">SUM('[1]Enron Detail'!$C28:$D28)</f>
        <v>11830</v>
      </c>
      <c r="N32" s="281" t="n">
        <f aca="false">SUM('[1]Enron Detail'!$F28:$G28)</f>
        <v>25623</v>
      </c>
      <c r="O32" s="282" t="n">
        <f aca="false">+M32+N32</f>
        <v>37453</v>
      </c>
      <c r="P32" s="283" t="n">
        <f aca="false">M32/$O32</f>
        <v>0.315862547726484</v>
      </c>
      <c r="Q32" s="284" t="n">
        <f aca="false">N32/$O32</f>
        <v>0.684137452273516</v>
      </c>
      <c r="S32" s="8" t="n">
        <f aca="false">A32</f>
        <v>37210</v>
      </c>
      <c r="T32" s="285" t="n">
        <f aca="false">D32/$O32</f>
        <v>0.112300750273676</v>
      </c>
      <c r="U32" s="286" t="n">
        <f aca="false">F32/$O32</f>
        <v>0.320401569967693</v>
      </c>
      <c r="V32" s="286" t="n">
        <f aca="false">H32/$O32</f>
        <v>0.128854831388674</v>
      </c>
      <c r="W32" s="286" t="n">
        <f aca="false">J32/$O32</f>
        <v>0.0588737884815636</v>
      </c>
      <c r="X32" s="286" t="n">
        <f aca="false">L32/$O32</f>
        <v>0.379569059888393</v>
      </c>
      <c r="Y32" s="287" t="n">
        <f aca="false">SUM(T32:X32)</f>
        <v>1</v>
      </c>
      <c r="AA32" s="288"/>
      <c r="AB32" s="286"/>
      <c r="AC32" s="286"/>
      <c r="AD32" s="289"/>
    </row>
    <row r="33" customFormat="false" ht="12.75" hidden="false" customHeight="false" outlineLevel="0" collapsed="false">
      <c r="A33" s="8" t="n">
        <f aca="false">+'Index Pricing'!A22</f>
        <v>37211</v>
      </c>
      <c r="B33" s="291" t="n">
        <f aca="false">+'Index Pricing'!B22</f>
        <v>1.435</v>
      </c>
      <c r="C33" s="100" t="n">
        <f aca="false">P33*'Box Draw Detail'!C41+Q33*'S Kitty Detail'!C41</f>
        <v>0.825177953569725</v>
      </c>
      <c r="D33" s="103" t="n">
        <f aca="false">MAX(0,MIN($C$7,O33)-F33-H33)</f>
        <v>4206</v>
      </c>
      <c r="E33" s="102" t="n">
        <f aca="false">P33*'Box Draw Detail'!E41+Q33*'S Kitty Detail'!E41</f>
        <v>2.16564609635872</v>
      </c>
      <c r="F33" s="292" t="n">
        <f aca="false">ROUND(MIN(12000,$C$7*0.8,O33),0)</f>
        <v>12000</v>
      </c>
      <c r="G33" s="102" t="n">
        <f aca="false">P33*'Box Draw Detail'!G41+Q33*'S Kitty Detail'!G41</f>
        <v>1.93017795356973</v>
      </c>
      <c r="H33" s="292" t="n">
        <f aca="false">ROUND(MAX(0,MIN(0.8*$C$7,O33)-F33),0)</f>
        <v>4826</v>
      </c>
      <c r="I33" s="102" t="n">
        <f aca="false">P33*'Box Draw Detail'!I41+'S Kitty Detail'!I41*Q33</f>
        <v>0.657946096358722</v>
      </c>
      <c r="J33" s="292" t="n">
        <f aca="false">ROUND(MIN('Kennedy Gas Daily Pricing'!D22,MAX(0,O33-SUM(D33,F33,H33))),0)</f>
        <v>2205</v>
      </c>
      <c r="K33" s="102" t="n">
        <f aca="false">P33*'Box Draw Detail'!K41+Q33*'S Kitty Detail'!K41</f>
        <v>0.775177953569725</v>
      </c>
      <c r="L33" s="293" t="n">
        <f aca="false">MAX(0,O33-SUM(D33,F33,H33,J33))</f>
        <v>14497</v>
      </c>
      <c r="M33" s="280" t="n">
        <f aca="false">SUM('[1]Enron Detail'!$C29:$D29)</f>
        <v>12021</v>
      </c>
      <c r="N33" s="281" t="n">
        <f aca="false">SUM('[1]Enron Detail'!$F29:$G29)</f>
        <v>25713</v>
      </c>
      <c r="O33" s="282" t="n">
        <f aca="false">+M33+N33</f>
        <v>37734</v>
      </c>
      <c r="P33" s="283" t="n">
        <f aca="false">M33/$O33</f>
        <v>0.318572110033392</v>
      </c>
      <c r="Q33" s="284" t="n">
        <f aca="false">N33/$O33</f>
        <v>0.681427889966608</v>
      </c>
      <c r="S33" s="8" t="n">
        <f aca="false">A33</f>
        <v>37211</v>
      </c>
      <c r="T33" s="285" t="n">
        <f aca="false">D33/$O33</f>
        <v>0.111464461758626</v>
      </c>
      <c r="U33" s="286" t="n">
        <f aca="false">F33/$O33</f>
        <v>0.318015582763555</v>
      </c>
      <c r="V33" s="286" t="n">
        <f aca="false">H33/$O33</f>
        <v>0.127895266868077</v>
      </c>
      <c r="W33" s="286" t="n">
        <f aca="false">J33/$O33</f>
        <v>0.0584353633328033</v>
      </c>
      <c r="X33" s="286" t="n">
        <f aca="false">L33/$O33</f>
        <v>0.384189325276939</v>
      </c>
      <c r="Y33" s="287" t="n">
        <f aca="false">SUM(T33:X33)</f>
        <v>1</v>
      </c>
      <c r="AA33" s="288"/>
      <c r="AB33" s="286"/>
      <c r="AC33" s="286"/>
      <c r="AD33" s="289"/>
    </row>
    <row r="34" customFormat="false" ht="12.75" hidden="false" customHeight="false" outlineLevel="0" collapsed="false">
      <c r="A34" s="8" t="n">
        <f aca="false">+'Index Pricing'!A23</f>
        <v>37212</v>
      </c>
      <c r="B34" s="291" t="n">
        <f aca="false">+'Index Pricing'!B23</f>
        <v>1.135</v>
      </c>
      <c r="C34" s="100" t="n">
        <f aca="false">P34*'Box Draw Detail'!C42+Q34*'S Kitty Detail'!C42</f>
        <v>0.526875172807925</v>
      </c>
      <c r="D34" s="103" t="n">
        <f aca="false">MAX(0,MIN($C$7,O34)-F34-H34)</f>
        <v>4206</v>
      </c>
      <c r="E34" s="102" t="n">
        <f aca="false">P34*'Box Draw Detail'!E42+Q34*'S Kitty Detail'!E42</f>
        <v>2.1673421161487</v>
      </c>
      <c r="F34" s="292" t="n">
        <f aca="false">ROUND(MIN(12000,$C$7*0.8,O34),0)</f>
        <v>12000</v>
      </c>
      <c r="G34" s="102" t="n">
        <f aca="false">P34*'Box Draw Detail'!G42+Q34*'S Kitty Detail'!G42</f>
        <v>1.93187517280792</v>
      </c>
      <c r="H34" s="292" t="n">
        <f aca="false">ROUND(MAX(0,MIN(0.8*$C$7,O34)-F34),0)</f>
        <v>4826</v>
      </c>
      <c r="I34" s="102" t="n">
        <f aca="false">P34*'Box Draw Detail'!I42+'S Kitty Detail'!I42*Q34</f>
        <v>0.359642116148696</v>
      </c>
      <c r="J34" s="292" t="n">
        <f aca="false">ROUND(MIN('Kennedy Gas Daily Pricing'!D23,MAX(0,O34-SUM(D34,F34,H34))),0)</f>
        <v>2205</v>
      </c>
      <c r="K34" s="102" t="n">
        <f aca="false">P34*'Box Draw Detail'!K42+Q34*'S Kitty Detail'!K42</f>
        <v>0.476875172807925</v>
      </c>
      <c r="L34" s="293" t="n">
        <f aca="false">MAX(0,O34-SUM(D34,F34,H34,J34))</f>
        <v>13509</v>
      </c>
      <c r="M34" s="280" t="n">
        <f aca="false">SUM('[1]Enron Detail'!$C30:$D30)</f>
        <v>12147</v>
      </c>
      <c r="N34" s="281" t="n">
        <f aca="false">SUM('[1]Enron Detail'!$F30:$G30)</f>
        <v>24599</v>
      </c>
      <c r="O34" s="282" t="n">
        <f aca="false">+M34+N34</f>
        <v>36746</v>
      </c>
      <c r="P34" s="283" t="n">
        <f aca="false">M34/$O34</f>
        <v>0.330566592282153</v>
      </c>
      <c r="Q34" s="284" t="n">
        <f aca="false">N34/$O34</f>
        <v>0.669433407717847</v>
      </c>
      <c r="S34" s="8" t="n">
        <f aca="false">A34</f>
        <v>37212</v>
      </c>
      <c r="T34" s="285" t="n">
        <f aca="false">D34/$O34</f>
        <v>0.114461437979644</v>
      </c>
      <c r="U34" s="286" t="n">
        <f aca="false">F34/$O34</f>
        <v>0.326566156860611</v>
      </c>
      <c r="V34" s="286" t="n">
        <f aca="false">H34/$O34</f>
        <v>0.131334022750776</v>
      </c>
      <c r="W34" s="286" t="n">
        <f aca="false">J34/$O34</f>
        <v>0.0600065313231372</v>
      </c>
      <c r="X34" s="286" t="n">
        <f aca="false">L34/$O34</f>
        <v>0.367631851085832</v>
      </c>
      <c r="Y34" s="287" t="n">
        <f aca="false">SUM(T34:X34)</f>
        <v>1</v>
      </c>
      <c r="AA34" s="288"/>
      <c r="AB34" s="286"/>
      <c r="AC34" s="286"/>
      <c r="AD34" s="289"/>
    </row>
    <row r="35" customFormat="false" ht="12.75" hidden="false" customHeight="false" outlineLevel="0" collapsed="false">
      <c r="A35" s="8" t="n">
        <f aca="false">+'Index Pricing'!A24</f>
        <v>37213</v>
      </c>
      <c r="B35" s="291" t="n">
        <f aca="false">+'Index Pricing'!B24</f>
        <v>1.135</v>
      </c>
      <c r="C35" s="100" t="n">
        <f aca="false">P35*'Box Draw Detail'!C43+Q35*'S Kitty Detail'!C43</f>
        <v>0.529160067879923</v>
      </c>
      <c r="D35" s="103" t="n">
        <f aca="false">MAX(0,MIN($C$7,O35)-F35-H35)</f>
        <v>4206</v>
      </c>
      <c r="E35" s="102" t="n">
        <f aca="false">P35*'Box Draw Detail'!E43+Q35*'S Kitty Detail'!E43</f>
        <v>2.16962539645386</v>
      </c>
      <c r="F35" s="292" t="n">
        <f aca="false">ROUND(MIN(12000,$C$7*0.8,O35),0)</f>
        <v>12000</v>
      </c>
      <c r="G35" s="102" t="n">
        <f aca="false">P35*'Box Draw Detail'!G43+Q35*'S Kitty Detail'!G43</f>
        <v>1.93416006787992</v>
      </c>
      <c r="H35" s="292" t="n">
        <f aca="false">ROUND(MAX(0,MIN(0.8*$C$7,O35)-F35),0)</f>
        <v>4826</v>
      </c>
      <c r="I35" s="102" t="n">
        <f aca="false">P35*'Box Draw Detail'!I43+'S Kitty Detail'!I43*Q35</f>
        <v>0.361925396453859</v>
      </c>
      <c r="J35" s="292" t="n">
        <f aca="false">ROUND(MIN('Kennedy Gas Daily Pricing'!D24,MAX(0,O35-SUM(D35,F35,H35))),0)</f>
        <v>2205</v>
      </c>
      <c r="K35" s="102" t="n">
        <f aca="false">P35*'Box Draw Detail'!K43+Q35*'S Kitty Detail'!K43</f>
        <v>0.479160067879923</v>
      </c>
      <c r="L35" s="293" t="n">
        <f aca="false">MAX(0,O35-SUM(D35,F35,H35,J35))</f>
        <v>10941</v>
      </c>
      <c r="M35" s="280" t="n">
        <f aca="false">SUM('[1]Enron Detail'!$C31:$D31)</f>
        <v>11850</v>
      </c>
      <c r="N35" s="281" t="n">
        <f aca="false">SUM('[1]Enron Detail'!$F31:$G31)</f>
        <v>22328</v>
      </c>
      <c r="O35" s="282" t="n">
        <f aca="false">+M35+N35</f>
        <v>34178</v>
      </c>
      <c r="P35" s="283" t="n">
        <f aca="false">M35/$O35</f>
        <v>0.346714260635497</v>
      </c>
      <c r="Q35" s="284" t="n">
        <f aca="false">N35/$O35</f>
        <v>0.653285739364504</v>
      </c>
      <c r="S35" s="8" t="n">
        <f aca="false">A35</f>
        <v>37213</v>
      </c>
      <c r="T35" s="285" t="n">
        <f aca="false">D35/$O35</f>
        <v>0.123061618585055</v>
      </c>
      <c r="U35" s="286" t="n">
        <f aca="false">F35/$O35</f>
        <v>0.351103048744807</v>
      </c>
      <c r="V35" s="286" t="n">
        <f aca="false">H35/$O35</f>
        <v>0.141201942770203</v>
      </c>
      <c r="W35" s="286" t="n">
        <f aca="false">J35/$O35</f>
        <v>0.0645151852068582</v>
      </c>
      <c r="X35" s="286" t="n">
        <f aca="false">L35/$O35</f>
        <v>0.320118204693077</v>
      </c>
      <c r="Y35" s="287" t="n">
        <f aca="false">SUM(T35:X35)</f>
        <v>1</v>
      </c>
      <c r="AA35" s="288"/>
      <c r="AB35" s="286"/>
      <c r="AC35" s="286"/>
      <c r="AD35" s="289"/>
    </row>
    <row r="36" customFormat="false" ht="12.75" hidden="false" customHeight="false" outlineLevel="0" collapsed="false">
      <c r="A36" s="8" t="n">
        <f aca="false">+'Index Pricing'!A25</f>
        <v>37214</v>
      </c>
      <c r="B36" s="291" t="n">
        <f aca="false">+'Index Pricing'!B25</f>
        <v>1.135</v>
      </c>
      <c r="C36" s="100" t="n">
        <f aca="false">P36*'Box Draw Detail'!C44+Q36*'S Kitty Detail'!C44</f>
        <v>0.524243746645196</v>
      </c>
      <c r="D36" s="103" t="n">
        <f aca="false">MAX(0,MIN($C$7,O36)-F36-H36)</f>
        <v>4206</v>
      </c>
      <c r="E36" s="102" t="n">
        <f aca="false">P36*'Box Draw Detail'!E44+Q36*'S Kitty Detail'!E44</f>
        <v>2.1647125496511</v>
      </c>
      <c r="F36" s="292" t="n">
        <f aca="false">ROUND(MIN(12000,$C$7*0.8,O36),0)</f>
        <v>12000</v>
      </c>
      <c r="G36" s="102" t="n">
        <f aca="false">P36*'Box Draw Detail'!G44+Q36*'S Kitty Detail'!G44</f>
        <v>1.9292437466452</v>
      </c>
      <c r="H36" s="292" t="n">
        <f aca="false">ROUND(MAX(0,MIN(0.8*$C$7,O36)-F36),0)</f>
        <v>4826</v>
      </c>
      <c r="I36" s="102" t="n">
        <f aca="false">P36*'Box Draw Detail'!I44+'S Kitty Detail'!I44*Q36</f>
        <v>0.3570125496511</v>
      </c>
      <c r="J36" s="292" t="n">
        <f aca="false">ROUND(MIN('Kennedy Gas Daily Pricing'!D25,MAX(0,O36-SUM(D36,F36,H36))),0)</f>
        <v>2205</v>
      </c>
      <c r="K36" s="102" t="n">
        <f aca="false">P36*'Box Draw Detail'!K44+Q36*'S Kitty Detail'!K44</f>
        <v>0.474243746645196</v>
      </c>
      <c r="L36" s="293" t="n">
        <f aca="false">MAX(0,O36-SUM(D36,F36,H36,J36))</f>
        <v>14023</v>
      </c>
      <c r="M36" s="280" t="n">
        <f aca="false">SUM('[1]Enron Detail'!$C32:$D32)</f>
        <v>11624</v>
      </c>
      <c r="N36" s="281" t="n">
        <f aca="false">SUM('[1]Enron Detail'!$F32:$G32)</f>
        <v>25636</v>
      </c>
      <c r="O36" s="282" t="n">
        <f aca="false">+M36+N36</f>
        <v>37260</v>
      </c>
      <c r="P36" s="283" t="n">
        <f aca="false">M36/$O36</f>
        <v>0.311969940955448</v>
      </c>
      <c r="Q36" s="284" t="n">
        <f aca="false">N36/$O36</f>
        <v>0.688030059044552</v>
      </c>
      <c r="S36" s="8" t="n">
        <f aca="false">A36</f>
        <v>37214</v>
      </c>
      <c r="T36" s="285" t="n">
        <f aca="false">D36/$O36</f>
        <v>0.112882447665056</v>
      </c>
      <c r="U36" s="286" t="n">
        <f aca="false">F36/$O36</f>
        <v>0.322061191626409</v>
      </c>
      <c r="V36" s="286" t="n">
        <f aca="false">H36/$O36</f>
        <v>0.129522275899088</v>
      </c>
      <c r="W36" s="286" t="n">
        <f aca="false">J36/$O36</f>
        <v>0.0591787439613527</v>
      </c>
      <c r="X36" s="286" t="n">
        <f aca="false">L36/$O36</f>
        <v>0.376355340848094</v>
      </c>
      <c r="Y36" s="287" t="n">
        <f aca="false">SUM(T36:X36)</f>
        <v>1</v>
      </c>
      <c r="AA36" s="288"/>
      <c r="AB36" s="286"/>
      <c r="AC36" s="286"/>
      <c r="AD36" s="289"/>
    </row>
    <row r="37" customFormat="false" ht="12.75" hidden="false" customHeight="false" outlineLevel="0" collapsed="false">
      <c r="A37" s="8" t="n">
        <f aca="false">+'Index Pricing'!A26</f>
        <v>37215</v>
      </c>
      <c r="B37" s="291" t="n">
        <f aca="false">+'Index Pricing'!B26</f>
        <v>1.535</v>
      </c>
      <c r="C37" s="100" t="n">
        <f aca="false">P37*'Box Draw Detail'!C45+Q37*'S Kitty Detail'!C45</f>
        <v>0.921943849132009</v>
      </c>
      <c r="D37" s="103" t="n">
        <f aca="false">MAX(0,MIN($C$7,O37)-F37-H37)</f>
        <v>4206</v>
      </c>
      <c r="E37" s="102" t="n">
        <f aca="false">P37*'Box Draw Detail'!E45+Q37*'S Kitty Detail'!E45</f>
        <v>2.16241427750718</v>
      </c>
      <c r="F37" s="292" t="n">
        <f aca="false">ROUND(MIN(12000,$C$7*0.8,O37),0)</f>
        <v>12000</v>
      </c>
      <c r="G37" s="102" t="n">
        <f aca="false">P37*'Box Draw Detail'!G45+Q37*'S Kitty Detail'!G45</f>
        <v>1.92694384913201</v>
      </c>
      <c r="H37" s="292" t="n">
        <f aca="false">ROUND(MAX(0,MIN(0.8*$C$7,O37)-F37),0)</f>
        <v>4826</v>
      </c>
      <c r="I37" s="102" t="n">
        <f aca="false">P37*'Box Draw Detail'!I45+'S Kitty Detail'!I45*Q37</f>
        <v>0.754714277507181</v>
      </c>
      <c r="J37" s="292" t="n">
        <f aca="false">ROUND(MIN('Kennedy Gas Daily Pricing'!D26,MAX(0,O37-SUM(D37,F37,H37))),0)</f>
        <v>2205</v>
      </c>
      <c r="K37" s="102" t="n">
        <f aca="false">P37*'Box Draw Detail'!K45+Q37*'S Kitty Detail'!K45</f>
        <v>0.871943849132009</v>
      </c>
      <c r="L37" s="293" t="n">
        <f aca="false">MAX(0,O37-SUM(D37,F37,H37,J37))</f>
        <v>16798</v>
      </c>
      <c r="M37" s="280" t="n">
        <f aca="false">SUM('[1]Enron Detail'!$C33:$D33)</f>
        <v>11839</v>
      </c>
      <c r="N37" s="281" t="n">
        <f aca="false">SUM('[1]Enron Detail'!$F33:$G33)</f>
        <v>28196</v>
      </c>
      <c r="O37" s="282" t="n">
        <f aca="false">+M37+N37</f>
        <v>40035</v>
      </c>
      <c r="P37" s="283" t="n">
        <f aca="false">M37/$O37</f>
        <v>0.295716248282753</v>
      </c>
      <c r="Q37" s="284" t="n">
        <f aca="false">N37/$O37</f>
        <v>0.704283751717247</v>
      </c>
      <c r="S37" s="8" t="n">
        <f aca="false">A37</f>
        <v>37215</v>
      </c>
      <c r="T37" s="285" t="n">
        <f aca="false">D37/$O37</f>
        <v>0.105058074185088</v>
      </c>
      <c r="U37" s="286" t="n">
        <f aca="false">F37/$O37</f>
        <v>0.299737729486699</v>
      </c>
      <c r="V37" s="286" t="n">
        <f aca="false">H37/$O37</f>
        <v>0.120544523541901</v>
      </c>
      <c r="W37" s="286" t="n">
        <f aca="false">J37/$O37</f>
        <v>0.055076807793181</v>
      </c>
      <c r="X37" s="286" t="n">
        <f aca="false">L37/$O37</f>
        <v>0.419582864993131</v>
      </c>
      <c r="Y37" s="287" t="n">
        <f aca="false">SUM(T37:X37)</f>
        <v>1</v>
      </c>
      <c r="AA37" s="288"/>
      <c r="AB37" s="286"/>
      <c r="AC37" s="286"/>
      <c r="AD37" s="289"/>
    </row>
    <row r="38" customFormat="false" ht="12.75" hidden="false" customHeight="false" outlineLevel="0" collapsed="false">
      <c r="A38" s="8" t="n">
        <f aca="false">+'Index Pricing'!A27</f>
        <v>37216</v>
      </c>
      <c r="B38" s="291" t="n">
        <f aca="false">+'Index Pricing'!B27</f>
        <v>2.205</v>
      </c>
      <c r="C38" s="100" t="n">
        <f aca="false">P38*'Box Draw Detail'!C46+Q38*'S Kitty Detail'!C46</f>
        <v>1.59132297297297</v>
      </c>
      <c r="D38" s="103" t="n">
        <f aca="false">MAX(0,MIN($C$7,O38)-F38-H38)</f>
        <v>4206</v>
      </c>
      <c r="E38" s="102" t="n">
        <f aca="false">P38*'Box Draw Detail'!E46+Q38*'S Kitty Detail'!E46</f>
        <v>2.16179384012988</v>
      </c>
      <c r="F38" s="292" t="n">
        <f aca="false">ROUND(MIN(12000,$C$7*0.8,O38),0)</f>
        <v>12000</v>
      </c>
      <c r="G38" s="102" t="n">
        <f aca="false">P38*'Box Draw Detail'!G46+Q38*'S Kitty Detail'!G46</f>
        <v>1.92632297297297</v>
      </c>
      <c r="H38" s="292" t="n">
        <f aca="false">ROUND(MAX(0,MIN(0.8*$C$7,O38)-F38),0)</f>
        <v>4826</v>
      </c>
      <c r="I38" s="102" t="n">
        <f aca="false">P38*'Box Draw Detail'!I46+'S Kitty Detail'!I46*Q38</f>
        <v>1.42409384012988</v>
      </c>
      <c r="J38" s="292" t="n">
        <f aca="false">ROUND(MIN('Kennedy Gas Daily Pricing'!D27,MAX(0,O38-SUM(D38,F38,H38))),0)</f>
        <v>2205</v>
      </c>
      <c r="K38" s="102" t="n">
        <f aca="false">P38*'Box Draw Detail'!K46+Q38*'S Kitty Detail'!K46</f>
        <v>1.54132297297297</v>
      </c>
      <c r="L38" s="293" t="n">
        <f aca="false">MAX(0,O38-SUM(D38,F38,H38,J38))</f>
        <v>18647</v>
      </c>
      <c r="M38" s="280" t="n">
        <f aca="false">SUM('[1]Enron Detail'!$C34:$D34)</f>
        <v>12202</v>
      </c>
      <c r="N38" s="281" t="n">
        <f aca="false">SUM('[1]Enron Detail'!$F34:$G34)</f>
        <v>29682</v>
      </c>
      <c r="O38" s="282" t="n">
        <f aca="false">+M38+N38</f>
        <v>41884</v>
      </c>
      <c r="P38" s="283" t="n">
        <f aca="false">M38/$O38</f>
        <v>0.291328430904403</v>
      </c>
      <c r="Q38" s="284" t="n">
        <f aca="false">N38/$O38</f>
        <v>0.708671569095597</v>
      </c>
      <c r="S38" s="8" t="n">
        <f aca="false">A38</f>
        <v>37216</v>
      </c>
      <c r="T38" s="285" t="n">
        <f aca="false">D38/$O38</f>
        <v>0.10042020819406</v>
      </c>
      <c r="U38" s="286" t="n">
        <f aca="false">F38/$O38</f>
        <v>0.286505586858944</v>
      </c>
      <c r="V38" s="286" t="n">
        <f aca="false">H38/$O38</f>
        <v>0.115222996848439</v>
      </c>
      <c r="W38" s="286" t="n">
        <f aca="false">J38/$O38</f>
        <v>0.0526454015853309</v>
      </c>
      <c r="X38" s="286" t="n">
        <f aca="false">L38/$O38</f>
        <v>0.445205806513227</v>
      </c>
      <c r="Y38" s="287" t="n">
        <f aca="false">SUM(T38:X38)</f>
        <v>1</v>
      </c>
      <c r="AA38" s="288"/>
      <c r="AB38" s="286"/>
      <c r="AC38" s="286"/>
      <c r="AD38" s="289"/>
    </row>
    <row r="39" customFormat="false" ht="12.75" hidden="false" customHeight="false" outlineLevel="0" collapsed="false">
      <c r="A39" s="8" t="n">
        <f aca="false">+'Index Pricing'!A28</f>
        <v>37217</v>
      </c>
      <c r="B39" s="291" t="n">
        <f aca="false">+'Index Pricing'!B28</f>
        <v>1.43</v>
      </c>
      <c r="C39" s="100" t="n">
        <f aca="false">P39*'Box Draw Detail'!C47+Q39*'S Kitty Detail'!C47</f>
        <v>0.815536612303156</v>
      </c>
      <c r="D39" s="103" t="n">
        <f aca="false">MAX(0,MIN($C$7,O39)-F39-H39)</f>
        <v>4206</v>
      </c>
      <c r="E39" s="102" t="n">
        <f aca="false">P39*'Box Draw Detail'!E47+Q39*'S Kitty Detail'!E47</f>
        <v>2.16100803519199</v>
      </c>
      <c r="F39" s="292" t="n">
        <f aca="false">ROUND(MIN(12000,$C$7*0.8,O39),0)</f>
        <v>12000</v>
      </c>
      <c r="G39" s="102" t="n">
        <f aca="false">P39*'Box Draw Detail'!G47+Q39*'S Kitty Detail'!G47</f>
        <v>1.92553661230316</v>
      </c>
      <c r="H39" s="292" t="n">
        <f aca="false">ROUND(MAX(0,MIN(0.8*$C$7,O39)-F39),0)</f>
        <v>4826</v>
      </c>
      <c r="I39" s="102" t="n">
        <f aca="false">P39*'Box Draw Detail'!I47+'S Kitty Detail'!I47*Q39</f>
        <v>0.648308035191988</v>
      </c>
      <c r="J39" s="292" t="n">
        <f aca="false">ROUND(MIN('Kennedy Gas Daily Pricing'!D28,MAX(0,O39-SUM(D39,F39,H39))),0)</f>
        <v>2205</v>
      </c>
      <c r="K39" s="295" t="n">
        <f aca="false">P39*'Box Draw Detail'!K47+Q39*'S Kitty Detail'!K47</f>
        <v>0.765536612303156</v>
      </c>
      <c r="L39" s="293" t="n">
        <f aca="false">MAX(0,O39-SUM(D39,F39,H39,J39))</f>
        <v>19500</v>
      </c>
      <c r="M39" s="280" t="n">
        <f aca="false">SUM('[1]Enron Detail'!$C35:$D35)</f>
        <v>12213</v>
      </c>
      <c r="N39" s="281" t="n">
        <f aca="false">SUM('[1]Enron Detail'!$F35:$G35)</f>
        <v>30524</v>
      </c>
      <c r="O39" s="282" t="n">
        <f aca="false">+M39+N39</f>
        <v>42737</v>
      </c>
      <c r="P39" s="283" t="n">
        <f aca="false">M39/$O39</f>
        <v>0.285771111683085</v>
      </c>
      <c r="Q39" s="284" t="n">
        <f aca="false">N39/$O39</f>
        <v>0.714228888316915</v>
      </c>
      <c r="S39" s="8" t="n">
        <f aca="false">A39</f>
        <v>37217</v>
      </c>
      <c r="T39" s="285" t="n">
        <f aca="false">D39/$O39</f>
        <v>0.0984158925521211</v>
      </c>
      <c r="U39" s="286" t="n">
        <f aca="false">F39/$O39</f>
        <v>0.28078713994899</v>
      </c>
      <c r="V39" s="286" t="n">
        <f aca="false">H39/$O39</f>
        <v>0.112923228116152</v>
      </c>
      <c r="W39" s="286" t="n">
        <f aca="false">J39/$O39</f>
        <v>0.051594636965627</v>
      </c>
      <c r="X39" s="286" t="n">
        <f aca="false">L39/$O39</f>
        <v>0.456279102417109</v>
      </c>
      <c r="Y39" s="287" t="n">
        <f aca="false">SUM(T39:X39)</f>
        <v>1</v>
      </c>
      <c r="AA39" s="288"/>
      <c r="AB39" s="286"/>
      <c r="AC39" s="286"/>
      <c r="AD39" s="289"/>
    </row>
    <row r="40" customFormat="false" ht="12.75" hidden="false" customHeight="false" outlineLevel="0" collapsed="false">
      <c r="A40" s="8" t="n">
        <f aca="false">+'Index Pricing'!A29</f>
        <v>37218</v>
      </c>
      <c r="B40" s="291" t="n">
        <f aca="false">+'Index Pricing'!B29</f>
        <v>1.43</v>
      </c>
      <c r="C40" s="100" t="n">
        <f aca="false">P40*'Box Draw Detail'!C48+Q40*'S Kitty Detail'!C48</f>
        <v>0.81548851981352</v>
      </c>
      <c r="D40" s="103" t="n">
        <f aca="false">MAX(0,MIN($C$7,O40)-F40-H40)</f>
        <v>4206</v>
      </c>
      <c r="E40" s="102" t="n">
        <f aca="false">P40*'Box Draw Detail'!E48+Q40*'S Kitty Detail'!E48</f>
        <v>2.16095997668998</v>
      </c>
      <c r="F40" s="292" t="n">
        <f aca="false">ROUND(MIN(12000,$C$7*0.8,O40),0)</f>
        <v>12000</v>
      </c>
      <c r="G40" s="102" t="n">
        <f aca="false">P40*'Box Draw Detail'!G48+Q40*'S Kitty Detail'!G48</f>
        <v>1.92548851981352</v>
      </c>
      <c r="H40" s="292" t="n">
        <f aca="false">ROUND(MAX(0,MIN(0.8*$C$7,O40)-F40),0)</f>
        <v>4826</v>
      </c>
      <c r="I40" s="102" t="n">
        <f aca="false">P40*'Box Draw Detail'!I48+'S Kitty Detail'!I48*Q40</f>
        <v>0.648259976689977</v>
      </c>
      <c r="J40" s="292" t="n">
        <f aca="false">ROUND(MIN('Kennedy Gas Daily Pricing'!D29,MAX(0,O40-SUM(D40,F40,H40))),0)</f>
        <v>2205</v>
      </c>
      <c r="K40" s="102" t="n">
        <f aca="false">P40*'Box Draw Detail'!K48+Q40*'S Kitty Detail'!K48</f>
        <v>0.76548851981352</v>
      </c>
      <c r="L40" s="293" t="n">
        <f aca="false">MAX(0,O40-SUM(D40,F40,H40,J40))</f>
        <v>19663</v>
      </c>
      <c r="M40" s="280" t="n">
        <f aca="false">SUM('[1]Enron Detail'!$C36:$D36)</f>
        <v>12245</v>
      </c>
      <c r="N40" s="281" t="n">
        <f aca="false">SUM('[1]Enron Detail'!$F36:$G36)</f>
        <v>30655</v>
      </c>
      <c r="O40" s="282" t="n">
        <f aca="false">+M40+N40</f>
        <v>42900</v>
      </c>
      <c r="P40" s="283" t="n">
        <f aca="false">M40/$O40</f>
        <v>0.285431235431235</v>
      </c>
      <c r="Q40" s="284" t="n">
        <f aca="false">N40/$O40</f>
        <v>0.714568764568765</v>
      </c>
      <c r="S40" s="8" t="n">
        <f aca="false">A40</f>
        <v>37218</v>
      </c>
      <c r="T40" s="285" t="n">
        <f aca="false">D40/$O40</f>
        <v>0.0980419580419581</v>
      </c>
      <c r="U40" s="286" t="n">
        <f aca="false">F40/$O40</f>
        <v>0.27972027972028</v>
      </c>
      <c r="V40" s="286" t="n">
        <f aca="false">H40/$O40</f>
        <v>0.112494172494173</v>
      </c>
      <c r="W40" s="286" t="n">
        <f aca="false">J40/$O40</f>
        <v>0.0513986013986014</v>
      </c>
      <c r="X40" s="286" t="n">
        <f aca="false">L40/$O40</f>
        <v>0.458344988344988</v>
      </c>
      <c r="Y40" s="287" t="n">
        <f aca="false">SUM(T40:X40)</f>
        <v>1</v>
      </c>
      <c r="AA40" s="288"/>
      <c r="AB40" s="286"/>
      <c r="AC40" s="286"/>
      <c r="AD40" s="289"/>
    </row>
    <row r="41" customFormat="false" ht="12.75" hidden="false" customHeight="false" outlineLevel="0" collapsed="false">
      <c r="A41" s="8" t="n">
        <f aca="false">+'Index Pricing'!A30</f>
        <v>37219</v>
      </c>
      <c r="B41" s="291" t="n">
        <f aca="false">+'Index Pricing'!B30</f>
        <v>1.43</v>
      </c>
      <c r="C41" s="100" t="n">
        <f aca="false">P41*'Box Draw Detail'!C49+Q41*'S Kitty Detail'!C49</f>
        <v>0.8184620664369</v>
      </c>
      <c r="D41" s="103" t="n">
        <f aca="false">MAX(0,MIN($C$7,O41)-F41-H41)</f>
        <v>4206</v>
      </c>
      <c r="E41" s="102" t="n">
        <f aca="false">P41*'Box Draw Detail'!E49+Q41*'S Kitty Detail'!E49</f>
        <v>2.16393142186698</v>
      </c>
      <c r="F41" s="292" t="n">
        <f aca="false">ROUND(MIN(12000,$C$7*0.8,O41),0)</f>
        <v>12000</v>
      </c>
      <c r="G41" s="102" t="n">
        <f aca="false">P41*'Box Draw Detail'!G49+Q41*'S Kitty Detail'!G49</f>
        <v>1.9284620664369</v>
      </c>
      <c r="H41" s="292" t="n">
        <f aca="false">ROUND(MAX(0,MIN(0.8*$C$7,O41)-F41),0)</f>
        <v>4826</v>
      </c>
      <c r="I41" s="102" t="n">
        <f aca="false">P41*'Box Draw Detail'!I49+'S Kitty Detail'!I49*Q41</f>
        <v>0.65123142186698</v>
      </c>
      <c r="J41" s="292" t="n">
        <f aca="false">ROUND(MIN('Kennedy Gas Daily Pricing'!D30,MAX(0,O41-SUM(D41,F41,H41))),0)</f>
        <v>2205</v>
      </c>
      <c r="K41" s="102" t="n">
        <f aca="false">P41*'Box Draw Detail'!K49+Q41*'S Kitty Detail'!K49</f>
        <v>0.7684620664369</v>
      </c>
      <c r="L41" s="293" t="n">
        <f aca="false">MAX(0,O41-SUM(D41,F41,H41,J41))</f>
        <v>17674</v>
      </c>
      <c r="M41" s="280" t="n">
        <f aca="false">SUM('[1]Enron Detail'!$C37:$D37)</f>
        <v>12537</v>
      </c>
      <c r="N41" s="281" t="n">
        <f aca="false">SUM('[1]Enron Detail'!$F37:$G37)</f>
        <v>28374</v>
      </c>
      <c r="O41" s="282" t="n">
        <f aca="false">+M41+N41</f>
        <v>40911</v>
      </c>
      <c r="P41" s="283" t="n">
        <f aca="false">M41/$O41</f>
        <v>0.306445699200704</v>
      </c>
      <c r="Q41" s="284" t="n">
        <f aca="false">N41/$O41</f>
        <v>0.693554300799296</v>
      </c>
      <c r="S41" s="8" t="n">
        <f aca="false">A41</f>
        <v>37219</v>
      </c>
      <c r="T41" s="285" t="n">
        <f aca="false">D41/$O41</f>
        <v>0.102808535601672</v>
      </c>
      <c r="U41" s="286" t="n">
        <f aca="false">F41/$O41</f>
        <v>0.293319645083229</v>
      </c>
      <c r="V41" s="286" t="n">
        <f aca="false">H41/$O41</f>
        <v>0.117963383930972</v>
      </c>
      <c r="W41" s="286" t="n">
        <f aca="false">J41/$O41</f>
        <v>0.0538974847840434</v>
      </c>
      <c r="X41" s="286" t="n">
        <f aca="false">L41/$O41</f>
        <v>0.432010950600083</v>
      </c>
      <c r="Y41" s="287" t="n">
        <f aca="false">SUM(T41:X41)</f>
        <v>1</v>
      </c>
      <c r="AA41" s="288"/>
      <c r="AB41" s="286"/>
      <c r="AC41" s="286"/>
      <c r="AD41" s="289"/>
    </row>
    <row r="42" customFormat="false" ht="12.75" hidden="false" customHeight="false" outlineLevel="0" collapsed="false">
      <c r="A42" s="8" t="n">
        <f aca="false">+'Index Pricing'!A31</f>
        <v>37220</v>
      </c>
      <c r="B42" s="291" t="n">
        <f aca="false">+'Index Pricing'!B31</f>
        <v>1.43</v>
      </c>
      <c r="C42" s="100" t="n">
        <f aca="false">P42*'Box Draw Detail'!C50+Q42*'S Kitty Detail'!C50</f>
        <v>0.827308546093869</v>
      </c>
      <c r="D42" s="103" t="n">
        <f aca="false">MAX(0,MIN($C$7,O42)-F42-H42)</f>
        <v>4206</v>
      </c>
      <c r="E42" s="102" t="n">
        <f aca="false">P42*'Box Draw Detail'!E50+Q42*'S Kitty Detail'!E50</f>
        <v>2.17277164959486</v>
      </c>
      <c r="F42" s="292" t="n">
        <f aca="false">ROUND(MIN(12000,$C$7*0.8,O42),0)</f>
        <v>12000</v>
      </c>
      <c r="G42" s="102" t="n">
        <f aca="false">P42*'Box Draw Detail'!G50+Q42*'S Kitty Detail'!G50</f>
        <v>1.93730854609387</v>
      </c>
      <c r="H42" s="292" t="n">
        <f aca="false">ROUND(MAX(0,MIN(0.8*$C$7,O42)-F42),0)</f>
        <v>4826</v>
      </c>
      <c r="I42" s="102" t="n">
        <f aca="false">P42*'Box Draw Detail'!I50+'S Kitty Detail'!I50*Q42</f>
        <v>0.660071649594863</v>
      </c>
      <c r="J42" s="292" t="n">
        <f aca="false">ROUND(MIN('Kennedy Gas Daily Pricing'!D31,MAX(0,O42-SUM(D42,F42,H42))),0)</f>
        <v>2205</v>
      </c>
      <c r="K42" s="102" t="n">
        <f aca="false">P42*'Box Draw Detail'!K50+Q42*'S Kitty Detail'!K50</f>
        <v>0.777308546093869</v>
      </c>
      <c r="L42" s="293" t="n">
        <f aca="false">MAX(0,O42-SUM(D42,F42,H42,J42))</f>
        <v>9468</v>
      </c>
      <c r="M42" s="280" t="n">
        <f aca="false">SUM('[1]Enron Detail'!$C38:$D38)</f>
        <v>12067</v>
      </c>
      <c r="N42" s="281" t="n">
        <f aca="false">SUM('[1]Enron Detail'!$F38:$G38)</f>
        <v>20638</v>
      </c>
      <c r="O42" s="282" t="n">
        <f aca="false">+M42+N42</f>
        <v>32705</v>
      </c>
      <c r="P42" s="283" t="n">
        <f aca="false">M42/$O42</f>
        <v>0.368964990062682</v>
      </c>
      <c r="Q42" s="284" t="n">
        <f aca="false">N42/$O42</f>
        <v>0.631035009937318</v>
      </c>
      <c r="S42" s="8" t="n">
        <f aca="false">A42</f>
        <v>37220</v>
      </c>
      <c r="T42" s="285" t="n">
        <f aca="false">D42/$O42</f>
        <v>0.128604188961932</v>
      </c>
      <c r="U42" s="286" t="n">
        <f aca="false">F42/$O42</f>
        <v>0.366916373643174</v>
      </c>
      <c r="V42" s="286" t="n">
        <f aca="false">H42/$O42</f>
        <v>0.147561534933496</v>
      </c>
      <c r="W42" s="286" t="n">
        <f aca="false">J42/$O42</f>
        <v>0.0674208836569332</v>
      </c>
      <c r="X42" s="286" t="n">
        <f aca="false">L42/$O42</f>
        <v>0.289497018804464</v>
      </c>
      <c r="Y42" s="287" t="n">
        <f aca="false">SUM(T42:X42)</f>
        <v>1</v>
      </c>
      <c r="AA42" s="288"/>
      <c r="AB42" s="286"/>
      <c r="AC42" s="286"/>
      <c r="AD42" s="289"/>
    </row>
    <row r="43" customFormat="false" ht="12.75" hidden="false" customHeight="false" outlineLevel="0" collapsed="false">
      <c r="A43" s="8" t="n">
        <f aca="false">+'Index Pricing'!A32</f>
        <v>37221</v>
      </c>
      <c r="B43" s="291" t="n">
        <f aca="false">+'Index Pricing'!B32</f>
        <v>1.43</v>
      </c>
      <c r="C43" s="100" t="n">
        <f aca="false">P43*'Box Draw Detail'!C51+Q43*'S Kitty Detail'!C51</f>
        <v>0.818373003822053</v>
      </c>
      <c r="D43" s="103" t="n">
        <f aca="false">MAX(0,MIN($C$7,O43)-F43-H43)</f>
        <v>4206</v>
      </c>
      <c r="E43" s="102" t="n">
        <f aca="false">P43*'Box Draw Detail'!E51+Q43*'S Kitty Detail'!E51</f>
        <v>2.16384242219391</v>
      </c>
      <c r="F43" s="292" t="n">
        <f aca="false">ROUND(MIN(12000,$C$7*0.8,O43),0)</f>
        <v>12000</v>
      </c>
      <c r="G43" s="102" t="n">
        <f aca="false">P43*'Box Draw Detail'!G51+Q43*'S Kitty Detail'!G51</f>
        <v>1.92837300382205</v>
      </c>
      <c r="H43" s="292" t="n">
        <f aca="false">ROUND(MAX(0,MIN(0.8*$C$7,O43)-F43),0)</f>
        <v>4826</v>
      </c>
      <c r="I43" s="102" t="n">
        <f aca="false">P43*'Box Draw Detail'!I51+'S Kitty Detail'!I51*Q43</f>
        <v>0.651142422193911</v>
      </c>
      <c r="J43" s="292" t="n">
        <f aca="false">ROUND(MIN('Kennedy Gas Daily Pricing'!D32,MAX(0,O43-SUM(D43,F43,H43))),0)</f>
        <v>2205</v>
      </c>
      <c r="K43" s="102" t="n">
        <f aca="false">P43*'Box Draw Detail'!K51+Q43*'S Kitty Detail'!K51</f>
        <v>0.768373003822053</v>
      </c>
      <c r="L43" s="293" t="n">
        <f aca="false">MAX(0,O43-SUM(D43,F43,H43,J43))</f>
        <v>15224</v>
      </c>
      <c r="M43" s="280" t="n">
        <f aca="false">SUM('[1]Enron Detail'!$C39:$D39)</f>
        <v>11762</v>
      </c>
      <c r="N43" s="281" t="n">
        <f aca="false">SUM('[1]Enron Detail'!$F39:$G39)</f>
        <v>26699</v>
      </c>
      <c r="O43" s="282" t="n">
        <f aca="false">+M43+N43</f>
        <v>38461</v>
      </c>
      <c r="P43" s="283" t="n">
        <f aca="false">M43/$O43</f>
        <v>0.30581628142794</v>
      </c>
      <c r="Q43" s="284" t="n">
        <f aca="false">N43/$O43</f>
        <v>0.69418371857206</v>
      </c>
      <c r="S43" s="8" t="n">
        <f aca="false">A43</f>
        <v>37221</v>
      </c>
      <c r="T43" s="285" t="n">
        <f aca="false">D43/$O43</f>
        <v>0.109357531005434</v>
      </c>
      <c r="U43" s="286" t="n">
        <f aca="false">F43/$O43</f>
        <v>0.312004368061153</v>
      </c>
      <c r="V43" s="286" t="n">
        <f aca="false">H43/$O43</f>
        <v>0.125477756688594</v>
      </c>
      <c r="W43" s="286" t="n">
        <f aca="false">J43/$O43</f>
        <v>0.0573308026312368</v>
      </c>
      <c r="X43" s="286" t="n">
        <f aca="false">L43/$O43</f>
        <v>0.395829541613583</v>
      </c>
      <c r="Y43" s="287" t="n">
        <f aca="false">SUM(T43:X43)</f>
        <v>1</v>
      </c>
      <c r="AA43" s="288"/>
      <c r="AB43" s="286"/>
      <c r="AC43" s="286"/>
      <c r="AD43" s="289"/>
    </row>
    <row r="44" customFormat="false" ht="12.75" hidden="false" customHeight="false" outlineLevel="0" collapsed="false">
      <c r="A44" s="8" t="n">
        <f aca="false">+'Index Pricing'!A33</f>
        <v>37222</v>
      </c>
      <c r="B44" s="291" t="n">
        <f aca="false">+'Index Pricing'!B33</f>
        <v>1.88</v>
      </c>
      <c r="C44" s="100" t="n">
        <f aca="false">P44*'Box Draw Detail'!C52+Q44*'S Kitty Detail'!C52</f>
        <v>1.26892473898143</v>
      </c>
      <c r="D44" s="103" t="n">
        <f aca="false">MAX(0,MIN($C$7,O44)-F44-H44)</f>
        <v>4206</v>
      </c>
      <c r="E44" s="102" t="n">
        <f aca="false">P44*'Box Draw Detail'!E52+Q44*'S Kitty Detail'!E52</f>
        <v>2.16439376743445</v>
      </c>
      <c r="F44" s="292" t="n">
        <f aca="false">ROUND(MIN(12000,$C$7*0.8,O44),0)</f>
        <v>12000</v>
      </c>
      <c r="G44" s="102" t="n">
        <f aca="false">P44*'Box Draw Detail'!G52+Q44*'S Kitty Detail'!G52</f>
        <v>1.92892473898143</v>
      </c>
      <c r="H44" s="292" t="n">
        <f aca="false">ROUND(MAX(0,MIN(0.8*$C$7,O44)-F44),0)</f>
        <v>4826</v>
      </c>
      <c r="I44" s="102" t="n">
        <f aca="false">P44*'Box Draw Detail'!I52+'S Kitty Detail'!I52*Q44</f>
        <v>1.10169376743445</v>
      </c>
      <c r="J44" s="292" t="n">
        <f aca="false">ROUND(MIN('Kennedy Gas Daily Pricing'!D33,MAX(0,O44-SUM(D44,F44,H44))),0)</f>
        <v>2205</v>
      </c>
      <c r="K44" s="102" t="n">
        <f aca="false">P44*'Box Draw Detail'!K52+Q44*'S Kitty Detail'!K52</f>
        <v>1.21892473898143</v>
      </c>
      <c r="L44" s="293" t="n">
        <f aca="false">MAX(0,O44-SUM(D44,F44,H44,J44))</f>
        <v>14404</v>
      </c>
      <c r="M44" s="280" t="n">
        <f aca="false">SUM('[1]Enron Detail'!$C40:$D40)</f>
        <v>11658</v>
      </c>
      <c r="N44" s="281" t="n">
        <f aca="false">SUM('[1]Enron Detail'!$F40:$G40)</f>
        <v>25983</v>
      </c>
      <c r="O44" s="282" t="n">
        <f aca="false">+M44+N44</f>
        <v>37641</v>
      </c>
      <c r="P44" s="283" t="n">
        <f aca="false">M44/$O44</f>
        <v>0.309715469833426</v>
      </c>
      <c r="Q44" s="284" t="n">
        <f aca="false">N44/$O44</f>
        <v>0.690284530166574</v>
      </c>
      <c r="S44" s="8" t="n">
        <f aca="false">A44</f>
        <v>37222</v>
      </c>
      <c r="T44" s="285" t="n">
        <f aca="false">D44/$O44</f>
        <v>0.111739858133418</v>
      </c>
      <c r="U44" s="286" t="n">
        <f aca="false">F44/$O44</f>
        <v>0.318801307085359</v>
      </c>
      <c r="V44" s="286" t="n">
        <f aca="false">H44/$O44</f>
        <v>0.128211258999495</v>
      </c>
      <c r="W44" s="286" t="n">
        <f aca="false">J44/$O44</f>
        <v>0.0585797401769347</v>
      </c>
      <c r="X44" s="286" t="n">
        <f aca="false">L44/$O44</f>
        <v>0.382667835604793</v>
      </c>
      <c r="Y44" s="287" t="n">
        <f aca="false">SUM(T44:X44)</f>
        <v>1</v>
      </c>
      <c r="AA44" s="288"/>
      <c r="AB44" s="286"/>
      <c r="AC44" s="286"/>
      <c r="AD44" s="289"/>
    </row>
    <row r="45" customFormat="false" ht="12.75" hidden="false" customHeight="false" outlineLevel="0" collapsed="false">
      <c r="A45" s="8" t="n">
        <f aca="false">+'Index Pricing'!A34</f>
        <v>37223</v>
      </c>
      <c r="B45" s="291" t="n">
        <f aca="false">+'Index Pricing'!B34</f>
        <v>2.16</v>
      </c>
      <c r="C45" s="100" t="n">
        <f aca="false">P45*'Box Draw Detail'!C53+Q45*'S Kitty Detail'!C53</f>
        <v>1.55342012489983</v>
      </c>
      <c r="D45" s="103" t="n">
        <f aca="false">MAX(0,MIN($C$7,O45)-F45-H45)</f>
        <v>4206</v>
      </c>
      <c r="E45" s="102" t="n">
        <f aca="false">P45*'Box Draw Detail'!E53+Q45*'S Kitty Detail'!E53</f>
        <v>2.16888597640167</v>
      </c>
      <c r="F45" s="292" t="n">
        <f aca="false">ROUND(MIN(12000,$C$7*0.8,O45),0)</f>
        <v>12000</v>
      </c>
      <c r="G45" s="102" t="n">
        <f aca="false">P45*'Box Draw Detail'!G53+Q45*'S Kitty Detail'!G53</f>
        <v>1.93342012489983</v>
      </c>
      <c r="H45" s="292" t="n">
        <f aca="false">ROUND(MAX(0,MIN(0.8*$C$7,O45)-F45),0)</f>
        <v>4826</v>
      </c>
      <c r="I45" s="102" t="n">
        <f aca="false">P45*'Box Draw Detail'!I53+'S Kitty Detail'!I53*Q45</f>
        <v>1.38618597640167</v>
      </c>
      <c r="J45" s="292" t="n">
        <f aca="false">ROUND(MIN('Kennedy Gas Daily Pricing'!D34,MAX(0,O45-SUM(D45,F45,H45))),0)</f>
        <v>2205</v>
      </c>
      <c r="K45" s="102" t="n">
        <f aca="false">P45*'Box Draw Detail'!K53+Q45*'S Kitty Detail'!K53</f>
        <v>1.50342012489983</v>
      </c>
      <c r="L45" s="293" t="n">
        <f aca="false">MAX(0,O45-SUM(D45,F45,H45,J45))</f>
        <v>12952</v>
      </c>
      <c r="M45" s="280" t="n">
        <f aca="false">SUM('[1]Enron Detail'!$C41:$D41)</f>
        <v>12358</v>
      </c>
      <c r="N45" s="281" t="n">
        <f aca="false">SUM('[1]Enron Detail'!$F41:$G41)</f>
        <v>23831</v>
      </c>
      <c r="O45" s="282" t="n">
        <f aca="false">+M45+N45</f>
        <v>36189</v>
      </c>
      <c r="P45" s="283" t="n">
        <f aca="false">M45/$O45</f>
        <v>0.34148498162425</v>
      </c>
      <c r="Q45" s="284" t="n">
        <f aca="false">N45/$O45</f>
        <v>0.65851501837575</v>
      </c>
      <c r="S45" s="8" t="n">
        <f aca="false">A45</f>
        <v>37223</v>
      </c>
      <c r="T45" s="285" t="n">
        <f aca="false">D45/$O45</f>
        <v>0.116223161734229</v>
      </c>
      <c r="U45" s="286" t="n">
        <f aca="false">F45/$O45</f>
        <v>0.331592472850866</v>
      </c>
      <c r="V45" s="286" t="n">
        <f aca="false">H45/$O45</f>
        <v>0.13335543949819</v>
      </c>
      <c r="W45" s="286" t="n">
        <f aca="false">J45/$O45</f>
        <v>0.0609301168863467</v>
      </c>
      <c r="X45" s="286" t="n">
        <f aca="false">L45/$O45</f>
        <v>0.357898809030368</v>
      </c>
      <c r="Y45" s="287" t="n">
        <f aca="false">SUM(T45:X45)</f>
        <v>1</v>
      </c>
      <c r="AA45" s="288"/>
      <c r="AB45" s="286"/>
      <c r="AC45" s="286"/>
      <c r="AD45" s="289"/>
    </row>
    <row r="46" customFormat="false" ht="12.75" hidden="false" customHeight="false" outlineLevel="0" collapsed="false">
      <c r="A46" s="8" t="n">
        <f aca="false">+'Index Pricing'!A35</f>
        <v>37224</v>
      </c>
      <c r="B46" s="291" t="n">
        <f aca="false">+'Index Pricing'!B35</f>
        <v>2.38</v>
      </c>
      <c r="C46" s="100" t="n">
        <f aca="false">P46*'Box Draw Detail'!C54+Q46*'S Kitty Detail'!C54</f>
        <v>1.77005940416827</v>
      </c>
      <c r="D46" s="103" t="n">
        <f aca="false">MAX(0,MIN($C$7,O46)-F46-H46)</f>
        <v>0</v>
      </c>
      <c r="E46" s="102" t="n">
        <f aca="false">P46*'Box Draw Detail'!E54+Q46*'S Kitty Detail'!E54</f>
        <v>2.16552763073776</v>
      </c>
      <c r="F46" s="292" t="n">
        <f aca="false">ROUND(MIN(12000,$C$7*0.8,O46),0)</f>
        <v>12000</v>
      </c>
      <c r="G46" s="102" t="n">
        <f aca="false">P46*'Box Draw Detail'!G54+Q46*'S Kitty Detail'!G54</f>
        <v>1.93005940416827</v>
      </c>
      <c r="H46" s="292" t="n">
        <f aca="false">ROUND(MAX(0,MIN(0.8*$C$7,O46)-F46),0)</f>
        <v>3642</v>
      </c>
      <c r="I46" s="102" t="n">
        <f aca="false">P46*'Box Draw Detail'!I54+'S Kitty Detail'!I54*Q46</f>
        <v>1.60282763073776</v>
      </c>
      <c r="J46" s="292" t="n">
        <f aca="false">ROUND(MIN('Kennedy Gas Daily Pricing'!D35,MAX(0,O46-SUM(D46,F46,H46))),0)</f>
        <v>0</v>
      </c>
      <c r="K46" s="102" t="n">
        <f aca="false">P46*'Box Draw Detail'!K54+Q46*'S Kitty Detail'!K54</f>
        <v>1.72005940416826</v>
      </c>
      <c r="L46" s="293" t="n">
        <f aca="false">MAX(0,O46-SUM(D46,F46,H46,J46))</f>
        <v>0</v>
      </c>
      <c r="M46" s="280" t="n">
        <f aca="false">SUM('[1]Enron Detail'!$C42:$D42)</f>
        <v>4970</v>
      </c>
      <c r="N46" s="281" t="n">
        <f aca="false">SUM('[1]Enron Detail'!$F42:$G42)</f>
        <v>10672</v>
      </c>
      <c r="O46" s="282" t="n">
        <f aca="false">+M46+N46</f>
        <v>15642</v>
      </c>
      <c r="P46" s="283" t="n">
        <f aca="false">M46/$O46</f>
        <v>0.317734305076077</v>
      </c>
      <c r="Q46" s="284" t="n">
        <f aca="false">N46/$O46</f>
        <v>0.682265694923923</v>
      </c>
      <c r="S46" s="8" t="n">
        <f aca="false">A46</f>
        <v>37224</v>
      </c>
      <c r="T46" s="285" t="n">
        <f aca="false">D46/$O46</f>
        <v>0</v>
      </c>
      <c r="U46" s="286" t="n">
        <f aca="false">F46/$O46</f>
        <v>0.767165324127349</v>
      </c>
      <c r="V46" s="286" t="n">
        <f aca="false">H46/$O46</f>
        <v>0.232834675872651</v>
      </c>
      <c r="W46" s="286" t="n">
        <f aca="false">J46/$O46</f>
        <v>0</v>
      </c>
      <c r="X46" s="286" t="n">
        <f aca="false">L46/$O46</f>
        <v>0</v>
      </c>
      <c r="Y46" s="287" t="n">
        <f aca="false">SUM(T46:X46)</f>
        <v>1</v>
      </c>
      <c r="AA46" s="288"/>
      <c r="AB46" s="286"/>
      <c r="AC46" s="286"/>
      <c r="AD46" s="289"/>
    </row>
    <row r="47" customFormat="false" ht="12.75" hidden="false" customHeight="false" outlineLevel="0" collapsed="false">
      <c r="A47" s="8" t="n">
        <f aca="false">+'Index Pricing'!A36</f>
        <v>37225</v>
      </c>
      <c r="B47" s="291" t="n">
        <f aca="false">+'Index Pricing'!B36</f>
        <v>2.025</v>
      </c>
      <c r="C47" s="100" t="n">
        <f aca="false">P47*'Box Draw Detail'!C55+Q47*'S Kitty Detail'!C55</f>
        <v>0</v>
      </c>
      <c r="D47" s="103" t="n">
        <f aca="false">MAX(0,MIN($C$7,O47)-F47-H47)</f>
        <v>0</v>
      </c>
      <c r="E47" s="102" t="n">
        <f aca="false">P47*'Box Draw Detail'!E55+Q47*'S Kitty Detail'!E55</f>
        <v>0</v>
      </c>
      <c r="F47" s="292" t="n">
        <f aca="false">ROUND(MIN(12000,$C$7*0.8,O47),0)</f>
        <v>0</v>
      </c>
      <c r="G47" s="102" t="n">
        <f aca="false">P47*'Box Draw Detail'!G55+Q47*'S Kitty Detail'!G55</f>
        <v>0</v>
      </c>
      <c r="H47" s="292" t="n">
        <f aca="false">ROUND(MAX(0,MIN(0.8*$C$7,O47)-F47),0)</f>
        <v>0</v>
      </c>
      <c r="I47" s="102" t="n">
        <f aca="false">P47*'Box Draw Detail'!I55+'S Kitty Detail'!I55*Q47</f>
        <v>0</v>
      </c>
      <c r="J47" s="292" t="n">
        <f aca="false">ROUND(MIN('Kennedy Gas Daily Pricing'!D36,MAX(0,O47-SUM(D47,F47,H47))),0)</f>
        <v>0</v>
      </c>
      <c r="K47" s="102" t="n">
        <f aca="false">P47*'Box Draw Detail'!K55+Q47*'S Kitty Detail'!K55</f>
        <v>0</v>
      </c>
      <c r="L47" s="293" t="n">
        <f aca="false">MAX(0,O47-SUM(D47,F47,H47,J47))</f>
        <v>0</v>
      </c>
      <c r="M47" s="280" t="n">
        <f aca="false">SUM('[1]Enron Detail'!$C43:$D43)</f>
        <v>0</v>
      </c>
      <c r="N47" s="281" t="n">
        <f aca="false">SUM('[1]Enron Detail'!$F43:$G43)</f>
        <v>0</v>
      </c>
      <c r="O47" s="282" t="n">
        <f aca="false">+M47+N47</f>
        <v>0</v>
      </c>
      <c r="P47" s="283" t="n">
        <v>0</v>
      </c>
      <c r="Q47" s="284" t="n">
        <v>0</v>
      </c>
      <c r="S47" s="8" t="n">
        <f aca="false">A47</f>
        <v>37225</v>
      </c>
      <c r="T47" s="285" t="e">
        <f aca="false">D47/$O47</f>
        <v>#DIV/0!</v>
      </c>
      <c r="U47" s="286" t="e">
        <f aca="false">F47/$O47</f>
        <v>#DIV/0!</v>
      </c>
      <c r="V47" s="286" t="e">
        <f aca="false">H47/$O47</f>
        <v>#DIV/0!</v>
      </c>
      <c r="W47" s="286" t="e">
        <f aca="false">J47/$O47</f>
        <v>#DIV/0!</v>
      </c>
      <c r="X47" s="286" t="e">
        <f aca="false">L47/$O47</f>
        <v>#DIV/0!</v>
      </c>
      <c r="Y47" s="287" t="e">
        <f aca="false">SUM(T47:X47)</f>
        <v>#DIV/0!</v>
      </c>
      <c r="AA47" s="288"/>
      <c r="AB47" s="286"/>
      <c r="AC47" s="286"/>
      <c r="AD47" s="289"/>
    </row>
    <row r="48" customFormat="false" ht="13.5" hidden="false" customHeight="false" outlineLevel="0" collapsed="false">
      <c r="A48" s="8"/>
      <c r="B48" s="296"/>
      <c r="C48" s="105"/>
      <c r="D48" s="108"/>
      <c r="E48" s="107"/>
      <c r="F48" s="297"/>
      <c r="G48" s="107"/>
      <c r="H48" s="297"/>
      <c r="I48" s="107"/>
      <c r="J48" s="297"/>
      <c r="K48" s="107"/>
      <c r="L48" s="298"/>
      <c r="M48" s="299"/>
      <c r="N48" s="300"/>
      <c r="O48" s="301"/>
      <c r="P48" s="302"/>
      <c r="Q48" s="303"/>
      <c r="S48" s="8" t="n">
        <f aca="false">A48</f>
        <v>0</v>
      </c>
      <c r="T48" s="304" t="e">
        <f aca="false">D48/$O48</f>
        <v>#DIV/0!</v>
      </c>
      <c r="U48" s="305" t="e">
        <f aca="false">F48/$O48</f>
        <v>#DIV/0!</v>
      </c>
      <c r="V48" s="305" t="e">
        <f aca="false">H48/$O48</f>
        <v>#DIV/0!</v>
      </c>
      <c r="W48" s="305" t="e">
        <f aca="false">J48/$O48</f>
        <v>#DIV/0!</v>
      </c>
      <c r="X48" s="305" t="e">
        <f aca="false">L48/$O48</f>
        <v>#DIV/0!</v>
      </c>
      <c r="Y48" s="306" t="e">
        <f aca="false">SUM(T48:X48)</f>
        <v>#DIV/0!</v>
      </c>
      <c r="AA48" s="288"/>
      <c r="AB48" s="286"/>
      <c r="AC48" s="286"/>
      <c r="AD48" s="289"/>
    </row>
    <row r="49" customFormat="false" ht="12.75" hidden="false" customHeight="false" outlineLevel="0" collapsed="false">
      <c r="A49" s="307" t="s">
        <v>179</v>
      </c>
      <c r="B49" s="308" t="n">
        <f aca="false">IF(D49=0,AVERAGE(B18:B48),SUMPRODUCT(B18:B48,D18:D48)/D49)</f>
        <v>1.75928571428571</v>
      </c>
      <c r="C49" s="308" t="n">
        <f aca="false">IF(D49=0,AVERAGE(C18:C48),SUMPRODUCT(C18:C48,D18:D48)/D49)</f>
        <v>1.14847757639897</v>
      </c>
      <c r="D49" s="309" t="n">
        <f aca="false">SUM(D18:D48)</f>
        <v>117768</v>
      </c>
      <c r="E49" s="308" t="n">
        <f aca="false">IF(F49=0,AVERAGE(E18:E48),SUMPRODUCT(E18:E48,F18:F48)/F49)</f>
        <v>2.16469059588844</v>
      </c>
      <c r="F49" s="310" t="n">
        <f aca="false">SUM(F18:F48)</f>
        <v>348000</v>
      </c>
      <c r="G49" s="308" t="n">
        <f aca="false">IF(H49=0,AVERAGE(G18:G48),SUMPRODUCT(G18:G48,H18:H48)/H49)</f>
        <v>1.9292146306379</v>
      </c>
      <c r="H49" s="309" t="n">
        <f aca="false">SUM(H18:H48)</f>
        <v>138770</v>
      </c>
      <c r="I49" s="308" t="n">
        <f aca="false">IF(J49=0,AVERAGE(I18:I48),SUMPRODUCT(I18:I48,J18:J48)/J49)</f>
        <v>0.981246416072391</v>
      </c>
      <c r="J49" s="309" t="n">
        <f aca="false">SUM(J18:J48)</f>
        <v>61740</v>
      </c>
      <c r="K49" s="308" t="n">
        <f aca="false">IF(L49=0,AVERAGE(K18:K48),SUMPRODUCT(K18:K48,L18:L48)/L49)</f>
        <v>1.1357015028066</v>
      </c>
      <c r="L49" s="309" t="n">
        <f aca="false">SUM(L18:L48)</f>
        <v>446832</v>
      </c>
      <c r="M49" s="311" t="n">
        <f aca="false">SUM(M18:M48)</f>
        <v>345099</v>
      </c>
      <c r="N49" s="311" t="n">
        <f aca="false">SUM(N18:N48)</f>
        <v>768011</v>
      </c>
      <c r="O49" s="312" t="n">
        <f aca="false">SUM(O18:O48)</f>
        <v>1113110</v>
      </c>
      <c r="P49" s="311" t="n">
        <f aca="false">SUM(P18:P48)</f>
        <v>9.04262574798229</v>
      </c>
      <c r="Q49" s="311" t="n">
        <f aca="false">SUM(Q18:Q48)</f>
        <v>19.9573742520177</v>
      </c>
    </row>
    <row r="50" customFormat="false" ht="12.75" hidden="false" customHeight="false" outlineLevel="0" collapsed="false">
      <c r="A50" s="307" t="s">
        <v>180</v>
      </c>
      <c r="B50" s="308"/>
      <c r="C50" s="313" t="n">
        <f aca="false">C49-$B49</f>
        <v>-0.610808137886742</v>
      </c>
      <c r="D50" s="309"/>
      <c r="E50" s="313" t="n">
        <f aca="false">E49-C5</f>
        <v>-0.875309404111563</v>
      </c>
      <c r="F50" s="310"/>
      <c r="G50" s="313" t="n">
        <f aca="false">G49-C6</f>
        <v>-0.610785369362102</v>
      </c>
      <c r="H50" s="309"/>
      <c r="I50" s="313" t="n">
        <f aca="false">I49-E6</f>
        <v>0.981246416072391</v>
      </c>
      <c r="J50" s="309"/>
      <c r="K50" s="313" t="n">
        <f aca="false">K49-SUMPRODUCT(B18:B47,L18:L47)/L49</f>
        <v>-0.661392595198916</v>
      </c>
      <c r="L50" s="309"/>
      <c r="M50" s="314"/>
      <c r="N50" s="314"/>
      <c r="O50" s="315"/>
      <c r="P50" s="314"/>
      <c r="Q50" s="314"/>
      <c r="AD50" s="316"/>
    </row>
    <row r="51" customFormat="false" ht="12.75" hidden="false" customHeight="false" outlineLevel="0" collapsed="false">
      <c r="I51" s="317"/>
    </row>
    <row r="52" customFormat="false" ht="12.75" hidden="false" customHeight="false" outlineLevel="0" collapsed="false">
      <c r="A52" s="0" t="s">
        <v>87</v>
      </c>
      <c r="L52" s="318"/>
    </row>
    <row r="53" customFormat="false" ht="12.75" hidden="false" customHeight="false" outlineLevel="0" collapsed="false">
      <c r="P53" s="48"/>
      <c r="S53" s="319"/>
    </row>
    <row r="54" customFormat="false" ht="12.75" hidden="false" customHeight="false" outlineLevel="0" collapsed="false">
      <c r="F54" s="54"/>
      <c r="S54" s="118"/>
    </row>
    <row r="55" customFormat="false" ht="12.75" hidden="false" customHeight="false" outlineLevel="0" collapsed="false">
      <c r="F55" s="55"/>
    </row>
    <row r="56" customFormat="false" ht="12.75" hidden="false" customHeight="false" outlineLevel="0" collapsed="false">
      <c r="F56" s="44"/>
    </row>
    <row r="59" customFormat="false" ht="12.75" hidden="false" customHeight="false" outlineLevel="0" collapsed="false">
      <c r="C59" s="0" t="s">
        <v>181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41" activeCellId="0" sqref="I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6.84"/>
    <col collapsed="false" customWidth="true" hidden="false" outlineLevel="0" max="4" min="4" style="0" width="17.85"/>
    <col collapsed="false" customWidth="true" hidden="false" outlineLevel="0" max="5" min="5" style="0" width="22.14"/>
  </cols>
  <sheetData>
    <row r="2" customFormat="false" ht="12.75" hidden="false" customHeight="false" outlineLevel="0" collapsed="false">
      <c r="A2" s="32" t="s">
        <v>88</v>
      </c>
    </row>
    <row r="3" customFormat="false" ht="12.75" hidden="false" customHeight="false" outlineLevel="0" collapsed="false">
      <c r="A3" s="32" t="s">
        <v>182</v>
      </c>
    </row>
    <row r="4" customFormat="false" ht="12.75" hidden="false" customHeight="false" outlineLevel="0" collapsed="false">
      <c r="D4" s="5" t="s">
        <v>183</v>
      </c>
      <c r="E4" s="320" t="n">
        <v>0.0068</v>
      </c>
    </row>
    <row r="5" customFormat="false" ht="12.75" hidden="false" customHeight="true" outlineLevel="0" collapsed="false">
      <c r="B5" s="24"/>
      <c r="D5" s="321" t="s">
        <v>184</v>
      </c>
      <c r="E5" s="321"/>
    </row>
    <row r="6" customFormat="false" ht="25.5" hidden="false" customHeight="true" outlineLevel="0" collapsed="false">
      <c r="B6" s="276" t="s">
        <v>185</v>
      </c>
      <c r="D6" s="322" t="s">
        <v>186</v>
      </c>
      <c r="E6" s="322" t="s">
        <v>187</v>
      </c>
    </row>
    <row r="7" customFormat="false" ht="12.75" hidden="false" customHeight="false" outlineLevel="0" collapsed="false">
      <c r="A7" s="121" t="n">
        <v>37165</v>
      </c>
      <c r="B7" s="54" t="n">
        <v>-0.05</v>
      </c>
      <c r="D7" s="43" t="n">
        <f aca="false">E7/(1-$E$4)</f>
        <v>2204.99395892066</v>
      </c>
      <c r="E7" s="323" t="n">
        <v>2190</v>
      </c>
    </row>
    <row r="8" customFormat="false" ht="12.75" hidden="false" customHeight="false" outlineLevel="0" collapsed="false">
      <c r="A8" s="121" t="n">
        <f aca="false">+A7+1</f>
        <v>37166</v>
      </c>
      <c r="B8" s="54" t="n">
        <v>-0.05</v>
      </c>
      <c r="D8" s="43" t="n">
        <f aca="false">E8/(1-$E$4)</f>
        <v>2204.99395892066</v>
      </c>
      <c r="E8" s="323" t="n">
        <v>2190</v>
      </c>
    </row>
    <row r="9" customFormat="false" ht="12.75" hidden="false" customHeight="false" outlineLevel="0" collapsed="false">
      <c r="A9" s="121" t="n">
        <f aca="false">+A8+1</f>
        <v>37167</v>
      </c>
      <c r="B9" s="54" t="n">
        <v>-0.05</v>
      </c>
      <c r="D9" s="43" t="n">
        <f aca="false">E9/(1-$E$4)</f>
        <v>2204.99395892066</v>
      </c>
      <c r="E9" s="323" t="n">
        <v>2190</v>
      </c>
    </row>
    <row r="10" customFormat="false" ht="12.75" hidden="false" customHeight="false" outlineLevel="0" collapsed="false">
      <c r="A10" s="121" t="n">
        <f aca="false">+A9+1</f>
        <v>37168</v>
      </c>
      <c r="B10" s="54" t="n">
        <v>-0.05</v>
      </c>
      <c r="D10" s="43" t="n">
        <f aca="false">E10/(1-$E$4)</f>
        <v>2204.99395892066</v>
      </c>
      <c r="E10" s="323" t="n">
        <v>2190</v>
      </c>
    </row>
    <row r="11" customFormat="false" ht="12.75" hidden="false" customHeight="false" outlineLevel="0" collapsed="false">
      <c r="A11" s="121" t="n">
        <f aca="false">+A10+1</f>
        <v>37169</v>
      </c>
      <c r="B11" s="54" t="n">
        <v>-0.05</v>
      </c>
      <c r="D11" s="43" t="n">
        <f aca="false">E11/(1-$E$4)</f>
        <v>2204.99395892066</v>
      </c>
      <c r="E11" s="323" t="n">
        <v>2190</v>
      </c>
    </row>
    <row r="12" customFormat="false" ht="12.75" hidden="false" customHeight="false" outlineLevel="0" collapsed="false">
      <c r="A12" s="121" t="n">
        <f aca="false">+A11+1</f>
        <v>37170</v>
      </c>
      <c r="B12" s="54" t="n">
        <v>-0.05</v>
      </c>
      <c r="D12" s="43" t="n">
        <f aca="false">E12/(1-$E$4)</f>
        <v>2204.99395892066</v>
      </c>
      <c r="E12" s="323" t="n">
        <v>2190</v>
      </c>
    </row>
    <row r="13" customFormat="false" ht="12.75" hidden="false" customHeight="false" outlineLevel="0" collapsed="false">
      <c r="A13" s="121" t="n">
        <f aca="false">+A12+1</f>
        <v>37171</v>
      </c>
      <c r="B13" s="54" t="n">
        <v>-0.05</v>
      </c>
      <c r="D13" s="43" t="n">
        <f aca="false">E13/(1-$E$4)</f>
        <v>2204.99395892066</v>
      </c>
      <c r="E13" s="323" t="n">
        <v>2190</v>
      </c>
    </row>
    <row r="14" customFormat="false" ht="12.75" hidden="false" customHeight="false" outlineLevel="0" collapsed="false">
      <c r="A14" s="121" t="n">
        <f aca="false">+A13+1</f>
        <v>37172</v>
      </c>
      <c r="B14" s="54" t="n">
        <v>-0.05</v>
      </c>
      <c r="D14" s="43" t="n">
        <f aca="false">E14/(1-$E$4)</f>
        <v>2204.99395892066</v>
      </c>
      <c r="E14" s="323" t="n">
        <v>2190</v>
      </c>
    </row>
    <row r="15" customFormat="false" ht="12.75" hidden="false" customHeight="false" outlineLevel="0" collapsed="false">
      <c r="A15" s="121" t="n">
        <f aca="false">+A14+1</f>
        <v>37173</v>
      </c>
      <c r="B15" s="54" t="n">
        <v>-0.05</v>
      </c>
      <c r="D15" s="43" t="n">
        <f aca="false">E15/(1-$E$4)</f>
        <v>2204.99395892066</v>
      </c>
      <c r="E15" s="323" t="n">
        <v>2190</v>
      </c>
    </row>
    <row r="16" customFormat="false" ht="12.75" hidden="false" customHeight="false" outlineLevel="0" collapsed="false">
      <c r="A16" s="121" t="n">
        <f aca="false">+A15+1</f>
        <v>37174</v>
      </c>
      <c r="B16" s="54" t="n">
        <v>-0.05</v>
      </c>
      <c r="D16" s="43" t="n">
        <f aca="false">E16/(1-$E$4)</f>
        <v>2204.99395892066</v>
      </c>
      <c r="E16" s="323" t="n">
        <v>2190</v>
      </c>
    </row>
    <row r="17" customFormat="false" ht="12.75" hidden="false" customHeight="false" outlineLevel="0" collapsed="false">
      <c r="A17" s="121" t="n">
        <f aca="false">+A16+1</f>
        <v>37175</v>
      </c>
      <c r="B17" s="54" t="n">
        <v>-0.05</v>
      </c>
      <c r="D17" s="43" t="n">
        <f aca="false">E17/(1-$E$4)</f>
        <v>2204.99395892066</v>
      </c>
      <c r="E17" s="323" t="n">
        <v>2190</v>
      </c>
    </row>
    <row r="18" customFormat="false" ht="12.75" hidden="false" customHeight="false" outlineLevel="0" collapsed="false">
      <c r="A18" s="121" t="n">
        <f aca="false">+A17+1</f>
        <v>37176</v>
      </c>
      <c r="B18" s="54" t="n">
        <v>-0.05</v>
      </c>
      <c r="D18" s="43" t="n">
        <f aca="false">E18/(1-$E$4)</f>
        <v>2204.99395892066</v>
      </c>
      <c r="E18" s="323" t="n">
        <v>2190</v>
      </c>
    </row>
    <row r="19" customFormat="false" ht="12.75" hidden="false" customHeight="false" outlineLevel="0" collapsed="false">
      <c r="A19" s="121" t="n">
        <f aca="false">+A18+1</f>
        <v>37177</v>
      </c>
      <c r="B19" s="54" t="n">
        <v>-0.05</v>
      </c>
      <c r="D19" s="43" t="n">
        <f aca="false">E19/(1-$E$4)</f>
        <v>2204.99395892066</v>
      </c>
      <c r="E19" s="323" t="n">
        <v>2190</v>
      </c>
    </row>
    <row r="20" customFormat="false" ht="12.75" hidden="false" customHeight="false" outlineLevel="0" collapsed="false">
      <c r="A20" s="121" t="n">
        <f aca="false">+A19+1</f>
        <v>37178</v>
      </c>
      <c r="B20" s="54" t="n">
        <v>-0.05</v>
      </c>
      <c r="D20" s="43" t="n">
        <f aca="false">E20/(1-$E$4)</f>
        <v>2204.99395892066</v>
      </c>
      <c r="E20" s="323" t="n">
        <v>2190</v>
      </c>
    </row>
    <row r="21" customFormat="false" ht="12.75" hidden="false" customHeight="false" outlineLevel="0" collapsed="false">
      <c r="A21" s="121" t="n">
        <f aca="false">+A20+1</f>
        <v>37179</v>
      </c>
      <c r="B21" s="54" t="n">
        <v>-0.05</v>
      </c>
      <c r="D21" s="43" t="n">
        <f aca="false">E21/(1-$E$4)</f>
        <v>2204.99395892066</v>
      </c>
      <c r="E21" s="323" t="n">
        <v>2190</v>
      </c>
    </row>
    <row r="22" customFormat="false" ht="12.75" hidden="false" customHeight="false" outlineLevel="0" collapsed="false">
      <c r="A22" s="121" t="n">
        <f aca="false">+A21+1</f>
        <v>37180</v>
      </c>
      <c r="B22" s="54" t="n">
        <v>-0.05</v>
      </c>
      <c r="D22" s="43" t="n">
        <f aca="false">E22/(1-$E$4)</f>
        <v>2204.99395892066</v>
      </c>
      <c r="E22" s="323" t="n">
        <v>2190</v>
      </c>
    </row>
    <row r="23" customFormat="false" ht="12.75" hidden="false" customHeight="false" outlineLevel="0" collapsed="false">
      <c r="A23" s="121" t="n">
        <f aca="false">+A22+1</f>
        <v>37181</v>
      </c>
      <c r="B23" s="54" t="n">
        <v>-0.05</v>
      </c>
      <c r="D23" s="43" t="n">
        <f aca="false">E23/(1-$E$4)</f>
        <v>2204.99395892066</v>
      </c>
      <c r="E23" s="323" t="n">
        <v>2190</v>
      </c>
    </row>
    <row r="24" customFormat="false" ht="12.75" hidden="false" customHeight="false" outlineLevel="0" collapsed="false">
      <c r="A24" s="121" t="n">
        <f aca="false">+A23+1</f>
        <v>37182</v>
      </c>
      <c r="B24" s="54" t="n">
        <v>-0.05</v>
      </c>
      <c r="D24" s="43" t="n">
        <f aca="false">E24/(1-$E$4)</f>
        <v>2204.99395892066</v>
      </c>
      <c r="E24" s="323" t="n">
        <v>2190</v>
      </c>
    </row>
    <row r="25" customFormat="false" ht="12.75" hidden="false" customHeight="false" outlineLevel="0" collapsed="false">
      <c r="A25" s="121" t="n">
        <f aca="false">+A24+1</f>
        <v>37183</v>
      </c>
      <c r="B25" s="54" t="n">
        <v>-0.05</v>
      </c>
      <c r="D25" s="43" t="n">
        <f aca="false">E25/(1-$E$4)</f>
        <v>2204.99395892066</v>
      </c>
      <c r="E25" s="323" t="n">
        <v>2190</v>
      </c>
    </row>
    <row r="26" customFormat="false" ht="12.75" hidden="false" customHeight="false" outlineLevel="0" collapsed="false">
      <c r="A26" s="121" t="n">
        <f aca="false">+A25+1</f>
        <v>37184</v>
      </c>
      <c r="B26" s="54" t="n">
        <v>-0.05</v>
      </c>
      <c r="D26" s="43" t="n">
        <f aca="false">E26/(1-$E$4)</f>
        <v>2204.99395892066</v>
      </c>
      <c r="E26" s="323" t="n">
        <v>2190</v>
      </c>
    </row>
    <row r="27" customFormat="false" ht="12.75" hidden="false" customHeight="false" outlineLevel="0" collapsed="false">
      <c r="A27" s="121" t="n">
        <f aca="false">+A26+1</f>
        <v>37185</v>
      </c>
      <c r="B27" s="54" t="n">
        <v>-0.05</v>
      </c>
      <c r="D27" s="43" t="n">
        <f aca="false">E27/(1-$E$4)</f>
        <v>2204.99395892066</v>
      </c>
      <c r="E27" s="323" t="n">
        <v>2190</v>
      </c>
    </row>
    <row r="28" customFormat="false" ht="12.75" hidden="false" customHeight="false" outlineLevel="0" collapsed="false">
      <c r="A28" s="121" t="n">
        <f aca="false">+A27+1</f>
        <v>37186</v>
      </c>
      <c r="B28" s="54" t="n">
        <v>-0.05</v>
      </c>
      <c r="D28" s="43" t="n">
        <f aca="false">E28/(1-$E$4)</f>
        <v>2204.99395892066</v>
      </c>
      <c r="E28" s="323" t="n">
        <v>2190</v>
      </c>
    </row>
    <row r="29" customFormat="false" ht="12.75" hidden="false" customHeight="false" outlineLevel="0" collapsed="false">
      <c r="A29" s="121" t="n">
        <f aca="false">+A28+1</f>
        <v>37187</v>
      </c>
      <c r="B29" s="54" t="n">
        <v>-0.05</v>
      </c>
      <c r="D29" s="43" t="n">
        <f aca="false">E29/(1-$E$4)</f>
        <v>2204.99395892066</v>
      </c>
      <c r="E29" s="323" t="n">
        <v>2190</v>
      </c>
    </row>
    <row r="30" customFormat="false" ht="12.75" hidden="false" customHeight="false" outlineLevel="0" collapsed="false">
      <c r="A30" s="121" t="n">
        <f aca="false">+A29+1</f>
        <v>37188</v>
      </c>
      <c r="B30" s="54" t="n">
        <v>-0.05</v>
      </c>
      <c r="D30" s="43" t="n">
        <f aca="false">E30/(1-$E$4)</f>
        <v>2204.99395892066</v>
      </c>
      <c r="E30" s="323" t="n">
        <v>2190</v>
      </c>
    </row>
    <row r="31" customFormat="false" ht="12.75" hidden="false" customHeight="false" outlineLevel="0" collapsed="false">
      <c r="A31" s="121" t="n">
        <f aca="false">+A30+1</f>
        <v>37189</v>
      </c>
      <c r="B31" s="54" t="n">
        <v>-0.05</v>
      </c>
      <c r="D31" s="43" t="n">
        <f aca="false">E31/(1-$E$4)</f>
        <v>2204.99395892066</v>
      </c>
      <c r="E31" s="323" t="n">
        <v>2190</v>
      </c>
    </row>
    <row r="32" customFormat="false" ht="12.75" hidden="false" customHeight="false" outlineLevel="0" collapsed="false">
      <c r="A32" s="121" t="n">
        <f aca="false">+A31+1</f>
        <v>37190</v>
      </c>
      <c r="B32" s="54" t="n">
        <v>-0.05</v>
      </c>
      <c r="D32" s="43" t="n">
        <f aca="false">E32/(1-$E$4)</f>
        <v>2204.99395892066</v>
      </c>
      <c r="E32" s="323" t="n">
        <v>2190</v>
      </c>
    </row>
    <row r="33" customFormat="false" ht="12.75" hidden="false" customHeight="false" outlineLevel="0" collapsed="false">
      <c r="A33" s="121" t="n">
        <f aca="false">+A32+1</f>
        <v>37191</v>
      </c>
      <c r="B33" s="54" t="n">
        <v>-0.05</v>
      </c>
      <c r="D33" s="43" t="n">
        <f aca="false">E33/(1-$E$4)</f>
        <v>2204.99395892066</v>
      </c>
      <c r="E33" s="323" t="n">
        <v>2190</v>
      </c>
    </row>
    <row r="34" customFormat="false" ht="12.75" hidden="false" customHeight="false" outlineLevel="0" collapsed="false">
      <c r="A34" s="121" t="n">
        <f aca="false">+A33+1</f>
        <v>37192</v>
      </c>
      <c r="B34" s="54" t="n">
        <v>-0.05</v>
      </c>
      <c r="D34" s="43" t="n">
        <f aca="false">E34/(1-$E$4)</f>
        <v>2204.99395892066</v>
      </c>
      <c r="E34" s="323" t="n">
        <v>2190</v>
      </c>
    </row>
    <row r="35" customFormat="false" ht="12.75" hidden="false" customHeight="false" outlineLevel="0" collapsed="false">
      <c r="A35" s="121" t="n">
        <f aca="false">+A34+1</f>
        <v>37193</v>
      </c>
      <c r="B35" s="54" t="n">
        <v>-0.05</v>
      </c>
      <c r="D35" s="43" t="n">
        <f aca="false">E35/(1-$E$4)</f>
        <v>2204.99395892066</v>
      </c>
      <c r="E35" s="323" t="n">
        <v>2190</v>
      </c>
    </row>
    <row r="36" customFormat="false" ht="12.75" hidden="false" customHeight="false" outlineLevel="0" collapsed="false">
      <c r="A36" s="121" t="n">
        <f aca="false">+A35+1</f>
        <v>37194</v>
      </c>
      <c r="B36" s="54" t="n">
        <v>-0.05</v>
      </c>
      <c r="D36" s="43" t="n">
        <f aca="false">E36/(1-$E$4)</f>
        <v>2204.99395892066</v>
      </c>
      <c r="E36" s="323" t="n">
        <v>2190</v>
      </c>
    </row>
    <row r="37" customFormat="false" ht="12.75" hidden="false" customHeight="false" outlineLevel="0" collapsed="false">
      <c r="A37" s="121" t="n">
        <f aca="false">+A36+1</f>
        <v>37195</v>
      </c>
      <c r="B37" s="54" t="n">
        <v>-0.05</v>
      </c>
      <c r="D37" s="43" t="n">
        <f aca="false">E37/(1-$E$4)</f>
        <v>2204.99395892066</v>
      </c>
      <c r="E37" s="323" t="n">
        <v>2190</v>
      </c>
    </row>
    <row r="38" customFormat="false" ht="12.75" hidden="false" customHeight="false" outlineLevel="0" collapsed="false">
      <c r="A38" s="121"/>
    </row>
  </sheetData>
  <mergeCells count="1">
    <mergeCell ref="D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8.99"/>
    <col collapsed="false" customWidth="true" hidden="false" outlineLevel="0" max="3" min="3" style="0" width="39.99"/>
    <col collapsed="false" customWidth="true" hidden="false" outlineLevel="0" max="4" min="4" style="0" width="19.99"/>
    <col collapsed="false" customWidth="true" hidden="false" outlineLevel="0" max="5" min="5" style="0" width="15.28"/>
    <col collapsed="false" customWidth="true" hidden="false" outlineLevel="0" max="6" min="6" style="0" width="32.99"/>
    <col collapsed="false" customWidth="true" hidden="false" outlineLevel="0" max="7" min="7" style="0" width="46.42"/>
    <col collapsed="false" customWidth="true" hidden="false" outlineLevel="0" max="8" min="8" style="0" width="29.41"/>
    <col collapsed="false" customWidth="true" hidden="false" outlineLevel="0" max="10" min="10" style="0" width="11.28"/>
  </cols>
  <sheetData>
    <row r="1" customFormat="false" ht="12.75" hidden="false" customHeight="false" outlineLevel="0" collapsed="false">
      <c r="C1" s="12" t="s">
        <v>6</v>
      </c>
      <c r="D1" s="13"/>
      <c r="E1" s="13"/>
      <c r="F1" s="14" t="s">
        <v>7</v>
      </c>
      <c r="G1" s="14"/>
      <c r="H1" s="15"/>
    </row>
    <row r="2" customFormat="false" ht="12.75" hidden="false" customHeight="false" outlineLevel="0" collapsed="false">
      <c r="C2" s="16"/>
      <c r="D2" s="17"/>
      <c r="E2" s="17"/>
      <c r="F2" s="18"/>
      <c r="G2" s="18" t="s">
        <v>188</v>
      </c>
      <c r="H2" s="19" t="s">
        <v>8</v>
      </c>
    </row>
    <row r="3" customFormat="false" ht="12.75" hidden="false" customHeight="false" outlineLevel="0" collapsed="false">
      <c r="C3" s="16" t="s">
        <v>9</v>
      </c>
      <c r="D3" s="17"/>
      <c r="E3" s="17"/>
      <c r="F3" s="18" t="s">
        <v>189</v>
      </c>
      <c r="G3" s="18"/>
      <c r="H3" s="117" t="n">
        <f aca="true">TODAY()</f>
        <v>45926</v>
      </c>
    </row>
    <row r="4" customFormat="false" ht="12.75" hidden="false" customHeight="false" outlineLevel="0" collapsed="false">
      <c r="C4" s="16"/>
      <c r="D4" s="17"/>
      <c r="E4" s="17"/>
      <c r="F4" s="18" t="s">
        <v>190</v>
      </c>
      <c r="G4" s="18"/>
      <c r="H4" s="18"/>
    </row>
    <row r="5" customFormat="false" ht="12.75" hidden="false" customHeight="false" outlineLevel="0" collapsed="false">
      <c r="C5" s="16"/>
      <c r="D5" s="17"/>
      <c r="E5" s="17"/>
      <c r="F5" s="18" t="s">
        <v>191</v>
      </c>
      <c r="G5" s="18"/>
      <c r="H5" s="19" t="s">
        <v>13</v>
      </c>
    </row>
    <row r="6" customFormat="false" ht="12.75" hidden="false" customHeight="false" outlineLevel="0" collapsed="false">
      <c r="C6" s="16"/>
      <c r="D6" s="17"/>
      <c r="E6" s="17"/>
      <c r="F6" s="18" t="s">
        <v>192</v>
      </c>
      <c r="G6" s="18"/>
      <c r="H6" s="21" t="n">
        <v>37195</v>
      </c>
    </row>
    <row r="7" customFormat="false" ht="12.75" hidden="false" customHeight="false" outlineLevel="0" collapsed="false">
      <c r="C7" s="16" t="s">
        <v>18</v>
      </c>
      <c r="D7" s="17"/>
      <c r="E7" s="17"/>
      <c r="F7" s="18" t="s">
        <v>193</v>
      </c>
      <c r="G7" s="18" t="s">
        <v>194</v>
      </c>
      <c r="H7" s="18"/>
    </row>
    <row r="8" customFormat="false" ht="12.75" hidden="false" customHeight="false" outlineLevel="0" collapsed="false">
      <c r="C8" s="16" t="s">
        <v>20</v>
      </c>
      <c r="D8" s="17"/>
      <c r="E8" s="17"/>
      <c r="F8" s="18" t="s">
        <v>195</v>
      </c>
      <c r="G8" s="18" t="s">
        <v>196</v>
      </c>
      <c r="H8" s="19" t="s">
        <v>17</v>
      </c>
    </row>
    <row r="9" customFormat="false" ht="12.75" hidden="false" customHeight="false" outlineLevel="0" collapsed="false">
      <c r="A9" s="23" t="s">
        <v>9</v>
      </c>
      <c r="B9" s="24"/>
      <c r="C9" s="25" t="s">
        <v>22</v>
      </c>
      <c r="D9" s="26"/>
      <c r="E9" s="26"/>
      <c r="F9" s="27" t="s">
        <v>197</v>
      </c>
      <c r="G9" s="27" t="s">
        <v>198</v>
      </c>
      <c r="H9" s="28" t="s">
        <v>199</v>
      </c>
    </row>
    <row r="10" customFormat="false" ht="13.5" hidden="false" customHeight="false" outlineLevel="0" collapsed="false">
      <c r="A10" s="29" t="n">
        <f aca="true">NOW()</f>
        <v>45926.8884094337</v>
      </c>
      <c r="B10" s="30"/>
      <c r="C10" s="30"/>
      <c r="D10" s="30"/>
      <c r="E10" s="30"/>
      <c r="F10" s="30"/>
      <c r="G10" s="30"/>
      <c r="H10" s="30"/>
      <c r="I10" s="31"/>
    </row>
    <row r="11" customFormat="false" ht="12.75" hidden="false" customHeight="false" outlineLevel="0" collapsed="false">
      <c r="A11" s="32" t="s">
        <v>25</v>
      </c>
      <c r="B11" s="32" t="s">
        <v>26</v>
      </c>
      <c r="C11" s="32" t="s">
        <v>27</v>
      </c>
      <c r="D11" s="32"/>
      <c r="E11" s="32"/>
    </row>
    <row r="12" customFormat="false" ht="12.75" hidden="false" customHeight="false" outlineLevel="0" collapsed="false">
      <c r="A12" s="33" t="n">
        <f aca="false">+'Index Pricing'!A1</f>
        <v>37196</v>
      </c>
      <c r="B12" s="34" t="n">
        <v>96028270</v>
      </c>
      <c r="C12" s="0" t="s">
        <v>200</v>
      </c>
    </row>
    <row r="14" customFormat="false" ht="13.5" hidden="false" customHeight="false" outlineLevel="0" collapsed="false">
      <c r="B14" s="35" t="s">
        <v>29</v>
      </c>
      <c r="C14" s="36" t="s">
        <v>30</v>
      </c>
      <c r="D14" s="37" t="s">
        <v>31</v>
      </c>
      <c r="E14" s="38" t="s">
        <v>32</v>
      </c>
      <c r="F14" s="38" t="s">
        <v>33</v>
      </c>
      <c r="G14" s="38"/>
      <c r="H14" s="37" t="s">
        <v>34</v>
      </c>
    </row>
    <row r="15" customFormat="false" ht="12.75" hidden="false" customHeight="false" outlineLevel="0" collapsed="false">
      <c r="A15" s="324" t="str">
        <f aca="false">+'Wellstar Summary'!A19</f>
        <v>11/01/01 - 11/30/01</v>
      </c>
      <c r="B15" s="325" t="s">
        <v>36</v>
      </c>
      <c r="C15" s="326" t="n">
        <f aca="false">+'MTG Detail'!H11</f>
        <v>-0.4805</v>
      </c>
      <c r="D15" s="326" t="n">
        <f aca="false">+'MTG Detail'!J50</f>
        <v>0</v>
      </c>
      <c r="E15" s="278" t="n">
        <f aca="false">+F15/'MTG Detail'!B$6</f>
        <v>5259.77248677249</v>
      </c>
      <c r="F15" s="278" t="n">
        <f aca="false">+'MTG Detail'!D48</f>
        <v>4881</v>
      </c>
      <c r="G15" s="278"/>
      <c r="H15" s="327" t="n">
        <f aca="false">+'MTG Detail'!J48</f>
        <v>5762.7495</v>
      </c>
    </row>
    <row r="16" customFormat="false" ht="12.75" hidden="false" customHeight="false" outlineLevel="0" collapsed="false">
      <c r="A16" s="90" t="str">
        <f aca="false">+A15</f>
        <v>11/01/01 - 11/30/01</v>
      </c>
      <c r="B16" s="31" t="s">
        <v>38</v>
      </c>
      <c r="C16" s="328" t="n">
        <f aca="false">+'MTG Detail'!H12</f>
        <v>-0.4805</v>
      </c>
      <c r="D16" s="329"/>
      <c r="E16" s="292" t="n">
        <f aca="false">+F16/'MTG Detail'!B$6</f>
        <v>7545.36507936508</v>
      </c>
      <c r="F16" s="292" t="n">
        <f aca="false">+'MTG Detail'!F48</f>
        <v>7002</v>
      </c>
      <c r="G16" s="292"/>
      <c r="H16" s="330" t="n">
        <f aca="false">+'MTG Detail'!K48</f>
        <v>14420.619</v>
      </c>
    </row>
    <row r="17" customFormat="false" ht="13.5" hidden="false" customHeight="false" outlineLevel="0" collapsed="false">
      <c r="A17" s="331" t="str">
        <f aca="false">+A16</f>
        <v>11/01/01 - 11/30/01</v>
      </c>
      <c r="B17" s="30"/>
      <c r="C17" s="30" t="s">
        <v>39</v>
      </c>
      <c r="D17" s="332" t="s">
        <v>40</v>
      </c>
      <c r="E17" s="297" t="n">
        <f aca="false">+F17/'MTG Detail'!B$6</f>
        <v>25.8624338624339</v>
      </c>
      <c r="F17" s="297" t="n">
        <f aca="false">-'MTG Detail'!H48</f>
        <v>24</v>
      </c>
      <c r="G17" s="297"/>
      <c r="H17" s="333" t="s">
        <v>41</v>
      </c>
    </row>
    <row r="18" customFormat="false" ht="12.75" hidden="false" customHeight="false" outlineLevel="0" collapsed="false">
      <c r="A18" s="334" t="str">
        <f aca="false">+'Kennedy Summary'!A23</f>
        <v>11/01/01 - 11/30/01</v>
      </c>
      <c r="D18" s="46"/>
      <c r="E18" s="43" t="n">
        <f aca="false">+F18/'MTG Detail'!B$6</f>
        <v>12831</v>
      </c>
      <c r="F18" s="334" t="n">
        <f aca="false">SUM(F15:F17)</f>
        <v>11907</v>
      </c>
      <c r="G18" s="334"/>
      <c r="H18" s="50" t="n">
        <f aca="false">SUM(H15:H17)</f>
        <v>20183.3685</v>
      </c>
    </row>
    <row r="20" customFormat="false" ht="12.75" hidden="false" customHeight="false" outlineLevel="0" collapsed="false">
      <c r="D20" s="46"/>
      <c r="E20" s="46"/>
      <c r="F20" s="43"/>
      <c r="G20" s="43"/>
      <c r="H20" s="50"/>
    </row>
    <row r="21" customFormat="false" ht="12.75" hidden="false" customHeight="false" outlineLevel="0" collapsed="false">
      <c r="D21" s="46"/>
      <c r="E21" s="46"/>
      <c r="F21" s="43"/>
      <c r="G21" s="43"/>
      <c r="H21" s="50" t="n">
        <v>0</v>
      </c>
      <c r="J21" s="44"/>
    </row>
    <row r="22" customFormat="false" ht="12.75" hidden="false" customHeight="false" outlineLevel="0" collapsed="false">
      <c r="D22" s="46"/>
      <c r="E22" s="46"/>
      <c r="F22" s="43"/>
      <c r="G22" s="43"/>
      <c r="H22" s="50" t="n">
        <v>0</v>
      </c>
    </row>
    <row r="23" customFormat="false" ht="12.75" hidden="false" customHeight="false" outlineLevel="0" collapsed="false">
      <c r="A23" s="121"/>
      <c r="D23" s="46"/>
      <c r="E23" s="46"/>
      <c r="F23" s="43"/>
      <c r="G23" s="43"/>
      <c r="H23" s="50"/>
    </row>
    <row r="24" customFormat="false" ht="12.75" hidden="false" customHeight="false" outlineLevel="0" collapsed="false">
      <c r="D24" s="46"/>
      <c r="E24" s="46"/>
      <c r="F24" s="43"/>
      <c r="G24" s="43"/>
      <c r="H24" s="50"/>
    </row>
    <row r="25" customFormat="false" ht="12.75" hidden="false" customHeight="false" outlineLevel="0" collapsed="false">
      <c r="D25" s="46"/>
      <c r="E25" s="46"/>
      <c r="F25" s="43"/>
      <c r="G25" s="43"/>
      <c r="H25" s="50"/>
    </row>
    <row r="26" customFormat="false" ht="12.75" hidden="false" customHeight="false" outlineLevel="0" collapsed="false">
      <c r="A26" s="90"/>
      <c r="B26" s="0" t="s">
        <v>201</v>
      </c>
      <c r="D26" s="46"/>
      <c r="E26" s="46"/>
      <c r="F26" s="43"/>
      <c r="G26" s="43"/>
      <c r="H26" s="335"/>
    </row>
    <row r="27" customFormat="false" ht="12.75" hidden="false" customHeight="false" outlineLevel="0" collapsed="false">
      <c r="D27" s="46"/>
      <c r="E27" s="46"/>
      <c r="F27" s="43"/>
      <c r="G27" s="43"/>
      <c r="H27" s="335"/>
    </row>
    <row r="28" customFormat="false" ht="12.75" hidden="false" customHeight="false" outlineLevel="0" collapsed="false">
      <c r="B28" s="32"/>
      <c r="E28" s="46"/>
      <c r="F28" s="46"/>
      <c r="G28" s="43"/>
      <c r="H28" s="50"/>
    </row>
    <row r="29" customFormat="false" ht="12.75" hidden="false" customHeight="false" outlineLevel="0" collapsed="false">
      <c r="B29" s="53" t="s">
        <v>45</v>
      </c>
      <c r="D29" s="54"/>
      <c r="E29" s="55"/>
      <c r="F29" s="43"/>
      <c r="G29" s="43"/>
      <c r="H29" s="50"/>
    </row>
    <row r="30" customFormat="false" ht="12.75" hidden="false" customHeight="false" outlineLevel="0" collapsed="false">
      <c r="B30" s="53"/>
      <c r="D30" s="54"/>
      <c r="E30" s="55"/>
      <c r="F30" s="43"/>
      <c r="G30" s="56"/>
    </row>
    <row r="31" customFormat="false" ht="12.75" hidden="false" customHeight="false" outlineLevel="0" collapsed="false">
      <c r="B31" s="53"/>
      <c r="D31" s="54"/>
      <c r="E31" s="55"/>
      <c r="F31" s="43"/>
      <c r="G31" s="56"/>
    </row>
    <row r="32" customFormat="false" ht="12.75" hidden="false" customHeight="false" outlineLevel="0" collapsed="false">
      <c r="B32" s="53"/>
      <c r="D32" s="54"/>
      <c r="E32" s="55"/>
      <c r="F32" s="43"/>
      <c r="G32" s="57" t="s">
        <v>46</v>
      </c>
      <c r="H32" s="50" t="n">
        <f aca="false">SUM(G30:G31)</f>
        <v>0</v>
      </c>
    </row>
    <row r="33" customFormat="false" ht="12.75" hidden="false" customHeight="false" outlineLevel="0" collapsed="false">
      <c r="B33" s="53"/>
      <c r="D33" s="1"/>
      <c r="E33" s="55"/>
      <c r="F33" s="43"/>
      <c r="G33" s="43"/>
      <c r="H33" s="50"/>
    </row>
    <row r="34" customFormat="false" ht="12.75" hidden="false" customHeight="false" outlineLevel="0" collapsed="false">
      <c r="B34" s="53"/>
      <c r="D34" s="1"/>
      <c r="E34" s="55"/>
      <c r="F34" s="43"/>
      <c r="G34" s="43"/>
      <c r="H34" s="50"/>
    </row>
    <row r="35" customFormat="false" ht="12.75" hidden="false" customHeight="false" outlineLevel="0" collapsed="false">
      <c r="B35" s="53"/>
      <c r="D35" s="1"/>
      <c r="E35" s="55"/>
      <c r="F35" s="43"/>
      <c r="G35" s="43"/>
      <c r="H35" s="50"/>
    </row>
    <row r="36" customFormat="false" ht="12.75" hidden="false" customHeight="false" outlineLevel="0" collapsed="false">
      <c r="B36" s="53"/>
      <c r="D36" s="1"/>
      <c r="E36" s="55"/>
      <c r="F36" s="43"/>
      <c r="G36" s="43"/>
      <c r="H36" s="50"/>
    </row>
    <row r="37" customFormat="false" ht="12.75" hidden="false" customHeight="false" outlineLevel="0" collapsed="false">
      <c r="B37" s="53"/>
      <c r="D37" s="54"/>
      <c r="E37" s="55"/>
      <c r="F37" s="43"/>
      <c r="G37" s="43"/>
      <c r="H37" s="50"/>
    </row>
    <row r="38" customFormat="false" ht="12.75" hidden="false" customHeight="false" outlineLevel="0" collapsed="false">
      <c r="D38" s="59" t="s">
        <v>47</v>
      </c>
      <c r="E38" s="59"/>
      <c r="F38" s="60"/>
      <c r="G38" s="60"/>
      <c r="H38" s="61" t="n">
        <f aca="false">SUM(H18:H36)</f>
        <v>20183.3685</v>
      </c>
    </row>
    <row r="39" customFormat="false" ht="12.75" hidden="false" customHeight="false" outlineLevel="0" collapsed="false">
      <c r="B39" s="45"/>
      <c r="C39" s="32"/>
      <c r="F39" s="32"/>
      <c r="G39" s="32"/>
    </row>
    <row r="40" customFormat="false" ht="12.75" hidden="false" customHeight="false" outlineLevel="0" collapsed="false">
      <c r="B40" s="34"/>
    </row>
    <row r="41" customFormat="false" ht="12.75" hidden="false" customHeight="false" outlineLevel="0" collapsed="false">
      <c r="B41" s="45"/>
    </row>
    <row r="42" customFormat="false" ht="12.75" hidden="false" customHeight="false" outlineLevel="0" collapsed="false">
      <c r="B42" s="45"/>
    </row>
    <row r="43" customFormat="false" ht="12.75" hidden="false" customHeight="false" outlineLevel="0" collapsed="false">
      <c r="A43" s="32"/>
      <c r="B43" s="32"/>
      <c r="C43" s="32"/>
    </row>
    <row r="44" customFormat="false" ht="12.75" hidden="false" customHeight="false" outlineLevel="0" collapsed="false">
      <c r="A44" s="62"/>
      <c r="B44" s="34"/>
    </row>
    <row r="45" customFormat="false" ht="12.75" hidden="false" customHeight="false" outlineLevel="0" collapsed="false">
      <c r="B45" s="45"/>
    </row>
    <row r="46" customFormat="false" ht="12.75" hidden="false" customHeight="false" outlineLevel="0" collapsed="false">
      <c r="B46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2000-01-20T13:46:06Z</dcterms:created>
  <dc:creator>Scott Sitter</dc:creator>
  <dc:description/>
  <dc:language>en-US</dc:language>
  <cp:lastModifiedBy>tstaab</cp:lastModifiedBy>
  <cp:lastPrinted>2001-11-16T12:44:02Z</cp:lastPrinted>
  <dcterms:modified xsi:type="dcterms:W3CDTF">2001-12-14T14:10:49Z</dcterms:modified>
  <cp:revision>0</cp:revision>
  <dc:subject/>
  <dc:title/>
</cp:coreProperties>
</file>