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ost Close (2)" sheetId="1" state="visible" r:id="rId3"/>
    <sheet name="Post Close" sheetId="2" state="visible" r:id="rId4"/>
    <sheet name="Original" sheetId="3" state="visible" r:id="rId5"/>
    <sheet name="Prior to close" sheetId="4" state="visible" r:id="rId6"/>
    <sheet name="example" sheetId="5" state="visible" r:id="rId7"/>
    <sheet name="ENA Invoice" sheetId="6" state="visible" r:id="rId8"/>
  </sheets>
  <externalReferences>
    <externalReference r:id="rId9"/>
  </externalReferences>
  <definedNames>
    <definedName function="false" hidden="false" localSheetId="5" name="_xlnm.Print_Area" vbProcedure="false">'ENA Invoice'!$A$1:$Q$16</definedName>
    <definedName function="false" hidden="false" name="D" vbProcedure="false">#REF!</definedName>
    <definedName function="false" hidden="false" name="e" vbProcedure="false">[1]May00!$I$1</definedName>
    <definedName function="false" hidden="false" name="g" vbProcedure="false">#REF!</definedName>
    <definedName function="false" hidden="false" name="t"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<sst xmlns="http://schemas.openxmlformats.org/spreadsheetml/2006/main" count="513" uniqueCount="93">
  <si>
    <t xml:space="preserve">Enron North America Theoretical Inventory Programs</t>
  </si>
  <si>
    <t xml:space="preserve">CES Managed  Inventory Programs</t>
  </si>
  <si>
    <t xml:space="preserve">LDC</t>
  </si>
  <si>
    <t xml:space="preserve">Rate Schedule</t>
  </si>
  <si>
    <t xml:space="preserve">Month</t>
  </si>
  <si>
    <t xml:space="preserve">Volume</t>
  </si>
  <si>
    <t xml:space="preserve">COH</t>
  </si>
  <si>
    <t xml:space="preserve">TCO-FSS</t>
  </si>
  <si>
    <t xml:space="preserve">?</t>
  </si>
  <si>
    <t xml:space="preserve">BGE</t>
  </si>
  <si>
    <t xml:space="preserve">Average unit price</t>
  </si>
  <si>
    <t xml:space="preserve">CNG-GSS</t>
  </si>
  <si>
    <t xml:space="preserve">IF TCO APP</t>
  </si>
  <si>
    <t xml:space="preserve">Stored Gas</t>
  </si>
  <si>
    <t xml:space="preserve">Total</t>
  </si>
  <si>
    <t xml:space="preserve">Adj. Sched</t>
  </si>
  <si>
    <t xml:space="preserve">Index Adjustment</t>
  </si>
  <si>
    <t xml:space="preserve">Volume Adjustment</t>
  </si>
  <si>
    <t xml:space="preserve">Stored</t>
  </si>
  <si>
    <t xml:space="preserve">Inj fuel%</t>
  </si>
  <si>
    <t xml:space="preserve">Difference</t>
  </si>
  <si>
    <t xml:space="preserve">AGL</t>
  </si>
  <si>
    <t xml:space="preserve">Sonat-CSS</t>
  </si>
  <si>
    <t xml:space="preserve">IF SONAT LA</t>
  </si>
  <si>
    <t xml:space="preserve">Michcon</t>
  </si>
  <si>
    <t xml:space="preserve">Banking</t>
  </si>
  <si>
    <t xml:space="preserve">GD ANR ML7</t>
  </si>
  <si>
    <t xml:space="preserve">Transco-ESS</t>
  </si>
  <si>
    <t xml:space="preserve">IF TRANSCO Z3</t>
  </si>
  <si>
    <t xml:space="preserve">Transco-WSS</t>
  </si>
  <si>
    <t xml:space="preserve">Nipsco</t>
  </si>
  <si>
    <t xml:space="preserve">NGI CHICAGO</t>
  </si>
  <si>
    <t xml:space="preserve">Adj. Stg Payment</t>
  </si>
  <si>
    <t xml:space="preserve">Adjusted Payment</t>
  </si>
  <si>
    <t xml:space="preserve">Adjusted Sched. Gas</t>
  </si>
  <si>
    <t xml:space="preserve">mmbtu</t>
  </si>
  <si>
    <t xml:space="preserve">Total Stored Gas</t>
  </si>
  <si>
    <t xml:space="preserve">LNG-Peaking</t>
  </si>
  <si>
    <t xml:space="preserve">IBSS</t>
  </si>
  <si>
    <t xml:space="preserve">LEGEND</t>
  </si>
  <si>
    <t xml:space="preserve">Estimated Price</t>
  </si>
  <si>
    <t xml:space="preserve">Actual Price</t>
  </si>
  <si>
    <t xml:space="preserve">IF TCO APP = agreed upon estimated July "Inside FERC" monthly gas index at TCO Appalachian pool</t>
  </si>
  <si>
    <t xml:space="preserve">IF SONAT LA = agreed upon estimated July "Inside FERC" monthly gas index at Sonat - Louisiana</t>
  </si>
  <si>
    <t xml:space="preserve">IF TRANSCO Z3 = agreed upon estimated July "Inside FERC" monthly gas index at Transco - Zone 3</t>
  </si>
  <si>
    <t xml:space="preserve">GD ANR ML7 = agreed upon estimated July "Gas Daily" monthly gas index at ANR Mainline Zone 7</t>
  </si>
  <si>
    <t xml:space="preserve">NGI CHICAGO = agreed upon estimated July "Natural Gas Intelligence" monthly gas index at Chicago citygate</t>
  </si>
  <si>
    <t xml:space="preserve">Scheduled</t>
  </si>
  <si>
    <t xml:space="preserve">Storage Payment</t>
  </si>
  <si>
    <t xml:space="preserve">Total Scheduled Gas</t>
  </si>
  <si>
    <t xml:space="preserve">Average  unit price</t>
  </si>
  <si>
    <t xml:space="preserve">IF SONAT LA = agreed upon estimated July "Inside FERC" monthly gas index at Sonat - Louisiana.</t>
  </si>
  <si>
    <t xml:space="preserve">IF TRANSCO Z3 = agreed upon estimated July "Inside FERC" monthly gas index at Transco - Zone 3.</t>
  </si>
  <si>
    <t xml:space="preserve">P</t>
  </si>
  <si>
    <t xml:space="preserve">Q</t>
  </si>
  <si>
    <t xml:space="preserve">original Est</t>
  </si>
  <si>
    <t xml:space="preserve">April</t>
  </si>
  <si>
    <t xml:space="preserve">May</t>
  </si>
  <si>
    <t xml:space="preserve">June</t>
  </si>
  <si>
    <t xml:space="preserve">July</t>
  </si>
  <si>
    <t xml:space="preserve">Pre-close</t>
  </si>
  <si>
    <t xml:space="preserve">Post-close</t>
  </si>
  <si>
    <t xml:space="preserve">Theoretical Storage Injections by Month for CES pursuant to 12/99 Energy Purchase Agreement with ENA</t>
  </si>
  <si>
    <t xml:space="preserve">Source:  Enron Invoices various months</t>
  </si>
  <si>
    <t xml:space="preserve">TCO stg</t>
  </si>
  <si>
    <t xml:space="preserve">Sonat CSS</t>
  </si>
  <si>
    <t xml:space="preserve">TRANSCO WSS</t>
  </si>
  <si>
    <t xml:space="preserve">TRANSCO ESS</t>
  </si>
  <si>
    <t xml:space="preserve">Sitara # SA-268094</t>
  </si>
  <si>
    <t xml:space="preserve">Month/Yr</t>
  </si>
  <si>
    <t xml:space="preserve">Dth</t>
  </si>
  <si>
    <t xml:space="preserve">Invoice #</t>
  </si>
  <si>
    <t xml:space="preserve">page #</t>
  </si>
  <si>
    <t xml:space="preserve">Sitara #</t>
  </si>
  <si>
    <t xml:space="preserve">Beg April Inv.</t>
  </si>
  <si>
    <t xml:space="preserve">#NA</t>
  </si>
  <si>
    <t xml:space="preserve">Injections</t>
  </si>
  <si>
    <t xml:space="preserve">Injection should have been zero</t>
  </si>
  <si>
    <t xml:space="preserve">11738SA</t>
  </si>
  <si>
    <t xml:space="preserve">SA-271438</t>
  </si>
  <si>
    <t xml:space="preserve">SA-272678</t>
  </si>
  <si>
    <t xml:space="preserve">12806SA</t>
  </si>
  <si>
    <t xml:space="preserve">SA-278456</t>
  </si>
  <si>
    <t xml:space="preserve">SA-278452</t>
  </si>
  <si>
    <t xml:space="preserve">13961SA</t>
  </si>
  <si>
    <t xml:space="preserve">SA-312606</t>
  </si>
  <si>
    <t xml:space="preserve">SA-312535</t>
  </si>
  <si>
    <t xml:space="preserve">#Note:  Beginning April Inventory is at the inventory meter.  We assume that all injection volumes are at the storage injection meter.  Injection fuel, if any, must be netted out to obtain inventory figure.</t>
  </si>
  <si>
    <t xml:space="preserve">Volume is too low. </t>
  </si>
  <si>
    <t xml:space="preserve">Source:  GMS Gas Control various month</t>
  </si>
  <si>
    <t xml:space="preserve">Dth Inj</t>
  </si>
  <si>
    <t xml:space="preserve">Dth Inventory</t>
  </si>
  <si>
    <t xml:space="preserve">July-end Total</t>
  </si>
</sst>
</file>

<file path=xl/styles.xml><?xml version="1.0" encoding="utf-8"?>
<styleSheet xmlns="http://schemas.openxmlformats.org/spreadsheetml/2006/main">
  <numFmts count="9">
    <numFmt numFmtId="164" formatCode="General"/>
    <numFmt numFmtId="165" formatCode="_(* #,##0.00_);_(* \(#,##0.00\);_(* \-??_);_(@_)"/>
    <numFmt numFmtId="166" formatCode="_(* #,##0_);_(* \(#,##0\);_(* \-??_);_(@_)"/>
    <numFmt numFmtId="167" formatCode="[$-409]mmm\-yy"/>
    <numFmt numFmtId="168" formatCode="_(\$* #,##0.00_);_(\$* \(#,##0.00\);_(\$* \-??_);_(@_)"/>
    <numFmt numFmtId="169" formatCode="_(\$* #,##0.000_);_(\$* \(#,##0.000\);_(\$* \-??_);_(@_)"/>
    <numFmt numFmtId="170" formatCode="_(\$* #,##0_);_(\$* \(#,##0\);_(\$* \-??_);_(@_)"/>
    <numFmt numFmtId="171" formatCode="_(* #,##0.000_);_(* \(#,##0.000\);_(* \-??_);_(@_)"/>
    <numFmt numFmtId="172" formatCode="0.0"/>
  </numFmts>
  <fonts count="10">
    <font>
      <sz val="10"/>
      <name val="Arial"/>
      <family val="0"/>
    </font>
    <font>
      <sz val="10"/>
      <name val="Arial"/>
      <family val="0"/>
    </font>
    <font>
      <sz val="10"/>
      <name val="Arial"/>
      <family val="0"/>
    </font>
    <font>
      <sz val="10"/>
      <name val="Arial"/>
      <family val="0"/>
    </font>
    <font>
      <sz val="10"/>
      <color rgb="FF000000"/>
      <name val="MS Sans Serif"/>
      <family val="0"/>
    </font>
    <font>
      <u val="single"/>
      <sz val="10"/>
      <name val="Arial"/>
      <family val="2"/>
    </font>
    <font>
      <sz val="10"/>
      <name val="Arial"/>
      <family val="2"/>
    </font>
    <font>
      <b val="true"/>
      <u val="single"/>
      <sz val="10"/>
      <name val="Arial"/>
      <family val="2"/>
    </font>
    <font>
      <b val="true"/>
      <sz val="10"/>
      <name val="Arial"/>
      <family val="2"/>
    </font>
    <font>
      <b val="true"/>
      <sz val="12"/>
      <name val="Arial"/>
      <family val="2"/>
    </font>
  </fonts>
  <fills count="4">
    <fill>
      <patternFill patternType="none"/>
    </fill>
    <fill>
      <patternFill patternType="gray125"/>
    </fill>
    <fill>
      <patternFill patternType="solid">
        <fgColor rgb="FF99CCFF"/>
        <bgColor rgb="FFCCCCFF"/>
      </patternFill>
    </fill>
    <fill>
      <patternFill patternType="solid">
        <fgColor rgb="FFFFFF00"/>
        <bgColor rgb="FFFFFF00"/>
      </patternFill>
    </fill>
  </fills>
  <borders count="10">
    <border diagonalUp="false" diagonalDown="false">
      <left/>
      <right/>
      <top/>
      <bottom/>
      <diagonal/>
    </border>
    <border diagonalUp="false" diagonalDown="false">
      <left style="thin"/>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7" fontId="6" fillId="0" borderId="0" xfId="0" applyFont="true" applyBorder="false" applyAlignment="true" applyProtection="false">
      <alignment horizontal="center" vertical="bottom" textRotation="0" wrapText="false" indent="0" shrinkToFit="false"/>
      <protection locked="true" hidden="false"/>
    </xf>
    <xf numFmtId="169" fontId="0"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70" fontId="0" fillId="0" borderId="0" xfId="17" applyFont="true" applyBorder="true" applyAlignment="true" applyProtection="true">
      <alignment horizontal="general" vertical="bottom" textRotation="0" wrapText="false" indent="0" shrinkToFit="false"/>
      <protection locked="true" hidden="false"/>
    </xf>
    <xf numFmtId="168" fontId="0" fillId="0" borderId="0" xfId="17" applyFont="true" applyBorder="true" applyAlignment="true" applyProtection="true">
      <alignment horizontal="center" vertical="bottom" textRotation="0" wrapText="false" indent="0" shrinkToFit="false"/>
      <protection locked="true" hidden="false"/>
    </xf>
    <xf numFmtId="166" fontId="0" fillId="0" borderId="0" xfId="15" applyFont="true" applyBorder="true" applyAlignment="true" applyProtection="true">
      <alignment horizontal="right"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17"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70" fontId="0" fillId="0" borderId="3"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6" fontId="0" fillId="0" borderId="8" xfId="15" applyFont="true" applyBorder="true" applyAlignment="true" applyProtection="tru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4" fontId="0" fillId="0" borderId="7"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8"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6" fontId="0" fillId="2" borderId="0" xfId="15" applyFont="true" applyBorder="true" applyAlignment="true" applyProtection="true">
      <alignment horizontal="center"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18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center" vertical="bottom" textRotation="0" wrapText="false" indent="0" shrinkToFit="false"/>
      <protection locked="true" hidden="false"/>
    </xf>
    <xf numFmtId="166" fontId="0" fillId="3" borderId="0" xfId="15" applyFont="true" applyBorder="true" applyAlignment="true" applyProtection="true">
      <alignment horizontal="center"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RetailSalesAgreementSchedules"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externalLink" Target="externalLinks/externalLink1.xml"/><Relationship Id="rId10"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P:/EnergyOps/Pipelines/CESCapMonthly.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jan 00"/>
      <sheetName val="Exhibit1"/>
      <sheetName val="JanEst"/>
      <sheetName val="Jan00"/>
      <sheetName val="Feb00"/>
      <sheetName val="Mar00"/>
      <sheetName val="Apr00"/>
      <sheetName val="May00"/>
      <sheetName val="Jun00"/>
      <sheetName val="C&amp;Irev"/>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7.42"/>
    <col collapsed="false" customWidth="true" hidden="false" outlineLevel="0" max="3" min="3" style="0" width="16.42"/>
    <col collapsed="false" customWidth="true" hidden="false" outlineLevel="0" max="4" min="4" style="0" width="12.85"/>
    <col collapsed="false" customWidth="true" hidden="false" outlineLevel="0" max="5" min="5" style="0" width="12.14"/>
    <col collapsed="false" customWidth="true" hidden="false" outlineLevel="0" max="6" min="6" style="1" width="11.56"/>
    <col collapsed="false" customWidth="true" hidden="false" outlineLevel="0" max="7" min="7" style="0" width="15.13"/>
    <col collapsed="false" customWidth="true" hidden="false" outlineLevel="0" max="8" min="8" style="0" width="13.14"/>
    <col collapsed="false" customWidth="true" hidden="false" outlineLevel="0" max="9" min="9" style="0" width="17.14"/>
    <col collapsed="false" customWidth="true" hidden="false" outlineLevel="0" max="10" min="10" style="0" width="13.28"/>
    <col collapsed="false" customWidth="true" hidden="false" outlineLevel="0" max="13" min="11" style="0" width="12.85"/>
  </cols>
  <sheetData>
    <row r="1" customFormat="false" ht="12.75" hidden="false" customHeight="true" outlineLevel="0" collapsed="false">
      <c r="A1" s="2" t="s">
        <v>0</v>
      </c>
      <c r="B1" s="2"/>
      <c r="C1" s="2"/>
      <c r="D1" s="2"/>
      <c r="E1" s="3"/>
      <c r="G1" s="4" t="s">
        <v>1</v>
      </c>
      <c r="H1" s="4"/>
      <c r="I1" s="4"/>
      <c r="J1" s="4"/>
    </row>
    <row r="2" customFormat="false" ht="12.75" hidden="false" customHeight="false" outlineLevel="0" collapsed="false">
      <c r="A2" s="5" t="s">
        <v>2</v>
      </c>
      <c r="B2" s="5" t="s">
        <v>3</v>
      </c>
      <c r="C2" s="5" t="s">
        <v>4</v>
      </c>
      <c r="D2" s="6" t="s">
        <v>5</v>
      </c>
      <c r="E2" s="6"/>
      <c r="F2" s="7"/>
      <c r="G2" s="5" t="s">
        <v>2</v>
      </c>
      <c r="H2" s="5" t="s">
        <v>3</v>
      </c>
      <c r="I2" s="5" t="s">
        <v>4</v>
      </c>
      <c r="J2" s="6" t="s">
        <v>5</v>
      </c>
      <c r="K2" s="6"/>
      <c r="L2" s="6"/>
      <c r="M2" s="6"/>
    </row>
    <row r="3" customFormat="false" ht="12.75" hidden="false" customHeight="false" outlineLevel="0" collapsed="false">
      <c r="A3" s="8" t="s">
        <v>6</v>
      </c>
      <c r="B3" s="8" t="s">
        <v>7</v>
      </c>
      <c r="C3" s="9" t="n">
        <v>36617</v>
      </c>
      <c r="D3" s="3" t="n">
        <v>786579</v>
      </c>
      <c r="E3" s="3" t="s">
        <v>8</v>
      </c>
      <c r="G3" s="8" t="s">
        <v>9</v>
      </c>
      <c r="H3" s="8" t="s">
        <v>7</v>
      </c>
      <c r="I3" s="9" t="n">
        <v>36617</v>
      </c>
      <c r="J3" s="3" t="n">
        <v>3331</v>
      </c>
      <c r="K3" s="3"/>
      <c r="L3" s="3"/>
      <c r="M3" s="3"/>
    </row>
    <row r="4" customFormat="false" ht="12.75" hidden="false" customHeight="false" outlineLevel="0" collapsed="false">
      <c r="A4" s="8" t="s">
        <v>10</v>
      </c>
      <c r="B4" s="10" t="n">
        <v>4.69</v>
      </c>
      <c r="C4" s="9" t="n">
        <v>36647</v>
      </c>
      <c r="D4" s="3" t="n">
        <v>1088289</v>
      </c>
      <c r="E4" s="3"/>
      <c r="G4" s="8"/>
      <c r="H4" s="8" t="s">
        <v>11</v>
      </c>
      <c r="I4" s="9" t="n">
        <v>36647</v>
      </c>
      <c r="J4" s="3" t="n">
        <v>13430</v>
      </c>
      <c r="K4" s="3"/>
      <c r="L4" s="3"/>
      <c r="M4" s="3"/>
    </row>
    <row r="5" customFormat="false" ht="12.75" hidden="false" customHeight="false" outlineLevel="0" collapsed="false">
      <c r="A5" s="8" t="s">
        <v>12</v>
      </c>
      <c r="C5" s="9" t="n">
        <v>36678</v>
      </c>
      <c r="D5" s="3" t="n">
        <v>1089289</v>
      </c>
      <c r="E5" s="3" t="s">
        <v>8</v>
      </c>
      <c r="G5" s="8" t="s">
        <v>10</v>
      </c>
      <c r="H5" s="10" t="n">
        <v>5.35</v>
      </c>
      <c r="I5" s="9" t="n">
        <v>36678</v>
      </c>
      <c r="J5" s="3" t="n">
        <v>13472</v>
      </c>
      <c r="L5" s="3"/>
      <c r="M5" s="3"/>
      <c r="N5" s="3"/>
      <c r="O5" s="3"/>
    </row>
    <row r="6" customFormat="false" ht="12.75" hidden="false" customHeight="false" outlineLevel="0" collapsed="false">
      <c r="A6" s="8"/>
      <c r="B6" s="8"/>
      <c r="C6" s="9" t="n">
        <v>36708</v>
      </c>
      <c r="D6" s="3" t="n">
        <v>1089123</v>
      </c>
      <c r="E6" s="3"/>
      <c r="G6" s="8" t="s">
        <v>12</v>
      </c>
      <c r="H6" s="10"/>
      <c r="I6" s="9" t="n">
        <v>36708</v>
      </c>
      <c r="J6" s="3" t="n">
        <v>11960</v>
      </c>
      <c r="L6" s="3"/>
      <c r="M6" s="3"/>
    </row>
    <row r="7" customFormat="false" ht="12.75" hidden="false" customHeight="false" outlineLevel="0" collapsed="false">
      <c r="A7" s="8"/>
      <c r="B7" s="8" t="s">
        <v>13</v>
      </c>
      <c r="C7" s="8" t="s">
        <v>14</v>
      </c>
      <c r="D7" s="3" t="n">
        <f aca="false">SUM(D3:D6)</f>
        <v>4053280</v>
      </c>
      <c r="E7" s="3"/>
      <c r="G7" s="8"/>
      <c r="H7" s="8" t="s">
        <v>15</v>
      </c>
      <c r="I7" s="8" t="s">
        <v>14</v>
      </c>
      <c r="J7" s="3" t="n">
        <v>40795</v>
      </c>
      <c r="K7" s="3"/>
      <c r="L7" s="3"/>
      <c r="M7" s="3"/>
    </row>
    <row r="8" customFormat="false" ht="12.75" hidden="false" customHeight="false" outlineLevel="0" collapsed="false">
      <c r="A8" s="8"/>
      <c r="C8" s="11" t="s">
        <v>16</v>
      </c>
      <c r="D8" s="12" t="n">
        <f aca="false">(D6-1089109)*J72</f>
        <v>-0.840000000000007</v>
      </c>
      <c r="E8" s="12"/>
      <c r="G8" s="8"/>
      <c r="I8" s="9" t="n">
        <v>36678</v>
      </c>
      <c r="J8" s="3" t="n">
        <v>12074</v>
      </c>
      <c r="K8" s="13"/>
      <c r="L8" s="13"/>
      <c r="M8" s="13"/>
    </row>
    <row r="9" customFormat="false" ht="12.75" hidden="false" customHeight="false" outlineLevel="0" collapsed="false">
      <c r="A9" s="8"/>
      <c r="C9" s="11" t="s">
        <v>17</v>
      </c>
      <c r="D9" s="12" t="n">
        <f aca="false">(D7-4053906)*B4</f>
        <v>-2935.94</v>
      </c>
      <c r="E9" s="12"/>
      <c r="G9" s="8"/>
      <c r="H9" s="10"/>
      <c r="I9" s="9" t="n">
        <v>36708</v>
      </c>
      <c r="J9" s="3" t="n">
        <v>15093</v>
      </c>
      <c r="K9" s="3"/>
      <c r="L9" s="3"/>
      <c r="M9" s="3"/>
    </row>
    <row r="10" customFormat="false" ht="12.75" hidden="false" customHeight="false" outlineLevel="0" collapsed="false">
      <c r="A10" s="8"/>
      <c r="B10" s="10"/>
      <c r="C10" s="8"/>
      <c r="D10" s="3"/>
      <c r="E10" s="3"/>
      <c r="G10" s="8"/>
      <c r="H10" s="8" t="s">
        <v>18</v>
      </c>
      <c r="I10" s="8" t="s">
        <v>14</v>
      </c>
      <c r="J10" s="14" t="n">
        <v>43872</v>
      </c>
      <c r="K10" s="3"/>
      <c r="L10" s="3"/>
      <c r="M10" s="3"/>
    </row>
    <row r="11" customFormat="false" ht="12.75" hidden="false" customHeight="false" outlineLevel="0" collapsed="false">
      <c r="A11" s="8"/>
      <c r="B11" s="8"/>
      <c r="D11" s="15" t="n">
        <f aca="false">1-0.0076</f>
        <v>0.9924</v>
      </c>
      <c r="E11" s="3" t="s">
        <v>19</v>
      </c>
      <c r="G11" s="8"/>
      <c r="H11" s="10"/>
      <c r="I11" s="8" t="s">
        <v>20</v>
      </c>
      <c r="J11" s="14" t="n">
        <f aca="false">J10-J7</f>
        <v>3077</v>
      </c>
      <c r="K11" s="3"/>
      <c r="L11" s="3"/>
      <c r="M11" s="3"/>
    </row>
    <row r="12" customFormat="false" ht="12.75" hidden="false" customHeight="false" outlineLevel="0" collapsed="false">
      <c r="A12" s="8" t="s">
        <v>21</v>
      </c>
      <c r="B12" s="8" t="s">
        <v>22</v>
      </c>
      <c r="C12" s="9" t="n">
        <v>36617</v>
      </c>
      <c r="D12" s="3" t="n">
        <v>128457</v>
      </c>
      <c r="E12" s="3" t="s">
        <v>8</v>
      </c>
      <c r="G12" s="8"/>
      <c r="H12" s="10"/>
      <c r="I12" s="11" t="s">
        <v>17</v>
      </c>
      <c r="J12" s="12" t="n">
        <f aca="false">J11*H5</f>
        <v>16461.95</v>
      </c>
      <c r="K12" s="3"/>
      <c r="L12" s="3"/>
      <c r="M12" s="3"/>
    </row>
    <row r="13" customFormat="false" ht="12.75" hidden="false" customHeight="false" outlineLevel="0" collapsed="false">
      <c r="A13" s="8" t="s">
        <v>10</v>
      </c>
      <c r="B13" s="10" t="n">
        <v>4.65</v>
      </c>
      <c r="C13" s="9" t="n">
        <v>36647</v>
      </c>
      <c r="D13" s="3" t="n">
        <f aca="false">145584*D11</f>
        <v>144477.5616</v>
      </c>
      <c r="E13" s="3"/>
      <c r="G13" s="8"/>
      <c r="H13" s="10"/>
      <c r="I13" s="11" t="s">
        <v>16</v>
      </c>
      <c r="J13" s="12" t="n">
        <f aca="false">(J9-J5)*J72</f>
        <v>-97.2600000000008</v>
      </c>
      <c r="K13" s="3"/>
      <c r="L13" s="3"/>
      <c r="M13" s="3"/>
      <c r="N13" s="3"/>
      <c r="O13" s="3"/>
    </row>
    <row r="14" customFormat="false" ht="12.75" hidden="false" customHeight="false" outlineLevel="0" collapsed="false">
      <c r="A14" s="8" t="s">
        <v>23</v>
      </c>
      <c r="C14" s="9" t="n">
        <v>36678</v>
      </c>
      <c r="D14" s="3" t="n">
        <f aca="false">146258*D11</f>
        <v>145146.4392</v>
      </c>
      <c r="E14" s="3"/>
      <c r="G14" s="8"/>
      <c r="H14" s="10"/>
      <c r="I14" s="11"/>
      <c r="J14" s="3"/>
      <c r="K14" s="3"/>
      <c r="L14" s="3"/>
      <c r="M14" s="3"/>
    </row>
    <row r="15" customFormat="false" ht="12.75" hidden="false" customHeight="false" outlineLevel="0" collapsed="false">
      <c r="A15" s="8"/>
      <c r="B15" s="8"/>
      <c r="C15" s="9" t="n">
        <v>36708</v>
      </c>
      <c r="D15" s="3" t="n">
        <f aca="false">135032*D11</f>
        <v>134005.7568</v>
      </c>
      <c r="E15" s="3"/>
      <c r="G15" s="8"/>
      <c r="H15" s="10"/>
      <c r="I15" s="11"/>
      <c r="J15" s="3"/>
      <c r="K15" s="3"/>
      <c r="L15" s="3"/>
      <c r="M15" s="3"/>
    </row>
    <row r="16" customFormat="false" ht="12.75" hidden="false" customHeight="false" outlineLevel="0" collapsed="false">
      <c r="A16" s="8"/>
      <c r="B16" s="8" t="s">
        <v>13</v>
      </c>
      <c r="C16" s="8" t="s">
        <v>14</v>
      </c>
      <c r="D16" s="3" t="n">
        <f aca="false">SUM(D12:D15)</f>
        <v>552086.7576</v>
      </c>
      <c r="E16" s="3"/>
      <c r="G16" s="8"/>
      <c r="H16" s="16"/>
      <c r="J16" s="3"/>
      <c r="L16" s="3"/>
      <c r="M16" s="13"/>
    </row>
    <row r="17" customFormat="false" ht="12.75" hidden="false" customHeight="false" outlineLevel="0" collapsed="false">
      <c r="A17" s="8"/>
      <c r="C17" s="11" t="s">
        <v>16</v>
      </c>
      <c r="D17" s="12" t="n">
        <f aca="false">(D15-124662)*J73</f>
        <v>-654.062976000003</v>
      </c>
      <c r="E17" s="13"/>
      <c r="G17" s="8" t="s">
        <v>24</v>
      </c>
      <c r="H17" s="8" t="s">
        <v>25</v>
      </c>
      <c r="I17" s="9" t="n">
        <v>36617</v>
      </c>
      <c r="J17" s="3" t="n">
        <v>21001</v>
      </c>
      <c r="K17" s="3"/>
      <c r="L17" s="3"/>
      <c r="M17" s="3"/>
    </row>
    <row r="18" customFormat="false" ht="12.75" hidden="false" customHeight="false" outlineLevel="0" collapsed="false">
      <c r="A18" s="8"/>
      <c r="C18" s="11" t="s">
        <v>17</v>
      </c>
      <c r="D18" s="12" t="n">
        <f aca="false">(D16-504379)*B13</f>
        <v>221841.07284</v>
      </c>
      <c r="E18" s="13"/>
      <c r="G18" s="8" t="s">
        <v>10</v>
      </c>
      <c r="H18" s="10" t="n">
        <v>3.25</v>
      </c>
      <c r="I18" s="9" t="n">
        <v>36647</v>
      </c>
      <c r="J18" s="3" t="n">
        <v>73542</v>
      </c>
      <c r="K18" s="3"/>
      <c r="L18" s="13"/>
      <c r="M18" s="3"/>
    </row>
    <row r="19" customFormat="false" ht="12.75" hidden="false" customHeight="false" outlineLevel="0" collapsed="false">
      <c r="A19" s="8"/>
      <c r="B19" s="10"/>
      <c r="C19" s="8"/>
      <c r="D19" s="3"/>
      <c r="E19" s="3"/>
      <c r="G19" s="8" t="s">
        <v>26</v>
      </c>
      <c r="I19" s="9" t="n">
        <v>36678</v>
      </c>
      <c r="J19" s="3" t="n">
        <v>213145</v>
      </c>
      <c r="K19" s="13"/>
      <c r="L19" s="3"/>
      <c r="M19" s="3"/>
    </row>
    <row r="20" customFormat="false" ht="12.75" hidden="false" customHeight="false" outlineLevel="0" collapsed="false">
      <c r="A20" s="8"/>
      <c r="B20" s="8"/>
      <c r="D20" s="3"/>
      <c r="E20" s="3"/>
      <c r="G20" s="8"/>
      <c r="H20" s="8"/>
      <c r="I20" s="9" t="n">
        <v>36708</v>
      </c>
      <c r="J20" s="3" t="n">
        <v>143119</v>
      </c>
      <c r="K20" s="3"/>
      <c r="L20" s="3"/>
      <c r="M20" s="3"/>
    </row>
    <row r="21" customFormat="false" ht="12.75" hidden="false" customHeight="false" outlineLevel="0" collapsed="false">
      <c r="A21" s="8" t="s">
        <v>21</v>
      </c>
      <c r="B21" s="8" t="s">
        <v>27</v>
      </c>
      <c r="C21" s="9" t="n">
        <v>36617</v>
      </c>
      <c r="D21" s="3" t="n">
        <v>1383</v>
      </c>
      <c r="E21" s="3" t="s">
        <v>8</v>
      </c>
      <c r="G21" s="8"/>
      <c r="H21" s="8" t="s">
        <v>15</v>
      </c>
      <c r="I21" s="8" t="s">
        <v>14</v>
      </c>
      <c r="J21" s="3" t="n">
        <v>467762</v>
      </c>
      <c r="K21" s="3"/>
      <c r="L21" s="3"/>
      <c r="M21" s="3"/>
      <c r="N21" s="3"/>
      <c r="O21" s="3"/>
    </row>
    <row r="22" customFormat="false" ht="12.75" hidden="false" customHeight="false" outlineLevel="0" collapsed="false">
      <c r="A22" s="8" t="s">
        <v>10</v>
      </c>
      <c r="B22" s="10" t="n">
        <v>5</v>
      </c>
      <c r="C22" s="9" t="n">
        <v>36647</v>
      </c>
      <c r="D22" s="3" t="n">
        <v>3968</v>
      </c>
      <c r="E22" s="3"/>
      <c r="G22" s="8"/>
      <c r="I22" s="9" t="n">
        <v>36708</v>
      </c>
      <c r="J22" s="3" t="n">
        <v>153461</v>
      </c>
      <c r="K22" s="3"/>
      <c r="L22" s="3"/>
      <c r="M22" s="3"/>
    </row>
    <row r="23" customFormat="false" ht="12.75" hidden="false" customHeight="false" outlineLevel="0" collapsed="false">
      <c r="A23" s="8" t="s">
        <v>28</v>
      </c>
      <c r="C23" s="9" t="n">
        <v>36678</v>
      </c>
      <c r="D23" s="3" t="n">
        <v>3810</v>
      </c>
      <c r="E23" s="3"/>
      <c r="F23" s="14"/>
      <c r="G23" s="8"/>
      <c r="H23" s="8" t="s">
        <v>18</v>
      </c>
      <c r="I23" s="8" t="s">
        <v>14</v>
      </c>
      <c r="J23" s="14" t="n">
        <v>478092</v>
      </c>
      <c r="K23" s="3"/>
      <c r="L23" s="3"/>
      <c r="M23" s="3"/>
    </row>
    <row r="24" customFormat="false" ht="12.75" hidden="false" customHeight="false" outlineLevel="0" collapsed="false">
      <c r="A24" s="8"/>
      <c r="B24" s="8"/>
      <c r="C24" s="9" t="n">
        <v>36708</v>
      </c>
      <c r="D24" s="3" t="n">
        <v>2666</v>
      </c>
      <c r="E24" s="3"/>
      <c r="G24" s="8"/>
      <c r="H24" s="10"/>
      <c r="I24" s="8" t="s">
        <v>20</v>
      </c>
      <c r="J24" s="14" t="n">
        <f aca="false">J23-J21</f>
        <v>10330</v>
      </c>
      <c r="K24" s="3"/>
      <c r="L24" s="3"/>
      <c r="M24" s="13"/>
    </row>
    <row r="25" customFormat="false" ht="12.75" hidden="false" customHeight="false" outlineLevel="0" collapsed="false">
      <c r="A25" s="8"/>
      <c r="B25" s="8" t="s">
        <v>13</v>
      </c>
      <c r="C25" s="8" t="s">
        <v>14</v>
      </c>
      <c r="D25" s="3" t="n">
        <f aca="false">SUM(D21:D24)</f>
        <v>11827</v>
      </c>
      <c r="E25" s="3"/>
      <c r="G25" s="8"/>
      <c r="H25" s="10"/>
      <c r="I25" s="11" t="s">
        <v>17</v>
      </c>
      <c r="J25" s="12" t="n">
        <f aca="false">J24*H18</f>
        <v>33572.5</v>
      </c>
      <c r="K25" s="3"/>
      <c r="L25" s="3"/>
      <c r="M25" s="3"/>
    </row>
    <row r="26" customFormat="false" ht="12.75" hidden="false" customHeight="false" outlineLevel="0" collapsed="false">
      <c r="A26" s="8"/>
      <c r="B26" s="10"/>
      <c r="C26" s="11" t="s">
        <v>16</v>
      </c>
      <c r="D26" s="12" t="n">
        <f aca="false">(D24-2675)*J74</f>
        <v>0.720000000000001</v>
      </c>
      <c r="E26" s="14"/>
      <c r="G26" s="8"/>
      <c r="H26" s="10"/>
      <c r="I26" s="11" t="s">
        <v>16</v>
      </c>
      <c r="J26" s="12" t="n">
        <f aca="false">(J22-J20)*J75</f>
        <v>-827.359999999992</v>
      </c>
      <c r="K26" s="3"/>
      <c r="L26" s="3"/>
      <c r="M26" s="3"/>
    </row>
    <row r="27" customFormat="false" ht="12.75" hidden="false" customHeight="false" outlineLevel="0" collapsed="false">
      <c r="A27" s="8"/>
      <c r="B27" s="10"/>
      <c r="C27" s="11" t="s">
        <v>17</v>
      </c>
      <c r="D27" s="12" t="n">
        <f aca="false">(D25-9827)*B22</f>
        <v>10000</v>
      </c>
      <c r="E27" s="14"/>
      <c r="G27" s="8"/>
      <c r="H27" s="10"/>
      <c r="I27" s="8"/>
      <c r="J27" s="12"/>
      <c r="K27" s="3"/>
      <c r="L27" s="3"/>
      <c r="M27" s="3"/>
    </row>
    <row r="28" customFormat="false" ht="12.75" hidden="false" customHeight="false" outlineLevel="0" collapsed="false">
      <c r="A28" s="8"/>
      <c r="B28" s="10"/>
      <c r="C28" s="11"/>
      <c r="D28" s="12"/>
      <c r="E28" s="14"/>
      <c r="G28" s="8"/>
      <c r="H28" s="10"/>
      <c r="I28" s="8"/>
      <c r="J28" s="14"/>
      <c r="K28" s="3"/>
      <c r="L28" s="13"/>
      <c r="M28" s="3"/>
    </row>
    <row r="29" customFormat="false" ht="12.75" hidden="false" customHeight="false" outlineLevel="0" collapsed="false">
      <c r="A29" s="8"/>
      <c r="B29" s="8"/>
      <c r="D29" s="3"/>
      <c r="E29" s="3"/>
      <c r="F29" s="14"/>
      <c r="G29" s="8"/>
      <c r="H29" s="8"/>
      <c r="J29" s="3"/>
      <c r="L29" s="3"/>
      <c r="M29" s="3"/>
      <c r="N29" s="3"/>
      <c r="O29" s="3"/>
    </row>
    <row r="30" customFormat="false" ht="12.75" hidden="false" customHeight="false" outlineLevel="0" collapsed="false">
      <c r="A30" s="8" t="s">
        <v>21</v>
      </c>
      <c r="B30" s="8" t="s">
        <v>29</v>
      </c>
      <c r="C30" s="9" t="n">
        <v>36617</v>
      </c>
      <c r="D30" s="3" t="n">
        <v>53989</v>
      </c>
      <c r="E30" s="3" t="s">
        <v>8</v>
      </c>
      <c r="G30" s="8" t="s">
        <v>30</v>
      </c>
      <c r="H30" s="8" t="s">
        <v>25</v>
      </c>
      <c r="I30" s="9" t="n">
        <v>36617</v>
      </c>
      <c r="J30" s="3" t="n">
        <v>8672</v>
      </c>
      <c r="L30" s="3"/>
      <c r="M30" s="3"/>
    </row>
    <row r="31" customFormat="false" ht="12.75" hidden="false" customHeight="false" outlineLevel="0" collapsed="false">
      <c r="A31" s="8" t="s">
        <v>10</v>
      </c>
      <c r="B31" s="10" t="n">
        <v>4.08</v>
      </c>
      <c r="C31" s="9" t="n">
        <v>36647</v>
      </c>
      <c r="D31" s="3" t="n">
        <v>65503</v>
      </c>
      <c r="E31" s="3"/>
      <c r="G31" s="8" t="s">
        <v>10</v>
      </c>
      <c r="H31" s="10" t="n">
        <v>3.79</v>
      </c>
      <c r="I31" s="9" t="n">
        <v>36647</v>
      </c>
      <c r="J31" s="3" t="n">
        <v>8564</v>
      </c>
      <c r="K31" s="3"/>
      <c r="L31" s="3"/>
      <c r="M31" s="3"/>
    </row>
    <row r="32" customFormat="false" ht="12.75" hidden="false" customHeight="false" outlineLevel="0" collapsed="false">
      <c r="A32" s="8" t="s">
        <v>28</v>
      </c>
      <c r="B32" s="10"/>
      <c r="C32" s="9" t="n">
        <v>36678</v>
      </c>
      <c r="D32" s="3" t="n">
        <v>63840</v>
      </c>
      <c r="E32" s="3"/>
      <c r="G32" s="8" t="s">
        <v>31</v>
      </c>
      <c r="I32" s="9" t="n">
        <v>36678</v>
      </c>
      <c r="J32" s="3" t="n">
        <v>10895</v>
      </c>
      <c r="K32" s="13"/>
      <c r="L32" s="3"/>
      <c r="M32" s="3"/>
    </row>
    <row r="33" customFormat="false" ht="12.75" hidden="false" customHeight="false" outlineLevel="0" collapsed="false">
      <c r="A33" s="8"/>
      <c r="B33" s="8"/>
      <c r="C33" s="9" t="n">
        <v>36708</v>
      </c>
      <c r="D33" s="3" t="n">
        <v>53568</v>
      </c>
      <c r="E33" s="3"/>
      <c r="G33" s="8"/>
      <c r="H33" s="8"/>
      <c r="I33" s="9" t="n">
        <v>36708</v>
      </c>
      <c r="J33" s="3" t="n">
        <v>10920</v>
      </c>
      <c r="K33" s="3"/>
      <c r="L33" s="3"/>
      <c r="M33" s="3"/>
    </row>
    <row r="34" customFormat="false" ht="12.75" hidden="false" customHeight="false" outlineLevel="0" collapsed="false">
      <c r="A34" s="8"/>
      <c r="B34" s="8" t="s">
        <v>13</v>
      </c>
      <c r="C34" s="8" t="s">
        <v>14</v>
      </c>
      <c r="D34" s="3" t="n">
        <f aca="false">SUM(D30:D33)</f>
        <v>236900</v>
      </c>
      <c r="E34" s="3"/>
      <c r="G34" s="8"/>
      <c r="H34" s="8" t="s">
        <v>15</v>
      </c>
      <c r="I34" s="8" t="s">
        <v>14</v>
      </c>
      <c r="J34" s="3" t="n">
        <v>39051</v>
      </c>
      <c r="K34" s="3"/>
      <c r="L34" s="3"/>
      <c r="M34" s="3"/>
    </row>
    <row r="35" customFormat="false" ht="12.75" hidden="false" customHeight="false" outlineLevel="0" collapsed="false">
      <c r="C35" s="11" t="s">
        <v>16</v>
      </c>
      <c r="D35" s="12" t="n">
        <f aca="false">(D33-52660)*J74</f>
        <v>-72.6400000000001</v>
      </c>
      <c r="E35" s="3"/>
      <c r="G35" s="8"/>
      <c r="I35" s="9" t="n">
        <v>36678</v>
      </c>
      <c r="J35" s="3" t="n">
        <v>10895</v>
      </c>
      <c r="K35" s="3"/>
      <c r="L35" s="3"/>
      <c r="M35" s="3"/>
    </row>
    <row r="36" customFormat="false" ht="12.75" hidden="false" customHeight="false" outlineLevel="0" collapsed="false">
      <c r="C36" s="11" t="s">
        <v>17</v>
      </c>
      <c r="D36" s="3" t="n">
        <f aca="false">(D34-220209)*B31</f>
        <v>68099.28</v>
      </c>
      <c r="E36" s="3"/>
      <c r="G36" s="8"/>
      <c r="H36" s="10"/>
      <c r="I36" s="9" t="n">
        <v>36708</v>
      </c>
      <c r="J36" s="3" t="n">
        <v>11031</v>
      </c>
      <c r="K36" s="3"/>
      <c r="L36" s="3"/>
      <c r="M36" s="3"/>
    </row>
    <row r="37" customFormat="false" ht="12.75" hidden="false" customHeight="false" outlineLevel="0" collapsed="false">
      <c r="D37" s="3"/>
      <c r="E37" s="3"/>
      <c r="G37" s="8"/>
      <c r="H37" s="8" t="s">
        <v>13</v>
      </c>
      <c r="I37" s="8" t="s">
        <v>14</v>
      </c>
      <c r="J37" s="14" t="n">
        <v>39154</v>
      </c>
      <c r="L37" s="3"/>
      <c r="M37" s="3"/>
      <c r="N37" s="3"/>
      <c r="O37" s="3"/>
    </row>
    <row r="38" customFormat="false" ht="13.5" hidden="false" customHeight="false" outlineLevel="0" collapsed="false">
      <c r="D38" s="3"/>
      <c r="E38" s="3"/>
      <c r="G38" s="8"/>
      <c r="H38" s="8"/>
      <c r="I38" s="8" t="s">
        <v>20</v>
      </c>
      <c r="J38" s="14" t="n">
        <f aca="false">J37-J34</f>
        <v>103</v>
      </c>
      <c r="K38" s="3"/>
      <c r="L38" s="3"/>
      <c r="M38" s="3"/>
    </row>
    <row r="39" customFormat="false" ht="12.75" hidden="false" customHeight="false" outlineLevel="0" collapsed="false">
      <c r="B39" s="17" t="s">
        <v>32</v>
      </c>
      <c r="C39" s="18" t="n">
        <v>28787976</v>
      </c>
      <c r="D39" s="19"/>
      <c r="E39" s="20"/>
      <c r="G39" s="8"/>
      <c r="H39" s="8"/>
      <c r="I39" s="11" t="s">
        <v>17</v>
      </c>
      <c r="J39" s="12" t="n">
        <f aca="false">J38*H31</f>
        <v>390.37</v>
      </c>
      <c r="K39" s="3"/>
      <c r="L39" s="3"/>
      <c r="M39" s="3"/>
    </row>
    <row r="40" customFormat="false" ht="12.75" hidden="false" customHeight="false" outlineLevel="0" collapsed="false">
      <c r="A40" s="1"/>
      <c r="B40" s="21" t="s">
        <v>17</v>
      </c>
      <c r="C40" s="12" t="n">
        <f aca="false">J12+J25+J39+J53+J66+D9+D18+D27+D36</f>
        <v>327699.63284</v>
      </c>
      <c r="D40" s="22"/>
      <c r="E40" s="20"/>
      <c r="G40" s="8"/>
      <c r="H40" s="8"/>
      <c r="I40" s="11" t="s">
        <v>16</v>
      </c>
      <c r="J40" s="12" t="n">
        <f aca="false">(J36-J32)*J76</f>
        <v>-9.52000000000004</v>
      </c>
      <c r="K40" s="3"/>
      <c r="L40" s="3"/>
      <c r="M40" s="13"/>
      <c r="O40" s="3"/>
    </row>
    <row r="41" customFormat="false" ht="12.75" hidden="false" customHeight="false" outlineLevel="0" collapsed="false">
      <c r="B41" s="21" t="s">
        <v>16</v>
      </c>
      <c r="C41" s="12" t="n">
        <f aca="false">D8+D17+D26+D35+J13+J26+J40+J67</f>
        <v>-1347.08297599999</v>
      </c>
      <c r="D41" s="22"/>
      <c r="G41" s="8"/>
      <c r="H41" s="8"/>
      <c r="I41" s="11"/>
      <c r="J41" s="12"/>
      <c r="K41" s="3"/>
      <c r="L41" s="3"/>
      <c r="M41" s="3"/>
    </row>
    <row r="42" customFormat="false" ht="12.75" hidden="false" customHeight="false" outlineLevel="0" collapsed="false">
      <c r="B42" s="21" t="s">
        <v>33</v>
      </c>
      <c r="C42" s="12" t="n">
        <f aca="false">SUM(C39:C41)</f>
        <v>29114328.549864</v>
      </c>
      <c r="D42" s="22"/>
      <c r="G42" s="8"/>
      <c r="H42" s="8"/>
      <c r="I42" s="11"/>
      <c r="J42" s="12"/>
      <c r="K42" s="3"/>
      <c r="L42" s="3"/>
      <c r="M42" s="3"/>
    </row>
    <row r="43" customFormat="false" ht="12.75" hidden="false" customHeight="false" outlineLevel="0" collapsed="false">
      <c r="B43" s="21" t="s">
        <v>34</v>
      </c>
      <c r="C43" s="3" t="n">
        <v>6396896</v>
      </c>
      <c r="D43" s="22" t="s">
        <v>35</v>
      </c>
      <c r="E43" s="20"/>
      <c r="G43" s="8"/>
      <c r="H43" s="8"/>
      <c r="I43" s="8"/>
      <c r="J43" s="14"/>
      <c r="K43" s="3"/>
      <c r="L43" s="3"/>
      <c r="M43" s="3"/>
    </row>
    <row r="44" customFormat="false" ht="12.75" hidden="false" customHeight="false" outlineLevel="0" collapsed="false">
      <c r="B44" s="21" t="s">
        <v>36</v>
      </c>
      <c r="C44" s="3" t="n">
        <f aca="false">D7+D16+D25+D34+J10+J23+J37+J51+J64</f>
        <v>6472150.7576</v>
      </c>
      <c r="D44" s="22" t="s">
        <v>35</v>
      </c>
      <c r="E44" s="20"/>
      <c r="G44" s="8" t="s">
        <v>21</v>
      </c>
      <c r="H44" s="8" t="s">
        <v>37</v>
      </c>
      <c r="I44" s="9" t="n">
        <v>36617</v>
      </c>
      <c r="J44" s="3" t="n">
        <v>247492</v>
      </c>
      <c r="K44" s="3"/>
      <c r="L44" s="3"/>
      <c r="M44" s="3"/>
    </row>
    <row r="45" customFormat="false" ht="13.5" hidden="false" customHeight="false" outlineLevel="0" collapsed="false">
      <c r="B45" s="23" t="s">
        <v>20</v>
      </c>
      <c r="C45" s="24" t="n">
        <f aca="false">C44-C43</f>
        <v>75254.7576000001</v>
      </c>
      <c r="D45" s="25" t="s">
        <v>35</v>
      </c>
      <c r="E45" s="20"/>
      <c r="G45" s="8" t="s">
        <v>10</v>
      </c>
      <c r="H45" s="10" t="n">
        <v>3.54</v>
      </c>
      <c r="I45" s="9" t="n">
        <v>36647</v>
      </c>
      <c r="J45" s="3" t="n">
        <v>25333</v>
      </c>
      <c r="K45" s="3"/>
      <c r="L45" s="3"/>
      <c r="M45" s="3"/>
    </row>
    <row r="46" customFormat="false" ht="12.75" hidden="false" customHeight="false" outlineLevel="0" collapsed="false">
      <c r="D46" s="26"/>
      <c r="E46" s="26"/>
      <c r="G46" s="8"/>
      <c r="H46" s="8"/>
      <c r="I46" s="9" t="n">
        <v>36678</v>
      </c>
      <c r="J46" s="3" t="n">
        <v>24245</v>
      </c>
      <c r="K46" s="3"/>
      <c r="L46" s="13"/>
      <c r="M46" s="3"/>
    </row>
    <row r="47" customFormat="false" ht="12.75" hidden="false" customHeight="false" outlineLevel="0" collapsed="false">
      <c r="D47" s="26"/>
      <c r="E47" s="26"/>
      <c r="G47" s="8"/>
      <c r="H47" s="8"/>
      <c r="I47" s="9" t="n">
        <v>36708</v>
      </c>
      <c r="J47" s="3" t="n">
        <v>-7408</v>
      </c>
      <c r="K47" s="3"/>
      <c r="L47" s="3"/>
      <c r="M47" s="3"/>
    </row>
    <row r="48" customFormat="false" ht="12.75" hidden="false" customHeight="false" outlineLevel="0" collapsed="false">
      <c r="C48" s="27"/>
      <c r="D48" s="26"/>
      <c r="E48" s="26"/>
      <c r="G48" s="8"/>
      <c r="H48" s="8" t="s">
        <v>15</v>
      </c>
      <c r="I48" s="8" t="s">
        <v>14</v>
      </c>
      <c r="J48" s="3" t="n">
        <f aca="false">SUM(J44:J47)</f>
        <v>289662</v>
      </c>
      <c r="K48" s="3"/>
      <c r="L48" s="3"/>
    </row>
    <row r="49" customFormat="false" ht="12.75" hidden="false" customHeight="false" outlineLevel="0" collapsed="false">
      <c r="D49" s="26"/>
      <c r="E49" s="26"/>
      <c r="G49" s="8"/>
      <c r="I49" s="9" t="n">
        <v>36678</v>
      </c>
      <c r="J49" s="3" t="n">
        <v>24269</v>
      </c>
      <c r="K49" s="3"/>
      <c r="L49" s="3"/>
    </row>
    <row r="50" customFormat="false" ht="12.75" hidden="false" customHeight="false" outlineLevel="0" collapsed="false">
      <c r="D50" s="26"/>
      <c r="E50" s="26"/>
      <c r="G50" s="8"/>
      <c r="H50" s="10"/>
      <c r="I50" s="9" t="n">
        <v>36708</v>
      </c>
      <c r="J50" s="3" t="n">
        <v>-6976</v>
      </c>
      <c r="K50" s="3"/>
      <c r="L50" s="3"/>
    </row>
    <row r="51" customFormat="false" ht="12.75" hidden="false" customHeight="false" outlineLevel="0" collapsed="false">
      <c r="C51" s="13"/>
      <c r="D51" s="26"/>
      <c r="E51" s="26"/>
      <c r="G51" s="8"/>
      <c r="H51" s="8" t="s">
        <v>13</v>
      </c>
      <c r="I51" s="8" t="s">
        <v>14</v>
      </c>
      <c r="J51" s="14" t="n">
        <f aca="false">J48-J46-J47+J49+J50</f>
        <v>290118</v>
      </c>
      <c r="K51" s="13"/>
      <c r="L51" s="3"/>
    </row>
    <row r="52" customFormat="false" ht="12.75" hidden="false" customHeight="false" outlineLevel="0" collapsed="false">
      <c r="A52" s="28"/>
      <c r="G52" s="8"/>
      <c r="H52" s="8"/>
      <c r="I52" s="8" t="s">
        <v>20</v>
      </c>
      <c r="J52" s="14" t="n">
        <f aca="false">J51-J48</f>
        <v>456</v>
      </c>
      <c r="K52" s="3"/>
      <c r="L52" s="3"/>
    </row>
    <row r="53" customFormat="false" ht="12.75" hidden="false" customHeight="false" outlineLevel="0" collapsed="false">
      <c r="A53" s="28"/>
      <c r="G53" s="8"/>
      <c r="H53" s="8"/>
      <c r="I53" s="11" t="s">
        <v>17</v>
      </c>
      <c r="J53" s="12" t="n">
        <f aca="false">J52*H45</f>
        <v>1614.24</v>
      </c>
      <c r="K53" s="3"/>
      <c r="L53" s="3"/>
    </row>
    <row r="54" customFormat="false" ht="12.75" hidden="false" customHeight="false" outlineLevel="0" collapsed="false">
      <c r="A54" s="28"/>
      <c r="G54" s="8"/>
      <c r="H54" s="8"/>
      <c r="I54" s="11"/>
      <c r="J54" s="12"/>
      <c r="K54" s="3"/>
    </row>
    <row r="55" customFormat="false" ht="12.75" hidden="false" customHeight="false" outlineLevel="0" collapsed="false">
      <c r="A55" s="28"/>
      <c r="G55" s="8"/>
      <c r="H55" s="8"/>
      <c r="I55" s="11"/>
      <c r="J55" s="12"/>
      <c r="K55" s="3"/>
    </row>
    <row r="56" customFormat="false" ht="12.75" hidden="false" customHeight="false" outlineLevel="0" collapsed="false">
      <c r="A56" s="28"/>
      <c r="G56" s="8"/>
      <c r="H56" s="8"/>
      <c r="J56" s="3"/>
      <c r="K56" s="3"/>
    </row>
    <row r="57" customFormat="false" ht="12.75" hidden="false" customHeight="false" outlineLevel="0" collapsed="false">
      <c r="G57" s="8" t="s">
        <v>21</v>
      </c>
      <c r="H57" s="8" t="s">
        <v>38</v>
      </c>
      <c r="I57" s="9" t="n">
        <v>36617</v>
      </c>
      <c r="J57" s="3" t="n">
        <v>254713</v>
      </c>
      <c r="K57" s="3"/>
    </row>
    <row r="58" customFormat="false" ht="12.75" hidden="false" customHeight="false" outlineLevel="0" collapsed="false">
      <c r="A58" s="28"/>
      <c r="G58" s="8" t="s">
        <v>10</v>
      </c>
      <c r="H58" s="10" t="n">
        <v>4.76</v>
      </c>
      <c r="I58" s="9" t="n">
        <v>36647</v>
      </c>
      <c r="J58" s="3" t="n">
        <v>185014</v>
      </c>
      <c r="K58" s="3"/>
    </row>
    <row r="59" customFormat="false" ht="12.75" hidden="false" customHeight="false" outlineLevel="0" collapsed="false">
      <c r="A59" s="28"/>
      <c r="G59" s="8" t="s">
        <v>23</v>
      </c>
      <c r="H59" s="10"/>
      <c r="I59" s="9" t="n">
        <v>36678</v>
      </c>
      <c r="J59" s="3" t="n">
        <v>193571</v>
      </c>
      <c r="K59" s="3"/>
    </row>
    <row r="60" customFormat="false" ht="12.75" hidden="false" customHeight="false" outlineLevel="0" collapsed="false">
      <c r="A60" s="28"/>
      <c r="G60" s="8"/>
      <c r="H60" s="8"/>
      <c r="I60" s="9" t="n">
        <v>36708</v>
      </c>
      <c r="J60" s="3" t="n">
        <v>138007</v>
      </c>
      <c r="K60" s="3"/>
    </row>
    <row r="61" customFormat="false" ht="12.75" hidden="false" customHeight="false" outlineLevel="0" collapsed="false">
      <c r="A61" s="28"/>
      <c r="G61" s="8"/>
      <c r="H61" s="8" t="s">
        <v>15</v>
      </c>
      <c r="I61" s="8" t="s">
        <v>14</v>
      </c>
      <c r="J61" s="3" t="n">
        <v>771305</v>
      </c>
      <c r="K61" s="3"/>
    </row>
    <row r="62" customFormat="false" ht="12.75" hidden="false" customHeight="false" outlineLevel="0" collapsed="false">
      <c r="A62" s="28"/>
      <c r="G62" s="8"/>
      <c r="I62" s="9" t="n">
        <v>36678</v>
      </c>
      <c r="J62" s="3" t="n">
        <v>193571</v>
      </c>
      <c r="K62" s="3"/>
    </row>
    <row r="63" customFormat="false" ht="12.75" hidden="false" customHeight="false" outlineLevel="0" collapsed="false">
      <c r="H63" s="10"/>
      <c r="I63" s="9" t="n">
        <v>36708</v>
      </c>
      <c r="J63" s="3" t="n">
        <v>133523</v>
      </c>
      <c r="K63" s="3"/>
    </row>
    <row r="64" customFormat="false" ht="12.75" hidden="false" customHeight="false" outlineLevel="0" collapsed="false">
      <c r="H64" s="8" t="s">
        <v>13</v>
      </c>
      <c r="I64" s="8" t="s">
        <v>14</v>
      </c>
      <c r="J64" s="14" t="n">
        <f aca="false">J61-J59-J60+J62+J63</f>
        <v>766821</v>
      </c>
      <c r="K64" s="3"/>
    </row>
    <row r="65" customFormat="false" ht="12.75" hidden="false" customHeight="false" outlineLevel="0" collapsed="false">
      <c r="I65" s="8" t="s">
        <v>20</v>
      </c>
      <c r="J65" s="14" t="n">
        <f aca="false">J64-J61</f>
        <v>-4484</v>
      </c>
      <c r="K65" s="3"/>
    </row>
    <row r="66" customFormat="false" ht="12.75" hidden="false" customHeight="false" outlineLevel="0" collapsed="false">
      <c r="I66" s="11" t="s">
        <v>17</v>
      </c>
      <c r="J66" s="12" t="n">
        <f aca="false">J65*H58</f>
        <v>-21343.84</v>
      </c>
      <c r="K66" s="3"/>
    </row>
    <row r="67" customFormat="false" ht="12.75" hidden="false" customHeight="false" outlineLevel="0" collapsed="false">
      <c r="I67" s="11" t="s">
        <v>16</v>
      </c>
      <c r="J67" s="12" t="n">
        <f aca="false">(J63-J60)*J73</f>
        <v>313.880000000001</v>
      </c>
      <c r="K67" s="3"/>
    </row>
    <row r="68" customFormat="false" ht="12.75" hidden="false" customHeight="false" outlineLevel="0" collapsed="false">
      <c r="I68" s="11"/>
      <c r="J68" s="12"/>
      <c r="K68" s="3"/>
    </row>
    <row r="69" customFormat="false" ht="12.75" hidden="false" customHeight="false" outlineLevel="0" collapsed="false">
      <c r="I69" s="11"/>
      <c r="J69" s="12"/>
      <c r="K69" s="3"/>
    </row>
    <row r="70" customFormat="false" ht="12.75" hidden="false" customHeight="false" outlineLevel="0" collapsed="false">
      <c r="B70" s="28" t="s">
        <v>39</v>
      </c>
      <c r="I70" s="8"/>
      <c r="J70" s="14"/>
      <c r="K70" s="3"/>
    </row>
    <row r="71" customFormat="false" ht="12.75" hidden="false" customHeight="false" outlineLevel="0" collapsed="false">
      <c r="H71" s="29" t="s">
        <v>40</v>
      </c>
      <c r="I71" s="30" t="s">
        <v>41</v>
      </c>
      <c r="J71" s="30" t="s">
        <v>20</v>
      </c>
      <c r="K71" s="3"/>
    </row>
    <row r="72" customFormat="false" ht="12.75" hidden="false" customHeight="false" outlineLevel="0" collapsed="false">
      <c r="G72" s="1" t="s">
        <v>42</v>
      </c>
      <c r="H72" s="10" t="n">
        <v>4.58</v>
      </c>
      <c r="I72" s="10" t="n">
        <v>4.52</v>
      </c>
      <c r="J72" s="10" t="n">
        <f aca="false">I72-H72</f>
        <v>-0.0600000000000005</v>
      </c>
      <c r="K72" s="3"/>
    </row>
    <row r="73" customFormat="false" ht="12.75" hidden="false" customHeight="false" outlineLevel="0" collapsed="false">
      <c r="G73" s="1" t="s">
        <v>43</v>
      </c>
      <c r="H73" s="10" t="n">
        <v>4.42</v>
      </c>
      <c r="I73" s="10" t="n">
        <v>4.35</v>
      </c>
      <c r="J73" s="10" t="n">
        <f aca="false">I73-H73</f>
        <v>-0.0700000000000003</v>
      </c>
      <c r="K73" s="3"/>
    </row>
    <row r="74" customFormat="false" ht="12.75" hidden="false" customHeight="false" outlineLevel="0" collapsed="false">
      <c r="G74" s="1" t="s">
        <v>44</v>
      </c>
      <c r="H74" s="10" t="n">
        <v>4.44</v>
      </c>
      <c r="I74" s="10" t="n">
        <v>4.36</v>
      </c>
      <c r="J74" s="10" t="n">
        <f aca="false">I74-H74</f>
        <v>-0.0800000000000001</v>
      </c>
      <c r="K74" s="3"/>
    </row>
    <row r="75" customFormat="false" ht="12.75" hidden="false" customHeight="false" outlineLevel="0" collapsed="false">
      <c r="G75" s="1" t="s">
        <v>45</v>
      </c>
      <c r="H75" s="10" t="n">
        <v>4.56</v>
      </c>
      <c r="I75" s="10" t="n">
        <v>4.48</v>
      </c>
      <c r="J75" s="10" t="n">
        <f aca="false">I75-H75</f>
        <v>-0.0799999999999992</v>
      </c>
    </row>
    <row r="76" customFormat="false" ht="12.75" hidden="false" customHeight="false" outlineLevel="0" collapsed="false">
      <c r="G76" s="1" t="s">
        <v>46</v>
      </c>
      <c r="H76" s="10" t="n">
        <v>4.5</v>
      </c>
      <c r="I76" s="10" t="n">
        <v>4.43</v>
      </c>
      <c r="J76" s="10" t="n">
        <f aca="false">I76-H76</f>
        <v>-0.0700000000000003</v>
      </c>
    </row>
    <row r="80" customFormat="false" ht="12.75" hidden="false" customHeight="false" outlineLevel="0" collapsed="false">
      <c r="H80" s="12"/>
      <c r="I80" s="12"/>
    </row>
  </sheetData>
  <mergeCells count="2">
    <mergeCell ref="A1:D1"/>
    <mergeCell ref="G1:J1"/>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&amp;L&amp;"Arial,Bold"&amp;12Draft Post-Close Storage Settlement&amp;R08/23/00</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7" activeCellId="0" sqref="D7"/>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7.42"/>
    <col collapsed="false" customWidth="true" hidden="false" outlineLevel="0" max="3" min="3" style="0" width="16.42"/>
    <col collapsed="false" customWidth="true" hidden="false" outlineLevel="0" max="4" min="4" style="0" width="12.85"/>
    <col collapsed="false" customWidth="true" hidden="false" outlineLevel="0" max="5" min="5" style="0" width="12.14"/>
    <col collapsed="false" customWidth="true" hidden="false" outlineLevel="0" max="6" min="6" style="1" width="11.56"/>
    <col collapsed="false" customWidth="true" hidden="false" outlineLevel="0" max="7" min="7" style="0" width="15.13"/>
    <col collapsed="false" customWidth="true" hidden="false" outlineLevel="0" max="8" min="8" style="0" width="13.14"/>
    <col collapsed="false" customWidth="true" hidden="false" outlineLevel="0" max="9" min="9" style="0" width="17.14"/>
    <col collapsed="false" customWidth="true" hidden="false" outlineLevel="0" max="10" min="10" style="0" width="13.28"/>
    <col collapsed="false" customWidth="true" hidden="false" outlineLevel="0" max="13" min="11" style="0" width="12.85"/>
  </cols>
  <sheetData>
    <row r="1" customFormat="false" ht="12.75" hidden="false" customHeight="true" outlineLevel="0" collapsed="false">
      <c r="A1" s="2" t="s">
        <v>0</v>
      </c>
      <c r="B1" s="2"/>
      <c r="C1" s="2"/>
      <c r="D1" s="2"/>
      <c r="E1" s="3"/>
      <c r="G1" s="4" t="s">
        <v>1</v>
      </c>
      <c r="H1" s="4"/>
      <c r="I1" s="4"/>
      <c r="J1" s="4"/>
    </row>
    <row r="2" customFormat="false" ht="12.75" hidden="false" customHeight="false" outlineLevel="0" collapsed="false">
      <c r="A2" s="5" t="s">
        <v>2</v>
      </c>
      <c r="B2" s="5" t="s">
        <v>3</v>
      </c>
      <c r="C2" s="5" t="s">
        <v>4</v>
      </c>
      <c r="D2" s="6" t="s">
        <v>5</v>
      </c>
      <c r="E2" s="6"/>
      <c r="F2" s="7"/>
      <c r="G2" s="5" t="s">
        <v>2</v>
      </c>
      <c r="H2" s="5" t="s">
        <v>3</v>
      </c>
      <c r="I2" s="5" t="s">
        <v>4</v>
      </c>
      <c r="J2" s="6" t="s">
        <v>5</v>
      </c>
      <c r="K2" s="6"/>
      <c r="L2" s="6"/>
      <c r="M2" s="6"/>
    </row>
    <row r="3" customFormat="false" ht="12.75" hidden="false" customHeight="false" outlineLevel="0" collapsed="false">
      <c r="A3" s="8" t="s">
        <v>6</v>
      </c>
      <c r="B3" s="8" t="s">
        <v>7</v>
      </c>
      <c r="C3" s="9" t="n">
        <v>36617</v>
      </c>
      <c r="D3" s="3" t="n">
        <v>786579</v>
      </c>
      <c r="E3" s="3"/>
      <c r="G3" s="8" t="s">
        <v>9</v>
      </c>
      <c r="H3" s="8" t="s">
        <v>7</v>
      </c>
      <c r="I3" s="9" t="n">
        <v>36617</v>
      </c>
      <c r="J3" s="3" t="n">
        <v>3331</v>
      </c>
      <c r="K3" s="3"/>
      <c r="L3" s="3"/>
      <c r="M3" s="3"/>
    </row>
    <row r="4" customFormat="false" ht="12.75" hidden="false" customHeight="false" outlineLevel="0" collapsed="false">
      <c r="A4" s="8" t="s">
        <v>10</v>
      </c>
      <c r="B4" s="10" t="n">
        <v>4.69</v>
      </c>
      <c r="C4" s="9" t="n">
        <v>36647</v>
      </c>
      <c r="D4" s="3" t="n">
        <v>1089109</v>
      </c>
      <c r="E4" s="3"/>
      <c r="G4" s="8"/>
      <c r="H4" s="8" t="s">
        <v>11</v>
      </c>
      <c r="I4" s="9" t="n">
        <v>36647</v>
      </c>
      <c r="J4" s="3" t="n">
        <v>13430</v>
      </c>
      <c r="K4" s="3"/>
      <c r="L4" s="3"/>
      <c r="M4" s="3"/>
    </row>
    <row r="5" customFormat="false" ht="12.75" hidden="false" customHeight="false" outlineLevel="0" collapsed="false">
      <c r="A5" s="8" t="s">
        <v>12</v>
      </c>
      <c r="C5" s="9" t="n">
        <v>36678</v>
      </c>
      <c r="D5" s="3" t="n">
        <v>1089109</v>
      </c>
      <c r="E5" s="3"/>
      <c r="G5" s="8" t="s">
        <v>10</v>
      </c>
      <c r="H5" s="10" t="n">
        <v>5.35</v>
      </c>
      <c r="I5" s="9" t="n">
        <v>36678</v>
      </c>
      <c r="J5" s="3" t="n">
        <v>13472</v>
      </c>
      <c r="L5" s="3"/>
      <c r="M5" s="3"/>
      <c r="N5" s="3"/>
      <c r="O5" s="3"/>
    </row>
    <row r="6" customFormat="false" ht="12.75" hidden="false" customHeight="false" outlineLevel="0" collapsed="false">
      <c r="A6" s="8"/>
      <c r="B6" s="8"/>
      <c r="C6" s="9" t="n">
        <v>36708</v>
      </c>
      <c r="D6" s="3" t="n">
        <v>1089109</v>
      </c>
      <c r="E6" s="3"/>
      <c r="G6" s="8" t="s">
        <v>12</v>
      </c>
      <c r="H6" s="10"/>
      <c r="I6" s="9" t="n">
        <v>36708</v>
      </c>
      <c r="J6" s="3" t="n">
        <v>15314</v>
      </c>
      <c r="L6" s="3"/>
      <c r="M6" s="3"/>
    </row>
    <row r="7" customFormat="false" ht="12.75" hidden="false" customHeight="false" outlineLevel="0" collapsed="false">
      <c r="A7" s="8"/>
      <c r="B7" s="8" t="s">
        <v>13</v>
      </c>
      <c r="C7" s="8" t="s">
        <v>14</v>
      </c>
      <c r="D7" s="3" t="n">
        <v>4053906</v>
      </c>
      <c r="E7" s="3"/>
      <c r="G7" s="8"/>
      <c r="H7" s="8" t="s">
        <v>13</v>
      </c>
      <c r="I7" s="8" t="s">
        <v>14</v>
      </c>
      <c r="J7" s="3" t="n">
        <v>45547</v>
      </c>
      <c r="K7" s="3"/>
      <c r="L7" s="3"/>
      <c r="M7" s="3"/>
    </row>
    <row r="8" customFormat="false" ht="12.75" hidden="false" customHeight="false" outlineLevel="0" collapsed="false">
      <c r="A8" s="8"/>
      <c r="C8" s="11" t="s">
        <v>16</v>
      </c>
      <c r="D8" s="12" t="n">
        <f aca="false">D6*J72</f>
        <v>-65346.5400000005</v>
      </c>
      <c r="E8" s="12"/>
      <c r="G8" s="8"/>
      <c r="I8" s="9" t="n">
        <v>36678</v>
      </c>
      <c r="J8" s="3" t="n">
        <v>12074</v>
      </c>
      <c r="K8" s="13"/>
      <c r="L8" s="13"/>
      <c r="M8" s="13"/>
    </row>
    <row r="9" customFormat="false" ht="12.75" hidden="false" customHeight="false" outlineLevel="0" collapsed="false">
      <c r="A9" s="8"/>
      <c r="C9" s="11"/>
      <c r="D9" s="12"/>
      <c r="E9" s="12"/>
      <c r="G9" s="8"/>
      <c r="H9" s="10"/>
      <c r="I9" s="9" t="n">
        <v>36708</v>
      </c>
      <c r="J9" s="3" t="n">
        <v>11960</v>
      </c>
      <c r="K9" s="3"/>
      <c r="L9" s="3"/>
      <c r="M9" s="3"/>
    </row>
    <row r="10" customFormat="false" ht="12.75" hidden="false" customHeight="false" outlineLevel="0" collapsed="false">
      <c r="A10" s="8"/>
      <c r="B10" s="10"/>
      <c r="C10" s="8"/>
      <c r="D10" s="3"/>
      <c r="E10" s="3"/>
      <c r="G10" s="8"/>
      <c r="H10" s="8" t="s">
        <v>47</v>
      </c>
      <c r="I10" s="8" t="s">
        <v>14</v>
      </c>
      <c r="J10" s="14" t="n">
        <f aca="false">J7-J5-J6+J8+J9</f>
        <v>40795</v>
      </c>
      <c r="K10" s="3"/>
      <c r="L10" s="3"/>
      <c r="M10" s="3"/>
    </row>
    <row r="11" customFormat="false" ht="12.75" hidden="false" customHeight="false" outlineLevel="0" collapsed="false">
      <c r="A11" s="8"/>
      <c r="B11" s="8"/>
      <c r="D11" s="3"/>
      <c r="E11" s="3"/>
      <c r="G11" s="8"/>
      <c r="H11" s="10"/>
      <c r="I11" s="8" t="s">
        <v>20</v>
      </c>
      <c r="J11" s="14" t="n">
        <f aca="false">J10-J7</f>
        <v>-4752</v>
      </c>
      <c r="K11" s="3"/>
      <c r="L11" s="3"/>
      <c r="M11" s="3"/>
    </row>
    <row r="12" customFormat="false" ht="12.75" hidden="false" customHeight="false" outlineLevel="0" collapsed="false">
      <c r="A12" s="8" t="s">
        <v>21</v>
      </c>
      <c r="B12" s="8" t="s">
        <v>22</v>
      </c>
      <c r="C12" s="9" t="n">
        <v>36617</v>
      </c>
      <c r="D12" s="3" t="n">
        <v>128457</v>
      </c>
      <c r="E12" s="3"/>
      <c r="G12" s="8"/>
      <c r="H12" s="10"/>
      <c r="I12" s="11" t="s">
        <v>17</v>
      </c>
      <c r="J12" s="12" t="n">
        <f aca="false">J11*H5</f>
        <v>-25423.2</v>
      </c>
      <c r="K12" s="3"/>
      <c r="L12" s="3"/>
      <c r="M12" s="3"/>
    </row>
    <row r="13" customFormat="false" ht="12.75" hidden="false" customHeight="false" outlineLevel="0" collapsed="false">
      <c r="A13" s="8" t="s">
        <v>10</v>
      </c>
      <c r="B13" s="10" t="n">
        <v>4.65</v>
      </c>
      <c r="C13" s="9" t="n">
        <v>36647</v>
      </c>
      <c r="D13" s="3" t="n">
        <v>126134</v>
      </c>
      <c r="E13" s="3"/>
      <c r="G13" s="8"/>
      <c r="H13" s="10"/>
      <c r="I13" s="11" t="s">
        <v>16</v>
      </c>
      <c r="J13" s="12" t="n">
        <f aca="false">J9*J72</f>
        <v>-717.600000000006</v>
      </c>
      <c r="K13" s="3"/>
      <c r="L13" s="3"/>
      <c r="M13" s="3"/>
      <c r="N13" s="3"/>
      <c r="O13" s="3"/>
    </row>
    <row r="14" customFormat="false" ht="12.75" hidden="false" customHeight="false" outlineLevel="0" collapsed="false">
      <c r="A14" s="8" t="s">
        <v>23</v>
      </c>
      <c r="C14" s="9" t="n">
        <v>36678</v>
      </c>
      <c r="D14" s="3" t="n">
        <v>125126</v>
      </c>
      <c r="E14" s="3"/>
      <c r="G14" s="8"/>
      <c r="H14" s="10"/>
      <c r="I14" s="11"/>
      <c r="J14" s="3"/>
      <c r="K14" s="3"/>
      <c r="L14" s="3"/>
      <c r="M14" s="3"/>
    </row>
    <row r="15" customFormat="false" ht="12.75" hidden="false" customHeight="false" outlineLevel="0" collapsed="false">
      <c r="A15" s="8"/>
      <c r="B15" s="8"/>
      <c r="C15" s="9" t="n">
        <v>36708</v>
      </c>
      <c r="D15" s="3" t="n">
        <v>124662</v>
      </c>
      <c r="E15" s="3"/>
      <c r="G15" s="8"/>
      <c r="H15" s="10"/>
      <c r="I15" s="11"/>
      <c r="J15" s="3"/>
      <c r="K15" s="3"/>
      <c r="L15" s="3"/>
      <c r="M15" s="3"/>
    </row>
    <row r="16" customFormat="false" ht="12.75" hidden="false" customHeight="false" outlineLevel="0" collapsed="false">
      <c r="A16" s="8"/>
      <c r="B16" s="8" t="s">
        <v>13</v>
      </c>
      <c r="C16" s="8" t="s">
        <v>14</v>
      </c>
      <c r="D16" s="3" t="n">
        <v>504379</v>
      </c>
      <c r="E16" s="3"/>
      <c r="G16" s="8"/>
      <c r="H16" s="16"/>
      <c r="J16" s="3"/>
      <c r="L16" s="3"/>
      <c r="M16" s="13"/>
    </row>
    <row r="17" customFormat="false" ht="12.75" hidden="false" customHeight="false" outlineLevel="0" collapsed="false">
      <c r="A17" s="8"/>
      <c r="C17" s="11" t="s">
        <v>16</v>
      </c>
      <c r="D17" s="12" t="n">
        <f aca="false">D15*J73</f>
        <v>-8726.34000000004</v>
      </c>
      <c r="E17" s="13"/>
      <c r="G17" s="8" t="s">
        <v>24</v>
      </c>
      <c r="H17" s="8" t="s">
        <v>25</v>
      </c>
      <c r="I17" s="9" t="n">
        <v>36617</v>
      </c>
      <c r="J17" s="3" t="n">
        <v>21001</v>
      </c>
      <c r="K17" s="3"/>
      <c r="L17" s="3"/>
      <c r="M17" s="3"/>
    </row>
    <row r="18" customFormat="false" ht="12.75" hidden="false" customHeight="false" outlineLevel="0" collapsed="false">
      <c r="A18" s="8"/>
      <c r="C18" s="11"/>
      <c r="D18" s="12"/>
      <c r="E18" s="13"/>
      <c r="G18" s="8" t="s">
        <v>10</v>
      </c>
      <c r="H18" s="10" t="n">
        <v>3.25</v>
      </c>
      <c r="I18" s="9" t="n">
        <v>36647</v>
      </c>
      <c r="J18" s="3" t="n">
        <v>73542</v>
      </c>
      <c r="K18" s="3"/>
      <c r="L18" s="13"/>
      <c r="M18" s="3"/>
    </row>
    <row r="19" customFormat="false" ht="12.75" hidden="false" customHeight="false" outlineLevel="0" collapsed="false">
      <c r="A19" s="8"/>
      <c r="B19" s="10"/>
      <c r="C19" s="8"/>
      <c r="D19" s="3"/>
      <c r="E19" s="3"/>
      <c r="G19" s="8" t="s">
        <v>26</v>
      </c>
      <c r="I19" s="9" t="n">
        <v>36678</v>
      </c>
      <c r="J19" s="3" t="n">
        <v>213145</v>
      </c>
      <c r="K19" s="13"/>
      <c r="L19" s="3"/>
      <c r="M19" s="3"/>
    </row>
    <row r="20" customFormat="false" ht="12.75" hidden="false" customHeight="false" outlineLevel="0" collapsed="false">
      <c r="A20" s="8"/>
      <c r="B20" s="8"/>
      <c r="D20" s="3"/>
      <c r="E20" s="3"/>
      <c r="G20" s="8"/>
      <c r="H20" s="8"/>
      <c r="I20" s="9" t="n">
        <v>36708</v>
      </c>
      <c r="J20" s="3" t="n">
        <v>143119</v>
      </c>
      <c r="K20" s="3"/>
      <c r="L20" s="3"/>
      <c r="M20" s="3"/>
    </row>
    <row r="21" customFormat="false" ht="12.75" hidden="false" customHeight="false" outlineLevel="0" collapsed="false">
      <c r="A21" s="8" t="s">
        <v>21</v>
      </c>
      <c r="B21" s="8" t="s">
        <v>27</v>
      </c>
      <c r="C21" s="9" t="n">
        <v>36617</v>
      </c>
      <c r="D21" s="3" t="n">
        <v>1383</v>
      </c>
      <c r="E21" s="3"/>
      <c r="G21" s="8"/>
      <c r="H21" s="8" t="s">
        <v>13</v>
      </c>
      <c r="I21" s="8" t="s">
        <v>14</v>
      </c>
      <c r="J21" s="3" t="n">
        <v>450807</v>
      </c>
      <c r="K21" s="3"/>
      <c r="L21" s="3"/>
      <c r="M21" s="3"/>
      <c r="N21" s="3"/>
      <c r="O21" s="3"/>
    </row>
    <row r="22" customFormat="false" ht="12.75" hidden="false" customHeight="false" outlineLevel="0" collapsed="false">
      <c r="A22" s="8" t="s">
        <v>10</v>
      </c>
      <c r="B22" s="10" t="n">
        <v>5</v>
      </c>
      <c r="C22" s="9" t="n">
        <v>36647</v>
      </c>
      <c r="D22" s="3" t="n">
        <v>2898</v>
      </c>
      <c r="E22" s="3"/>
      <c r="G22" s="8"/>
      <c r="I22" s="9" t="n">
        <v>36678</v>
      </c>
      <c r="J22" s="3" t="n">
        <v>230100</v>
      </c>
      <c r="K22" s="3"/>
      <c r="L22" s="3"/>
      <c r="M22" s="3"/>
    </row>
    <row r="23" customFormat="false" ht="12.75" hidden="false" customHeight="false" outlineLevel="0" collapsed="false">
      <c r="A23" s="8" t="s">
        <v>28</v>
      </c>
      <c r="C23" s="9" t="n">
        <v>36678</v>
      </c>
      <c r="D23" s="3" t="n">
        <v>2871</v>
      </c>
      <c r="E23" s="3"/>
      <c r="F23" s="14"/>
      <c r="G23" s="8"/>
      <c r="H23" s="8" t="s">
        <v>47</v>
      </c>
      <c r="I23" s="8" t="s">
        <v>14</v>
      </c>
      <c r="J23" s="14" t="n">
        <f aca="false">J21-J19+J22</f>
        <v>467762</v>
      </c>
      <c r="K23" s="3"/>
      <c r="L23" s="3"/>
      <c r="M23" s="3"/>
    </row>
    <row r="24" customFormat="false" ht="12.75" hidden="false" customHeight="false" outlineLevel="0" collapsed="false">
      <c r="A24" s="8"/>
      <c r="B24" s="8"/>
      <c r="C24" s="9" t="n">
        <v>36708</v>
      </c>
      <c r="D24" s="3" t="n">
        <v>2675</v>
      </c>
      <c r="E24" s="3"/>
      <c r="G24" s="8"/>
      <c r="H24" s="10"/>
      <c r="I24" s="8" t="s">
        <v>20</v>
      </c>
      <c r="J24" s="14" t="n">
        <f aca="false">J23-J21</f>
        <v>16955</v>
      </c>
      <c r="K24" s="3"/>
      <c r="L24" s="3"/>
      <c r="M24" s="13"/>
    </row>
    <row r="25" customFormat="false" ht="12.75" hidden="false" customHeight="false" outlineLevel="0" collapsed="false">
      <c r="A25" s="8"/>
      <c r="B25" s="8" t="s">
        <v>13</v>
      </c>
      <c r="C25" s="8" t="s">
        <v>14</v>
      </c>
      <c r="D25" s="3" t="n">
        <v>9827</v>
      </c>
      <c r="E25" s="3"/>
      <c r="G25" s="8"/>
      <c r="H25" s="10"/>
      <c r="I25" s="11" t="s">
        <v>17</v>
      </c>
      <c r="J25" s="12" t="n">
        <f aca="false">J24*H18</f>
        <v>55103.75</v>
      </c>
      <c r="K25" s="3"/>
      <c r="L25" s="3"/>
      <c r="M25" s="3"/>
    </row>
    <row r="26" customFormat="false" ht="12.75" hidden="false" customHeight="false" outlineLevel="0" collapsed="false">
      <c r="A26" s="8"/>
      <c r="B26" s="10"/>
      <c r="C26" s="11" t="s">
        <v>16</v>
      </c>
      <c r="D26" s="12" t="n">
        <f aca="false">D24*J74</f>
        <v>-214</v>
      </c>
      <c r="E26" s="14"/>
      <c r="G26" s="8"/>
      <c r="H26" s="10"/>
      <c r="I26" s="11" t="s">
        <v>16</v>
      </c>
      <c r="J26" s="12" t="n">
        <f aca="false">J20*J75</f>
        <v>-11449.5199999999</v>
      </c>
      <c r="K26" s="3"/>
      <c r="L26" s="3"/>
      <c r="M26" s="3"/>
    </row>
    <row r="27" customFormat="false" ht="12.75" hidden="false" customHeight="false" outlineLevel="0" collapsed="false">
      <c r="A27" s="8"/>
      <c r="B27" s="10"/>
      <c r="C27" s="11"/>
      <c r="D27" s="12"/>
      <c r="E27" s="14"/>
      <c r="G27" s="8"/>
      <c r="H27" s="10"/>
      <c r="I27" s="8"/>
      <c r="J27" s="12"/>
      <c r="K27" s="3"/>
      <c r="L27" s="3"/>
      <c r="M27" s="3"/>
    </row>
    <row r="28" customFormat="false" ht="12.75" hidden="false" customHeight="false" outlineLevel="0" collapsed="false">
      <c r="A28" s="8"/>
      <c r="B28" s="10"/>
      <c r="C28" s="11"/>
      <c r="D28" s="12"/>
      <c r="E28" s="14"/>
      <c r="G28" s="8"/>
      <c r="H28" s="10"/>
      <c r="I28" s="8"/>
      <c r="J28" s="14"/>
      <c r="K28" s="3"/>
      <c r="L28" s="13"/>
      <c r="M28" s="3"/>
    </row>
    <row r="29" customFormat="false" ht="12.75" hidden="false" customHeight="false" outlineLevel="0" collapsed="false">
      <c r="A29" s="8"/>
      <c r="B29" s="8"/>
      <c r="D29" s="3"/>
      <c r="E29" s="3"/>
      <c r="F29" s="14"/>
      <c r="G29" s="8"/>
      <c r="H29" s="8"/>
      <c r="J29" s="3"/>
      <c r="L29" s="3"/>
      <c r="M29" s="3"/>
      <c r="N29" s="3"/>
      <c r="O29" s="3"/>
    </row>
    <row r="30" customFormat="false" ht="12.75" hidden="false" customHeight="false" outlineLevel="0" collapsed="false">
      <c r="A30" s="8" t="s">
        <v>21</v>
      </c>
      <c r="B30" s="8" t="s">
        <v>29</v>
      </c>
      <c r="C30" s="9" t="n">
        <v>36617</v>
      </c>
      <c r="D30" s="3" t="n">
        <v>53989</v>
      </c>
      <c r="E30" s="3"/>
      <c r="G30" s="8" t="s">
        <v>30</v>
      </c>
      <c r="H30" s="8" t="s">
        <v>25</v>
      </c>
      <c r="I30" s="9" t="n">
        <v>36617</v>
      </c>
      <c r="J30" s="3" t="n">
        <v>8672</v>
      </c>
      <c r="L30" s="3"/>
      <c r="M30" s="3"/>
    </row>
    <row r="31" customFormat="false" ht="12.75" hidden="false" customHeight="false" outlineLevel="0" collapsed="false">
      <c r="A31" s="8" t="s">
        <v>10</v>
      </c>
      <c r="B31" s="10" t="n">
        <v>4.08</v>
      </c>
      <c r="C31" s="9" t="n">
        <v>36647</v>
      </c>
      <c r="D31" s="3" t="n">
        <v>57051</v>
      </c>
      <c r="E31" s="3"/>
      <c r="G31" s="8" t="s">
        <v>10</v>
      </c>
      <c r="H31" s="10" t="n">
        <v>3.79</v>
      </c>
      <c r="I31" s="9" t="n">
        <v>36647</v>
      </c>
      <c r="J31" s="3" t="n">
        <v>8564</v>
      </c>
      <c r="K31" s="3"/>
      <c r="L31" s="3"/>
      <c r="M31" s="3"/>
    </row>
    <row r="32" customFormat="false" ht="12.75" hidden="false" customHeight="false" outlineLevel="0" collapsed="false">
      <c r="A32" s="8" t="s">
        <v>28</v>
      </c>
      <c r="B32" s="10"/>
      <c r="C32" s="9" t="n">
        <v>36678</v>
      </c>
      <c r="D32" s="3" t="n">
        <v>56509</v>
      </c>
      <c r="E32" s="3"/>
      <c r="G32" s="8" t="s">
        <v>31</v>
      </c>
      <c r="I32" s="9" t="n">
        <v>36678</v>
      </c>
      <c r="J32" s="3" t="n">
        <v>10460</v>
      </c>
      <c r="K32" s="13"/>
      <c r="L32" s="3"/>
      <c r="M32" s="3"/>
    </row>
    <row r="33" customFormat="false" ht="12.75" hidden="false" customHeight="false" outlineLevel="0" collapsed="false">
      <c r="A33" s="8"/>
      <c r="B33" s="8"/>
      <c r="C33" s="9" t="n">
        <v>36708</v>
      </c>
      <c r="D33" s="3" t="n">
        <v>52660</v>
      </c>
      <c r="E33" s="3"/>
      <c r="G33" s="8"/>
      <c r="H33" s="8"/>
      <c r="I33" s="9" t="n">
        <v>36708</v>
      </c>
      <c r="J33" s="3" t="n">
        <v>10540</v>
      </c>
      <c r="K33" s="3"/>
      <c r="L33" s="3"/>
      <c r="M33" s="3"/>
    </row>
    <row r="34" customFormat="false" ht="12.75" hidden="false" customHeight="false" outlineLevel="0" collapsed="false">
      <c r="A34" s="8"/>
      <c r="B34" s="8" t="s">
        <v>13</v>
      </c>
      <c r="C34" s="8" t="s">
        <v>14</v>
      </c>
      <c r="D34" s="3" t="n">
        <v>220209</v>
      </c>
      <c r="E34" s="3"/>
      <c r="G34" s="8"/>
      <c r="H34" s="8" t="s">
        <v>13</v>
      </c>
      <c r="I34" s="8" t="s">
        <v>14</v>
      </c>
      <c r="J34" s="3" t="n">
        <v>38236</v>
      </c>
      <c r="K34" s="3"/>
      <c r="L34" s="3"/>
      <c r="M34" s="3"/>
    </row>
    <row r="35" customFormat="false" ht="12.75" hidden="false" customHeight="false" outlineLevel="0" collapsed="false">
      <c r="C35" s="11" t="s">
        <v>16</v>
      </c>
      <c r="D35" s="12" t="n">
        <f aca="false">D33*J74</f>
        <v>-4212.8</v>
      </c>
      <c r="E35" s="3"/>
      <c r="G35" s="8"/>
      <c r="I35" s="9" t="n">
        <v>36678</v>
      </c>
      <c r="J35" s="3" t="n">
        <v>10895</v>
      </c>
      <c r="K35" s="3"/>
      <c r="L35" s="3"/>
      <c r="M35" s="3"/>
    </row>
    <row r="36" customFormat="false" ht="12.75" hidden="false" customHeight="false" outlineLevel="0" collapsed="false">
      <c r="D36" s="3"/>
      <c r="E36" s="3"/>
      <c r="G36" s="8"/>
      <c r="H36" s="10"/>
      <c r="I36" s="9" t="n">
        <v>36708</v>
      </c>
      <c r="J36" s="3" t="n">
        <v>10920</v>
      </c>
      <c r="K36" s="3"/>
      <c r="L36" s="3"/>
      <c r="M36" s="3"/>
    </row>
    <row r="37" customFormat="false" ht="12.75" hidden="false" customHeight="false" outlineLevel="0" collapsed="false">
      <c r="D37" s="3"/>
      <c r="E37" s="3"/>
      <c r="G37" s="8"/>
      <c r="H37" s="8" t="s">
        <v>47</v>
      </c>
      <c r="I37" s="8" t="s">
        <v>14</v>
      </c>
      <c r="J37" s="14" t="n">
        <f aca="false">J34-J32-J33+J35+J36</f>
        <v>39051</v>
      </c>
      <c r="L37" s="3"/>
      <c r="M37" s="3"/>
      <c r="N37" s="3"/>
      <c r="O37" s="3"/>
    </row>
    <row r="38" customFormat="false" ht="13.5" hidden="false" customHeight="false" outlineLevel="0" collapsed="false">
      <c r="D38" s="3"/>
      <c r="E38" s="3"/>
      <c r="G38" s="8"/>
      <c r="H38" s="8"/>
      <c r="I38" s="8" t="s">
        <v>20</v>
      </c>
      <c r="J38" s="14" t="n">
        <f aca="false">J37-J34</f>
        <v>815</v>
      </c>
      <c r="K38" s="3"/>
      <c r="L38" s="3"/>
      <c r="M38" s="3"/>
    </row>
    <row r="39" customFormat="false" ht="12.75" hidden="false" customHeight="false" outlineLevel="0" collapsed="false">
      <c r="B39" s="17" t="s">
        <v>48</v>
      </c>
      <c r="C39" s="18" t="n">
        <v>28896973.71</v>
      </c>
      <c r="D39" s="19"/>
      <c r="E39" s="20"/>
      <c r="G39" s="8"/>
      <c r="H39" s="8"/>
      <c r="I39" s="11" t="s">
        <v>17</v>
      </c>
      <c r="J39" s="12" t="n">
        <f aca="false">J38*H31</f>
        <v>3088.85</v>
      </c>
      <c r="K39" s="3"/>
      <c r="L39" s="3"/>
      <c r="M39" s="3"/>
    </row>
    <row r="40" customFormat="false" ht="12.75" hidden="false" customHeight="false" outlineLevel="0" collapsed="false">
      <c r="A40" s="1"/>
      <c r="B40" s="21" t="s">
        <v>17</v>
      </c>
      <c r="C40" s="12" t="n">
        <f aca="false">J12+J25+J39+J53+J66</f>
        <v>-7906.18</v>
      </c>
      <c r="D40" s="22"/>
      <c r="E40" s="20"/>
      <c r="G40" s="8"/>
      <c r="H40" s="8"/>
      <c r="I40" s="11" t="s">
        <v>16</v>
      </c>
      <c r="J40" s="12" t="n">
        <f aca="false">J36*J76</f>
        <v>-764.400000000003</v>
      </c>
      <c r="K40" s="3"/>
      <c r="L40" s="3"/>
      <c r="M40" s="13"/>
      <c r="O40" s="3"/>
    </row>
    <row r="41" customFormat="false" ht="12.75" hidden="false" customHeight="false" outlineLevel="0" collapsed="false">
      <c r="B41" s="21" t="s">
        <v>16</v>
      </c>
      <c r="C41" s="12" t="n">
        <f aca="false">D8+D17+D26+D35+J13+J26+J40+J67</f>
        <v>-101091.690000001</v>
      </c>
      <c r="D41" s="22"/>
      <c r="G41" s="8"/>
      <c r="H41" s="8"/>
      <c r="I41" s="11"/>
      <c r="J41" s="12"/>
      <c r="K41" s="3"/>
      <c r="L41" s="3"/>
      <c r="M41" s="3"/>
    </row>
    <row r="42" customFormat="false" ht="12.75" hidden="false" customHeight="false" outlineLevel="0" collapsed="false">
      <c r="B42" s="21" t="s">
        <v>33</v>
      </c>
      <c r="C42" s="12" t="n">
        <f aca="false">SUM(C39:C41)</f>
        <v>28787975.84</v>
      </c>
      <c r="D42" s="22"/>
      <c r="G42" s="8"/>
      <c r="H42" s="8"/>
      <c r="I42" s="11"/>
      <c r="J42" s="12"/>
      <c r="K42" s="3"/>
      <c r="L42" s="3"/>
      <c r="M42" s="3"/>
    </row>
    <row r="43" customFormat="false" ht="12.75" hidden="false" customHeight="false" outlineLevel="0" collapsed="false">
      <c r="B43" s="21" t="s">
        <v>36</v>
      </c>
      <c r="C43" s="3" t="n">
        <v>6392503</v>
      </c>
      <c r="D43" s="22" t="s">
        <v>35</v>
      </c>
      <c r="E43" s="20"/>
      <c r="G43" s="8"/>
      <c r="H43" s="8"/>
      <c r="I43" s="8"/>
      <c r="J43" s="14"/>
      <c r="K43" s="3"/>
      <c r="L43" s="3"/>
      <c r="M43" s="3"/>
    </row>
    <row r="44" customFormat="false" ht="12.75" hidden="false" customHeight="false" outlineLevel="0" collapsed="false">
      <c r="B44" s="21" t="s">
        <v>49</v>
      </c>
      <c r="C44" s="3" t="n">
        <f aca="false">C43-J5+J8-J6+J9-J19+J22-J32+J35-J33+J36-J46+J49-J47+J50-J59-J60+J62+J63</f>
        <v>6396896</v>
      </c>
      <c r="D44" s="22" t="s">
        <v>35</v>
      </c>
      <c r="E44" s="20"/>
      <c r="G44" s="8" t="s">
        <v>21</v>
      </c>
      <c r="H44" s="8" t="s">
        <v>37</v>
      </c>
      <c r="I44" s="9" t="n">
        <v>36617</v>
      </c>
      <c r="J44" s="3" t="n">
        <v>247492</v>
      </c>
      <c r="K44" s="3"/>
      <c r="L44" s="3"/>
      <c r="M44" s="3"/>
    </row>
    <row r="45" customFormat="false" ht="13.5" hidden="false" customHeight="false" outlineLevel="0" collapsed="false">
      <c r="B45" s="23" t="s">
        <v>20</v>
      </c>
      <c r="C45" s="24" t="n">
        <f aca="false">C44-C43</f>
        <v>4393</v>
      </c>
      <c r="D45" s="25" t="s">
        <v>35</v>
      </c>
      <c r="E45" s="20"/>
      <c r="G45" s="8" t="s">
        <v>10</v>
      </c>
      <c r="H45" s="10" t="n">
        <v>3.54</v>
      </c>
      <c r="I45" s="9" t="n">
        <v>36647</v>
      </c>
      <c r="J45" s="3" t="n">
        <v>25333</v>
      </c>
      <c r="K45" s="3"/>
      <c r="L45" s="3"/>
      <c r="M45" s="3"/>
    </row>
    <row r="46" customFormat="false" ht="12.75" hidden="false" customHeight="false" outlineLevel="0" collapsed="false">
      <c r="D46" s="26"/>
      <c r="E46" s="26"/>
      <c r="G46" s="8"/>
      <c r="H46" s="8"/>
      <c r="I46" s="9" t="n">
        <v>36678</v>
      </c>
      <c r="J46" s="3" t="n">
        <v>24216</v>
      </c>
      <c r="K46" s="3"/>
      <c r="L46" s="13"/>
      <c r="M46" s="3"/>
    </row>
    <row r="47" customFormat="false" ht="12.75" hidden="false" customHeight="false" outlineLevel="0" collapsed="false">
      <c r="D47" s="26"/>
      <c r="E47" s="26"/>
      <c r="G47" s="8"/>
      <c r="H47" s="8"/>
      <c r="I47" s="9" t="n">
        <v>36708</v>
      </c>
      <c r="J47" s="3" t="n">
        <v>-7068</v>
      </c>
      <c r="K47" s="3"/>
      <c r="L47" s="3"/>
      <c r="M47" s="3"/>
    </row>
    <row r="48" customFormat="false" ht="12.75" hidden="false" customHeight="false" outlineLevel="0" collapsed="false">
      <c r="C48" s="27"/>
      <c r="D48" s="26"/>
      <c r="E48" s="26"/>
      <c r="G48" s="8"/>
      <c r="H48" s="8" t="s">
        <v>13</v>
      </c>
      <c r="I48" s="8" t="s">
        <v>14</v>
      </c>
      <c r="J48" s="3" t="n">
        <v>289973</v>
      </c>
      <c r="K48" s="3"/>
      <c r="L48" s="3"/>
    </row>
    <row r="49" customFormat="false" ht="12.75" hidden="false" customHeight="false" outlineLevel="0" collapsed="false">
      <c r="D49" s="26"/>
      <c r="E49" s="26"/>
      <c r="G49" s="8"/>
      <c r="H49" s="10"/>
      <c r="I49" s="9" t="n">
        <v>36678</v>
      </c>
      <c r="J49" s="3" t="n">
        <v>24245</v>
      </c>
      <c r="K49" s="3"/>
      <c r="L49" s="3"/>
    </row>
    <row r="50" customFormat="false" ht="12.75" hidden="false" customHeight="false" outlineLevel="0" collapsed="false">
      <c r="D50" s="26"/>
      <c r="E50" s="26"/>
      <c r="G50" s="8"/>
      <c r="H50" s="8"/>
      <c r="I50" s="9" t="n">
        <v>36708</v>
      </c>
      <c r="J50" s="3" t="n">
        <v>-7408</v>
      </c>
      <c r="K50" s="3"/>
      <c r="L50" s="3"/>
    </row>
    <row r="51" customFormat="false" ht="12.75" hidden="false" customHeight="false" outlineLevel="0" collapsed="false">
      <c r="C51" s="13"/>
      <c r="D51" s="26"/>
      <c r="E51" s="26"/>
      <c r="G51" s="8"/>
      <c r="H51" s="8" t="s">
        <v>47</v>
      </c>
      <c r="I51" s="8" t="s">
        <v>14</v>
      </c>
      <c r="J51" s="14" t="n">
        <f aca="false">J48-J46-J47+J49+J50</f>
        <v>289662</v>
      </c>
      <c r="K51" s="13"/>
      <c r="L51" s="3"/>
    </row>
    <row r="52" customFormat="false" ht="12.75" hidden="false" customHeight="false" outlineLevel="0" collapsed="false">
      <c r="A52" s="28"/>
      <c r="G52" s="8"/>
      <c r="H52" s="8"/>
      <c r="I52" s="8" t="s">
        <v>20</v>
      </c>
      <c r="J52" s="14" t="n">
        <f aca="false">J51-J48</f>
        <v>-311</v>
      </c>
      <c r="K52" s="3"/>
      <c r="L52" s="3"/>
    </row>
    <row r="53" customFormat="false" ht="12.75" hidden="false" customHeight="false" outlineLevel="0" collapsed="false">
      <c r="A53" s="28"/>
      <c r="G53" s="8"/>
      <c r="H53" s="8"/>
      <c r="I53" s="11" t="s">
        <v>17</v>
      </c>
      <c r="J53" s="12" t="n">
        <f aca="false">J52*H45</f>
        <v>-1100.94</v>
      </c>
      <c r="K53" s="3"/>
      <c r="L53" s="3"/>
    </row>
    <row r="54" customFormat="false" ht="12.75" hidden="false" customHeight="false" outlineLevel="0" collapsed="false">
      <c r="A54" s="28"/>
      <c r="G54" s="8"/>
      <c r="H54" s="8"/>
      <c r="I54" s="11"/>
      <c r="J54" s="12"/>
      <c r="K54" s="3"/>
    </row>
    <row r="55" customFormat="false" ht="12.75" hidden="false" customHeight="false" outlineLevel="0" collapsed="false">
      <c r="A55" s="28"/>
      <c r="G55" s="8"/>
      <c r="H55" s="8"/>
      <c r="I55" s="11"/>
      <c r="J55" s="12"/>
      <c r="K55" s="3"/>
    </row>
    <row r="56" customFormat="false" ht="12.75" hidden="false" customHeight="false" outlineLevel="0" collapsed="false">
      <c r="A56" s="28"/>
      <c r="G56" s="8"/>
      <c r="H56" s="8"/>
      <c r="J56" s="3"/>
      <c r="K56" s="3"/>
    </row>
    <row r="57" customFormat="false" ht="12.75" hidden="false" customHeight="false" outlineLevel="0" collapsed="false">
      <c r="G57" s="8" t="s">
        <v>21</v>
      </c>
      <c r="H57" s="8" t="s">
        <v>38</v>
      </c>
      <c r="I57" s="9" t="n">
        <v>36617</v>
      </c>
      <c r="J57" s="3" t="n">
        <v>254713</v>
      </c>
      <c r="K57" s="3"/>
    </row>
    <row r="58" customFormat="false" ht="12.75" hidden="false" customHeight="false" outlineLevel="0" collapsed="false">
      <c r="A58" s="28"/>
      <c r="G58" s="8" t="s">
        <v>10</v>
      </c>
      <c r="H58" s="10" t="n">
        <v>4.76</v>
      </c>
      <c r="I58" s="9" t="n">
        <v>36647</v>
      </c>
      <c r="J58" s="3" t="n">
        <v>185014</v>
      </c>
      <c r="K58" s="3"/>
    </row>
    <row r="59" customFormat="false" ht="12.75" hidden="false" customHeight="false" outlineLevel="0" collapsed="false">
      <c r="A59" s="28"/>
      <c r="G59" s="8" t="s">
        <v>23</v>
      </c>
      <c r="H59" s="10"/>
      <c r="I59" s="9" t="n">
        <v>36678</v>
      </c>
      <c r="J59" s="3" t="n">
        <v>195432</v>
      </c>
      <c r="K59" s="3"/>
    </row>
    <row r="60" customFormat="false" ht="12.75" hidden="false" customHeight="false" outlineLevel="0" collapsed="false">
      <c r="A60" s="28"/>
      <c r="G60" s="8"/>
      <c r="H60" s="8"/>
      <c r="I60" s="9" t="n">
        <v>36708</v>
      </c>
      <c r="J60" s="3" t="n">
        <v>144460</v>
      </c>
      <c r="K60" s="3"/>
    </row>
    <row r="61" customFormat="false" ht="12.75" hidden="false" customHeight="false" outlineLevel="0" collapsed="false">
      <c r="A61" s="28"/>
      <c r="G61" s="8"/>
      <c r="H61" s="8" t="s">
        <v>13</v>
      </c>
      <c r="I61" s="8" t="s">
        <v>14</v>
      </c>
      <c r="J61" s="3" t="n">
        <v>779619</v>
      </c>
      <c r="K61" s="3"/>
    </row>
    <row r="62" customFormat="false" ht="12.75" hidden="false" customHeight="false" outlineLevel="0" collapsed="false">
      <c r="A62" s="28"/>
      <c r="G62" s="8"/>
      <c r="I62" s="9" t="n">
        <v>36678</v>
      </c>
      <c r="J62" s="3" t="n">
        <v>193571</v>
      </c>
      <c r="K62" s="3"/>
    </row>
    <row r="63" customFormat="false" ht="12.75" hidden="false" customHeight="false" outlineLevel="0" collapsed="false">
      <c r="I63" s="9" t="n">
        <v>36708</v>
      </c>
      <c r="J63" s="3" t="n">
        <v>138007</v>
      </c>
      <c r="K63" s="3"/>
    </row>
    <row r="64" customFormat="false" ht="12.75" hidden="false" customHeight="false" outlineLevel="0" collapsed="false">
      <c r="H64" s="8" t="s">
        <v>47</v>
      </c>
      <c r="I64" s="8" t="s">
        <v>14</v>
      </c>
      <c r="J64" s="14" t="n">
        <f aca="false">J61-J59-J60+J62+J63</f>
        <v>771305</v>
      </c>
      <c r="K64" s="3"/>
    </row>
    <row r="65" customFormat="false" ht="12.75" hidden="false" customHeight="false" outlineLevel="0" collapsed="false">
      <c r="I65" s="8" t="s">
        <v>20</v>
      </c>
      <c r="J65" s="14" t="n">
        <f aca="false">J64-J61</f>
        <v>-8314</v>
      </c>
      <c r="K65" s="3"/>
    </row>
    <row r="66" customFormat="false" ht="12.75" hidden="false" customHeight="false" outlineLevel="0" collapsed="false">
      <c r="I66" s="11" t="s">
        <v>17</v>
      </c>
      <c r="J66" s="12" t="n">
        <f aca="false">J65*H58</f>
        <v>-39574.64</v>
      </c>
      <c r="K66" s="3"/>
    </row>
    <row r="67" customFormat="false" ht="12.75" hidden="false" customHeight="false" outlineLevel="0" collapsed="false">
      <c r="I67" s="11" t="s">
        <v>16</v>
      </c>
      <c r="J67" s="12" t="n">
        <f aca="false">J63*J73</f>
        <v>-9660.49000000004</v>
      </c>
      <c r="K67" s="3"/>
    </row>
    <row r="68" customFormat="false" ht="12.75" hidden="false" customHeight="false" outlineLevel="0" collapsed="false">
      <c r="I68" s="11"/>
      <c r="J68" s="12"/>
      <c r="K68" s="3"/>
    </row>
    <row r="69" customFormat="false" ht="12.75" hidden="false" customHeight="false" outlineLevel="0" collapsed="false">
      <c r="I69" s="11"/>
      <c r="J69" s="12"/>
      <c r="K69" s="3"/>
    </row>
    <row r="70" customFormat="false" ht="12.75" hidden="false" customHeight="false" outlineLevel="0" collapsed="false">
      <c r="B70" s="28" t="s">
        <v>39</v>
      </c>
      <c r="I70" s="8"/>
      <c r="J70" s="14"/>
      <c r="K70" s="3"/>
    </row>
    <row r="71" customFormat="false" ht="12.75" hidden="false" customHeight="false" outlineLevel="0" collapsed="false">
      <c r="H71" s="29" t="s">
        <v>40</v>
      </c>
      <c r="I71" s="30" t="s">
        <v>41</v>
      </c>
      <c r="J71" s="30" t="s">
        <v>20</v>
      </c>
      <c r="K71" s="3"/>
    </row>
    <row r="72" customFormat="false" ht="12.75" hidden="false" customHeight="false" outlineLevel="0" collapsed="false">
      <c r="G72" s="1" t="s">
        <v>42</v>
      </c>
      <c r="H72" s="10" t="n">
        <v>4.58</v>
      </c>
      <c r="I72" s="10" t="n">
        <v>4.52</v>
      </c>
      <c r="J72" s="10" t="n">
        <f aca="false">I72-H72</f>
        <v>-0.0600000000000005</v>
      </c>
      <c r="K72" s="3"/>
    </row>
    <row r="73" customFormat="false" ht="12.75" hidden="false" customHeight="false" outlineLevel="0" collapsed="false">
      <c r="G73" s="1" t="s">
        <v>43</v>
      </c>
      <c r="H73" s="10" t="n">
        <v>4.42</v>
      </c>
      <c r="I73" s="10" t="n">
        <v>4.35</v>
      </c>
      <c r="J73" s="10" t="n">
        <f aca="false">I73-H73</f>
        <v>-0.0700000000000003</v>
      </c>
      <c r="K73" s="3"/>
    </row>
    <row r="74" customFormat="false" ht="12.75" hidden="false" customHeight="false" outlineLevel="0" collapsed="false">
      <c r="G74" s="1" t="s">
        <v>44</v>
      </c>
      <c r="H74" s="10" t="n">
        <v>4.44</v>
      </c>
      <c r="I74" s="10" t="n">
        <v>4.36</v>
      </c>
      <c r="J74" s="10" t="n">
        <f aca="false">I74-H74</f>
        <v>-0.0800000000000001</v>
      </c>
      <c r="K74" s="3"/>
    </row>
    <row r="75" customFormat="false" ht="12.75" hidden="false" customHeight="false" outlineLevel="0" collapsed="false">
      <c r="G75" s="1" t="s">
        <v>45</v>
      </c>
      <c r="H75" s="10" t="n">
        <v>4.56</v>
      </c>
      <c r="I75" s="10" t="n">
        <v>4.48</v>
      </c>
      <c r="J75" s="10" t="n">
        <f aca="false">I75-H75</f>
        <v>-0.0799999999999992</v>
      </c>
    </row>
    <row r="76" customFormat="false" ht="12.75" hidden="false" customHeight="false" outlineLevel="0" collapsed="false">
      <c r="G76" s="1" t="s">
        <v>46</v>
      </c>
      <c r="H76" s="10" t="n">
        <v>4.5</v>
      </c>
      <c r="I76" s="10" t="n">
        <v>4.43</v>
      </c>
      <c r="J76" s="10" t="n">
        <f aca="false">I76-H76</f>
        <v>-0.0700000000000003</v>
      </c>
    </row>
    <row r="80" customFormat="false" ht="12.75" hidden="false" customHeight="false" outlineLevel="0" collapsed="false">
      <c r="H80" s="12"/>
      <c r="I80" s="12"/>
    </row>
  </sheetData>
  <mergeCells count="2">
    <mergeCell ref="A1:D1"/>
    <mergeCell ref="G1:J1"/>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C39" activeCellId="0" sqref="C39"/>
    </sheetView>
  </sheetViews>
  <sheetFormatPr defaultColWidth="9.0546875" defaultRowHeight="12.75" customHeight="true" zeroHeight="false" outlineLevelRow="0" outlineLevelCol="0"/>
  <cols>
    <col collapsed="false" customWidth="true" hidden="false" outlineLevel="0" max="1" min="1" style="0" width="16.28"/>
    <col collapsed="false" customWidth="true" hidden="false" outlineLevel="0" max="2" min="2" style="0" width="15.41"/>
    <col collapsed="false" customWidth="true" hidden="false" outlineLevel="0" max="4" min="3" style="0" width="12.85"/>
    <col collapsed="false" customWidth="true" hidden="false" outlineLevel="0" max="5" min="5" style="0" width="6.85"/>
    <col collapsed="false" customWidth="true" hidden="false" outlineLevel="0" max="6" min="6" style="0" width="16.28"/>
    <col collapsed="false" customWidth="true" hidden="false" outlineLevel="0" max="7" min="7" style="0" width="13.14"/>
    <col collapsed="false" customWidth="true" hidden="false" outlineLevel="0" max="8" min="8" style="0" width="7.7"/>
    <col collapsed="false" customWidth="true" hidden="false" outlineLevel="0" max="9" min="9" style="0" width="12.85"/>
  </cols>
  <sheetData>
    <row r="1" customFormat="false" ht="12.75" hidden="false" customHeight="false" outlineLevel="0" collapsed="false">
      <c r="A1" s="2" t="s">
        <v>0</v>
      </c>
      <c r="B1" s="2"/>
      <c r="C1" s="2"/>
      <c r="D1" s="2"/>
      <c r="F1" s="2" t="s">
        <v>1</v>
      </c>
      <c r="G1" s="2"/>
      <c r="H1" s="2"/>
      <c r="I1" s="2"/>
    </row>
    <row r="2" customFormat="false" ht="12.75" hidden="false" customHeight="false" outlineLevel="0" collapsed="false">
      <c r="A2" s="5" t="s">
        <v>2</v>
      </c>
      <c r="B2" s="5" t="s">
        <v>3</v>
      </c>
      <c r="C2" s="5" t="s">
        <v>4</v>
      </c>
      <c r="D2" s="6" t="s">
        <v>5</v>
      </c>
      <c r="E2" s="31"/>
      <c r="F2" s="5" t="s">
        <v>2</v>
      </c>
      <c r="G2" s="5" t="s">
        <v>3</v>
      </c>
      <c r="H2" s="5" t="s">
        <v>4</v>
      </c>
      <c r="I2" s="6" t="s">
        <v>5</v>
      </c>
    </row>
    <row r="3" customFormat="false" ht="12.75" hidden="false" customHeight="false" outlineLevel="0" collapsed="false">
      <c r="A3" s="8" t="s">
        <v>6</v>
      </c>
      <c r="B3" s="8" t="s">
        <v>7</v>
      </c>
      <c r="C3" s="9" t="n">
        <v>36617</v>
      </c>
      <c r="D3" s="3" t="n">
        <v>786579</v>
      </c>
      <c r="F3" s="8" t="s">
        <v>9</v>
      </c>
      <c r="G3" s="8" t="s">
        <v>7</v>
      </c>
      <c r="H3" s="9" t="n">
        <v>36617</v>
      </c>
      <c r="I3" s="3" t="n">
        <v>3331</v>
      </c>
    </row>
    <row r="4" customFormat="false" ht="12.75" hidden="false" customHeight="false" outlineLevel="0" collapsed="false">
      <c r="A4" s="1"/>
      <c r="B4" s="8"/>
      <c r="C4" s="9" t="n">
        <v>36647</v>
      </c>
      <c r="D4" s="3" t="n">
        <v>1089109</v>
      </c>
      <c r="F4" s="1"/>
      <c r="G4" s="8" t="s">
        <v>11</v>
      </c>
      <c r="H4" s="9" t="n">
        <v>36647</v>
      </c>
      <c r="I4" s="3" t="n">
        <v>13430</v>
      </c>
    </row>
    <row r="5" customFormat="false" ht="12.75" hidden="false" customHeight="false" outlineLevel="0" collapsed="false">
      <c r="C5" s="9" t="n">
        <v>36678</v>
      </c>
      <c r="D5" s="3" t="n">
        <v>1089109</v>
      </c>
      <c r="F5" s="1"/>
      <c r="G5" s="8"/>
      <c r="H5" s="9" t="n">
        <v>36678</v>
      </c>
      <c r="I5" s="3" t="n">
        <v>13472</v>
      </c>
      <c r="J5" s="3" t="n">
        <v>12074</v>
      </c>
      <c r="K5" s="3" t="n">
        <f aca="false">J5-I5</f>
        <v>-1398</v>
      </c>
    </row>
    <row r="6" customFormat="false" ht="12.75" hidden="false" customHeight="false" outlineLevel="0" collapsed="false">
      <c r="A6" s="1"/>
      <c r="B6" s="8"/>
      <c r="C6" s="9" t="n">
        <v>36708</v>
      </c>
      <c r="D6" s="3" t="n">
        <v>1089109</v>
      </c>
      <c r="H6" s="9" t="n">
        <v>36708</v>
      </c>
      <c r="I6" s="3" t="n">
        <v>15314</v>
      </c>
    </row>
    <row r="7" customFormat="false" ht="12.75" hidden="false" customHeight="false" outlineLevel="0" collapsed="false">
      <c r="A7" s="1" t="s">
        <v>50</v>
      </c>
      <c r="B7" s="10" t="n">
        <v>4.69</v>
      </c>
      <c r="C7" s="8" t="s">
        <v>14</v>
      </c>
      <c r="D7" s="3" t="n">
        <v>4053906</v>
      </c>
      <c r="F7" s="1" t="s">
        <v>50</v>
      </c>
      <c r="G7" s="10" t="n">
        <v>5.35</v>
      </c>
      <c r="H7" s="8" t="s">
        <v>14</v>
      </c>
      <c r="I7" s="3" t="n">
        <v>45547</v>
      </c>
    </row>
    <row r="8" customFormat="false" ht="12.75" hidden="false" customHeight="false" outlineLevel="0" collapsed="false">
      <c r="A8" s="1" t="s">
        <v>12</v>
      </c>
      <c r="B8" s="10" t="n">
        <v>4.58</v>
      </c>
      <c r="C8" s="10"/>
      <c r="D8" s="13"/>
      <c r="F8" s="1" t="s">
        <v>12</v>
      </c>
      <c r="G8" s="10" t="n">
        <v>4.58</v>
      </c>
      <c r="H8" s="10"/>
      <c r="I8" s="13"/>
    </row>
    <row r="9" customFormat="false" ht="12.75" hidden="false" customHeight="false" outlineLevel="0" collapsed="false">
      <c r="A9" s="1"/>
      <c r="B9" s="10"/>
      <c r="C9" s="8"/>
      <c r="D9" s="3"/>
      <c r="F9" s="1"/>
      <c r="G9" s="10"/>
      <c r="H9" s="8"/>
      <c r="I9" s="3"/>
    </row>
    <row r="10" customFormat="false" ht="12.75" hidden="false" customHeight="false" outlineLevel="0" collapsed="false">
      <c r="A10" s="1"/>
      <c r="B10" s="8"/>
      <c r="D10" s="3"/>
      <c r="F10" s="1"/>
      <c r="G10" s="16"/>
      <c r="I10" s="3"/>
    </row>
    <row r="11" customFormat="false" ht="12.75" hidden="false" customHeight="false" outlineLevel="0" collapsed="false">
      <c r="A11" s="8" t="s">
        <v>21</v>
      </c>
      <c r="B11" s="8" t="s">
        <v>22</v>
      </c>
      <c r="C11" s="9" t="n">
        <v>36617</v>
      </c>
      <c r="D11" s="3" t="n">
        <v>128457</v>
      </c>
      <c r="F11" s="8" t="s">
        <v>24</v>
      </c>
      <c r="G11" s="8" t="s">
        <v>25</v>
      </c>
      <c r="H11" s="9" t="n">
        <v>36617</v>
      </c>
      <c r="I11" s="3" t="n">
        <v>21001</v>
      </c>
    </row>
    <row r="12" customFormat="false" ht="12.75" hidden="false" customHeight="false" outlineLevel="0" collapsed="false">
      <c r="A12" s="1"/>
      <c r="B12" s="8"/>
      <c r="C12" s="9" t="n">
        <v>36647</v>
      </c>
      <c r="D12" s="3" t="n">
        <v>126134</v>
      </c>
      <c r="F12" s="1"/>
      <c r="G12" s="8"/>
      <c r="H12" s="9" t="n">
        <v>36647</v>
      </c>
      <c r="I12" s="3" t="n">
        <v>73542</v>
      </c>
    </row>
    <row r="13" customFormat="false" ht="12.75" hidden="false" customHeight="false" outlineLevel="0" collapsed="false">
      <c r="C13" s="9" t="n">
        <v>36678</v>
      </c>
      <c r="D13" s="3" t="n">
        <v>125126</v>
      </c>
      <c r="H13" s="9" t="n">
        <v>36678</v>
      </c>
      <c r="I13" s="3" t="n">
        <v>213145</v>
      </c>
      <c r="J13" s="3" t="n">
        <v>230100</v>
      </c>
      <c r="K13" s="3" t="n">
        <f aca="false">J13-I13</f>
        <v>16955</v>
      </c>
    </row>
    <row r="14" customFormat="false" ht="12.75" hidden="false" customHeight="false" outlineLevel="0" collapsed="false">
      <c r="A14" s="1"/>
      <c r="B14" s="8"/>
      <c r="C14" s="9" t="n">
        <v>36708</v>
      </c>
      <c r="D14" s="3" t="n">
        <v>124662</v>
      </c>
      <c r="F14" s="1"/>
      <c r="G14" s="8"/>
      <c r="H14" s="9" t="n">
        <v>36708</v>
      </c>
      <c r="I14" s="3" t="n">
        <v>143119</v>
      </c>
    </row>
    <row r="15" customFormat="false" ht="12.75" hidden="false" customHeight="false" outlineLevel="0" collapsed="false">
      <c r="A15" s="1" t="s">
        <v>50</v>
      </c>
      <c r="B15" s="10" t="n">
        <v>4.65</v>
      </c>
      <c r="C15" s="8" t="s">
        <v>14</v>
      </c>
      <c r="D15" s="3" t="n">
        <v>504379</v>
      </c>
      <c r="F15" s="1" t="s">
        <v>50</v>
      </c>
      <c r="G15" s="10" t="n">
        <v>3.25</v>
      </c>
      <c r="H15" s="8" t="s">
        <v>14</v>
      </c>
      <c r="I15" s="3" t="n">
        <v>450807</v>
      </c>
    </row>
    <row r="16" customFormat="false" ht="12.75" hidden="false" customHeight="false" outlineLevel="0" collapsed="false">
      <c r="A16" s="1" t="s">
        <v>23</v>
      </c>
      <c r="B16" s="10" t="n">
        <v>4.42</v>
      </c>
      <c r="C16" s="8"/>
      <c r="D16" s="3"/>
      <c r="F16" s="1" t="s">
        <v>26</v>
      </c>
      <c r="G16" s="10" t="n">
        <v>4.56</v>
      </c>
      <c r="H16" s="10"/>
      <c r="I16" s="13"/>
    </row>
    <row r="17" customFormat="false" ht="12.75" hidden="false" customHeight="false" outlineLevel="0" collapsed="false">
      <c r="A17" s="1"/>
      <c r="B17" s="10"/>
      <c r="C17" s="8"/>
      <c r="D17" s="3"/>
      <c r="F17" s="1"/>
      <c r="G17" s="10"/>
      <c r="H17" s="8"/>
      <c r="I17" s="3"/>
    </row>
    <row r="18" customFormat="false" ht="12.75" hidden="false" customHeight="false" outlineLevel="0" collapsed="false">
      <c r="A18" s="1"/>
      <c r="B18" s="8"/>
      <c r="D18" s="3"/>
      <c r="F18" s="1"/>
      <c r="G18" s="8"/>
      <c r="I18" s="3"/>
    </row>
    <row r="19" customFormat="false" ht="12.75" hidden="false" customHeight="false" outlineLevel="0" collapsed="false">
      <c r="A19" s="8" t="s">
        <v>21</v>
      </c>
      <c r="B19" s="8" t="s">
        <v>27</v>
      </c>
      <c r="C19" s="9" t="n">
        <v>36617</v>
      </c>
      <c r="D19" s="3" t="n">
        <v>1383</v>
      </c>
      <c r="F19" s="8" t="s">
        <v>30</v>
      </c>
      <c r="G19" s="8" t="s">
        <v>25</v>
      </c>
      <c r="H19" s="9" t="n">
        <v>36617</v>
      </c>
      <c r="I19" s="3" t="n">
        <v>8672</v>
      </c>
    </row>
    <row r="20" customFormat="false" ht="12.75" hidden="false" customHeight="false" outlineLevel="0" collapsed="false">
      <c r="A20" s="1"/>
      <c r="B20" s="8"/>
      <c r="C20" s="9" t="n">
        <v>36647</v>
      </c>
      <c r="D20" s="3" t="n">
        <v>2898</v>
      </c>
      <c r="F20" s="1"/>
      <c r="G20" s="8"/>
      <c r="H20" s="9" t="n">
        <v>36647</v>
      </c>
      <c r="I20" s="3" t="n">
        <v>8564</v>
      </c>
    </row>
    <row r="21" customFormat="false" ht="12.75" hidden="false" customHeight="false" outlineLevel="0" collapsed="false">
      <c r="C21" s="9" t="n">
        <v>36678</v>
      </c>
      <c r="D21" s="3" t="n">
        <v>2871</v>
      </c>
      <c r="H21" s="9" t="n">
        <v>36678</v>
      </c>
      <c r="I21" s="3" t="n">
        <v>10460</v>
      </c>
      <c r="J21" s="3" t="n">
        <v>10895</v>
      </c>
      <c r="K21" s="3" t="n">
        <f aca="false">J21-I21</f>
        <v>435</v>
      </c>
    </row>
    <row r="22" customFormat="false" ht="12.75" hidden="false" customHeight="false" outlineLevel="0" collapsed="false">
      <c r="A22" s="1"/>
      <c r="B22" s="8"/>
      <c r="C22" s="9" t="n">
        <v>36708</v>
      </c>
      <c r="D22" s="3" t="n">
        <v>2675</v>
      </c>
      <c r="F22" s="1"/>
      <c r="G22" s="8"/>
      <c r="H22" s="9" t="n">
        <v>36708</v>
      </c>
      <c r="I22" s="3" t="n">
        <v>10540</v>
      </c>
    </row>
    <row r="23" customFormat="false" ht="12.75" hidden="false" customHeight="false" outlineLevel="0" collapsed="false">
      <c r="A23" s="1" t="s">
        <v>50</v>
      </c>
      <c r="B23" s="10" t="n">
        <v>5</v>
      </c>
      <c r="C23" s="8" t="s">
        <v>14</v>
      </c>
      <c r="D23" s="3" t="n">
        <v>9827</v>
      </c>
      <c r="F23" s="1" t="s">
        <v>50</v>
      </c>
      <c r="G23" s="10" t="n">
        <v>3.79</v>
      </c>
      <c r="H23" s="8" t="s">
        <v>14</v>
      </c>
      <c r="I23" s="3" t="n">
        <v>38236</v>
      </c>
    </row>
    <row r="24" customFormat="false" ht="12.75" hidden="false" customHeight="false" outlineLevel="0" collapsed="false">
      <c r="A24" s="1" t="s">
        <v>28</v>
      </c>
      <c r="B24" s="10" t="n">
        <v>4.44</v>
      </c>
      <c r="C24" s="8"/>
      <c r="D24" s="3"/>
      <c r="F24" s="1" t="s">
        <v>31</v>
      </c>
      <c r="G24" s="10" t="n">
        <v>4.5</v>
      </c>
      <c r="H24" s="10"/>
      <c r="I24" s="13"/>
    </row>
    <row r="25" customFormat="false" ht="12.75" hidden="false" customHeight="false" outlineLevel="0" collapsed="false">
      <c r="A25" s="1"/>
      <c r="B25" s="10"/>
      <c r="C25" s="8"/>
      <c r="D25" s="3"/>
      <c r="F25" s="1"/>
      <c r="G25" s="10"/>
      <c r="H25" s="8"/>
      <c r="I25" s="3"/>
    </row>
    <row r="26" customFormat="false" ht="12.75" hidden="false" customHeight="false" outlineLevel="0" collapsed="false">
      <c r="A26" s="1"/>
      <c r="B26" s="8"/>
      <c r="D26" s="3"/>
      <c r="F26" s="1"/>
      <c r="G26" s="8"/>
      <c r="I26" s="3"/>
    </row>
    <row r="27" customFormat="false" ht="12.75" hidden="false" customHeight="false" outlineLevel="0" collapsed="false">
      <c r="A27" s="8" t="s">
        <v>21</v>
      </c>
      <c r="B27" s="8" t="s">
        <v>29</v>
      </c>
      <c r="C27" s="9" t="n">
        <v>36617</v>
      </c>
      <c r="D27" s="3" t="n">
        <v>53989</v>
      </c>
      <c r="F27" s="8" t="s">
        <v>21</v>
      </c>
      <c r="G27" s="8" t="s">
        <v>37</v>
      </c>
      <c r="H27" s="9" t="n">
        <v>36617</v>
      </c>
      <c r="I27" s="3" t="n">
        <v>247492</v>
      </c>
    </row>
    <row r="28" customFormat="false" ht="12.75" hidden="false" customHeight="false" outlineLevel="0" collapsed="false">
      <c r="A28" s="1"/>
      <c r="B28" s="8"/>
      <c r="C28" s="9" t="n">
        <v>36647</v>
      </c>
      <c r="D28" s="3" t="n">
        <v>57051</v>
      </c>
      <c r="F28" s="1"/>
      <c r="G28" s="10"/>
      <c r="H28" s="9" t="n">
        <v>36647</v>
      </c>
      <c r="I28" s="3" t="n">
        <v>25333</v>
      </c>
    </row>
    <row r="29" customFormat="false" ht="12.75" hidden="false" customHeight="false" outlineLevel="0" collapsed="false">
      <c r="C29" s="9" t="n">
        <v>36678</v>
      </c>
      <c r="D29" s="3" t="n">
        <v>56509</v>
      </c>
      <c r="F29" s="1"/>
      <c r="G29" s="8"/>
      <c r="H29" s="9" t="n">
        <v>36678</v>
      </c>
      <c r="I29" s="3" t="n">
        <v>24216</v>
      </c>
      <c r="J29" s="3" t="n">
        <v>24245</v>
      </c>
      <c r="K29" s="3" t="n">
        <f aca="false">J29-I29</f>
        <v>29</v>
      </c>
    </row>
    <row r="30" customFormat="false" ht="12.75" hidden="false" customHeight="false" outlineLevel="0" collapsed="false">
      <c r="A30" s="1"/>
      <c r="B30" s="8"/>
      <c r="C30" s="9" t="n">
        <v>36708</v>
      </c>
      <c r="D30" s="3" t="n">
        <v>52660</v>
      </c>
      <c r="F30" s="1"/>
      <c r="G30" s="8"/>
      <c r="H30" s="9" t="n">
        <v>36708</v>
      </c>
      <c r="I30" s="3" t="n">
        <v>-7068</v>
      </c>
    </row>
    <row r="31" customFormat="false" ht="12.75" hidden="false" customHeight="false" outlineLevel="0" collapsed="false">
      <c r="A31" s="1" t="s">
        <v>50</v>
      </c>
      <c r="B31" s="10" t="n">
        <v>4.08</v>
      </c>
      <c r="C31" s="8" t="s">
        <v>14</v>
      </c>
      <c r="D31" s="3" t="n">
        <v>220209</v>
      </c>
      <c r="F31" s="1" t="s">
        <v>50</v>
      </c>
      <c r="G31" s="10" t="n">
        <v>3.54</v>
      </c>
      <c r="H31" s="8" t="s">
        <v>14</v>
      </c>
      <c r="I31" s="3" t="n">
        <v>289973</v>
      </c>
    </row>
    <row r="32" customFormat="false" ht="12.75" hidden="false" customHeight="false" outlineLevel="0" collapsed="false">
      <c r="A32" s="1" t="s">
        <v>28</v>
      </c>
      <c r="B32" s="10" t="n">
        <v>4.44</v>
      </c>
      <c r="C32" s="10"/>
      <c r="D32" s="13"/>
      <c r="F32" s="1"/>
      <c r="G32" s="10"/>
      <c r="H32" s="8"/>
      <c r="I32" s="3"/>
    </row>
    <row r="33" customFormat="false" ht="12.75" hidden="false" customHeight="false" outlineLevel="0" collapsed="false">
      <c r="D33" s="3"/>
      <c r="F33" s="1"/>
      <c r="G33" s="8"/>
      <c r="I33" s="3"/>
    </row>
    <row r="34" customFormat="false" ht="12.75" hidden="false" customHeight="false" outlineLevel="0" collapsed="false">
      <c r="D34" s="3"/>
      <c r="F34" s="1"/>
      <c r="G34" s="8"/>
      <c r="I34" s="3"/>
    </row>
    <row r="35" customFormat="false" ht="13.5" hidden="false" customHeight="false" outlineLevel="0" collapsed="false">
      <c r="D35" s="3"/>
      <c r="F35" s="8" t="s">
        <v>21</v>
      </c>
      <c r="G35" s="8" t="s">
        <v>38</v>
      </c>
      <c r="H35" s="9" t="n">
        <v>36617</v>
      </c>
      <c r="I35" s="3" t="n">
        <v>254713</v>
      </c>
    </row>
    <row r="36" customFormat="false" ht="12.75" hidden="false" customHeight="false" outlineLevel="0" collapsed="false">
      <c r="B36" s="32" t="s">
        <v>48</v>
      </c>
      <c r="C36" s="18" t="n">
        <v>28896973.71</v>
      </c>
      <c r="D36" s="19"/>
      <c r="F36" s="1"/>
      <c r="G36" s="8"/>
      <c r="H36" s="9" t="n">
        <v>36647</v>
      </c>
      <c r="I36" s="3" t="n">
        <v>185014</v>
      </c>
    </row>
    <row r="37" customFormat="false" ht="13.5" hidden="false" customHeight="false" outlineLevel="0" collapsed="false">
      <c r="A37" s="1"/>
      <c r="B37" s="33" t="s">
        <v>36</v>
      </c>
      <c r="C37" s="24" t="n">
        <v>6392503</v>
      </c>
      <c r="D37" s="25" t="s">
        <v>35</v>
      </c>
      <c r="H37" s="9" t="n">
        <v>36678</v>
      </c>
      <c r="I37" s="3" t="n">
        <v>195432</v>
      </c>
      <c r="J37" s="3" t="n">
        <v>193571</v>
      </c>
      <c r="K37" s="3" t="n">
        <f aca="false">J37-I37</f>
        <v>-1861</v>
      </c>
    </row>
    <row r="38" customFormat="false" ht="12.75" hidden="false" customHeight="false" outlineLevel="0" collapsed="false">
      <c r="G38" s="8"/>
      <c r="H38" s="9" t="n">
        <v>36708</v>
      </c>
      <c r="I38" s="3" t="n">
        <v>144460</v>
      </c>
    </row>
    <row r="39" customFormat="false" ht="12.75" hidden="false" customHeight="false" outlineLevel="0" collapsed="false">
      <c r="C39" s="13"/>
      <c r="F39" s="1" t="s">
        <v>50</v>
      </c>
      <c r="G39" s="10" t="n">
        <v>4.76</v>
      </c>
      <c r="H39" s="8" t="s">
        <v>14</v>
      </c>
      <c r="I39" s="3" t="n">
        <v>779619</v>
      </c>
    </row>
    <row r="40" customFormat="false" ht="12.75" hidden="false" customHeight="false" outlineLevel="0" collapsed="false">
      <c r="D40" s="3"/>
      <c r="F40" s="1" t="s">
        <v>23</v>
      </c>
      <c r="G40" s="10" t="n">
        <v>4.42</v>
      </c>
      <c r="H40" s="10"/>
      <c r="I40" s="13"/>
      <c r="K40" s="3" t="n">
        <f aca="false">SUM(K5:K37)</f>
        <v>14160</v>
      </c>
    </row>
    <row r="41" customFormat="false" ht="12.75" hidden="false" customHeight="false" outlineLevel="0" collapsed="false">
      <c r="D41" s="26"/>
      <c r="I41" s="3"/>
    </row>
    <row r="42" customFormat="false" ht="12.75" hidden="false" customHeight="false" outlineLevel="0" collapsed="false">
      <c r="D42" s="26"/>
      <c r="I42" s="3"/>
    </row>
    <row r="43" customFormat="false" ht="12.75" hidden="false" customHeight="false" outlineLevel="0" collapsed="false">
      <c r="D43" s="26"/>
      <c r="I43" s="3"/>
    </row>
    <row r="44" customFormat="false" ht="12.75" hidden="false" customHeight="false" outlineLevel="0" collapsed="false">
      <c r="A44" s="28" t="s">
        <v>39</v>
      </c>
      <c r="G44" s="12"/>
      <c r="I44" s="3"/>
    </row>
    <row r="45" customFormat="false" ht="12.75" hidden="false" customHeight="false" outlineLevel="0" collapsed="false">
      <c r="B45" s="34" t="s">
        <v>42</v>
      </c>
    </row>
    <row r="46" customFormat="false" ht="12.75" hidden="false" customHeight="false" outlineLevel="0" collapsed="false">
      <c r="B46" s="34" t="s">
        <v>51</v>
      </c>
    </row>
    <row r="47" customFormat="false" ht="12.75" hidden="false" customHeight="false" outlineLevel="0" collapsed="false">
      <c r="B47" s="34" t="s">
        <v>52</v>
      </c>
    </row>
    <row r="48" customFormat="false" ht="12.75" hidden="false" customHeight="false" outlineLevel="0" collapsed="false">
      <c r="B48" s="34" t="s">
        <v>45</v>
      </c>
    </row>
    <row r="49" customFormat="false" ht="12.75" hidden="false" customHeight="false" outlineLevel="0" collapsed="false">
      <c r="B49" s="34" t="s">
        <v>46</v>
      </c>
    </row>
  </sheetData>
  <mergeCells count="2">
    <mergeCell ref="A1:D1"/>
    <mergeCell ref="F1:I1"/>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&amp;CSchedule 3.6(A)
Exhibit B</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80"/>
  <sheetViews>
    <sheetView showFormulas="false" showGridLines="true" showRowColHeaders="true" showZeros="true" rightToLeft="false" tabSelected="false" showOutlineSymbols="true" defaultGridColor="true" view="normal" topLeftCell="A28" colorId="64" zoomScale="75" zoomScaleNormal="75" zoomScalePageLayoutView="100" workbookViewId="0">
      <selection pane="topLeft" activeCell="C44" activeCellId="0" sqref="C44"/>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0" width="17.42"/>
    <col collapsed="false" customWidth="true" hidden="false" outlineLevel="0" max="3" min="3" style="0" width="16.42"/>
    <col collapsed="false" customWidth="true" hidden="false" outlineLevel="0" max="4" min="4" style="0" width="12.85"/>
    <col collapsed="false" customWidth="true" hidden="false" outlineLevel="0" max="5" min="5" style="0" width="12.14"/>
    <col collapsed="false" customWidth="true" hidden="false" outlineLevel="0" max="6" min="6" style="1" width="11.56"/>
    <col collapsed="false" customWidth="true" hidden="false" outlineLevel="0" max="7" min="7" style="0" width="15.13"/>
    <col collapsed="false" customWidth="true" hidden="false" outlineLevel="0" max="8" min="8" style="0" width="13.14"/>
    <col collapsed="false" customWidth="true" hidden="false" outlineLevel="0" max="9" min="9" style="0" width="17.14"/>
    <col collapsed="false" customWidth="true" hidden="false" outlineLevel="0" max="10" min="10" style="0" width="13.28"/>
    <col collapsed="false" customWidth="true" hidden="false" outlineLevel="0" max="13" min="11" style="0" width="12.85"/>
  </cols>
  <sheetData>
    <row r="1" customFormat="false" ht="12.75" hidden="false" customHeight="true" outlineLevel="0" collapsed="false">
      <c r="A1" s="2" t="s">
        <v>0</v>
      </c>
      <c r="B1" s="2"/>
      <c r="C1" s="2"/>
      <c r="D1" s="2"/>
      <c r="E1" s="3"/>
      <c r="G1" s="4" t="s">
        <v>1</v>
      </c>
      <c r="H1" s="4"/>
      <c r="I1" s="4"/>
      <c r="J1" s="4"/>
    </row>
    <row r="2" customFormat="false" ht="12.75" hidden="false" customHeight="false" outlineLevel="0" collapsed="false">
      <c r="A2" s="5" t="s">
        <v>2</v>
      </c>
      <c r="B2" s="5" t="s">
        <v>3</v>
      </c>
      <c r="C2" s="5" t="s">
        <v>4</v>
      </c>
      <c r="D2" s="6" t="s">
        <v>5</v>
      </c>
      <c r="E2" s="6"/>
      <c r="F2" s="7"/>
      <c r="G2" s="5" t="s">
        <v>2</v>
      </c>
      <c r="H2" s="5" t="s">
        <v>3</v>
      </c>
      <c r="I2" s="5" t="s">
        <v>4</v>
      </c>
      <c r="J2" s="6" t="s">
        <v>5</v>
      </c>
      <c r="K2" s="6"/>
      <c r="L2" s="6"/>
      <c r="M2" s="6"/>
    </row>
    <row r="3" customFormat="false" ht="12.75" hidden="false" customHeight="false" outlineLevel="0" collapsed="false">
      <c r="A3" s="8" t="s">
        <v>6</v>
      </c>
      <c r="B3" s="8" t="s">
        <v>7</v>
      </c>
      <c r="C3" s="9" t="n">
        <v>36617</v>
      </c>
      <c r="D3" s="3" t="n">
        <v>786579</v>
      </c>
      <c r="E3" s="3"/>
      <c r="G3" s="8" t="s">
        <v>9</v>
      </c>
      <c r="H3" s="8" t="s">
        <v>7</v>
      </c>
      <c r="I3" s="9" t="n">
        <v>36617</v>
      </c>
      <c r="J3" s="3" t="n">
        <v>3331</v>
      </c>
      <c r="K3" s="3"/>
      <c r="L3" s="3"/>
      <c r="M3" s="3"/>
    </row>
    <row r="4" customFormat="false" ht="12.75" hidden="false" customHeight="false" outlineLevel="0" collapsed="false">
      <c r="A4" s="8" t="s">
        <v>10</v>
      </c>
      <c r="B4" s="10" t="n">
        <v>4.69</v>
      </c>
      <c r="C4" s="9" t="n">
        <v>36647</v>
      </c>
      <c r="D4" s="3" t="n">
        <v>1089109</v>
      </c>
      <c r="E4" s="3"/>
      <c r="G4" s="8"/>
      <c r="H4" s="8" t="s">
        <v>11</v>
      </c>
      <c r="I4" s="9" t="n">
        <v>36647</v>
      </c>
      <c r="J4" s="3" t="n">
        <v>13430</v>
      </c>
      <c r="K4" s="3"/>
      <c r="L4" s="3"/>
      <c r="M4" s="3"/>
    </row>
    <row r="5" customFormat="false" ht="12.75" hidden="false" customHeight="false" outlineLevel="0" collapsed="false">
      <c r="A5" s="8" t="s">
        <v>12</v>
      </c>
      <c r="C5" s="9" t="n">
        <v>36678</v>
      </c>
      <c r="D5" s="3" t="n">
        <v>1089109</v>
      </c>
      <c r="E5" s="3"/>
      <c r="G5" s="8" t="s">
        <v>10</v>
      </c>
      <c r="H5" s="10" t="n">
        <v>5.35</v>
      </c>
      <c r="I5" s="9" t="n">
        <v>36678</v>
      </c>
      <c r="J5" s="3" t="n">
        <v>13472</v>
      </c>
      <c r="L5" s="3"/>
      <c r="M5" s="3"/>
      <c r="N5" s="3"/>
      <c r="O5" s="3"/>
    </row>
    <row r="6" customFormat="false" ht="12.75" hidden="false" customHeight="false" outlineLevel="0" collapsed="false">
      <c r="A6" s="8"/>
      <c r="B6" s="8"/>
      <c r="C6" s="9" t="n">
        <v>36708</v>
      </c>
      <c r="D6" s="3" t="n">
        <v>1089109</v>
      </c>
      <c r="E6" s="3"/>
      <c r="G6" s="8" t="s">
        <v>12</v>
      </c>
      <c r="H6" s="10"/>
      <c r="I6" s="9" t="n">
        <v>36708</v>
      </c>
      <c r="J6" s="3" t="n">
        <v>15314</v>
      </c>
      <c r="L6" s="3"/>
      <c r="M6" s="3"/>
    </row>
    <row r="7" customFormat="false" ht="12.75" hidden="false" customHeight="false" outlineLevel="0" collapsed="false">
      <c r="A7" s="8"/>
      <c r="B7" s="8" t="s">
        <v>13</v>
      </c>
      <c r="C7" s="8" t="s">
        <v>14</v>
      </c>
      <c r="D7" s="3" t="n">
        <v>4053906</v>
      </c>
      <c r="E7" s="3"/>
      <c r="G7" s="8"/>
      <c r="H7" s="8" t="s">
        <v>13</v>
      </c>
      <c r="I7" s="8" t="s">
        <v>14</v>
      </c>
      <c r="J7" s="3" t="n">
        <v>45547</v>
      </c>
      <c r="K7" s="3"/>
      <c r="L7" s="3"/>
      <c r="M7" s="3"/>
    </row>
    <row r="8" customFormat="false" ht="12.75" hidden="false" customHeight="false" outlineLevel="0" collapsed="false">
      <c r="A8" s="8"/>
      <c r="C8" s="11" t="s">
        <v>16</v>
      </c>
      <c r="D8" s="12" t="n">
        <f aca="false">D6*J72</f>
        <v>-65346.5400000005</v>
      </c>
      <c r="E8" s="12"/>
      <c r="G8" s="8"/>
      <c r="I8" s="9" t="n">
        <v>36678</v>
      </c>
      <c r="J8" s="3" t="n">
        <v>12074</v>
      </c>
      <c r="K8" s="13"/>
      <c r="L8" s="13"/>
      <c r="M8" s="13"/>
    </row>
    <row r="9" customFormat="false" ht="12.75" hidden="false" customHeight="false" outlineLevel="0" collapsed="false">
      <c r="A9" s="8"/>
      <c r="C9" s="11"/>
      <c r="D9" s="12"/>
      <c r="E9" s="12"/>
      <c r="G9" s="8"/>
      <c r="H9" s="10"/>
      <c r="I9" s="9" t="n">
        <v>36708</v>
      </c>
      <c r="J9" s="3" t="n">
        <v>11960</v>
      </c>
      <c r="K9" s="3"/>
      <c r="L9" s="3"/>
      <c r="M9" s="3"/>
    </row>
    <row r="10" customFormat="false" ht="12.75" hidden="false" customHeight="false" outlineLevel="0" collapsed="false">
      <c r="A10" s="8"/>
      <c r="B10" s="10"/>
      <c r="C10" s="8"/>
      <c r="D10" s="3"/>
      <c r="E10" s="3"/>
      <c r="G10" s="8"/>
      <c r="H10" s="8" t="s">
        <v>47</v>
      </c>
      <c r="I10" s="8" t="s">
        <v>14</v>
      </c>
      <c r="J10" s="14" t="n">
        <f aca="false">J7-J5-J6+J8+J9</f>
        <v>40795</v>
      </c>
      <c r="K10" s="3"/>
      <c r="L10" s="3"/>
      <c r="M10" s="3"/>
    </row>
    <row r="11" customFormat="false" ht="12.75" hidden="false" customHeight="false" outlineLevel="0" collapsed="false">
      <c r="A11" s="8"/>
      <c r="B11" s="8"/>
      <c r="D11" s="3"/>
      <c r="E11" s="3"/>
      <c r="G11" s="8"/>
      <c r="H11" s="10"/>
      <c r="I11" s="8" t="s">
        <v>20</v>
      </c>
      <c r="J11" s="14" t="n">
        <f aca="false">J10-J7</f>
        <v>-4752</v>
      </c>
      <c r="K11" s="3"/>
      <c r="L11" s="3"/>
      <c r="M11" s="3"/>
    </row>
    <row r="12" customFormat="false" ht="12.75" hidden="false" customHeight="false" outlineLevel="0" collapsed="false">
      <c r="A12" s="8" t="s">
        <v>21</v>
      </c>
      <c r="B12" s="8" t="s">
        <v>22</v>
      </c>
      <c r="C12" s="9" t="n">
        <v>36617</v>
      </c>
      <c r="D12" s="3" t="n">
        <v>128457</v>
      </c>
      <c r="E12" s="3"/>
      <c r="G12" s="8"/>
      <c r="H12" s="10"/>
      <c r="I12" s="11" t="s">
        <v>17</v>
      </c>
      <c r="J12" s="12" t="n">
        <f aca="false">J11*H5</f>
        <v>-25423.2</v>
      </c>
      <c r="K12" s="3"/>
      <c r="L12" s="3"/>
      <c r="M12" s="3"/>
    </row>
    <row r="13" customFormat="false" ht="12.75" hidden="false" customHeight="false" outlineLevel="0" collapsed="false">
      <c r="A13" s="8" t="s">
        <v>10</v>
      </c>
      <c r="B13" s="10" t="n">
        <v>4.65</v>
      </c>
      <c r="C13" s="9" t="n">
        <v>36647</v>
      </c>
      <c r="D13" s="3" t="n">
        <v>126134</v>
      </c>
      <c r="E13" s="3"/>
      <c r="G13" s="8"/>
      <c r="H13" s="10"/>
      <c r="I13" s="11" t="s">
        <v>16</v>
      </c>
      <c r="J13" s="12" t="n">
        <f aca="false">J9*J72</f>
        <v>-717.600000000006</v>
      </c>
      <c r="K13" s="3"/>
      <c r="L13" s="3"/>
      <c r="M13" s="3"/>
      <c r="N13" s="3"/>
      <c r="O13" s="3"/>
    </row>
    <row r="14" customFormat="false" ht="12.75" hidden="false" customHeight="false" outlineLevel="0" collapsed="false">
      <c r="A14" s="8" t="s">
        <v>23</v>
      </c>
      <c r="C14" s="9" t="n">
        <v>36678</v>
      </c>
      <c r="D14" s="3" t="n">
        <v>125126</v>
      </c>
      <c r="E14" s="3"/>
      <c r="G14" s="8"/>
      <c r="H14" s="10"/>
      <c r="I14" s="11"/>
      <c r="J14" s="3"/>
      <c r="K14" s="3"/>
      <c r="L14" s="3"/>
      <c r="M14" s="3"/>
    </row>
    <row r="15" customFormat="false" ht="12.75" hidden="false" customHeight="false" outlineLevel="0" collapsed="false">
      <c r="A15" s="8"/>
      <c r="B15" s="8"/>
      <c r="C15" s="9" t="n">
        <v>36708</v>
      </c>
      <c r="D15" s="3" t="n">
        <v>124662</v>
      </c>
      <c r="E15" s="3"/>
      <c r="G15" s="8"/>
      <c r="H15" s="10"/>
      <c r="I15" s="11"/>
      <c r="J15" s="3"/>
      <c r="K15" s="3"/>
      <c r="L15" s="3"/>
      <c r="M15" s="3"/>
    </row>
    <row r="16" customFormat="false" ht="12.75" hidden="false" customHeight="false" outlineLevel="0" collapsed="false">
      <c r="A16" s="8"/>
      <c r="B16" s="8" t="s">
        <v>13</v>
      </c>
      <c r="C16" s="8" t="s">
        <v>14</v>
      </c>
      <c r="D16" s="3" t="n">
        <v>504379</v>
      </c>
      <c r="E16" s="3"/>
      <c r="G16" s="8"/>
      <c r="H16" s="16"/>
      <c r="J16" s="3"/>
      <c r="L16" s="3"/>
      <c r="M16" s="13"/>
    </row>
    <row r="17" customFormat="false" ht="12.75" hidden="false" customHeight="false" outlineLevel="0" collapsed="false">
      <c r="A17" s="8"/>
      <c r="C17" s="11" t="s">
        <v>16</v>
      </c>
      <c r="D17" s="12" t="n">
        <f aca="false">D15*J73</f>
        <v>-8726.34000000004</v>
      </c>
      <c r="E17" s="13"/>
      <c r="G17" s="8" t="s">
        <v>24</v>
      </c>
      <c r="H17" s="8" t="s">
        <v>25</v>
      </c>
      <c r="I17" s="9" t="n">
        <v>36617</v>
      </c>
      <c r="J17" s="3" t="n">
        <v>21001</v>
      </c>
      <c r="K17" s="3"/>
      <c r="L17" s="3"/>
      <c r="M17" s="3"/>
    </row>
    <row r="18" customFormat="false" ht="12.75" hidden="false" customHeight="false" outlineLevel="0" collapsed="false">
      <c r="A18" s="8"/>
      <c r="C18" s="11"/>
      <c r="D18" s="12"/>
      <c r="E18" s="13"/>
      <c r="G18" s="8" t="s">
        <v>10</v>
      </c>
      <c r="H18" s="10" t="n">
        <v>3.25</v>
      </c>
      <c r="I18" s="9" t="n">
        <v>36647</v>
      </c>
      <c r="J18" s="3" t="n">
        <v>73542</v>
      </c>
      <c r="K18" s="3"/>
      <c r="L18" s="13"/>
      <c r="M18" s="3"/>
    </row>
    <row r="19" customFormat="false" ht="12.75" hidden="false" customHeight="false" outlineLevel="0" collapsed="false">
      <c r="A19" s="8"/>
      <c r="B19" s="10"/>
      <c r="C19" s="8"/>
      <c r="D19" s="3"/>
      <c r="E19" s="3"/>
      <c r="G19" s="8" t="s">
        <v>26</v>
      </c>
      <c r="I19" s="9" t="n">
        <v>36678</v>
      </c>
      <c r="J19" s="3" t="n">
        <v>213145</v>
      </c>
      <c r="K19" s="13"/>
      <c r="L19" s="3"/>
      <c r="M19" s="3"/>
    </row>
    <row r="20" customFormat="false" ht="12.75" hidden="false" customHeight="false" outlineLevel="0" collapsed="false">
      <c r="A20" s="8"/>
      <c r="B20" s="8"/>
      <c r="D20" s="3"/>
      <c r="E20" s="3"/>
      <c r="G20" s="8"/>
      <c r="H20" s="8"/>
      <c r="I20" s="9" t="n">
        <v>36708</v>
      </c>
      <c r="J20" s="3" t="n">
        <v>143119</v>
      </c>
      <c r="K20" s="3"/>
      <c r="L20" s="3"/>
      <c r="M20" s="3"/>
    </row>
    <row r="21" customFormat="false" ht="12.75" hidden="false" customHeight="false" outlineLevel="0" collapsed="false">
      <c r="A21" s="8" t="s">
        <v>21</v>
      </c>
      <c r="B21" s="8" t="s">
        <v>27</v>
      </c>
      <c r="C21" s="9" t="n">
        <v>36617</v>
      </c>
      <c r="D21" s="3" t="n">
        <v>1383</v>
      </c>
      <c r="E21" s="3"/>
      <c r="G21" s="8"/>
      <c r="H21" s="8" t="s">
        <v>13</v>
      </c>
      <c r="I21" s="8" t="s">
        <v>14</v>
      </c>
      <c r="J21" s="3" t="n">
        <v>450807</v>
      </c>
      <c r="K21" s="3"/>
      <c r="L21" s="3"/>
      <c r="M21" s="3"/>
      <c r="N21" s="3"/>
      <c r="O21" s="3"/>
    </row>
    <row r="22" customFormat="false" ht="12.75" hidden="false" customHeight="false" outlineLevel="0" collapsed="false">
      <c r="A22" s="8" t="s">
        <v>10</v>
      </c>
      <c r="B22" s="10" t="n">
        <v>5</v>
      </c>
      <c r="C22" s="9" t="n">
        <v>36647</v>
      </c>
      <c r="D22" s="3" t="n">
        <v>2898</v>
      </c>
      <c r="E22" s="3"/>
      <c r="G22" s="8"/>
      <c r="I22" s="9" t="n">
        <v>36678</v>
      </c>
      <c r="J22" s="3" t="n">
        <v>230100</v>
      </c>
      <c r="K22" s="3"/>
      <c r="L22" s="3"/>
      <c r="M22" s="3"/>
    </row>
    <row r="23" customFormat="false" ht="12.75" hidden="false" customHeight="false" outlineLevel="0" collapsed="false">
      <c r="A23" s="8" t="s">
        <v>28</v>
      </c>
      <c r="C23" s="9" t="n">
        <v>36678</v>
      </c>
      <c r="D23" s="3" t="n">
        <v>2871</v>
      </c>
      <c r="E23" s="3"/>
      <c r="F23" s="14"/>
      <c r="G23" s="8"/>
      <c r="H23" s="8" t="s">
        <v>47</v>
      </c>
      <c r="I23" s="8" t="s">
        <v>14</v>
      </c>
      <c r="J23" s="14" t="n">
        <f aca="false">J21-J19+J22</f>
        <v>467762</v>
      </c>
      <c r="K23" s="3"/>
      <c r="L23" s="3"/>
      <c r="M23" s="3"/>
    </row>
    <row r="24" customFormat="false" ht="12.75" hidden="false" customHeight="false" outlineLevel="0" collapsed="false">
      <c r="A24" s="8"/>
      <c r="B24" s="8"/>
      <c r="C24" s="9" t="n">
        <v>36708</v>
      </c>
      <c r="D24" s="3" t="n">
        <v>2675</v>
      </c>
      <c r="E24" s="3"/>
      <c r="G24" s="8"/>
      <c r="H24" s="10"/>
      <c r="I24" s="8" t="s">
        <v>20</v>
      </c>
      <c r="J24" s="14" t="n">
        <f aca="false">J23-J21</f>
        <v>16955</v>
      </c>
      <c r="K24" s="3"/>
      <c r="L24" s="3"/>
      <c r="M24" s="13"/>
    </row>
    <row r="25" customFormat="false" ht="12.75" hidden="false" customHeight="false" outlineLevel="0" collapsed="false">
      <c r="A25" s="8"/>
      <c r="B25" s="8" t="s">
        <v>13</v>
      </c>
      <c r="C25" s="8" t="s">
        <v>14</v>
      </c>
      <c r="D25" s="3" t="n">
        <v>9827</v>
      </c>
      <c r="E25" s="3"/>
      <c r="G25" s="8"/>
      <c r="H25" s="10"/>
      <c r="I25" s="11" t="s">
        <v>17</v>
      </c>
      <c r="J25" s="12" t="n">
        <f aca="false">J24*H18</f>
        <v>55103.75</v>
      </c>
      <c r="K25" s="3"/>
      <c r="L25" s="3"/>
      <c r="M25" s="3"/>
    </row>
    <row r="26" customFormat="false" ht="12.75" hidden="false" customHeight="false" outlineLevel="0" collapsed="false">
      <c r="A26" s="8"/>
      <c r="B26" s="10"/>
      <c r="C26" s="11" t="s">
        <v>16</v>
      </c>
      <c r="D26" s="12" t="n">
        <f aca="false">D24*J74</f>
        <v>-214</v>
      </c>
      <c r="E26" s="14"/>
      <c r="G26" s="8"/>
      <c r="H26" s="10"/>
      <c r="I26" s="11" t="s">
        <v>16</v>
      </c>
      <c r="J26" s="12" t="n">
        <f aca="false">J20*J75</f>
        <v>-11449.5199999999</v>
      </c>
      <c r="K26" s="3"/>
      <c r="L26" s="3"/>
      <c r="M26" s="3"/>
    </row>
    <row r="27" customFormat="false" ht="12.75" hidden="false" customHeight="false" outlineLevel="0" collapsed="false">
      <c r="A27" s="8"/>
      <c r="B27" s="10"/>
      <c r="C27" s="11"/>
      <c r="D27" s="12"/>
      <c r="E27" s="14"/>
      <c r="G27" s="8"/>
      <c r="H27" s="10"/>
      <c r="I27" s="8"/>
      <c r="J27" s="12"/>
      <c r="K27" s="3"/>
      <c r="L27" s="3"/>
      <c r="M27" s="3"/>
    </row>
    <row r="28" customFormat="false" ht="12.75" hidden="false" customHeight="false" outlineLevel="0" collapsed="false">
      <c r="A28" s="8"/>
      <c r="B28" s="10"/>
      <c r="C28" s="11"/>
      <c r="D28" s="12"/>
      <c r="E28" s="14"/>
      <c r="G28" s="8"/>
      <c r="H28" s="10"/>
      <c r="I28" s="8"/>
      <c r="J28" s="14"/>
      <c r="K28" s="3"/>
      <c r="L28" s="13"/>
      <c r="M28" s="3"/>
    </row>
    <row r="29" customFormat="false" ht="12.75" hidden="false" customHeight="false" outlineLevel="0" collapsed="false">
      <c r="A29" s="8"/>
      <c r="B29" s="8"/>
      <c r="D29" s="3"/>
      <c r="E29" s="3"/>
      <c r="F29" s="14"/>
      <c r="G29" s="8"/>
      <c r="H29" s="8"/>
      <c r="J29" s="3"/>
      <c r="L29" s="3"/>
      <c r="M29" s="3"/>
      <c r="N29" s="3"/>
      <c r="O29" s="3"/>
    </row>
    <row r="30" customFormat="false" ht="12.75" hidden="false" customHeight="false" outlineLevel="0" collapsed="false">
      <c r="A30" s="8" t="s">
        <v>21</v>
      </c>
      <c r="B30" s="8" t="s">
        <v>29</v>
      </c>
      <c r="C30" s="9" t="n">
        <v>36617</v>
      </c>
      <c r="D30" s="3" t="n">
        <v>53989</v>
      </c>
      <c r="E30" s="3"/>
      <c r="G30" s="8" t="s">
        <v>30</v>
      </c>
      <c r="H30" s="8" t="s">
        <v>25</v>
      </c>
      <c r="I30" s="9" t="n">
        <v>36617</v>
      </c>
      <c r="J30" s="3" t="n">
        <v>8672</v>
      </c>
      <c r="L30" s="3"/>
      <c r="M30" s="3"/>
    </row>
    <row r="31" customFormat="false" ht="12.75" hidden="false" customHeight="false" outlineLevel="0" collapsed="false">
      <c r="A31" s="8" t="s">
        <v>10</v>
      </c>
      <c r="B31" s="10" t="n">
        <v>4.08</v>
      </c>
      <c r="C31" s="9" t="n">
        <v>36647</v>
      </c>
      <c r="D31" s="3" t="n">
        <v>57051</v>
      </c>
      <c r="E31" s="3"/>
      <c r="G31" s="8" t="s">
        <v>10</v>
      </c>
      <c r="H31" s="10" t="n">
        <v>3.79</v>
      </c>
      <c r="I31" s="9" t="n">
        <v>36647</v>
      </c>
      <c r="J31" s="3" t="n">
        <v>8564</v>
      </c>
      <c r="K31" s="3"/>
      <c r="L31" s="3"/>
      <c r="M31" s="3"/>
    </row>
    <row r="32" customFormat="false" ht="12.75" hidden="false" customHeight="false" outlineLevel="0" collapsed="false">
      <c r="A32" s="8" t="s">
        <v>28</v>
      </c>
      <c r="B32" s="10"/>
      <c r="C32" s="9" t="n">
        <v>36678</v>
      </c>
      <c r="D32" s="3" t="n">
        <v>56509</v>
      </c>
      <c r="E32" s="3"/>
      <c r="G32" s="8" t="s">
        <v>31</v>
      </c>
      <c r="I32" s="9" t="n">
        <v>36678</v>
      </c>
      <c r="J32" s="3" t="n">
        <v>10460</v>
      </c>
      <c r="K32" s="13"/>
      <c r="L32" s="3"/>
      <c r="M32" s="3"/>
    </row>
    <row r="33" customFormat="false" ht="12.75" hidden="false" customHeight="false" outlineLevel="0" collapsed="false">
      <c r="A33" s="8"/>
      <c r="B33" s="8"/>
      <c r="C33" s="9" t="n">
        <v>36708</v>
      </c>
      <c r="D33" s="3" t="n">
        <v>52660</v>
      </c>
      <c r="E33" s="3"/>
      <c r="G33" s="8"/>
      <c r="H33" s="8"/>
      <c r="I33" s="9" t="n">
        <v>36708</v>
      </c>
      <c r="J33" s="3" t="n">
        <v>10540</v>
      </c>
      <c r="K33" s="3"/>
      <c r="L33" s="3"/>
      <c r="M33" s="3"/>
    </row>
    <row r="34" customFormat="false" ht="12.75" hidden="false" customHeight="false" outlineLevel="0" collapsed="false">
      <c r="A34" s="8"/>
      <c r="B34" s="8" t="s">
        <v>13</v>
      </c>
      <c r="C34" s="8" t="s">
        <v>14</v>
      </c>
      <c r="D34" s="3" t="n">
        <v>220209</v>
      </c>
      <c r="E34" s="3"/>
      <c r="G34" s="8"/>
      <c r="H34" s="8" t="s">
        <v>13</v>
      </c>
      <c r="I34" s="8" t="s">
        <v>14</v>
      </c>
      <c r="J34" s="3" t="n">
        <v>38236</v>
      </c>
      <c r="K34" s="3"/>
      <c r="L34" s="3"/>
      <c r="M34" s="3"/>
    </row>
    <row r="35" customFormat="false" ht="12.75" hidden="false" customHeight="false" outlineLevel="0" collapsed="false">
      <c r="C35" s="11" t="s">
        <v>16</v>
      </c>
      <c r="D35" s="12" t="n">
        <f aca="false">D33*J74</f>
        <v>-4212.8</v>
      </c>
      <c r="E35" s="3"/>
      <c r="G35" s="8"/>
      <c r="I35" s="9" t="n">
        <v>36678</v>
      </c>
      <c r="J35" s="3" t="n">
        <v>10895</v>
      </c>
      <c r="K35" s="3"/>
      <c r="L35" s="3"/>
      <c r="M35" s="3"/>
    </row>
    <row r="36" customFormat="false" ht="12.75" hidden="false" customHeight="false" outlineLevel="0" collapsed="false">
      <c r="D36" s="3"/>
      <c r="E36" s="3"/>
      <c r="G36" s="8"/>
      <c r="H36" s="10"/>
      <c r="I36" s="9" t="n">
        <v>36708</v>
      </c>
      <c r="J36" s="3" t="n">
        <v>10920</v>
      </c>
      <c r="K36" s="3"/>
      <c r="L36" s="3"/>
      <c r="M36" s="3"/>
    </row>
    <row r="37" customFormat="false" ht="12.75" hidden="false" customHeight="false" outlineLevel="0" collapsed="false">
      <c r="D37" s="3"/>
      <c r="E37" s="3"/>
      <c r="G37" s="8"/>
      <c r="H37" s="8" t="s">
        <v>47</v>
      </c>
      <c r="I37" s="8" t="s">
        <v>14</v>
      </c>
      <c r="J37" s="14" t="n">
        <f aca="false">J34-J32-J33+J35+J36</f>
        <v>39051</v>
      </c>
      <c r="L37" s="3"/>
      <c r="M37" s="3"/>
      <c r="N37" s="3"/>
      <c r="O37" s="3"/>
    </row>
    <row r="38" customFormat="false" ht="13.5" hidden="false" customHeight="false" outlineLevel="0" collapsed="false">
      <c r="D38" s="3"/>
      <c r="E38" s="3"/>
      <c r="G38" s="8"/>
      <c r="H38" s="8"/>
      <c r="I38" s="8" t="s">
        <v>20</v>
      </c>
      <c r="J38" s="14" t="n">
        <f aca="false">J37-J34</f>
        <v>815</v>
      </c>
      <c r="K38" s="3"/>
      <c r="L38" s="3"/>
      <c r="M38" s="3"/>
    </row>
    <row r="39" customFormat="false" ht="12.75" hidden="false" customHeight="false" outlineLevel="0" collapsed="false">
      <c r="B39" s="17" t="s">
        <v>48</v>
      </c>
      <c r="C39" s="18" t="n">
        <v>28896973.71</v>
      </c>
      <c r="D39" s="19"/>
      <c r="E39" s="20"/>
      <c r="G39" s="8"/>
      <c r="H39" s="8"/>
      <c r="I39" s="11" t="s">
        <v>17</v>
      </c>
      <c r="J39" s="12" t="n">
        <f aca="false">J38*H31</f>
        <v>3088.85</v>
      </c>
      <c r="K39" s="3"/>
      <c r="L39" s="3"/>
      <c r="M39" s="3"/>
    </row>
    <row r="40" customFormat="false" ht="12.75" hidden="false" customHeight="false" outlineLevel="0" collapsed="false">
      <c r="A40" s="1"/>
      <c r="B40" s="21" t="s">
        <v>17</v>
      </c>
      <c r="C40" s="12" t="n">
        <f aca="false">J12+J25+J39+J53+J66</f>
        <v>-7906.18</v>
      </c>
      <c r="D40" s="22"/>
      <c r="E40" s="20"/>
      <c r="G40" s="8"/>
      <c r="H40" s="8"/>
      <c r="I40" s="11" t="s">
        <v>16</v>
      </c>
      <c r="J40" s="12" t="n">
        <f aca="false">J36*J76</f>
        <v>-764.400000000003</v>
      </c>
      <c r="K40" s="3"/>
      <c r="L40" s="3"/>
      <c r="M40" s="13"/>
      <c r="O40" s="3"/>
    </row>
    <row r="41" customFormat="false" ht="12.75" hidden="false" customHeight="false" outlineLevel="0" collapsed="false">
      <c r="B41" s="21" t="s">
        <v>16</v>
      </c>
      <c r="C41" s="12" t="n">
        <f aca="false">D8+D17+D26+D35+J13+J26+J40+J67</f>
        <v>-101091.690000001</v>
      </c>
      <c r="D41" s="22"/>
      <c r="G41" s="8"/>
      <c r="H41" s="8"/>
      <c r="I41" s="11"/>
      <c r="J41" s="12"/>
      <c r="K41" s="3"/>
      <c r="L41" s="3"/>
      <c r="M41" s="3"/>
    </row>
    <row r="42" customFormat="false" ht="12.75" hidden="false" customHeight="false" outlineLevel="0" collapsed="false">
      <c r="B42" s="21" t="s">
        <v>33</v>
      </c>
      <c r="C42" s="12" t="n">
        <f aca="false">SUM(C39:C41)</f>
        <v>28787975.84</v>
      </c>
      <c r="D42" s="22"/>
      <c r="G42" s="8"/>
      <c r="H42" s="8"/>
      <c r="I42" s="11"/>
      <c r="J42" s="12"/>
      <c r="K42" s="3"/>
      <c r="L42" s="3"/>
      <c r="M42" s="3"/>
    </row>
    <row r="43" customFormat="false" ht="12.75" hidden="false" customHeight="false" outlineLevel="0" collapsed="false">
      <c r="B43" s="21" t="s">
        <v>36</v>
      </c>
      <c r="C43" s="3" t="n">
        <v>6392503</v>
      </c>
      <c r="D43" s="22" t="s">
        <v>35</v>
      </c>
      <c r="E43" s="20"/>
      <c r="G43" s="8"/>
      <c r="H43" s="8"/>
      <c r="I43" s="8"/>
      <c r="J43" s="14"/>
      <c r="K43" s="3"/>
      <c r="L43" s="3"/>
      <c r="M43" s="3"/>
    </row>
    <row r="44" customFormat="false" ht="12.75" hidden="false" customHeight="false" outlineLevel="0" collapsed="false">
      <c r="B44" s="21" t="s">
        <v>49</v>
      </c>
      <c r="C44" s="3" t="n">
        <f aca="false">C43-J5+J8-J6+J9-J19+J22-J32+J35-J33+J36-J46+J49-J47+J50-J59-J60+J62+J63</f>
        <v>6396896</v>
      </c>
      <c r="D44" s="22" t="s">
        <v>35</v>
      </c>
      <c r="E44" s="20"/>
      <c r="G44" s="8" t="s">
        <v>21</v>
      </c>
      <c r="H44" s="8" t="s">
        <v>37</v>
      </c>
      <c r="I44" s="9" t="n">
        <v>36617</v>
      </c>
      <c r="J44" s="3" t="n">
        <v>247492</v>
      </c>
      <c r="K44" s="3"/>
      <c r="L44" s="3"/>
      <c r="M44" s="3"/>
    </row>
    <row r="45" customFormat="false" ht="13.5" hidden="false" customHeight="false" outlineLevel="0" collapsed="false">
      <c r="B45" s="23" t="s">
        <v>20</v>
      </c>
      <c r="C45" s="24" t="n">
        <f aca="false">C44-C43</f>
        <v>4393</v>
      </c>
      <c r="D45" s="25" t="s">
        <v>35</v>
      </c>
      <c r="E45" s="20"/>
      <c r="G45" s="8" t="s">
        <v>10</v>
      </c>
      <c r="H45" s="10" t="n">
        <v>3.54</v>
      </c>
      <c r="I45" s="9" t="n">
        <v>36647</v>
      </c>
      <c r="J45" s="3" t="n">
        <v>25333</v>
      </c>
      <c r="K45" s="3"/>
      <c r="L45" s="3"/>
      <c r="M45" s="3"/>
    </row>
    <row r="46" customFormat="false" ht="12.75" hidden="false" customHeight="false" outlineLevel="0" collapsed="false">
      <c r="D46" s="26"/>
      <c r="E46" s="26"/>
      <c r="G46" s="8"/>
      <c r="H46" s="8"/>
      <c r="I46" s="9" t="n">
        <v>36678</v>
      </c>
      <c r="J46" s="3" t="n">
        <v>24216</v>
      </c>
      <c r="K46" s="3"/>
      <c r="L46" s="13"/>
      <c r="M46" s="3"/>
    </row>
    <row r="47" customFormat="false" ht="12.75" hidden="false" customHeight="false" outlineLevel="0" collapsed="false">
      <c r="D47" s="26"/>
      <c r="E47" s="26"/>
      <c r="G47" s="8"/>
      <c r="H47" s="8"/>
      <c r="I47" s="9" t="n">
        <v>36708</v>
      </c>
      <c r="J47" s="3" t="n">
        <v>-7068</v>
      </c>
      <c r="K47" s="3"/>
      <c r="L47" s="3"/>
      <c r="M47" s="3"/>
    </row>
    <row r="48" customFormat="false" ht="12.75" hidden="false" customHeight="false" outlineLevel="0" collapsed="false">
      <c r="C48" s="27"/>
      <c r="D48" s="26"/>
      <c r="E48" s="26"/>
      <c r="G48" s="8"/>
      <c r="H48" s="8" t="s">
        <v>13</v>
      </c>
      <c r="I48" s="8" t="s">
        <v>14</v>
      </c>
      <c r="J48" s="3" t="n">
        <v>289973</v>
      </c>
      <c r="K48" s="3"/>
      <c r="L48" s="3"/>
    </row>
    <row r="49" customFormat="false" ht="12.75" hidden="false" customHeight="false" outlineLevel="0" collapsed="false">
      <c r="D49" s="26"/>
      <c r="E49" s="26"/>
      <c r="G49" s="8"/>
      <c r="H49" s="10"/>
      <c r="I49" s="9" t="n">
        <v>36678</v>
      </c>
      <c r="J49" s="3" t="n">
        <v>24245</v>
      </c>
      <c r="K49" s="3"/>
      <c r="L49" s="3"/>
    </row>
    <row r="50" customFormat="false" ht="12.75" hidden="false" customHeight="false" outlineLevel="0" collapsed="false">
      <c r="D50" s="26"/>
      <c r="E50" s="26"/>
      <c r="G50" s="8"/>
      <c r="H50" s="8"/>
      <c r="I50" s="9" t="n">
        <v>36708</v>
      </c>
      <c r="J50" s="3" t="n">
        <v>-7408</v>
      </c>
      <c r="K50" s="3"/>
      <c r="L50" s="3"/>
    </row>
    <row r="51" customFormat="false" ht="12.75" hidden="false" customHeight="false" outlineLevel="0" collapsed="false">
      <c r="C51" s="13"/>
      <c r="D51" s="26"/>
      <c r="E51" s="26"/>
      <c r="G51" s="8"/>
      <c r="H51" s="8" t="s">
        <v>47</v>
      </c>
      <c r="I51" s="8" t="s">
        <v>14</v>
      </c>
      <c r="J51" s="14" t="n">
        <f aca="false">J48-J46-J47+J49+J50</f>
        <v>289662</v>
      </c>
      <c r="K51" s="13"/>
      <c r="L51" s="3"/>
    </row>
    <row r="52" customFormat="false" ht="12.75" hidden="false" customHeight="false" outlineLevel="0" collapsed="false">
      <c r="A52" s="28"/>
      <c r="G52" s="8"/>
      <c r="H52" s="8"/>
      <c r="I52" s="8" t="s">
        <v>20</v>
      </c>
      <c r="J52" s="14" t="n">
        <f aca="false">J51-J48</f>
        <v>-311</v>
      </c>
      <c r="K52" s="3"/>
      <c r="L52" s="3"/>
    </row>
    <row r="53" customFormat="false" ht="12.75" hidden="false" customHeight="false" outlineLevel="0" collapsed="false">
      <c r="A53" s="28"/>
      <c r="G53" s="8"/>
      <c r="H53" s="8"/>
      <c r="I53" s="11" t="s">
        <v>17</v>
      </c>
      <c r="J53" s="12" t="n">
        <f aca="false">J52*H45</f>
        <v>-1100.94</v>
      </c>
      <c r="K53" s="3"/>
      <c r="L53" s="3"/>
    </row>
    <row r="54" customFormat="false" ht="12.75" hidden="false" customHeight="false" outlineLevel="0" collapsed="false">
      <c r="A54" s="28"/>
      <c r="G54" s="8"/>
      <c r="H54" s="8"/>
      <c r="I54" s="11"/>
      <c r="J54" s="12"/>
      <c r="K54" s="3"/>
    </row>
    <row r="55" customFormat="false" ht="12.75" hidden="false" customHeight="false" outlineLevel="0" collapsed="false">
      <c r="A55" s="28"/>
      <c r="G55" s="8"/>
      <c r="H55" s="8"/>
      <c r="I55" s="11"/>
      <c r="J55" s="12"/>
      <c r="K55" s="3"/>
    </row>
    <row r="56" customFormat="false" ht="12.75" hidden="false" customHeight="false" outlineLevel="0" collapsed="false">
      <c r="A56" s="28"/>
      <c r="G56" s="8"/>
      <c r="H56" s="8"/>
      <c r="J56" s="3"/>
      <c r="K56" s="3"/>
    </row>
    <row r="57" customFormat="false" ht="12.75" hidden="false" customHeight="false" outlineLevel="0" collapsed="false">
      <c r="G57" s="8" t="s">
        <v>21</v>
      </c>
      <c r="H57" s="8" t="s">
        <v>38</v>
      </c>
      <c r="I57" s="9" t="n">
        <v>36617</v>
      </c>
      <c r="J57" s="3" t="n">
        <v>254713</v>
      </c>
      <c r="K57" s="3"/>
    </row>
    <row r="58" customFormat="false" ht="12.75" hidden="false" customHeight="false" outlineLevel="0" collapsed="false">
      <c r="A58" s="28"/>
      <c r="G58" s="8" t="s">
        <v>10</v>
      </c>
      <c r="H58" s="10" t="n">
        <v>4.76</v>
      </c>
      <c r="I58" s="9" t="n">
        <v>36647</v>
      </c>
      <c r="J58" s="3" t="n">
        <v>185014</v>
      </c>
      <c r="K58" s="3"/>
    </row>
    <row r="59" customFormat="false" ht="12.75" hidden="false" customHeight="false" outlineLevel="0" collapsed="false">
      <c r="A59" s="28"/>
      <c r="G59" s="8" t="s">
        <v>23</v>
      </c>
      <c r="H59" s="10"/>
      <c r="I59" s="9" t="n">
        <v>36678</v>
      </c>
      <c r="J59" s="3" t="n">
        <v>195432</v>
      </c>
      <c r="K59" s="3"/>
    </row>
    <row r="60" customFormat="false" ht="12.75" hidden="false" customHeight="false" outlineLevel="0" collapsed="false">
      <c r="A60" s="28"/>
      <c r="G60" s="8"/>
      <c r="H60" s="8"/>
      <c r="I60" s="9" t="n">
        <v>36708</v>
      </c>
      <c r="J60" s="3" t="n">
        <v>144460</v>
      </c>
      <c r="K60" s="3"/>
    </row>
    <row r="61" customFormat="false" ht="12.75" hidden="false" customHeight="false" outlineLevel="0" collapsed="false">
      <c r="A61" s="28"/>
      <c r="G61" s="8"/>
      <c r="H61" s="8" t="s">
        <v>13</v>
      </c>
      <c r="I61" s="8" t="s">
        <v>14</v>
      </c>
      <c r="J61" s="3" t="n">
        <v>779619</v>
      </c>
      <c r="K61" s="3"/>
    </row>
    <row r="62" customFormat="false" ht="12.75" hidden="false" customHeight="false" outlineLevel="0" collapsed="false">
      <c r="A62" s="28"/>
      <c r="G62" s="8"/>
      <c r="I62" s="9" t="n">
        <v>36678</v>
      </c>
      <c r="J62" s="3" t="n">
        <v>193571</v>
      </c>
      <c r="K62" s="3"/>
    </row>
    <row r="63" customFormat="false" ht="12.75" hidden="false" customHeight="false" outlineLevel="0" collapsed="false">
      <c r="I63" s="9" t="n">
        <v>36708</v>
      </c>
      <c r="J63" s="3" t="n">
        <v>138007</v>
      </c>
      <c r="K63" s="3"/>
    </row>
    <row r="64" customFormat="false" ht="12.75" hidden="false" customHeight="false" outlineLevel="0" collapsed="false">
      <c r="H64" s="8" t="s">
        <v>47</v>
      </c>
      <c r="I64" s="8" t="s">
        <v>14</v>
      </c>
      <c r="J64" s="14" t="n">
        <f aca="false">J61-J59-J60+J62+J63</f>
        <v>771305</v>
      </c>
      <c r="K64" s="3"/>
    </row>
    <row r="65" customFormat="false" ht="12.75" hidden="false" customHeight="false" outlineLevel="0" collapsed="false">
      <c r="I65" s="8" t="s">
        <v>20</v>
      </c>
      <c r="J65" s="14" t="n">
        <f aca="false">J64-J61</f>
        <v>-8314</v>
      </c>
      <c r="K65" s="3"/>
    </row>
    <row r="66" customFormat="false" ht="12.75" hidden="false" customHeight="false" outlineLevel="0" collapsed="false">
      <c r="I66" s="11" t="s">
        <v>17</v>
      </c>
      <c r="J66" s="12" t="n">
        <f aca="false">J65*H58</f>
        <v>-39574.64</v>
      </c>
      <c r="K66" s="3"/>
    </row>
    <row r="67" customFormat="false" ht="12.75" hidden="false" customHeight="false" outlineLevel="0" collapsed="false">
      <c r="I67" s="11" t="s">
        <v>16</v>
      </c>
      <c r="J67" s="12" t="n">
        <f aca="false">J63*J73</f>
        <v>-9660.49000000004</v>
      </c>
      <c r="K67" s="3"/>
    </row>
    <row r="68" customFormat="false" ht="12.75" hidden="false" customHeight="false" outlineLevel="0" collapsed="false">
      <c r="I68" s="11"/>
      <c r="J68" s="12"/>
      <c r="K68" s="3"/>
    </row>
    <row r="69" customFormat="false" ht="12.75" hidden="false" customHeight="false" outlineLevel="0" collapsed="false">
      <c r="I69" s="11"/>
      <c r="J69" s="12"/>
      <c r="K69" s="3"/>
    </row>
    <row r="70" customFormat="false" ht="12.75" hidden="false" customHeight="false" outlineLevel="0" collapsed="false">
      <c r="B70" s="28" t="s">
        <v>39</v>
      </c>
      <c r="I70" s="8"/>
      <c r="J70" s="14"/>
      <c r="K70" s="3"/>
    </row>
    <row r="71" customFormat="false" ht="12.75" hidden="false" customHeight="false" outlineLevel="0" collapsed="false">
      <c r="H71" s="29" t="s">
        <v>40</v>
      </c>
      <c r="I71" s="30" t="s">
        <v>41</v>
      </c>
      <c r="J71" s="30" t="s">
        <v>20</v>
      </c>
      <c r="K71" s="3"/>
    </row>
    <row r="72" customFormat="false" ht="12.75" hidden="false" customHeight="false" outlineLevel="0" collapsed="false">
      <c r="G72" s="1" t="s">
        <v>42</v>
      </c>
      <c r="H72" s="10" t="n">
        <v>4.58</v>
      </c>
      <c r="I72" s="10" t="n">
        <v>4.52</v>
      </c>
      <c r="J72" s="10" t="n">
        <f aca="false">I72-H72</f>
        <v>-0.0600000000000005</v>
      </c>
      <c r="K72" s="3"/>
    </row>
    <row r="73" customFormat="false" ht="12.75" hidden="false" customHeight="false" outlineLevel="0" collapsed="false">
      <c r="G73" s="1" t="s">
        <v>43</v>
      </c>
      <c r="H73" s="10" t="n">
        <v>4.42</v>
      </c>
      <c r="I73" s="10" t="n">
        <v>4.35</v>
      </c>
      <c r="J73" s="10" t="n">
        <f aca="false">I73-H73</f>
        <v>-0.0700000000000003</v>
      </c>
      <c r="K73" s="3"/>
    </row>
    <row r="74" customFormat="false" ht="12.75" hidden="false" customHeight="false" outlineLevel="0" collapsed="false">
      <c r="G74" s="1" t="s">
        <v>44</v>
      </c>
      <c r="H74" s="10" t="n">
        <v>4.44</v>
      </c>
      <c r="I74" s="10" t="n">
        <v>4.36</v>
      </c>
      <c r="J74" s="10" t="n">
        <f aca="false">I74-H74</f>
        <v>-0.0800000000000001</v>
      </c>
      <c r="K74" s="3"/>
    </row>
    <row r="75" customFormat="false" ht="12.75" hidden="false" customHeight="false" outlineLevel="0" collapsed="false">
      <c r="G75" s="1" t="s">
        <v>45</v>
      </c>
      <c r="H75" s="10" t="n">
        <v>4.56</v>
      </c>
      <c r="I75" s="10" t="n">
        <v>4.48</v>
      </c>
      <c r="J75" s="10" t="n">
        <f aca="false">I75-H75</f>
        <v>-0.0799999999999992</v>
      </c>
    </row>
    <row r="76" customFormat="false" ht="12.75" hidden="false" customHeight="false" outlineLevel="0" collapsed="false">
      <c r="G76" s="1" t="s">
        <v>46</v>
      </c>
      <c r="H76" s="10" t="n">
        <v>4.5</v>
      </c>
      <c r="I76" s="10" t="n">
        <v>4.43</v>
      </c>
      <c r="J76" s="10" t="n">
        <f aca="false">I76-H76</f>
        <v>-0.0700000000000003</v>
      </c>
    </row>
    <row r="80" customFormat="false" ht="12.75" hidden="false" customHeight="false" outlineLevel="0" collapsed="false">
      <c r="H80" s="12"/>
      <c r="I80" s="12"/>
    </row>
  </sheetData>
  <mergeCells count="2">
    <mergeCell ref="A1:D1"/>
    <mergeCell ref="G1:J1"/>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5:H42"/>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I15" activeCellId="0" sqref="I15"/>
    </sheetView>
  </sheetViews>
  <sheetFormatPr defaultColWidth="9.0546875" defaultRowHeight="12.75" customHeight="true" zeroHeight="false" outlineLevelRow="0" outlineLevelCol="0"/>
  <sheetData>
    <row r="15" customFormat="false" ht="12.75" hidden="false" customHeight="false" outlineLevel="0" collapsed="false">
      <c r="F15" s="0" t="s">
        <v>53</v>
      </c>
      <c r="G15" s="0" t="s">
        <v>54</v>
      </c>
    </row>
    <row r="16" customFormat="false" ht="12.75" hidden="false" customHeight="false" outlineLevel="0" collapsed="false">
      <c r="C16" s="0" t="s">
        <v>55</v>
      </c>
      <c r="E16" s="0" t="s">
        <v>56</v>
      </c>
      <c r="F16" s="0" t="n">
        <v>2</v>
      </c>
      <c r="G16" s="0" t="n">
        <v>1000</v>
      </c>
    </row>
    <row r="17" customFormat="false" ht="12.75" hidden="false" customHeight="false" outlineLevel="0" collapsed="false">
      <c r="E17" s="0" t="s">
        <v>57</v>
      </c>
      <c r="F17" s="0" t="n">
        <v>2.2</v>
      </c>
      <c r="G17" s="0" t="n">
        <v>900</v>
      </c>
    </row>
    <row r="18" customFormat="false" ht="12.75" hidden="false" customHeight="false" outlineLevel="0" collapsed="false">
      <c r="E18" s="0" t="s">
        <v>58</v>
      </c>
      <c r="F18" s="0" t="n">
        <v>2.35</v>
      </c>
      <c r="G18" s="0" t="n">
        <v>950</v>
      </c>
    </row>
    <row r="19" customFormat="false" ht="12.75" hidden="false" customHeight="false" outlineLevel="0" collapsed="false">
      <c r="E19" s="31" t="s">
        <v>59</v>
      </c>
      <c r="F19" s="31" t="n">
        <v>2.4</v>
      </c>
      <c r="G19" s="31" t="n">
        <v>1050</v>
      </c>
    </row>
    <row r="20" customFormat="false" ht="12.75" hidden="false" customHeight="false" outlineLevel="0" collapsed="false">
      <c r="E20" s="0" t="n">
        <f aca="false">SUMPRODUCT(F16:F19,G16:G19)</f>
        <v>8732.5</v>
      </c>
      <c r="F20" s="0" t="n">
        <f aca="false">E20/G20</f>
        <v>2.23910256410256</v>
      </c>
      <c r="G20" s="0" t="n">
        <f aca="false">SUM(G16:G19)</f>
        <v>3900</v>
      </c>
    </row>
    <row r="24" customFormat="false" ht="12.75" hidden="false" customHeight="false" outlineLevel="0" collapsed="false">
      <c r="C24" s="0" t="s">
        <v>60</v>
      </c>
      <c r="E24" s="0" t="s">
        <v>56</v>
      </c>
      <c r="F24" s="0" t="n">
        <v>2</v>
      </c>
      <c r="G24" s="0" t="n">
        <v>1000</v>
      </c>
    </row>
    <row r="25" customFormat="false" ht="12.75" hidden="false" customHeight="false" outlineLevel="0" collapsed="false">
      <c r="E25" s="0" t="s">
        <v>57</v>
      </c>
      <c r="F25" s="0" t="n">
        <v>2.2</v>
      </c>
      <c r="G25" s="0" t="n">
        <v>900</v>
      </c>
    </row>
    <row r="26" customFormat="false" ht="12.75" hidden="false" customHeight="false" outlineLevel="0" collapsed="false">
      <c r="E26" s="0" t="s">
        <v>58</v>
      </c>
      <c r="F26" s="0" t="n">
        <v>2.35</v>
      </c>
      <c r="G26" s="0" t="n">
        <v>950</v>
      </c>
    </row>
    <row r="27" customFormat="false" ht="12.75" hidden="false" customHeight="false" outlineLevel="0" collapsed="false">
      <c r="E27" s="31" t="s">
        <v>59</v>
      </c>
      <c r="F27" s="31" t="n">
        <v>2.3</v>
      </c>
      <c r="G27" s="31" t="n">
        <v>1060</v>
      </c>
    </row>
    <row r="28" customFormat="false" ht="12.75" hidden="false" customHeight="false" outlineLevel="0" collapsed="false">
      <c r="E28" s="0" t="n">
        <f aca="false">SUMPRODUCT(F24:F27,G24:G27)</f>
        <v>8650.5</v>
      </c>
      <c r="F28" s="0" t="n">
        <f aca="false">E28/G28</f>
        <v>2.21240409207161</v>
      </c>
      <c r="G28" s="0" t="n">
        <f aca="false">SUM(G24:G27)</f>
        <v>3910</v>
      </c>
    </row>
    <row r="30" customFormat="false" ht="12.75" hidden="false" customHeight="false" outlineLevel="0" collapsed="false">
      <c r="E30" s="0" t="n">
        <f aca="false">E28-E20</f>
        <v>-82</v>
      </c>
      <c r="G30" s="0" t="n">
        <f aca="false">10*F20</f>
        <v>22.3910256410256</v>
      </c>
    </row>
    <row r="31" customFormat="false" ht="12.75" hidden="false" customHeight="false" outlineLevel="0" collapsed="false">
      <c r="G31" s="0" t="n">
        <f aca="false">G27*-0.1</f>
        <v>-106</v>
      </c>
    </row>
    <row r="32" customFormat="false" ht="12.75" hidden="false" customHeight="false" outlineLevel="0" collapsed="false">
      <c r="G32" s="0" t="n">
        <f aca="false">G31+G30</f>
        <v>-83.6089743589744</v>
      </c>
      <c r="H32" s="35" t="n">
        <f aca="false">E20+G32</f>
        <v>8648.89102564103</v>
      </c>
    </row>
    <row r="34" customFormat="false" ht="12.75" hidden="false" customHeight="false" outlineLevel="0" collapsed="false">
      <c r="C34" s="0" t="s">
        <v>61</v>
      </c>
      <c r="E34" s="0" t="s">
        <v>56</v>
      </c>
      <c r="F34" s="0" t="n">
        <v>2</v>
      </c>
      <c r="G34" s="0" t="n">
        <v>1000</v>
      </c>
    </row>
    <row r="35" customFormat="false" ht="12.75" hidden="false" customHeight="false" outlineLevel="0" collapsed="false">
      <c r="E35" s="0" t="s">
        <v>57</v>
      </c>
      <c r="F35" s="0" t="n">
        <v>2.2</v>
      </c>
      <c r="G35" s="0" t="n">
        <v>900</v>
      </c>
    </row>
    <row r="36" customFormat="false" ht="12.75" hidden="false" customHeight="false" outlineLevel="0" collapsed="false">
      <c r="E36" s="0" t="s">
        <v>58</v>
      </c>
      <c r="F36" s="0" t="n">
        <v>2.35</v>
      </c>
      <c r="G36" s="0" t="n">
        <v>950</v>
      </c>
    </row>
    <row r="37" customFormat="false" ht="12.75" hidden="false" customHeight="false" outlineLevel="0" collapsed="false">
      <c r="E37" s="31" t="s">
        <v>59</v>
      </c>
      <c r="F37" s="31" t="n">
        <v>2.3</v>
      </c>
      <c r="G37" s="31" t="n">
        <v>1070</v>
      </c>
    </row>
    <row r="38" customFormat="false" ht="12.75" hidden="false" customHeight="false" outlineLevel="0" collapsed="false">
      <c r="E38" s="0" t="n">
        <f aca="false">SUMPRODUCT(F34:F37,G34:G37)</f>
        <v>8673.5</v>
      </c>
      <c r="F38" s="0" t="n">
        <f aca="false">E38/G38</f>
        <v>2.21262755102041</v>
      </c>
      <c r="G38" s="0" t="n">
        <f aca="false">SUM(G34:G37)</f>
        <v>3920</v>
      </c>
    </row>
    <row r="40" customFormat="false" ht="12.75" hidden="false" customHeight="false" outlineLevel="0" collapsed="false">
      <c r="E40" s="35" t="n">
        <f aca="false">E38-E28</f>
        <v>23</v>
      </c>
      <c r="G40" s="0" t="n">
        <f aca="false">10*F20</f>
        <v>22.3910256410256</v>
      </c>
    </row>
    <row r="41" customFormat="false" ht="12.75" hidden="false" customHeight="false" outlineLevel="0" collapsed="false">
      <c r="G41" s="0" t="n">
        <f aca="false">10*-0.1</f>
        <v>-1</v>
      </c>
    </row>
    <row r="42" customFormat="false" ht="12.75" hidden="false" customHeight="false" outlineLevel="0" collapsed="false">
      <c r="G42" s="0" t="n">
        <f aca="false">G40+G41</f>
        <v>21.3910256410256</v>
      </c>
      <c r="H42" s="35" t="n">
        <f aca="false">H32+G42</f>
        <v>8670.28205128205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23" activeCellId="0" sqref="H23"/>
    </sheetView>
  </sheetViews>
  <sheetFormatPr defaultColWidth="9.0546875" defaultRowHeight="12.75" customHeight="true" zeroHeight="false" outlineLevelRow="0" outlineLevelCol="0"/>
  <cols>
    <col collapsed="false" customWidth="true" hidden="false" outlineLevel="0" max="1" min="1" style="0" width="7.42"/>
    <col collapsed="false" customWidth="true" hidden="false" outlineLevel="0" max="2" min="2" style="0" width="11.7"/>
    <col collapsed="false" customWidth="true" hidden="false" outlineLevel="0" max="3" min="3" style="0" width="13.7"/>
    <col collapsed="false" customWidth="true" hidden="false" outlineLevel="0" max="4" min="4" style="0" width="10.13"/>
    <col collapsed="false" customWidth="true" hidden="false" outlineLevel="0" max="5" min="5" style="0" width="10.71"/>
    <col collapsed="false" customWidth="true" hidden="false" outlineLevel="0" max="6" min="6" style="0" width="2.7"/>
    <col collapsed="false" customWidth="true" hidden="false" outlineLevel="0" max="7" min="7" style="0" width="12.28"/>
    <col collapsed="false" customWidth="true" hidden="false" outlineLevel="0" max="8" min="8" style="0" width="9.7"/>
    <col collapsed="false" customWidth="true" hidden="false" outlineLevel="0" max="9" min="9" style="0" width="10.28"/>
    <col collapsed="false" customWidth="true" hidden="false" outlineLevel="0" max="10" min="10" style="0" width="2.56"/>
    <col collapsed="false" customWidth="true" hidden="false" outlineLevel="0" max="11" min="11" style="0" width="13.14"/>
    <col collapsed="false" customWidth="true" hidden="false" outlineLevel="0" max="12" min="12" style="0" width="11.42"/>
    <col collapsed="false" customWidth="true" hidden="false" outlineLevel="0" max="14" min="14" style="0" width="2.42"/>
    <col collapsed="false" customWidth="true" hidden="false" outlineLevel="0" max="15" min="15" style="0" width="11.42"/>
  </cols>
  <sheetData>
    <row r="1" customFormat="false" ht="15.75" hidden="false" customHeight="false" outlineLevel="0" collapsed="false">
      <c r="B1" s="36" t="s">
        <v>62</v>
      </c>
      <c r="C1" s="36"/>
    </row>
    <row r="3" customFormat="false" ht="12.75" hidden="false" customHeight="false" outlineLevel="0" collapsed="false">
      <c r="B3" s="37" t="s">
        <v>63</v>
      </c>
    </row>
    <row r="4" customFormat="false" ht="16.5" hidden="false" customHeight="false" outlineLevel="0" collapsed="false">
      <c r="C4" s="38" t="s">
        <v>64</v>
      </c>
      <c r="D4" s="38"/>
      <c r="E4" s="38"/>
      <c r="G4" s="38" t="s">
        <v>65</v>
      </c>
      <c r="H4" s="38"/>
      <c r="I4" s="38"/>
      <c r="K4" s="38" t="s">
        <v>66</v>
      </c>
      <c r="L4" s="38"/>
      <c r="M4" s="38"/>
      <c r="O4" s="38" t="s">
        <v>67</v>
      </c>
      <c r="P4" s="38"/>
      <c r="Q4" s="38"/>
    </row>
    <row r="5" customFormat="false" ht="12.75" hidden="false" customHeight="false" outlineLevel="0" collapsed="false">
      <c r="C5" s="11" t="s">
        <v>68</v>
      </c>
      <c r="D5" s="11"/>
      <c r="E5" s="11"/>
      <c r="G5" s="11"/>
      <c r="H5" s="11"/>
      <c r="I5" s="11"/>
    </row>
    <row r="6" customFormat="false" ht="12.75" hidden="false" customHeight="false" outlineLevel="0" collapsed="false">
      <c r="B6" s="39" t="s">
        <v>69</v>
      </c>
      <c r="C6" s="40" t="s">
        <v>70</v>
      </c>
      <c r="D6" s="39" t="s">
        <v>71</v>
      </c>
      <c r="E6" s="39" t="s">
        <v>72</v>
      </c>
      <c r="G6" s="40" t="s">
        <v>70</v>
      </c>
      <c r="H6" s="39" t="s">
        <v>73</v>
      </c>
      <c r="I6" s="39" t="s">
        <v>71</v>
      </c>
      <c r="K6" s="40" t="s">
        <v>70</v>
      </c>
      <c r="L6" s="39" t="s">
        <v>73</v>
      </c>
      <c r="M6" s="39" t="s">
        <v>71</v>
      </c>
      <c r="O6" s="40" t="s">
        <v>70</v>
      </c>
      <c r="P6" s="39" t="s">
        <v>73</v>
      </c>
      <c r="Q6" s="39" t="s">
        <v>71</v>
      </c>
    </row>
    <row r="7" customFormat="false" ht="12.75" hidden="false" customHeight="false" outlineLevel="0" collapsed="false">
      <c r="B7" s="41" t="s">
        <v>74</v>
      </c>
      <c r="C7" s="42" t="n">
        <v>170981</v>
      </c>
      <c r="D7" s="43" t="s">
        <v>75</v>
      </c>
      <c r="E7" s="43" t="s">
        <v>75</v>
      </c>
      <c r="F7" s="44"/>
      <c r="G7" s="42" t="n">
        <v>981</v>
      </c>
      <c r="H7" s="43" t="s">
        <v>75</v>
      </c>
      <c r="I7" s="43" t="s">
        <v>75</v>
      </c>
      <c r="J7" s="44"/>
      <c r="K7" s="42" t="n">
        <v>53989</v>
      </c>
      <c r="L7" s="43" t="s">
        <v>75</v>
      </c>
      <c r="M7" s="43" t="s">
        <v>75</v>
      </c>
      <c r="N7" s="44"/>
      <c r="O7" s="42" t="n">
        <v>291</v>
      </c>
      <c r="P7" s="43" t="s">
        <v>75</v>
      </c>
      <c r="Q7" s="43" t="s">
        <v>75</v>
      </c>
    </row>
    <row r="8" customFormat="false" ht="18.75" hidden="false" customHeight="true" outlineLevel="0" collapsed="false">
      <c r="A8" s="45" t="s">
        <v>76</v>
      </c>
      <c r="B8" s="46" t="n">
        <v>36617</v>
      </c>
      <c r="C8" s="8" t="s">
        <v>8</v>
      </c>
      <c r="D8" s="8" t="s">
        <v>8</v>
      </c>
      <c r="E8" s="8" t="s">
        <v>8</v>
      </c>
      <c r="G8" s="8" t="s">
        <v>8</v>
      </c>
      <c r="H8" s="8" t="s">
        <v>8</v>
      </c>
      <c r="I8" s="8" t="s">
        <v>8</v>
      </c>
      <c r="K8" s="0" t="s">
        <v>77</v>
      </c>
      <c r="O8" s="8" t="s">
        <v>8</v>
      </c>
      <c r="P8" s="8" t="s">
        <v>8</v>
      </c>
      <c r="Q8" s="8" t="s">
        <v>8</v>
      </c>
    </row>
    <row r="9" customFormat="false" ht="12.75" hidden="false" customHeight="false" outlineLevel="0" collapsed="false">
      <c r="A9" s="45"/>
      <c r="B9" s="46" t="n">
        <v>36647</v>
      </c>
      <c r="C9" s="47" t="n">
        <v>1088289</v>
      </c>
      <c r="D9" s="0" t="s">
        <v>78</v>
      </c>
      <c r="E9" s="8" t="n">
        <v>4</v>
      </c>
      <c r="G9" s="47" t="n">
        <v>145584</v>
      </c>
      <c r="H9" s="0" t="s">
        <v>79</v>
      </c>
      <c r="I9" s="8" t="s">
        <v>78</v>
      </c>
      <c r="K9" s="47" t="n">
        <v>65503</v>
      </c>
      <c r="L9" s="0" t="s">
        <v>80</v>
      </c>
      <c r="M9" s="8" t="s">
        <v>78</v>
      </c>
      <c r="O9" s="47" t="n">
        <v>3968</v>
      </c>
      <c r="P9" s="0" t="s">
        <v>80</v>
      </c>
      <c r="Q9" s="8" t="s">
        <v>78</v>
      </c>
    </row>
    <row r="10" customFormat="false" ht="12.75" hidden="false" customHeight="false" outlineLevel="0" collapsed="false">
      <c r="A10" s="45"/>
      <c r="B10" s="46" t="n">
        <v>36678</v>
      </c>
      <c r="C10" s="48" t="n">
        <v>497015</v>
      </c>
      <c r="D10" s="0" t="s">
        <v>81</v>
      </c>
      <c r="E10" s="8" t="n">
        <v>4</v>
      </c>
      <c r="G10" s="47" t="n">
        <v>146258</v>
      </c>
      <c r="H10" s="0" t="s">
        <v>82</v>
      </c>
      <c r="I10" s="8" t="s">
        <v>81</v>
      </c>
      <c r="K10" s="47" t="n">
        <v>63840</v>
      </c>
      <c r="L10" s="0" t="s">
        <v>83</v>
      </c>
      <c r="M10" s="8" t="s">
        <v>81</v>
      </c>
      <c r="O10" s="47" t="n">
        <v>3810</v>
      </c>
      <c r="P10" s="0" t="s">
        <v>83</v>
      </c>
      <c r="Q10" s="8" t="s">
        <v>81</v>
      </c>
    </row>
    <row r="11" customFormat="false" ht="12.75" hidden="false" customHeight="false" outlineLevel="0" collapsed="false">
      <c r="A11" s="45"/>
      <c r="B11" s="46" t="n">
        <v>36708</v>
      </c>
      <c r="C11" s="47" t="n">
        <v>1089123</v>
      </c>
      <c r="D11" s="0" t="s">
        <v>84</v>
      </c>
      <c r="E11" s="8" t="n">
        <v>4</v>
      </c>
      <c r="G11" s="47" t="n">
        <v>135032</v>
      </c>
      <c r="H11" s="0" t="s">
        <v>85</v>
      </c>
      <c r="I11" s="8" t="s">
        <v>84</v>
      </c>
      <c r="K11" s="47" t="n">
        <v>53568</v>
      </c>
      <c r="L11" s="0" t="s">
        <v>86</v>
      </c>
      <c r="M11" s="8" t="s">
        <v>84</v>
      </c>
      <c r="O11" s="47" t="n">
        <v>2666</v>
      </c>
      <c r="P11" s="0" t="s">
        <v>86</v>
      </c>
      <c r="Q11" s="8" t="s">
        <v>84</v>
      </c>
    </row>
    <row r="13" customFormat="false" ht="12.75" hidden="false" customHeight="false" outlineLevel="0" collapsed="false">
      <c r="B13" s="0" t="s">
        <v>87</v>
      </c>
    </row>
    <row r="15" customFormat="false" ht="12.75" hidden="false" customHeight="false" outlineLevel="0" collapsed="false">
      <c r="C15" s="49" t="s">
        <v>88</v>
      </c>
    </row>
    <row r="18" customFormat="false" ht="12.75" hidden="false" customHeight="false" outlineLevel="0" collapsed="false">
      <c r="B18" s="37" t="s">
        <v>89</v>
      </c>
    </row>
    <row r="19" customFormat="false" ht="16.5" hidden="false" customHeight="false" outlineLevel="0" collapsed="false">
      <c r="C19" s="38" t="s">
        <v>64</v>
      </c>
      <c r="D19" s="38"/>
      <c r="E19" s="38"/>
      <c r="G19" s="38" t="s">
        <v>65</v>
      </c>
      <c r="H19" s="38"/>
      <c r="I19" s="38"/>
      <c r="K19" s="38" t="s">
        <v>66</v>
      </c>
      <c r="L19" s="38"/>
      <c r="M19" s="38"/>
      <c r="O19" s="38" t="s">
        <v>67</v>
      </c>
      <c r="P19" s="38"/>
      <c r="Q19" s="38"/>
    </row>
    <row r="20" customFormat="false" ht="12.75" hidden="false" customHeight="false" outlineLevel="0" collapsed="false">
      <c r="C20" s="11"/>
      <c r="D20" s="11"/>
      <c r="E20" s="11"/>
      <c r="G20" s="11"/>
      <c r="H20" s="11"/>
      <c r="I20" s="11"/>
    </row>
    <row r="21" customFormat="false" ht="12.75" hidden="false" customHeight="false" outlineLevel="0" collapsed="false">
      <c r="B21" s="39" t="s">
        <v>69</v>
      </c>
      <c r="C21" s="40" t="s">
        <v>70</v>
      </c>
      <c r="D21" s="39" t="s">
        <v>71</v>
      </c>
      <c r="E21" s="39" t="s">
        <v>72</v>
      </c>
      <c r="G21" s="40" t="s">
        <v>90</v>
      </c>
      <c r="H21" s="39" t="s">
        <v>91</v>
      </c>
      <c r="I21" s="39"/>
      <c r="K21" s="40" t="s">
        <v>70</v>
      </c>
      <c r="L21" s="39" t="s">
        <v>73</v>
      </c>
      <c r="M21" s="39" t="s">
        <v>71</v>
      </c>
      <c r="O21" s="40" t="s">
        <v>70</v>
      </c>
      <c r="P21" s="39" t="s">
        <v>73</v>
      </c>
      <c r="Q21" s="39" t="s">
        <v>71</v>
      </c>
    </row>
    <row r="22" customFormat="false" ht="12.75" hidden="false" customHeight="false" outlineLevel="0" collapsed="false">
      <c r="B22" s="41" t="s">
        <v>74</v>
      </c>
      <c r="C22" s="42" t="n">
        <v>170981</v>
      </c>
      <c r="D22" s="43" t="s">
        <v>75</v>
      </c>
      <c r="E22" s="43" t="s">
        <v>75</v>
      </c>
      <c r="F22" s="44"/>
      <c r="G22" s="42" t="n">
        <v>981</v>
      </c>
      <c r="H22" s="43" t="n">
        <v>981</v>
      </c>
      <c r="I22" s="43" t="s">
        <v>75</v>
      </c>
      <c r="J22" s="44"/>
      <c r="K22" s="42" t="n">
        <f aca="false">53989-K23</f>
        <v>64408</v>
      </c>
      <c r="L22" s="43" t="s">
        <v>75</v>
      </c>
      <c r="M22" s="43" t="s">
        <v>75</v>
      </c>
      <c r="N22" s="44"/>
      <c r="O22" s="42" t="n">
        <v>291</v>
      </c>
      <c r="P22" s="43" t="s">
        <v>75</v>
      </c>
      <c r="Q22" s="43" t="s">
        <v>75</v>
      </c>
    </row>
    <row r="23" customFormat="false" ht="12.75" hidden="false" customHeight="false" outlineLevel="0" collapsed="false">
      <c r="B23" s="46" t="n">
        <v>36617</v>
      </c>
      <c r="C23" s="0" t="n">
        <f aca="false">20252*30</f>
        <v>607560</v>
      </c>
      <c r="G23" s="0" t="n">
        <v>127500</v>
      </c>
      <c r="H23" s="3" t="n">
        <f aca="false">G23*(1-0.0075)</f>
        <v>126543.75</v>
      </c>
      <c r="K23" s="0" t="n">
        <v>-10419</v>
      </c>
      <c r="O23" s="0" t="n">
        <f aca="false">27*30</f>
        <v>810</v>
      </c>
    </row>
    <row r="24" customFormat="false" ht="12.75" hidden="false" customHeight="false" outlineLevel="0" collapsed="false">
      <c r="B24" s="46" t="n">
        <v>36647</v>
      </c>
      <c r="C24" s="0" t="n">
        <f aca="false">35133*31</f>
        <v>1089123</v>
      </c>
      <c r="G24" s="0" t="n">
        <v>144491</v>
      </c>
      <c r="H24" s="3" t="n">
        <f aca="false">G24*(1-0.0075)</f>
        <v>143407.3175</v>
      </c>
      <c r="K24" s="0" t="n">
        <f aca="false">2113*31</f>
        <v>65503</v>
      </c>
      <c r="O24" s="0" t="n">
        <f aca="false">128*31</f>
        <v>3968</v>
      </c>
    </row>
    <row r="25" customFormat="false" ht="12.75" hidden="false" customHeight="false" outlineLevel="0" collapsed="false">
      <c r="B25" s="46" t="n">
        <v>36678</v>
      </c>
      <c r="C25" s="0" t="n">
        <f aca="false">36304*30</f>
        <v>1089120</v>
      </c>
      <c r="G25" s="0" t="n">
        <v>144030</v>
      </c>
      <c r="H25" s="3" t="n">
        <f aca="false">G25*(1-0.0075)</f>
        <v>142949.775</v>
      </c>
      <c r="K25" s="0" t="n">
        <v>62871</v>
      </c>
      <c r="O25" s="0" t="n">
        <f aca="false">127*30</f>
        <v>3810</v>
      </c>
    </row>
    <row r="26" customFormat="false" ht="12.75" hidden="false" customHeight="false" outlineLevel="0" collapsed="false">
      <c r="B26" s="46" t="n">
        <v>36708</v>
      </c>
      <c r="C26" s="0" t="n">
        <f aca="false">35133*31</f>
        <v>1089123</v>
      </c>
      <c r="G26" s="0" t="n">
        <f aca="false">4052*31</f>
        <v>125612</v>
      </c>
      <c r="H26" s="3" t="n">
        <f aca="false">G26*(1-0.0076)</f>
        <v>124657.3488</v>
      </c>
      <c r="K26" s="0" t="n">
        <f aca="false">1700*31</f>
        <v>52700</v>
      </c>
      <c r="O26" s="0" t="n">
        <f aca="false">86*31</f>
        <v>2666</v>
      </c>
    </row>
    <row r="27" customFormat="false" ht="12.75" hidden="false" customHeight="false" outlineLevel="0" collapsed="false">
      <c r="B27" s="0" t="s">
        <v>92</v>
      </c>
      <c r="C27" s="27" t="n">
        <f aca="false">SUM(C22:C26)</f>
        <v>4045907</v>
      </c>
      <c r="G27" s="27" t="n">
        <f aca="false">SUM(G22:G26)</f>
        <v>542614</v>
      </c>
      <c r="H27" s="27" t="n">
        <f aca="false">SUM(H22:H26)</f>
        <v>538539.1913</v>
      </c>
      <c r="K27" s="27" t="n">
        <f aca="false">SUM(K22:K26)</f>
        <v>235063</v>
      </c>
      <c r="O27" s="27" t="n">
        <f aca="false">SUM(O22:O26)</f>
        <v>11545</v>
      </c>
    </row>
  </sheetData>
  <mergeCells count="13">
    <mergeCell ref="C4:E4"/>
    <mergeCell ref="G4:I4"/>
    <mergeCell ref="K4:M4"/>
    <mergeCell ref="O4:Q4"/>
    <mergeCell ref="C5:E5"/>
    <mergeCell ref="G5:I5"/>
    <mergeCell ref="A8:A11"/>
    <mergeCell ref="C19:E19"/>
    <mergeCell ref="G19:I19"/>
    <mergeCell ref="K19:M19"/>
    <mergeCell ref="O19:Q19"/>
    <mergeCell ref="C20:E20"/>
    <mergeCell ref="G20:I2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2000-06-28T19:28:49Z</dcterms:created>
  <dc:creator>Jeffrey P. Porter</dc:creator>
  <dc:description/>
  <dc:language>en-US</dc:language>
  <cp:lastModifiedBy>Doug Kinney</cp:lastModifiedBy>
  <cp:lastPrinted>2000-08-23T10:07:44Z</cp:lastPrinted>
  <cp:revision>0</cp:revision>
  <dc:subject/>
  <dc:title/>
</cp:coreProperties>
</file>