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6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C" sheetId="1" state="visible" r:id="rId3"/>
    <sheet name="Assumpt" sheetId="2" state="visible" r:id="rId4"/>
    <sheet name="CF" sheetId="3" state="visible" r:id="rId5"/>
    <sheet name="Ret" sheetId="4" state="visible" r:id="rId6"/>
    <sheet name="Debt" sheetId="5" state="visible" r:id="rId7"/>
    <sheet name="IDC" sheetId="6" state="visible" r:id="rId8"/>
    <sheet name="Depn&amp;Tax" sheetId="7" state="visible" r:id="rId9"/>
    <sheet name="BS" sheetId="8" state="visible" r:id="rId10"/>
    <sheet name="Sensit1" sheetId="9" state="visible" r:id="rId11"/>
    <sheet name="M1" sheetId="10" state="hidden" r:id="rId12"/>
  </sheets>
  <definedNames>
    <definedName function="false" hidden="false" localSheetId="1" name="_xlnm.Print_Area" vbProcedure="false">Assumpt!$A$1:$S$56</definedName>
    <definedName function="false" hidden="false" localSheetId="7" name="_xlnm.Print_Area" vbProcedure="false">BS!$A$1:$AF$95</definedName>
    <definedName function="false" hidden="false" localSheetId="2" name="_xlnm.Print_Area" vbProcedure="false">CF!$A$1:$AG$83</definedName>
    <definedName function="false" hidden="false" localSheetId="4" name="_xlnm.Print_Area" vbProcedure="false">Debt!$A$1:$AF$54</definedName>
    <definedName function="false" hidden="false" localSheetId="6" name="_xlnm.Print_Area" vbProcedure="false">'Depn&amp;Tax'!$A$1:$AF$81</definedName>
    <definedName function="false" hidden="false" localSheetId="5" name="_xlnm.Print_Area" vbProcedure="false">IDC!$A$1:$AM$71</definedName>
    <definedName function="false" hidden="false" localSheetId="5" name="_xlnm.Print_Titles" vbProcedure="false">IDC!$A:$B</definedName>
    <definedName function="false" hidden="false" localSheetId="3" name="_xlnm.Print_Area" vbProcedure="false">Ret!$C$1:$AI$83</definedName>
    <definedName function="false" hidden="false" localSheetId="3" name="_xlnm.Print_Titles" vbProcedure="false">Ret!$A:$B</definedName>
    <definedName function="false" hidden="false" localSheetId="0" name="_xlnm.Print_Area" vbProcedure="false">TOC!$A$1:$M$23</definedName>
    <definedName function="false" hidden="false" name="annvol" vbProcedure="false">Assumpt!$E$9</definedName>
    <definedName function="false" hidden="false" name="assumptions" vbProcedure="false">Assumpt!$A$1:$S$47</definedName>
    <definedName function="false" hidden="false" name="bal" vbProcedure="false">BS!$D$1:$AE$95</definedName>
    <definedName function="false" hidden="false" name="Burtosis" vbProcedure="false">Assumpt!$AC$14</definedName>
    <definedName function="false" hidden="false" name="Calctable" vbProcedure="false">Assumpt!$W$3</definedName>
    <definedName function="false" hidden="false" name="cash" vbProcedure="false">CF!$E$1:$AF$65</definedName>
    <definedName function="false" hidden="false" name="cash2" vbProcedure="false">CF!$E$5:$AE$65</definedName>
    <definedName function="false" hidden="false" name="cfee1" vbProcedure="false">Assumpt!$L$43</definedName>
    <definedName function="false" hidden="false" name="cfee2" vbProcedure="false">Assumpt!$L$52</definedName>
    <definedName function="false" hidden="false" name="cfee3" vbProcedure="false">Assumpt!$L$61</definedName>
    <definedName function="false" hidden="false" name="cni" vbProcedure="false">BS!$A$47:$Z$95</definedName>
    <definedName function="false" hidden="false" name="codate" vbProcedure="false">Assumpt!$E$17</definedName>
    <definedName function="false" hidden="false" name="constmonths" vbProcedure="false">Assumpt!$D$17</definedName>
    <definedName function="false" hidden="false" name="cpi" vbProcedure="false">Assumpt!$C$34</definedName>
    <definedName function="false" hidden="false" name="debt" vbProcedure="false">Debt!$E$1:$AF$53</definedName>
    <definedName function="false" hidden="false" name="debtamt" vbProcedure="false">Assumpt!$Q$6</definedName>
    <definedName function="false" hidden="false" name="DR" vbProcedure="false">Assumpt!$C$27</definedName>
    <definedName function="false" hidden="false" name="drawtrigger" vbProcedure="false">Assumpt!$J$23</definedName>
    <definedName function="false" hidden="false" name="drpmt2" vbProcedure="false">Debt!$E$51:$AE$53</definedName>
    <definedName function="false" hidden="false" name="endterm" vbProcedure="false">Assumpt!$E$18</definedName>
    <definedName function="false" hidden="false" name="eqamt" vbProcedure="false">Assumpt!$Q$7</definedName>
    <definedName function="false" hidden="false" name="eqstruc" vbProcedure="false">Assumpt!$S$83</definedName>
    <definedName function="false" hidden="false" name="estcost" vbProcedure="false">Assumpt!$Y$7</definedName>
    <definedName function="false" hidden="false" name="estdebt" vbProcedure="false">Assumpt!$Y$10</definedName>
    <definedName function="false" hidden="false" name="estidc" vbProcedure="false">Assumpt!$Y$6</definedName>
    <definedName function="false" hidden="false" name="fixtariff2003" vbProcedure="false">Assumpt!$D$23</definedName>
    <definedName function="false" hidden="false" name="idc" vbProcedure="false">IDC!$C$1:$AM$70</definedName>
    <definedName function="false" hidden="false" name="idctable" vbProcedure="false">IDC!$A$6:$AM$48</definedName>
    <definedName function="false" hidden="false" name="partner" vbProcedure="false">#REF!</definedName>
    <definedName function="false" hidden="false" name="PDMO" vbProcedure="false">#REF!</definedName>
    <definedName function="false" hidden="false" name="pdmon" vbProcedure="false">Assumpt!$E$49</definedName>
    <definedName function="false" hidden="false" name="returns" vbProcedure="false">Ret!$C$1:$AF$83</definedName>
    <definedName function="false" hidden="false" name="serv" vbProcedure="false">Assumpt!$E$50</definedName>
    <definedName function="false" hidden="false" name="startconst" vbProcedure="false">Assumpt!$E$16</definedName>
    <definedName function="false" hidden="false" name="table2" vbProcedure="false">Ret!$H$10:$AK$12</definedName>
    <definedName function="false" hidden="false" name="tax" vbProcedure="false">'Depn&amp;Tax'!$E$1:$AE$54</definedName>
    <definedName function="false" hidden="false" name="termyrs" vbProcedure="false">Assumpt!$D$18</definedName>
    <definedName function="false" hidden="false" name="tranche1amort" vbProcedure="false">Assumpt!$L$39</definedName>
    <definedName function="false" hidden="false" name="tranche1amt" vbProcedure="false">Assumpt!$G$41</definedName>
    <definedName function="false" hidden="false" name="tranche1cost" vbProcedure="false">Assumpt!$L$44</definedName>
    <definedName function="false" hidden="false" name="tranche1grace" vbProcedure="false">Assumpt!$L$37</definedName>
    <definedName function="false" hidden="false" name="tranche1reppd" vbProcedure="false">Assumpt!$L$38</definedName>
    <definedName function="false" hidden="false" name="tranche1term" vbProcedure="false">Assumpt!$G$44</definedName>
    <definedName function="false" hidden="false" name="tranche2amort" vbProcedure="false">Assumpt!$L$48</definedName>
    <definedName function="false" hidden="false" name="tranche2amt" vbProcedure="false">Assumpt!$G$50</definedName>
    <definedName function="false" hidden="false" name="tranche2cost" vbProcedure="false">Assumpt!$L$53</definedName>
    <definedName function="false" hidden="false" name="tranche2grace" vbProcedure="false">Assumpt!$L$46</definedName>
    <definedName function="false" hidden="false" name="tranche2reppd" vbProcedure="false">Assumpt!$L$47</definedName>
    <definedName function="false" hidden="false" name="tranche2term" vbProcedure="false">Assumpt!$G$53</definedName>
    <definedName function="false" hidden="false" name="tranche3amort" vbProcedure="false">Assumpt!$L$57</definedName>
    <definedName function="false" hidden="false" name="tranche3amt" vbProcedure="false">Assumpt!$G$59</definedName>
    <definedName function="false" hidden="false" name="tranche3cost" vbProcedure="false">Assumpt!$L$62</definedName>
    <definedName function="false" hidden="false" name="tranche3grace" vbProcedure="false">Assumpt!$L$55</definedName>
    <definedName function="false" hidden="false" name="tranche3reppd" vbProcedure="false">Assumpt!$L$56</definedName>
    <definedName function="false" hidden="false" name="tranche3term" vbProcedure="false">Assumpt!$G$62</definedName>
    <definedName function="false" hidden="false" localSheetId="2" name="ACwvu_cashpr95_" vbProcedure="false">CF!$A$101:$S$158</definedName>
    <definedName function="false" hidden="false" localSheetId="2" name="ACwvu_cashpr96_" vbProcedure="false">CF!$A$162:$S$196</definedName>
    <definedName function="false" hidden="false" localSheetId="2" name="ACwvu_cashpr_" vbProcedure="false">CF!$A$1:$T$80</definedName>
    <definedName function="false" hidden="false" localSheetId="2" name="Swvu_cashpr95_" vbProcedure="false">CF!$A$101:$S$158</definedName>
    <definedName function="false" hidden="false" localSheetId="2" name="Swvu_cashpr96_" vbProcedure="false">CF!$A$162:$S$196</definedName>
    <definedName function="false" hidden="false" localSheetId="2" name="Swvu_cashpr_" vbProcedure="false">CF!$A$1:$T$80</definedName>
    <definedName function="false" hidden="false" localSheetId="2" name="wvu_cashpr95_" vbProcedure="false">{TRUE,TRUE,-1.25,-15.5,484.5,276.75,FALSE,FALSE,TRUE,TRUE,0,11,#N/A,71,#N/A,10.6785714285714,18.047619047619,1,FALSE,FALSE,3,TRUE,1,FALSE,100,"Swvu.cashpr95.","ACwvu.cashpr95.",#N/A,FALSE,FALSE,0.75,0.75,1,1,2,"&amp;L&amp;D&amp;C&amp;""Britannic Bold,Bold Italic""CONFIDENTIAL&amp;R&amp;T","&amp;CPage 3",FALSE,FALSE,FALSE,FALSE,1,#N/A,1,1,"=R88C1:R122C16",FALSE,#N/A,#N/A,FALSE,FALSE,FALSE,1,65532,65532,FALSE,FALSE,TRUE,TRUE,TRUE}</definedName>
    <definedName function="false" hidden="false" localSheetId="2" name="wvu_cashpr96_" vbProcedure="false">{TRUE,TRUE,-1.25,-15.5,484.5,276.75,FALSE,FALSE,TRUE,TRUE,0,7,#N/A,119,#N/A,10.6785714285714,18.2941176470588,1,FALSE,FALSE,3,TRUE,1,FALSE,100,"Swvu.cashpr96.","ACwvu.cashpr96.",#N/A,FALSE,FALSE,0.75,0.75,1,1,2,"&amp;L&amp;D&amp;C&amp;""Britannic Bold,Bold Italic""CONFIDENTIAL&amp;R&amp;T","&amp;CPage 3",FALSE,FALSE,FALSE,FALSE,1,#N/A,1,1,"=R88C1:R122C16",FALSE,#N/A,#N/A,FALSE,FALSE,FALSE,1,65532,65532,FALSE,FALSE,TRUE,TRUE,TRUE}</definedName>
    <definedName function="false" hidden="false" localSheetId="2" name="wvu_cashpr_" vbProcedure="false">{TRUE,TRUE,-1.25,-15.5,484.5,276.75,FALSE,FALSE,TRUE,TRUE,0,1,#N/A,1,#N/A,10.2142857142857,17.3529411764706,1,FALSE,FALSE,3,TRUE,1,FALSE,100,"Swvu.cashpr.","ACwvu.cashpr.",#N/A,FALSE,FALSE,0.75,0.75,1,1,2,"&amp;L&amp;D&amp;C&amp;""Britannic Bold,Bold Italic""CONFIDENTIAL&amp;R&amp;T","&amp;CPage 4",FALSE,FALSE,FALSE,FALSE,1,#N/A,1,1,"=R1C1:R46C16",FALSE,#N/A,#N/A,FALSE,FALSE,FALSE,1,65532,65532,FALSE,FALSE,TRUE,TRUE,TRUE}</definedName>
    <definedName function="false" hidden="false" localSheetId="2" name="ZA0" vbProcedure="false">"Crystal Ball Data : Ver. 3.0.2"</definedName>
    <definedName function="false" hidden="false" localSheetId="2" name="ZA0F" vbProcedure="false">1+100</definedName>
    <definedName function="false" hidden="false" localSheetId="2" name="ZA0T" vbProcedure="false">23753579+0</definedName>
    <definedName function="false" hidden="false" localSheetId="2" name="ZF100" vbProcedure="false">CF!$F$105+"C74"+"NPV"+16417+33+377+57+18+336+472+4+3+"-"+"+"+2.6+50+2</definedName>
    <definedName function="false" hidden="false" localSheetId="4" name="ACwvu_fincpr_" vbProcedure="false">Debt!$A$1:$Z$53</definedName>
    <definedName function="false" hidden="false" localSheetId="4" name="Swvu_fincpr_" vbProcedure="false">Debt!$A$1:$Z$53</definedName>
    <definedName function="false" hidden="false" localSheetId="4" name="wvu_fincpr_" vbProcedure="false">{TRUE,TRUE,-1.25,-15.5,484.5,276.75,FALSE,FALSE,TRUE,TRUE,0,13,#N/A,1,#N/A,10.3928571428571,14.4285714285714,1,FALSE,FALSE,3,TRUE,1,FALSE,100,"Swvu.fincpr.","ACwvu.fincpr.",#N/A,FALSE,FALSE,0.75,0.75,1,1,2,"&amp;L&amp;D&amp;R&amp;T","&amp;L&amp;F&amp;CPage 6",FALSE,FALSE,FALSE,FALSE,1,#N/A,1,1,"=R1C1:R87C17",FALSE,#N/A,#N/A,FALSE,FALSE,FALSE,1,65532,65532,FALSE,FALSE,TRUE,TRUE,TRUE}</definedName>
    <definedName function="false" hidden="false" localSheetId="5" name="ACwvu_idcpr_" vbProcedure="false">IDC!$A$1:$AI$70</definedName>
    <definedName function="false" hidden="false" localSheetId="5" name="Swvu_idcpr_" vbProcedure="false">IDC!$A$1:$AI$70</definedName>
    <definedName function="false" hidden="false" localSheetId="5" name="wvu_idcpr_" vbProcedure="false">{TRUE,TRUE,-1.25,-15.5,484.5,276.75,FALSE,FALSE,TRUE,TRUE,0,1,#N/A,1,#N/A,8.54166666666667,17.2857142857143,1,FALSE,FALSE,3,TRUE,1,FALSE,100,"Swvu.idcpr.","ACwvu.idcpr.",#N/A,FALSE,FALSE,0.75,0.75,1,1,2,"&amp;L&amp;D&amp;C&amp;""Britannic Bold,Bold Italic""CONFIDENTIAL&amp;R&amp;T","&amp;CPage 7",FALSE,FALSE,FALSE,FALSE,1,#N/A,1,1,"=R1C1:R66C22",FALSE,#N/A,#N/A,FALSE,FALSE,FALSE,1,65532,65532,FALSE,FALSE,TRUE,TRUE,TRUE}</definedName>
    <definedName function="false" hidden="false" localSheetId="6" name="ACwvu_TAXES_" vbProcedure="false">'Depn&amp;Tax'!$A$1:$R$12</definedName>
    <definedName function="false" hidden="false" localSheetId="6" name="Swvu_TAXES_" vbProcedure="false">'Depn&amp;Tax'!$A$1:$R$12</definedName>
    <definedName function="false" hidden="false" localSheetId="6" name="wvu_TAXES_" vbProcedure="false">{TRUE,TRUE,-1.25,-15.5,484.5,276.75,FALSE,FALSE,TRUE,TRUE,0,1,#N/A,1,#N/A,10.6785714285714,17.3529411764706,1,FALSE,FALSE,3,TRUE,1,FALSE,100,"Swvu.TAXES.","ACwvu.TAXES.",#N/A,FALSE,FALSE,0.75,0.75,1,1,2,"&amp;L&amp;D&amp;C&amp;""Britannic Bold,Bold Italic""CONFIDENTIAL&amp;R&amp;T","&amp;CPage 5",FALSE,FALSE,FALSE,FALSE,1,#N/A,1,1,"=R1C1:R46C17",FALSE,#N/A,#N/A,FALSE,FALSE,FALSE,1,65532,65532,FALSE,FALSE,TRUE,TRUE,TRUE}</definedName>
    <definedName function="false" hidden="false" localSheetId="7" name="ACwvu_balincpr_" vbProcedure="false">BS!$A$1:$Z$46</definedName>
    <definedName function="false" hidden="false" localSheetId="7" name="ACwvu_sucfpr_" vbProcedure="false">BS!$A$47:$Z$95</definedName>
    <definedName function="false" hidden="false" localSheetId="7" name="Swvu_balincpr_" vbProcedure="false">BS!$A$1:$Z$46</definedName>
    <definedName function="false" hidden="false" localSheetId="7" name="Swvu_sucfpr_" vbProcedure="false">BS!$A$47:$Z$95</definedName>
    <definedName function="false" hidden="false" localSheetId="7" name="wvu_balincpr_" vbProcedure="false">{TRUE,TRUE,-1.25,-15.5,484.5,276.75,FALSE,FALSE,TRUE,TRUE,0,1,#N/A,1,#N/A,7.23333333333333,17.5882352941177,1,FALSE,FALSE,3,TRUE,1,FALSE,100,"Swvu.balincpr.","ACwvu.balincpr.",#N/A,FALSE,FALSE,0.75,0.75,1,1,2,"&amp;L&amp;D&amp;C&amp;""Britannic Bold,Bold Italic""CONFIDENTIAL&amp;R&amp;T","&amp;CPage 9
",FALSE,FALSE,FALSE,FALSE,1,#N/A,1,1,"=R1C1:R48C18",FALSE,#N/A,#N/A,FALSE,FALSE,FALSE,1,65532,65532,FALSE,FALSE,TRUE,TRUE,TRUE}</definedName>
    <definedName function="false" hidden="false" localSheetId="7" name="wvu_sucfpr_" vbProcedure="false">{TRUE,TRUE,-1.25,-15.5,484.5,276.75,FALSE,FALSE,TRUE,TRUE,0,1,#N/A,46,#N/A,7.23333333333333,17.5882352941177,1,FALSE,FALSE,3,TRUE,1,FALSE,100,"Swvu.sucfpr.","ACwvu.sucfpr.",#N/A,FALSE,FALSE,0.75,0.75,1,1,2,"&amp;L&amp;D&amp;C&amp;""Britannic Bold,Bold Italic""CONFIDENTIAL&amp;R&amp;T","&amp;CPage 9
",FALSE,FALSE,FALSE,FALSE,1,#N/A,1,1,"=R1C1:R48C18",FALSE,#N/A,#N/A,FALSE,FALSE,FALSE,1,65532,65532,FALSE,FALSE,TRUE,TRUE,TRUE}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6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maybe exempt via fiscal franchise?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81</xdr:colOff>
                <xdr:row>4</xdr:row>
                <xdr:rowOff>10</xdr:rowOff>
              </xdr:from>
              <xdr:to>
                <xdr:col>13</xdr:col>
                <xdr:colOff>107</xdr:colOff>
                <xdr:row>8</xdr:row>
                <xdr:rowOff>4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maybe exempt via fiscal franchise?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81</xdr:colOff>
                <xdr:row>5</xdr:row>
                <xdr:rowOff>10</xdr:rowOff>
              </xdr:from>
              <xdr:to>
                <xdr:col>13</xdr:col>
                <xdr:colOff>107</xdr:colOff>
                <xdr:row>9</xdr:row>
                <xdr:rowOff>4</xdr:rowOff>
              </xdr:to>
            </anchor>
          </commentPr>
        </mc:Choice>
        <mc:Fallback/>
      </mc:AlternateContent>
    </comment>
    <comment ref="L8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maximum for electricity generation companies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81</xdr:colOff>
                <xdr:row>6</xdr:row>
                <xdr:rowOff>10</xdr:rowOff>
              </xdr:from>
              <xdr:to>
                <xdr:col>13</xdr:col>
                <xdr:colOff>107</xdr:colOff>
                <xdr:row>10</xdr:row>
                <xdr:rowOff>4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V.Nieto's advice to Col-Pan Pipeline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81</xdr:colOff>
                <xdr:row>7</xdr:row>
                <xdr:rowOff>10</xdr:rowOff>
              </xdr:from>
              <xdr:to>
                <xdr:col>13</xdr:col>
                <xdr:colOff>107</xdr:colOff>
                <xdr:row>11</xdr:row>
                <xdr:rowOff>4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not linked to anything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81</xdr:colOff>
                <xdr:row>13</xdr:row>
                <xdr:rowOff>10</xdr:rowOff>
              </xdr:from>
              <xdr:to>
                <xdr:col>13</xdr:col>
                <xdr:colOff>107</xdr:colOff>
                <xdr:row>17</xdr:row>
                <xdr:rowOff>4</xdr:rowOff>
              </xdr:to>
            </anchor>
          </commentPr>
        </mc:Choice>
        <mc:Fallback/>
      </mc:AlternateContent>
    </comment>
    <comment ref="L19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estimate by Mrhee 2/12/00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81</xdr:colOff>
                <xdr:row>17</xdr:row>
                <xdr:rowOff>10</xdr:rowOff>
              </xdr:from>
              <xdr:to>
                <xdr:col>13</xdr:col>
                <xdr:colOff>107</xdr:colOff>
                <xdr:row>21</xdr:row>
                <xdr:rowOff>4</xdr:rowOff>
              </xdr:to>
            </anchor>
          </commentPr>
        </mc:Choice>
        <mc:Fallback/>
      </mc:AlternateContent>
    </comment>
    <comment ref="S14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to get $150MM:  $115,591
to get $170MM:  $131,790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108</xdr:colOff>
                <xdr:row>12</xdr:row>
                <xdr:rowOff>10</xdr:rowOff>
              </xdr:from>
              <xdr:to>
                <xdr:col>22</xdr:col>
                <xdr:colOff>1</xdr:colOff>
                <xdr:row>16</xdr:row>
                <xdr:rowOff>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9</xdr:row>
                <xdr:rowOff>8</xdr:rowOff>
              </xdr:from>
              <xdr:to>
                <xdr:col>6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9</xdr:row>
                <xdr:rowOff>8</xdr:rowOff>
              </xdr:from>
              <xdr:to>
                <xdr:col>7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9</xdr:row>
                <xdr:rowOff>8</xdr:rowOff>
              </xdr:from>
              <xdr:to>
                <xdr:col>8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9</xdr:row>
                <xdr:rowOff>8</xdr:rowOff>
              </xdr:from>
              <xdr:to>
                <xdr:col>9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I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17</xdr:colOff>
                <xdr:row>9</xdr:row>
                <xdr:rowOff>8</xdr:rowOff>
              </xdr:from>
              <xdr:to>
                <xdr:col>10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17</xdr:colOff>
                <xdr:row>9</xdr:row>
                <xdr:rowOff>8</xdr:rowOff>
              </xdr:from>
              <xdr:to>
                <xdr:col>11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9</xdr:row>
                <xdr:rowOff>8</xdr:rowOff>
              </xdr:from>
              <xdr:to>
                <xdr:col>12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9</xdr:row>
                <xdr:rowOff>8</xdr:rowOff>
              </xdr:from>
              <xdr:to>
                <xdr:col>13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17</xdr:colOff>
                <xdr:row>9</xdr:row>
                <xdr:rowOff>8</xdr:rowOff>
              </xdr:from>
              <xdr:to>
                <xdr:col>14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17</xdr:colOff>
                <xdr:row>9</xdr:row>
                <xdr:rowOff>8</xdr:rowOff>
              </xdr:from>
              <xdr:to>
                <xdr:col>15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O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17</xdr:colOff>
                <xdr:row>9</xdr:row>
                <xdr:rowOff>8</xdr:rowOff>
              </xdr:from>
              <xdr:to>
                <xdr:col>16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9</xdr:row>
                <xdr:rowOff>8</xdr:rowOff>
              </xdr:from>
              <xdr:to>
                <xdr:col>17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9</xdr:row>
                <xdr:rowOff>8</xdr:rowOff>
              </xdr:from>
              <xdr:to>
                <xdr:col>18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17</xdr:colOff>
                <xdr:row>9</xdr:row>
                <xdr:rowOff>8</xdr:rowOff>
              </xdr:from>
              <xdr:to>
                <xdr:col>19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S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17</xdr:colOff>
                <xdr:row>9</xdr:row>
                <xdr:rowOff>8</xdr:rowOff>
              </xdr:from>
              <xdr:to>
                <xdr:col>20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T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17</xdr:colOff>
                <xdr:row>9</xdr:row>
                <xdr:rowOff>8</xdr:rowOff>
              </xdr:from>
              <xdr:to>
                <xdr:col>21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U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17</xdr:colOff>
                <xdr:row>9</xdr:row>
                <xdr:rowOff>8</xdr:rowOff>
              </xdr:from>
              <xdr:to>
                <xdr:col>22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V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17</xdr:colOff>
                <xdr:row>9</xdr:row>
                <xdr:rowOff>8</xdr:rowOff>
              </xdr:from>
              <xdr:to>
                <xdr:col>23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W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17</xdr:colOff>
                <xdr:row>9</xdr:row>
                <xdr:rowOff>8</xdr:rowOff>
              </xdr:from>
              <xdr:to>
                <xdr:col>24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X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24</xdr:col>
                <xdr:colOff>17</xdr:colOff>
                <xdr:row>9</xdr:row>
                <xdr:rowOff>8</xdr:rowOff>
              </xdr:from>
              <xdr:to>
                <xdr:col>25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Y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17</xdr:colOff>
                <xdr:row>9</xdr:row>
                <xdr:rowOff>8</xdr:rowOff>
              </xdr:from>
              <xdr:to>
                <xdr:col>26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Z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17</xdr:colOff>
                <xdr:row>9</xdr:row>
                <xdr:rowOff>8</xdr:rowOff>
              </xdr:from>
              <xdr:to>
                <xdr:col>27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AA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17</xdr:colOff>
                <xdr:row>9</xdr:row>
                <xdr:rowOff>8</xdr:rowOff>
              </xdr:from>
              <xdr:to>
                <xdr:col>28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AB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9</xdr:row>
                <xdr:rowOff>8</xdr:rowOff>
              </xdr:from>
              <xdr:to>
                <xdr:col>29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AC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17</xdr:colOff>
                <xdr:row>9</xdr:row>
                <xdr:rowOff>8</xdr:rowOff>
              </xdr:from>
              <xdr:to>
                <xdr:col>30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AD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17</xdr:colOff>
                <xdr:row>9</xdr:row>
                <xdr:rowOff>8</xdr:rowOff>
              </xdr:from>
              <xdr:to>
                <xdr:col>31</xdr:col>
                <xdr:colOff>76</xdr:colOff>
                <xdr:row>13</xdr:row>
                <xdr:rowOff>11</xdr:rowOff>
              </xdr:to>
            </anchor>
          </commentPr>
        </mc:Choice>
        <mc:Fallback/>
      </mc:AlternateContent>
    </comment>
    <comment ref="AE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 per Colombia-Panama Gas Pipeline presentation 12/30/99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17</xdr:colOff>
                <xdr:row>9</xdr:row>
                <xdr:rowOff>8</xdr:rowOff>
              </xdr:from>
              <xdr:to>
                <xdr:col>33</xdr:col>
                <xdr:colOff>9</xdr:colOff>
                <xdr:row>13</xdr:row>
                <xdr:rowOff>11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7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ignore for now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17</xdr:colOff>
                <xdr:row>32</xdr:row>
                <xdr:rowOff>8</xdr:rowOff>
              </xdr:from>
              <xdr:to>
                <xdr:col>2</xdr:col>
                <xdr:colOff>51</xdr:colOff>
                <xdr:row>36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3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assumed last year so as to not become circular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81</xdr:row>
                <xdr:rowOff>8</xdr:rowOff>
              </xdr:from>
              <xdr:to>
                <xdr:col>6</xdr:col>
                <xdr:colOff>78</xdr:colOff>
                <xdr:row>85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<sst xmlns="http://schemas.openxmlformats.org/spreadsheetml/2006/main" count="540" uniqueCount="401">
  <si>
    <t xml:space="preserve">CONFIDENTIAL</t>
  </si>
  <si>
    <t xml:space="preserve">Last Updated: 2/18/00</t>
  </si>
  <si>
    <t xml:space="preserve">Table of Contents</t>
  </si>
  <si>
    <t xml:space="preserve">as per competition with Colombia-Panama Gas Pipeline</t>
  </si>
  <si>
    <t xml:space="preserve">with more conservative tax assumptions</t>
  </si>
  <si>
    <t xml:space="preserve"># PAGES</t>
  </si>
  <si>
    <t xml:space="preserve">PRINT? (1=YES)</t>
  </si>
  <si>
    <t xml:space="preserve">FINANCIAL STATEMENTS</t>
  </si>
  <si>
    <t xml:space="preserve">Panama Regas Terminal</t>
  </si>
  <si>
    <t xml:space="preserve">Enron International</t>
  </si>
  <si>
    <t xml:space="preserve">Assumptions</t>
  </si>
  <si>
    <t xml:space="preserve">Calculation</t>
  </si>
  <si>
    <t xml:space="preserve">Table</t>
  </si>
  <si>
    <t xml:space="preserve">Plant Data</t>
  </si>
  <si>
    <t xml:space="preserve">Tax Assumptions:</t>
  </si>
  <si>
    <t xml:space="preserve">Debt/Equity Structure: (000's)</t>
  </si>
  <si>
    <t xml:space="preserve">Input</t>
  </si>
  <si>
    <t xml:space="preserve">Value</t>
  </si>
  <si>
    <t xml:space="preserve">Difference</t>
  </si>
  <si>
    <t xml:space="preserve">Annual MT Volume</t>
  </si>
  <si>
    <t xml:space="preserve">ITBM (Tax on Movable Goods Purchased In or Imported Into Panama)</t>
  </si>
  <si>
    <t xml:space="preserve">Debt</t>
  </si>
  <si>
    <t xml:space="preserve">IDC</t>
  </si>
  <si>
    <t xml:space="preserve">MMBTU per MT LNG</t>
  </si>
  <si>
    <t xml:space="preserve">Customs Duties</t>
  </si>
  <si>
    <t xml:space="preserve">Equity</t>
  </si>
  <si>
    <t xml:space="preserve">Total Cost</t>
  </si>
  <si>
    <t xml:space="preserve">MMBTU/MMSCFD</t>
  </si>
  <si>
    <t xml:space="preserve">Property Taxes ($000) (maximum, assumed to be flat)</t>
  </si>
  <si>
    <t xml:space="preserve">Total Investment</t>
  </si>
  <si>
    <t xml:space="preserve">Annual MMBTU Volume</t>
  </si>
  <si>
    <t xml:space="preserve">Municipal Taxes</t>
  </si>
  <si>
    <t xml:space="preserve">Commitment Fee</t>
  </si>
  <si>
    <t xml:space="preserve">MMBTU/Day </t>
  </si>
  <si>
    <t xml:space="preserve">assuming 340 days</t>
  </si>
  <si>
    <t xml:space="preserve">Royalty Tax</t>
  </si>
  <si>
    <t xml:space="preserve">???</t>
  </si>
  <si>
    <t xml:space="preserve">Project Costs: (000's)</t>
  </si>
  <si>
    <t xml:space="preserve">Total Debt</t>
  </si>
  <si>
    <t xml:space="preserve">MMSCF/Day</t>
  </si>
  <si>
    <t xml:space="preserve">Panama Income Tax</t>
  </si>
  <si>
    <t xml:space="preserve">$ U.S.</t>
  </si>
  <si>
    <t xml:space="preserve">Other</t>
  </si>
  <si>
    <t xml:space="preserve">Volume Adjustment Year to Year (see Cash Flow page)</t>
  </si>
  <si>
    <t xml:space="preserve">NOL Carryforward (Years)</t>
  </si>
  <si>
    <t xml:space="preserve">Terminal Cost:</t>
  </si>
  <si>
    <t xml:space="preserve">Loop</t>
  </si>
  <si>
    <t xml:space="preserve">Take or Pay Factor</t>
  </si>
  <si>
    <t xml:space="preserve">NOL Carryforward (Limitations)</t>
  </si>
  <si>
    <t xml:space="preserve">20% of Ttl NOL or 50% of txble inc of carryfwd yr</t>
  </si>
  <si>
    <t xml:space="preserve">Onshore:</t>
  </si>
  <si>
    <t xml:space="preserve">Factor</t>
  </si>
  <si>
    <t xml:space="preserve">Withholding Tax on Interest (Grossed Up)</t>
  </si>
  <si>
    <t xml:space="preserve">Terminal Cost</t>
  </si>
  <si>
    <t xml:space="preserve">Project Operations:</t>
  </si>
  <si>
    <t xml:space="preserve">FECI Tax (1%, exempt if loans not arranged by Panamanian banks)</t>
  </si>
  <si>
    <t xml:space="preserve">Start of Construction:</t>
  </si>
  <si>
    <t xml:space="preserve">Withholding Tax on Dividends</t>
  </si>
  <si>
    <t xml:space="preserve">Total Onshore</t>
  </si>
  <si>
    <t xml:space="preserve">Construction Months / COD</t>
  </si>
  <si>
    <t xml:space="preserve">Threshhold % of Local Profits Before Complementary Tax Applies</t>
  </si>
  <si>
    <t xml:space="preserve">Offshore:</t>
  </si>
  <si>
    <t xml:space="preserve">Contract Term (Yrs) / Term End Date</t>
  </si>
  <si>
    <t xml:space="preserve">Complementary Tax (Creditable against future W/H Tax on Dividends)</t>
  </si>
  <si>
    <t xml:space="preserve">Base Cost Estimate</t>
  </si>
  <si>
    <t xml:space="preserve">Turnkey Contractor:</t>
  </si>
  <si>
    <t xml:space="preserve">?</t>
  </si>
  <si>
    <t xml:space="preserve">Registration Fee &amp; Business License</t>
  </si>
  <si>
    <t xml:space="preserve">Breakwater</t>
  </si>
  <si>
    <t xml:space="preserve">Annual License Tax on Net Assets, Max $20,000/Yr</t>
  </si>
  <si>
    <t xml:space="preserve">Tugs</t>
  </si>
  <si>
    <t xml:space="preserve">Changes since 11/5/99:</t>
  </si>
  <si>
    <t xml:space="preserve">Regasification Tariff:</t>
  </si>
  <si>
    <t xml:space="preserve">Total Offshore</t>
  </si>
  <si>
    <t xml:space="preserve">Customized Gas Demand Curve</t>
  </si>
  <si>
    <t xml:space="preserve">Total Terminal Cost:</t>
  </si>
  <si>
    <t xml:space="preserve">Shortened Project Term to 15 years from 20</t>
  </si>
  <si>
    <t xml:space="preserve">Fixed Charge ($/MMBTU)</t>
  </si>
  <si>
    <t xml:space="preserve">Project Drawdown:</t>
  </si>
  <si>
    <t xml:space="preserve">Total Conversion Cost:</t>
  </si>
  <si>
    <t xml:space="preserve">Included $10.507M cost of converting plants to gas-fueled</t>
  </si>
  <si>
    <t xml:space="preserve">0 = Pari Passu</t>
  </si>
  <si>
    <t xml:space="preserve">Terminal &amp; Pipeline Cost before VAT &amp; Contingency</t>
  </si>
  <si>
    <t xml:space="preserve">1 = Equity First</t>
  </si>
  <si>
    <t xml:space="preserve">ITBM</t>
  </si>
  <si>
    <t xml:space="preserve">Changes since 1/28/99:</t>
  </si>
  <si>
    <t xml:space="preserve">Economics:</t>
  </si>
  <si>
    <t xml:space="preserve">Project</t>
  </si>
  <si>
    <t xml:space="preserve">Enron</t>
  </si>
  <si>
    <t xml:space="preserve">2 = Equity Last</t>
  </si>
  <si>
    <t xml:space="preserve">Revamped Tax Assumptions</t>
  </si>
  <si>
    <t xml:space="preserve">NPV</t>
  </si>
  <si>
    <t xml:space="preserve">DiscRt:</t>
  </si>
  <si>
    <t xml:space="preserve">Contingency</t>
  </si>
  <si>
    <t xml:space="preserve">Moved Dividend Tax to Enron Returns; out of Project Returns</t>
  </si>
  <si>
    <t xml:space="preserve">IRR</t>
  </si>
  <si>
    <t xml:space="preserve">Depreciation:</t>
  </si>
  <si>
    <t xml:space="preserve">Total Terminal &amp; Pipeline Cost</t>
  </si>
  <si>
    <t xml:space="preserve">$ Committed</t>
  </si>
  <si>
    <t xml:space="preserve">Amount</t>
  </si>
  <si>
    <t xml:space="preserve">Life (Yrs)</t>
  </si>
  <si>
    <t xml:space="preserve">Method</t>
  </si>
  <si>
    <t xml:space="preserve">Average Debt Coverage</t>
  </si>
  <si>
    <t xml:space="preserve">Book Basis</t>
  </si>
  <si>
    <t xml:space="preserve">S/L</t>
  </si>
  <si>
    <t xml:space="preserve">Interest During Construction:</t>
  </si>
  <si>
    <t xml:space="preserve">Minimum Debt Coverage</t>
  </si>
  <si>
    <t xml:space="preserve">Tax Basis</t>
  </si>
  <si>
    <t xml:space="preserve">Withholding Tax on IDC</t>
  </si>
  <si>
    <t xml:space="preserve">Financing Costs:</t>
  </si>
  <si>
    <t xml:space="preserve">Operating Expenses: (000's)</t>
  </si>
  <si>
    <t xml:space="preserve">     Reimbursable Lender's Expenses</t>
  </si>
  <si>
    <t xml:space="preserve">Assumed CPI:</t>
  </si>
  <si>
    <t xml:space="preserve">Financing Assumptions (000's)</t>
  </si>
  <si>
    <t xml:space="preserve">     Upfront Fee: Tranche 1</t>
  </si>
  <si>
    <t xml:space="preserve">Escalation</t>
  </si>
  <si>
    <t xml:space="preserve">Weighted Average Cost of Debt:</t>
  </si>
  <si>
    <t xml:space="preserve">     Upfront Fee: Tranche 2</t>
  </si>
  <si>
    <t xml:space="preserve">O&amp;M</t>
  </si>
  <si>
    <t xml:space="preserve">Tranche 1: </t>
  </si>
  <si>
    <t xml:space="preserve">     Upfront Fee: Tranche 3</t>
  </si>
  <si>
    <t xml:space="preserve">Purch. Power</t>
  </si>
  <si>
    <t xml:space="preserve">% of Total Debt</t>
  </si>
  <si>
    <t xml:space="preserve">Grace Periods</t>
  </si>
  <si>
    <t xml:space="preserve">     Commitment Fee</t>
  </si>
  <si>
    <t xml:space="preserve">Insurance</t>
  </si>
  <si>
    <t xml:space="preserve">Total Repayment Periods</t>
  </si>
  <si>
    <t xml:space="preserve">     Withholding Tax on Commitment Fee</t>
  </si>
  <si>
    <t xml:space="preserve">Amortization: 1=SL, 0=Mortgage</t>
  </si>
  <si>
    <t xml:space="preserve">     Legal/Misc. Financing</t>
  </si>
  <si>
    <t xml:space="preserve">Total Financing Related:</t>
  </si>
  <si>
    <t xml:space="preserve">Upfront Fee:</t>
  </si>
  <si>
    <t xml:space="preserve">Pre-Financial Close Development Costs</t>
  </si>
  <si>
    <t xml:space="preserve">Term: Years</t>
  </si>
  <si>
    <t xml:space="preserve">Commitment Fee:</t>
  </si>
  <si>
    <t xml:space="preserve">Transition Costs (Finc. Close- C.O.D.)</t>
  </si>
  <si>
    <t xml:space="preserve">Cost of Debt:</t>
  </si>
  <si>
    <t xml:space="preserve">Total Development:</t>
  </si>
  <si>
    <t xml:space="preserve">Total Operating</t>
  </si>
  <si>
    <t xml:space="preserve">Tranche 2: Banks</t>
  </si>
  <si>
    <t xml:space="preserve">Capital Spares: Terminal</t>
  </si>
  <si>
    <t xml:space="preserve">ITBM on Capital Spares</t>
  </si>
  <si>
    <t xml:space="preserve">Miscellaneous Assumptions:</t>
  </si>
  <si>
    <t xml:space="preserve">Customs Duties on Capital Spares</t>
  </si>
  <si>
    <t xml:space="preserve">Funding Date for Debt (# months into Constr.):</t>
  </si>
  <si>
    <t xml:space="preserve">O&amp;M Mobilization: Terminal</t>
  </si>
  <si>
    <t xml:space="preserve">Interest Capitalized Until:</t>
  </si>
  <si>
    <t xml:space="preserve">Construction Insurance</t>
  </si>
  <si>
    <t xml:space="preserve">Working Capital:</t>
  </si>
  <si>
    <t xml:space="preserve">Months</t>
  </si>
  <si>
    <t xml:space="preserve">Total Other Costs:</t>
  </si>
  <si>
    <t xml:space="preserve">Tranche 3</t>
  </si>
  <si>
    <t xml:space="preserve">Soft Cost Contingency:</t>
  </si>
  <si>
    <t xml:space="preserve">Total Soft Costs</t>
  </si>
  <si>
    <t xml:space="preserve">TOTAL PROJECT COST: </t>
  </si>
  <si>
    <t xml:space="preserve">Net Income and Cash Flow</t>
  </si>
  <si>
    <t xml:space="preserve">Calendar Year</t>
  </si>
  <si>
    <t xml:space="preserve">TOTALS</t>
  </si>
  <si>
    <t xml:space="preserve">Months of Operation</t>
  </si>
  <si>
    <t xml:space="preserve">Contract Year</t>
  </si>
  <si>
    <t xml:space="preserve">Annual Volume:</t>
  </si>
  <si>
    <t xml:space="preserve">Annual MMBTU Production</t>
  </si>
  <si>
    <t xml:space="preserve">Adjustment Factor</t>
  </si>
  <si>
    <t xml:space="preserve">Total Annual Production (MMBTU)</t>
  </si>
  <si>
    <t xml:space="preserve">Total Annual Production (MMSCFD)</t>
  </si>
  <si>
    <t xml:space="preserve">Fixed Revenue Calculation:</t>
  </si>
  <si>
    <t xml:space="preserve">Fixed Regas Payment ($/MMBTU)</t>
  </si>
  <si>
    <t xml:space="preserve">Total Fixed Regas Payment (000's)</t>
  </si>
  <si>
    <t xml:space="preserve">Total Revenues</t>
  </si>
  <si>
    <t xml:space="preserve">TOTAL REVENUES:</t>
  </si>
  <si>
    <t xml:space="preserve">Total Revenues / MMBtu Production</t>
  </si>
  <si>
    <t xml:space="preserve">Operating Expenses:</t>
  </si>
  <si>
    <t xml:space="preserve">Total Operating Expenses</t>
  </si>
  <si>
    <t xml:space="preserve">Total Expenses / MMBtu Production</t>
  </si>
  <si>
    <t xml:space="preserve">Operating Income</t>
  </si>
  <si>
    <t xml:space="preserve">Other Income/(Expense):</t>
  </si>
  <si>
    <t xml:space="preserve">Property Taxes</t>
  </si>
  <si>
    <t xml:space="preserve">Total Other Income/(Expense)</t>
  </si>
  <si>
    <t xml:space="preserve">EBITDA</t>
  </si>
  <si>
    <t xml:space="preserve">Less: Interest on LT Debt</t>
  </si>
  <si>
    <t xml:space="preserve">Less: Withholding Tax on Interest</t>
  </si>
  <si>
    <t xml:space="preserve">Less: License Tax</t>
  </si>
  <si>
    <t xml:space="preserve">Less: Book Depreciation Expense</t>
  </si>
  <si>
    <t xml:space="preserve">Less: Book Income Taxes</t>
  </si>
  <si>
    <t xml:space="preserve">PANAMA BOOK INCOME</t>
  </si>
  <si>
    <t xml:space="preserve">Less: Cash Income Taxes</t>
  </si>
  <si>
    <t xml:space="preserve">Less: Principal Payments</t>
  </si>
  <si>
    <t xml:space="preserve">NET CASH FLOW DISTRIBUTED</t>
  </si>
  <si>
    <t xml:space="preserve">Debt Service Ratio Calculation</t>
  </si>
  <si>
    <t xml:space="preserve">Cash Available for Debt Service</t>
  </si>
  <si>
    <t xml:space="preserve">Total Debt Service Obligations</t>
  </si>
  <si>
    <t xml:space="preserve">Before-Tax Debt Service Coverage Ratio</t>
  </si>
  <si>
    <t xml:space="preserve">After-Tax Debt Service Coverage Ratio</t>
  </si>
  <si>
    <t xml:space="preserve">Pre-Tax</t>
  </si>
  <si>
    <t xml:space="preserve">After-Tax</t>
  </si>
  <si>
    <t xml:space="preserve">Average DS Coverage Ratio</t>
  </si>
  <si>
    <t xml:space="preserve">Minimum DS Coverage Ratio</t>
  </si>
  <si>
    <t xml:space="preserve">Project &amp; Enron Returns</t>
  </si>
  <si>
    <t xml:space="preserve">Project Equity Contributions</t>
  </si>
  <si>
    <t xml:space="preserve">Project Cash Flow Distributed</t>
  </si>
  <si>
    <t xml:space="preserve">Total Project Cash Flow</t>
  </si>
  <si>
    <t xml:space="preserve">Running Project NPV</t>
  </si>
  <si>
    <t xml:space="preserve">Running Project IRR</t>
  </si>
  <si>
    <t xml:space="preserve">Project IRR</t>
  </si>
  <si>
    <t xml:space="preserve">Less: Dividend Taxes</t>
  </si>
  <si>
    <t xml:space="preserve">Enron IRR</t>
  </si>
  <si>
    <t xml:space="preserve">Debt Service</t>
  </si>
  <si>
    <t xml:space="preserve">Debt Periods</t>
  </si>
  <si>
    <t xml:space="preserve">BOY Principal Outstanding</t>
  </si>
  <si>
    <t xml:space="preserve">    Principal Payment 1</t>
  </si>
  <si>
    <t xml:space="preserve">    Interest Payment 1</t>
  </si>
  <si>
    <t xml:space="preserve">       Debt Service 1</t>
  </si>
  <si>
    <t xml:space="preserve">1st. Period Principal Out.</t>
  </si>
  <si>
    <t xml:space="preserve">    Principal Payment 2</t>
  </si>
  <si>
    <t xml:space="preserve">    Interest Payment 2</t>
  </si>
  <si>
    <t xml:space="preserve">        Debt Service 2</t>
  </si>
  <si>
    <t xml:space="preserve">2nd. Period Principal Out.</t>
  </si>
  <si>
    <t xml:space="preserve">% Principal Paid Pmt. 1</t>
  </si>
  <si>
    <t xml:space="preserve">% Principal Paid Pmt. 2</t>
  </si>
  <si>
    <t xml:space="preserve">Debt Service Summary</t>
  </si>
  <si>
    <t xml:space="preserve">Annual Interest Payment</t>
  </si>
  <si>
    <t xml:space="preserve">Annual Principal Payment</t>
  </si>
  <si>
    <t xml:space="preserve">Total Debt Service</t>
  </si>
  <si>
    <t xml:space="preserve">Total Direct Construction:</t>
  </si>
  <si>
    <t xml:space="preserve">Interest During Construction</t>
  </si>
  <si>
    <t xml:space="preserve">Total Soft Costs (Less IDC):</t>
  </si>
  <si>
    <t xml:space="preserve">Total Debt Less IDC</t>
  </si>
  <si>
    <t xml:space="preserve">Construction Month</t>
  </si>
  <si>
    <t xml:space="preserve">Calendar Month</t>
  </si>
  <si>
    <t xml:space="preserve">TOTAL</t>
  </si>
  <si>
    <t xml:space="preserve">Direct Construction Drawdown</t>
  </si>
  <si>
    <t xml:space="preserve">Soft Cost Drawdown</t>
  </si>
  <si>
    <t xml:space="preserve">Total Drawdown</t>
  </si>
  <si>
    <t xml:space="preserve">Total Direct Construction  Drawdown</t>
  </si>
  <si>
    <t xml:space="preserve">Total Soft Cost Drawdown</t>
  </si>
  <si>
    <t xml:space="preserve">Total Project Drawdown</t>
  </si>
  <si>
    <t xml:space="preserve">Cumulative Project Drawdown</t>
  </si>
  <si>
    <t xml:space="preserve">Cumulative Project % Complete</t>
  </si>
  <si>
    <t xml:space="preserve">Total Equity Available (Less IDC)</t>
  </si>
  <si>
    <t xml:space="preserve">Drawdown if PariPassu (0)</t>
  </si>
  <si>
    <t xml:space="preserve">Drawdown if Equity First (1)</t>
  </si>
  <si>
    <t xml:space="preserve">Drawdown if Equity Last (2)</t>
  </si>
  <si>
    <t xml:space="preserve">Less: Equity Drawn</t>
  </si>
  <si>
    <t xml:space="preserve">Cumulative Equity Drawn</t>
  </si>
  <si>
    <t xml:space="preserve">Total Monthly Debt Required</t>
  </si>
  <si>
    <t xml:space="preserve">Pre-Financing Funded Debt</t>
  </si>
  <si>
    <t xml:space="preserve">Cumulative Pre-Financing Funded Debt</t>
  </si>
  <si>
    <t xml:space="preserve">Interest Incurred on Pre-Financing Funded Debt</t>
  </si>
  <si>
    <t xml:space="preserve">Tranche 1 Funded Debt</t>
  </si>
  <si>
    <t xml:space="preserve">Cumulative Tranche 1 Funded Debt</t>
  </si>
  <si>
    <t xml:space="preserve">Interest Incurred on Tranche 1 Debt</t>
  </si>
  <si>
    <t xml:space="preserve">Tranche 2 Funded Debt</t>
  </si>
  <si>
    <t xml:space="preserve">Cumulative Tranche 2 Funded Debt</t>
  </si>
  <si>
    <t xml:space="preserve">Interest Incurred on Tranche 2 Debt</t>
  </si>
  <si>
    <t xml:space="preserve">Tranche 3 Funded Debt</t>
  </si>
  <si>
    <t xml:space="preserve">Cumulative Tranche 3 Funded Debt</t>
  </si>
  <si>
    <t xml:space="preserve">Interest Incurred on Tranche 3 Debt</t>
  </si>
  <si>
    <t xml:space="preserve">Total Monthly Interest Incurred</t>
  </si>
  <si>
    <t xml:space="preserve">Total Interest During Construction:</t>
  </si>
  <si>
    <t xml:space="preserve">Cumulative % of Equity Spent (Incl. IDC)</t>
  </si>
  <si>
    <t xml:space="preserve">Cumulative % of Debt Spent (Incl. IDC)</t>
  </si>
  <si>
    <t xml:space="preserve">Tranche 1 Fee:</t>
  </si>
  <si>
    <t xml:space="preserve">Tranche 2 Fee:</t>
  </si>
  <si>
    <t xml:space="preserve">Tranche 3 Fee:</t>
  </si>
  <si>
    <t xml:space="preserve">Weigted Average Commitment Fee:</t>
  </si>
  <si>
    <t xml:space="preserve">Beginning Debt Balance</t>
  </si>
  <si>
    <t xml:space="preserve">Plus: Debt Incurred</t>
  </si>
  <si>
    <t xml:space="preserve">Less: Funds Advanced</t>
  </si>
  <si>
    <t xml:space="preserve">Ending Debt Balance</t>
  </si>
  <si>
    <t xml:space="preserve">Average Monthly Fund Balance</t>
  </si>
  <si>
    <t xml:space="preserve">Depreciation and Taxes</t>
  </si>
  <si>
    <t xml:space="preserve">Book Depreciation</t>
  </si>
  <si>
    <t xml:space="preserve">Beginning Balance</t>
  </si>
  <si>
    <t xml:space="preserve">Current Year Depreciation</t>
  </si>
  <si>
    <t xml:space="preserve">Ending Balance</t>
  </si>
  <si>
    <t xml:space="preserve">Tax Depreciation</t>
  </si>
  <si>
    <t xml:space="preserve">Panama Book Income Tax</t>
  </si>
  <si>
    <t xml:space="preserve">Less: Interest Expense on Debt</t>
  </si>
  <si>
    <t xml:space="preserve">Less: Book Depreciation</t>
  </si>
  <si>
    <t xml:space="preserve">Current Year Taxable Income Before NOL</t>
  </si>
  <si>
    <t xml:space="preserve">Less: NOL Carryforward</t>
  </si>
  <si>
    <t xml:space="preserve">Current Year Taxable Income</t>
  </si>
  <si>
    <t xml:space="preserve">Panama Income Tax Rate</t>
  </si>
  <si>
    <t xml:space="preserve">Total Panama Income Tax</t>
  </si>
  <si>
    <t xml:space="preserve">NOL Carryforward Calculation</t>
  </si>
  <si>
    <t xml:space="preserve">Beginning NOL</t>
  </si>
  <si>
    <t xml:space="preserve">Expirations</t>
  </si>
  <si>
    <t xml:space="preserve">Available</t>
  </si>
  <si>
    <t xml:space="preserve">Lmt: 20% of Total NOLs</t>
  </si>
  <si>
    <t xml:space="preserve">Lmt: 50% of Taxable Income</t>
  </si>
  <si>
    <t xml:space="preserve">Utilized (Maximum of Lmts)</t>
  </si>
  <si>
    <t xml:space="preserve">Additions</t>
  </si>
  <si>
    <t xml:space="preserve">Ending NOL</t>
  </si>
  <si>
    <t xml:space="preserve">Panama Cash Income Tax</t>
  </si>
  <si>
    <t xml:space="preserve">Less: Tax Depreciation</t>
  </si>
  <si>
    <t xml:space="preserve">Panama Taxes on Dividends</t>
  </si>
  <si>
    <t xml:space="preserve">Annual Dividends</t>
  </si>
  <si>
    <t xml:space="preserve">W/H Tax on Dividends Applicable</t>
  </si>
  <si>
    <t xml:space="preserve">Less:  Complementary Tax Credit</t>
  </si>
  <si>
    <t xml:space="preserve">W/H Tax on Dividends Payable</t>
  </si>
  <si>
    <t xml:space="preserve">Panama Book Income</t>
  </si>
  <si>
    <t xml:space="preserve">Min Divs Before Complem. Taxes</t>
  </si>
  <si>
    <t xml:space="preserve">Dividends Subject to Complem. Tax</t>
  </si>
  <si>
    <t xml:space="preserve">Complementary Tax Rate</t>
  </si>
  <si>
    <t xml:space="preserve">Total Complementary Tax</t>
  </si>
  <si>
    <t xml:space="preserve">Total Panama Taxes on Dividends</t>
  </si>
  <si>
    <t xml:space="preserve">License Tax</t>
  </si>
  <si>
    <t xml:space="preserve">Net Assets</t>
  </si>
  <si>
    <t xml:space="preserve">License Tax Applicable</t>
  </si>
  <si>
    <t xml:space="preserve">Limit on License Tax</t>
  </si>
  <si>
    <t xml:space="preserve">License Tax Payable</t>
  </si>
  <si>
    <t xml:space="preserve">Balance Sheet</t>
  </si>
  <si>
    <t xml:space="preserve">Assets:</t>
  </si>
  <si>
    <t xml:space="preserve">Cash and Cash Equivalents</t>
  </si>
  <si>
    <t xml:space="preserve">Working Capital / Accounts Receivable</t>
  </si>
  <si>
    <t xml:space="preserve">Construction in Progress</t>
  </si>
  <si>
    <t xml:space="preserve">Property, Plant and Equipment</t>
  </si>
  <si>
    <t xml:space="preserve">Cost </t>
  </si>
  <si>
    <t xml:space="preserve">Accumulated Depreciation</t>
  </si>
  <si>
    <t xml:space="preserve">Net PP&amp;E</t>
  </si>
  <si>
    <t xml:space="preserve">Total Assets</t>
  </si>
  <si>
    <t xml:space="preserve">Liabilities:</t>
  </si>
  <si>
    <t xml:space="preserve">Panama Deferred Tax Liability</t>
  </si>
  <si>
    <t xml:space="preserve">Long Term Debt</t>
  </si>
  <si>
    <t xml:space="preserve">Total Liabilities</t>
  </si>
  <si>
    <t xml:space="preserve">Stockholder's Equity:</t>
  </si>
  <si>
    <t xml:space="preserve">Capital Stock</t>
  </si>
  <si>
    <t xml:space="preserve">Dividends</t>
  </si>
  <si>
    <t xml:space="preserve">Retained Earnings</t>
  </si>
  <si>
    <t xml:space="preserve">Total Stockholder's Equity</t>
  </si>
  <si>
    <t xml:space="preserve">Total Liabilities and Stockholder's Equity</t>
  </si>
  <si>
    <t xml:space="preserve">Balance Check</t>
  </si>
  <si>
    <t xml:space="preserve">Income Statement</t>
  </si>
  <si>
    <t xml:space="preserve">Sales/Revenues</t>
  </si>
  <si>
    <t xml:space="preserve">Operating Expenses</t>
  </si>
  <si>
    <t xml:space="preserve">Other (Income)/Expenses</t>
  </si>
  <si>
    <t xml:space="preserve">Depreciation</t>
  </si>
  <si>
    <t xml:space="preserve">Interest Expense</t>
  </si>
  <si>
    <t xml:space="preserve">Withholding Tax on Interest</t>
  </si>
  <si>
    <t xml:space="preserve">Book Income Taxes</t>
  </si>
  <si>
    <t xml:space="preserve">Total Expenses</t>
  </si>
  <si>
    <t xml:space="preserve">Net Income</t>
  </si>
  <si>
    <t xml:space="preserve">Statement of Cash Flows</t>
  </si>
  <si>
    <t xml:space="preserve">Cash Flows from Operating Activities</t>
  </si>
  <si>
    <t xml:space="preserve">Cash Received from Customers</t>
  </si>
  <si>
    <t xml:space="preserve">Cash Paid to Employees and Suppliers</t>
  </si>
  <si>
    <t xml:space="preserve">(Increase)/Decrease in Working Capital</t>
  </si>
  <si>
    <t xml:space="preserve">Interest Paid</t>
  </si>
  <si>
    <t xml:space="preserve">Cash Income Taxes Paid</t>
  </si>
  <si>
    <t xml:space="preserve">Net Cash from Operating Activities</t>
  </si>
  <si>
    <t xml:space="preserve">Cash Flows from Financing Activities:</t>
  </si>
  <si>
    <t xml:space="preserve">Proceeds from Issuance of LTD</t>
  </si>
  <si>
    <t xml:space="preserve">Principal Payments on LTD</t>
  </si>
  <si>
    <t xml:space="preserve">Capital Contribution</t>
  </si>
  <si>
    <t xml:space="preserve">Dividends Paid</t>
  </si>
  <si>
    <t xml:space="preserve">Net Cash Provided by Financing Activities</t>
  </si>
  <si>
    <t xml:space="preserve">Net Increase in Cash and Cash Equivalants</t>
  </si>
  <si>
    <t xml:space="preserve">Cash and Cash Equivalents at Beginning of Year</t>
  </si>
  <si>
    <t xml:space="preserve">Cash and Cash Equivalents at End of Year</t>
  </si>
  <si>
    <t xml:space="preserve">Sources and Uses of Funds</t>
  </si>
  <si>
    <t xml:space="preserve">Sources of Funds:</t>
  </si>
  <si>
    <t xml:space="preserve">Capital Contributions</t>
  </si>
  <si>
    <t xml:space="preserve">Total Sources of Funds</t>
  </si>
  <si>
    <t xml:space="preserve">Uses of Funds:</t>
  </si>
  <si>
    <t xml:space="preserve">Less: Income Taxes Paid</t>
  </si>
  <si>
    <t xml:space="preserve">Trapped Cash</t>
  </si>
  <si>
    <t xml:space="preserve">Total Uses of Funds</t>
  </si>
  <si>
    <t xml:space="preserve">Net Sources and Uses of Funds</t>
  </si>
  <si>
    <t xml:space="preserve">PROJECT PANAMA REGAS</t>
  </si>
  <si>
    <t xml:space="preserve">Nov. 7, 1999</t>
  </si>
  <si>
    <t xml:space="preserve">Target IRR</t>
  </si>
  <si>
    <t xml:space="preserve">Required Regas Tariff in 2003</t>
  </si>
  <si>
    <t xml:space="preserve">escalated at 2% ($/MMBtu)</t>
  </si>
  <si>
    <t xml:space="preserve">Variables</t>
  </si>
  <si>
    <t xml:space="preserve">Volume Scenario*</t>
  </si>
  <si>
    <t xml:space="preserve">High</t>
  </si>
  <si>
    <t xml:space="preserve">Low</t>
  </si>
  <si>
    <t xml:space="preserve">Total Project Cost</t>
  </si>
  <si>
    <t xml:space="preserve">$150MM</t>
  </si>
  <si>
    <t xml:space="preserve">$170MM</t>
  </si>
  <si>
    <t xml:space="preserve">O&amp;M Expense</t>
  </si>
  <si>
    <t xml:space="preserve">$4.5MM</t>
  </si>
  <si>
    <t xml:space="preserve">$5.5MM</t>
  </si>
  <si>
    <t xml:space="preserve">Other Assumptions:</t>
  </si>
  <si>
    <t xml:space="preserve">Construction Start Date</t>
  </si>
  <si>
    <t xml:space="preserve">CPI</t>
  </si>
  <si>
    <t xml:space="preserve">Operations Start Date</t>
  </si>
  <si>
    <t xml:space="preserve">Other Operating Expenses ($000)</t>
  </si>
  <si>
    <t xml:space="preserve">Project Term (Yrs)</t>
  </si>
  <si>
    <t xml:space="preserve">Book Depreciation (Yrs/Method)</t>
  </si>
  <si>
    <t xml:space="preserve">Tax Depreciation (Yrs/Method)</t>
  </si>
  <si>
    <t xml:space="preserve">Grace Periods on Debt</t>
  </si>
  <si>
    <t xml:space="preserve">Upfront Fee</t>
  </si>
  <si>
    <t xml:space="preserve">Amortization Method</t>
  </si>
  <si>
    <t xml:space="preserve">Mortgage-Style</t>
  </si>
  <si>
    <t xml:space="preserve">Capital Structure</t>
  </si>
  <si>
    <t xml:space="preserve">75% Debt</t>
  </si>
  <si>
    <t xml:space="preserve">*Volume Scenario</t>
  </si>
  <si>
    <t xml:space="preserve">"Low" Volume Production (SCFD)</t>
  </si>
  <si>
    <t xml:space="preserve">"High" Volume Production (SCFD)</t>
  </si>
  <si>
    <t xml:space="preserve">2008+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</si>
</sst>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0%"/>
    <numFmt numFmtId="166" formatCode="0.00%"/>
    <numFmt numFmtId="167" formatCode="_(* #,##0.00_);_(* \(#,##0.00\);_(* \-??_);_(@_)"/>
    <numFmt numFmtId="168" formatCode="_(* #,##0_);_(* \(#,##0\);_(* \-??_);_(@_)"/>
    <numFmt numFmtId="169" formatCode="[$-409]m/d/yyyy"/>
    <numFmt numFmtId="170" formatCode="0.00"/>
    <numFmt numFmtId="171" formatCode="[$-409]#,##0_);\(#,##0\)"/>
    <numFmt numFmtId="172" formatCode="\$#,##0_);[RED]&quot;($&quot;#,##0\)"/>
    <numFmt numFmtId="173" formatCode="_(\$* #,##0_);_(\$* \(#,##0\);_(\$* \-??_);_(@_)"/>
    <numFmt numFmtId="174" formatCode="_(\$* #,##0.00_);_(\$* \(#,##0.00\);_(\$* \-??_);_(@_)"/>
    <numFmt numFmtId="175" formatCode="_(* #,##0.000_);_(* \(#,##0.000\);_(* \-??_);_(@_)"/>
    <numFmt numFmtId="176" formatCode="0.00000%"/>
    <numFmt numFmtId="177" formatCode="_(* #,##0.0_);_(* \(#,##0.0\);_(* \-??_);_(@_)"/>
    <numFmt numFmtId="178" formatCode="0"/>
    <numFmt numFmtId="179" formatCode="0.0%"/>
    <numFmt numFmtId="180" formatCode="[$-409]d\-mmm\-yy"/>
    <numFmt numFmtId="181" formatCode="_(* #,##0.0000_);_(* \(#,##0.0000\);_(* \-??_);_(@_)"/>
    <numFmt numFmtId="182" formatCode="_(\$* #,##0.0000_);_(\$* \(#,##0.0000\);_(\$* \-??_);_(@_)"/>
    <numFmt numFmtId="183" formatCode="0.000"/>
    <numFmt numFmtId="184" formatCode="[$-409]mmm\-yy"/>
    <numFmt numFmtId="185" formatCode="[$-409]#,##0.00_);\(#,##0.00\)"/>
    <numFmt numFmtId="186" formatCode="#,##0.0_);\(#,##0.0\)"/>
    <numFmt numFmtId="187" formatCode="_(\$* #,##0.000_);_(\$* \(#,##0.000\);_(\$* \-??_);_(@_)"/>
    <numFmt numFmtId="188" formatCode="_(* #,##0.00000_);_(* \(#,##0.00000\);_(* \-??_);_(@_)"/>
    <numFmt numFmtId="189" formatCode="\$#,##0.00_);[RED]&quot;($&quot;#,##0.00\)"/>
    <numFmt numFmtId="190" formatCode="0.00\x"/>
    <numFmt numFmtId="191" formatCode="0000"/>
    <numFmt numFmtId="192" formatCode="0.0\x"/>
    <numFmt numFmtId="193" formatCode="m/d/yy"/>
    <numFmt numFmtId="194" formatCode="0.000%"/>
    <numFmt numFmtId="195" formatCode="#,##0"/>
  </numFmts>
  <fonts count="4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i val="true"/>
      <sz val="12"/>
      <name val="Arial"/>
      <family val="2"/>
    </font>
    <font>
      <i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2"/>
      <color rgb="FFFF0000"/>
      <name val="Arial"/>
      <family val="2"/>
    </font>
    <font>
      <u val="singl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80"/>
      <name val="Arial"/>
      <family val="2"/>
    </font>
    <font>
      <i val="true"/>
      <sz val="10"/>
      <color rgb="FF000000"/>
      <name val="Arial"/>
      <family val="2"/>
    </font>
    <font>
      <i val="true"/>
      <sz val="10"/>
      <name val="Arial"/>
      <family val="2"/>
    </font>
    <font>
      <i val="true"/>
      <sz val="9"/>
      <color rgb="FF0000FF"/>
      <name val="Arial"/>
      <family val="2"/>
    </font>
    <font>
      <i val="true"/>
      <sz val="10"/>
      <color rgb="FF0000FF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name val="Arial"/>
      <family val="2"/>
    </font>
    <font>
      <b val="true"/>
      <u val="single"/>
      <sz val="10"/>
      <color rgb="FF0000FF"/>
      <name val="Arial"/>
      <family val="2"/>
    </font>
    <font>
      <i val="true"/>
      <u val="single"/>
      <sz val="10"/>
      <name val="Arial"/>
      <family val="2"/>
    </font>
    <font>
      <i val="true"/>
      <u val="single"/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b val="true"/>
      <u val="double"/>
      <sz val="12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u val="single"/>
      <sz val="8"/>
      <name val="Arial"/>
      <family val="2"/>
    </font>
    <font>
      <sz val="8"/>
      <color rgb="FF000000"/>
      <name val="CG Times (W1)"/>
      <family val="2"/>
    </font>
    <font>
      <b val="true"/>
      <i val="true"/>
      <sz val="10"/>
      <color rgb="FF000000"/>
      <name val="Arial"/>
      <family val="2"/>
    </font>
    <font>
      <sz val="10"/>
      <color rgb="FFFFFFFF"/>
      <name val="Arial"/>
      <family val="2"/>
    </font>
    <font>
      <sz val="14"/>
      <name val="Arial"/>
      <family val="2"/>
    </font>
    <font>
      <i val="true"/>
      <sz val="10"/>
      <color rgb="FF000080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u val="double"/>
      <sz val="10"/>
      <name val="Arial"/>
      <family val="2"/>
    </font>
    <font>
      <b val="true"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C9CCC"/>
        <bgColor rgb="FFFF99CC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double"/>
      <bottom/>
      <diagonal/>
    </border>
    <border diagonalUp="false" diagonalDown="false">
      <left style="thin"/>
      <right style="thin"/>
      <top style="double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75" fontId="9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10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9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3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8" fontId="2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8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2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3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8" fontId="2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3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5" fillId="0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2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8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" fillId="2" borderId="4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" fillId="2" borderId="4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2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2" borderId="3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2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2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9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4" fillId="2" borderId="4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4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4" fillId="2" borderId="4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2" borderId="3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1" fillId="2" borderId="4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24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1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2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24" fillId="0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8" fontId="24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8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8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4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28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8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28" fillId="2" borderId="4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2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8" fillId="2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28" fillId="2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2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2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8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4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3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2" borderId="4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8" fillId="2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2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8" fillId="2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3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" fillId="2" borderId="4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2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43" fillId="0" borderId="3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3" fillId="0" borderId="4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3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7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73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4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73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2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8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6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6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2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4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2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94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46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94" fontId="2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8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7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6" xfId="15" applyFont="true" applyBorder="true" applyAlignment="true" applyProtection="true">
      <alignment horizontal="left" vertical="bottom" textRotation="0" wrapText="false" indent="3" shrinkToFit="false"/>
      <protection locked="true" hidden="false"/>
    </xf>
    <xf numFmtId="168" fontId="24" fillId="0" borderId="46" xfId="15" applyFont="true" applyBorder="true" applyAlignment="true" applyProtection="true">
      <alignment horizontal="left" vertical="bottom" textRotation="0" wrapText="false" indent="3" shrinkToFit="false"/>
      <protection locked="true" hidden="false"/>
    </xf>
    <xf numFmtId="168" fontId="24" fillId="0" borderId="46" xfId="15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8" fontId="24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6" xfId="15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6" fontId="24" fillId="0" borderId="4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4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6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8" fontId="4" fillId="0" borderId="44" xfId="15" applyFont="true" applyBorder="true" applyAlignment="true" applyProtection="true">
      <alignment horizontal="left" vertical="bottom" textRotation="0" wrapText="false" indent="3" shrinkToFit="false"/>
      <protection locked="true" hidden="false"/>
    </xf>
    <xf numFmtId="166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46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8" fontId="24" fillId="0" borderId="46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9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6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4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5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5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46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71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6" xfId="19" applyFont="true" applyBorder="true" applyAlignment="true" applyProtection="true">
      <alignment horizontal="left" vertical="bottom" textRotation="0" wrapText="false" indent="5" shrinkToFit="false"/>
      <protection locked="true" hidden="false"/>
    </xf>
    <xf numFmtId="164" fontId="28" fillId="0" borderId="46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8" fontId="28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4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28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8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3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3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3" borderId="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" fillId="3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" fillId="3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4" xfId="2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1" fillId="3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3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2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93" fontId="1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5" fontId="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41" xfId="2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" fillId="0" borderId="2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5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nmaEcon" xfId="20"/>
    <cellStyle name="Normal_Portugal Pricing Model contd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961575445209431"/>
          <c:y val="0.0807232805941233"/>
          <c:w val="0.990384245547906"/>
          <c:h val="0.9192767194058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CF!$E$5:$AE$5</c:f>
              <c:strCache>
                <c:ptCount val="2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  <c:pt idx="24">
                  <c:v>2027</c:v>
                </c:pt>
                <c:pt idx="25">
                  <c:v>2028</c:v>
                </c:pt>
                <c:pt idx="26">
                  <c:v>2029</c:v>
                </c:pt>
              </c:strCache>
            </c:strRef>
          </c:cat>
          <c:val>
            <c:numRef>
              <c:f>CF!$E$75:$AE$75</c:f>
              <c:numCache>
                <c:formatCode>0.00\x</c:formatCode>
                <c:ptCount val="27"/>
                <c:pt idx="0">
                  <c:v>0.574133025235473</c:v>
                </c:pt>
                <c:pt idx="1">
                  <c:v>0.390670822580198</c:v>
                </c:pt>
                <c:pt idx="2">
                  <c:v>1.26412347865688</c:v>
                </c:pt>
                <c:pt idx="3">
                  <c:v>1.31268108999643</c:v>
                </c:pt>
                <c:pt idx="4">
                  <c:v>1.32498974531032</c:v>
                </c:pt>
                <c:pt idx="5">
                  <c:v>1.37650951586377</c:v>
                </c:pt>
                <c:pt idx="6">
                  <c:v>1.4090027359738</c:v>
                </c:pt>
                <c:pt idx="7">
                  <c:v>2.54026968392102</c:v>
                </c:pt>
                <c:pt idx="8">
                  <c:v>2.75035523476723</c:v>
                </c:pt>
                <c:pt idx="9">
                  <c:v>2.81457848367927</c:v>
                </c:pt>
                <c:pt idx="10">
                  <c:v>2.88658167502976</c:v>
                </c:pt>
                <c:pt idx="11">
                  <c:v>2.98998361796219</c:v>
                </c:pt>
              </c:numCache>
            </c:numRef>
          </c:val>
        </c:ser>
        <c:gapWidth val="0"/>
        <c:overlap val="0"/>
        <c:axId val="17770079"/>
        <c:axId val="68824501"/>
      </c:barChart>
      <c:catAx>
        <c:axId val="1777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CG Times (W1)"/>
              </a:defRPr>
            </a:pPr>
          </a:p>
        </c:txPr>
        <c:crossAx val="68824501"/>
        <c:crossesAt val="0"/>
        <c:auto val="1"/>
        <c:lblAlgn val="ctr"/>
        <c:lblOffset val="100"/>
        <c:noMultiLvlLbl val="0"/>
      </c:catAx>
      <c:valAx>
        <c:axId val="688245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\x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CG Times (W1)"/>
              </a:defRPr>
            </a:pPr>
          </a:p>
        </c:txPr>
        <c:crossAx val="1777007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32040</xdr:colOff>
          <xdr:row>1</xdr:row>
          <xdr:rowOff>28800</xdr:rowOff>
        </xdr:from>
        <xdr:to>
          <xdr:col>16</xdr:col>
          <xdr:colOff>169920</xdr:colOff>
          <xdr:row>3</xdr:row>
          <xdr:rowOff>95400</xdr:rowOff>
        </xdr:to>
        <xdr:sp>
          <xdr:nvSpPr>
            <xdr:cNvPr id="1001" name="Button 1" descr="PRINT MOD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MODEL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433800</xdr:colOff>
          <xdr:row>2</xdr:row>
          <xdr:rowOff>114480</xdr:rowOff>
        </xdr:from>
        <xdr:to>
          <xdr:col>26</xdr:col>
          <xdr:colOff>53280</xdr:colOff>
          <xdr:row>4</xdr:row>
          <xdr:rowOff>19440</xdr:rowOff>
        </xdr:to>
        <xdr:sp>
          <xdr:nvSpPr>
            <xdr:cNvPr id="1001" name="Button 2" descr="Calculation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Calculation Macro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84600</xdr:colOff>
          <xdr:row>20</xdr:row>
          <xdr:rowOff>38160</xdr:rowOff>
        </xdr:from>
        <xdr:to>
          <xdr:col>5</xdr:col>
          <xdr:colOff>-83880</xdr:colOff>
          <xdr:row>21</xdr:row>
          <xdr:rowOff>133200</xdr:rowOff>
        </xdr:to>
        <xdr:sp>
          <xdr:nvSpPr>
            <xdr:cNvPr id="1002" name="Button 71" descr="18% IR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18% IRR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116280</xdr:colOff>
      <xdr:row>76</xdr:row>
      <xdr:rowOff>9000</xdr:rowOff>
    </xdr:from>
    <xdr:to>
      <xdr:col>16</xdr:col>
      <xdr:colOff>751320</xdr:colOff>
      <xdr:row>82</xdr:row>
      <xdr:rowOff>9360</xdr:rowOff>
    </xdr:to>
    <xdr:graphicFrame>
      <xdr:nvGraphicFramePr>
        <xdr:cNvPr id="0" name="Chart 1"/>
        <xdr:cNvGraphicFramePr/>
      </xdr:nvGraphicFramePr>
      <xdr:xfrm>
        <a:off x="4166280" y="12467880"/>
        <a:ext cx="9359280" cy="11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<Relationship Id="rId5" Type="http://schemas.openxmlformats.org/officeDocument/2006/relationships/ctrlProp" Target="../ctrlProps/ctrlProps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21.15"/>
    <col collapsed="false" customWidth="true" hidden="false" outlineLevel="0" max="2" min="2" style="1" width="4.82"/>
    <col collapsed="false" customWidth="true" hidden="false" outlineLevel="0" max="3" min="3" style="1" width="1.99"/>
    <col collapsed="false" customWidth="false" hidden="false" outlineLevel="0" max="257" min="4" style="1" width="9.32"/>
  </cols>
  <sheetData>
    <row r="1" customFormat="false" ht="15.75" hidden="false" customHeight="false" outlineLevel="0" collapsed="false">
      <c r="A1" s="2" t="str">
        <f aca="false">+Assumpt!$A$1</f>
        <v>Panama Regas Terminal</v>
      </c>
      <c r="B1" s="3"/>
      <c r="C1" s="3"/>
      <c r="D1" s="4"/>
      <c r="M1" s="5" t="s">
        <v>0</v>
      </c>
    </row>
    <row r="2" customFormat="false" ht="15.75" hidden="false" customHeight="false" outlineLevel="0" collapsed="false">
      <c r="A2" s="6" t="str">
        <f aca="false">+Assumpt!A2</f>
        <v>Enron International</v>
      </c>
      <c r="B2" s="7"/>
      <c r="C2" s="7"/>
      <c r="D2" s="8"/>
      <c r="M2" s="9" t="s">
        <v>1</v>
      </c>
    </row>
    <row r="3" customFormat="false" ht="16.5" hidden="false" customHeight="false" outlineLevel="0" collapsed="false">
      <c r="A3" s="10" t="s">
        <v>2</v>
      </c>
      <c r="B3" s="11"/>
      <c r="C3" s="11"/>
      <c r="D3" s="12"/>
      <c r="M3" s="9" t="s">
        <v>3</v>
      </c>
    </row>
    <row r="4" customFormat="false" ht="15.75" hidden="false" customHeight="false" outlineLevel="0" collapsed="false">
      <c r="A4" s="13"/>
      <c r="B4" s="14"/>
      <c r="C4" s="14"/>
      <c r="D4" s="14"/>
      <c r="M4" s="9" t="s">
        <v>4</v>
      </c>
    </row>
    <row r="5" customFormat="false" ht="12.75" hidden="false" customHeight="false" outlineLevel="0" collapsed="false">
      <c r="B5" s="14"/>
      <c r="C5" s="14"/>
      <c r="D5" s="14"/>
    </row>
    <row r="6" customFormat="false" ht="15.75" hidden="false" customHeight="false" outlineLevel="0" collapsed="false">
      <c r="A6" s="13"/>
      <c r="B6" s="14"/>
      <c r="C6" s="14"/>
      <c r="D6" s="14"/>
    </row>
    <row r="7" customFormat="false" ht="15.75" hidden="false" customHeight="false" outlineLevel="0" collapsed="false">
      <c r="A7" s="13"/>
      <c r="B7" s="14"/>
      <c r="C7" s="14"/>
      <c r="D7" s="14"/>
    </row>
    <row r="8" customFormat="false" ht="15.75" hidden="false" customHeight="false" outlineLevel="0" collapsed="false">
      <c r="A8" s="13"/>
      <c r="B8" s="14"/>
      <c r="C8" s="14"/>
      <c r="D8" s="14"/>
    </row>
    <row r="9" customFormat="false" ht="15.75" hidden="false" customHeight="false" outlineLevel="0" collapsed="false">
      <c r="A9" s="13"/>
      <c r="B9" s="14"/>
      <c r="C9" s="14"/>
      <c r="D9" s="14"/>
    </row>
    <row r="10" customFormat="false" ht="12.75" hidden="false" customHeight="false" outlineLevel="0" collapsed="false">
      <c r="N10" s="1" t="s">
        <v>5</v>
      </c>
      <c r="P10" s="15" t="s">
        <v>6</v>
      </c>
    </row>
    <row r="11" customFormat="false" ht="18.75" hidden="false" customHeight="true" outlineLevel="0" collapsed="false">
      <c r="F11" s="1" t="str">
        <f aca="false">UPPER(Assumpt!A3)</f>
        <v>ASSUMPTIONS</v>
      </c>
      <c r="K11" s="16" t="n">
        <v>2</v>
      </c>
      <c r="N11" s="16" t="n">
        <v>1</v>
      </c>
      <c r="P11" s="17" t="n">
        <v>1</v>
      </c>
    </row>
    <row r="12" customFormat="false" ht="4.5" hidden="false" customHeight="true" outlineLevel="0" collapsed="false">
      <c r="N12" s="16"/>
      <c r="P12" s="17"/>
    </row>
    <row r="13" customFormat="false" ht="18.75" hidden="false" customHeight="true" outlineLevel="0" collapsed="false">
      <c r="F13" s="15" t="str">
        <f aca="false">UPPER(CF!A3)</f>
        <v>NET INCOME AND CASH FLOW</v>
      </c>
      <c r="K13" s="1" t="n">
        <f aca="false">+K11+N11</f>
        <v>3</v>
      </c>
      <c r="N13" s="16" t="n">
        <v>1</v>
      </c>
      <c r="P13" s="17" t="n">
        <v>1</v>
      </c>
    </row>
    <row r="14" customFormat="false" ht="4.5" hidden="false" customHeight="true" outlineLevel="0" collapsed="false">
      <c r="N14" s="16"/>
      <c r="P14" s="17"/>
    </row>
    <row r="15" customFormat="false" ht="18.75" hidden="false" customHeight="true" outlineLevel="0" collapsed="false">
      <c r="F15" s="15" t="str">
        <f aca="false">UPPER(Ret!A3)</f>
        <v>PROJECT &amp; ENRON RETURNS</v>
      </c>
      <c r="K15" s="1" t="n">
        <f aca="false">+K13+N13</f>
        <v>4</v>
      </c>
      <c r="N15" s="16" t="n">
        <v>1</v>
      </c>
      <c r="P15" s="17" t="n">
        <v>1</v>
      </c>
    </row>
    <row r="16" customFormat="false" ht="4.5" hidden="false" customHeight="true" outlineLevel="0" collapsed="false">
      <c r="N16" s="16"/>
      <c r="P16" s="17"/>
    </row>
    <row r="17" customFormat="false" ht="18.75" hidden="false" customHeight="true" outlineLevel="0" collapsed="false">
      <c r="F17" s="15" t="str">
        <f aca="false">UPPER(Debt!A3)</f>
        <v>DEBT SERVICE</v>
      </c>
      <c r="K17" s="1" t="n">
        <f aca="false">+K15+N15</f>
        <v>5</v>
      </c>
      <c r="N17" s="16" t="n">
        <v>1</v>
      </c>
      <c r="P17" s="17" t="n">
        <v>1</v>
      </c>
    </row>
    <row r="18" customFormat="false" ht="4.5" hidden="false" customHeight="true" outlineLevel="0" collapsed="false">
      <c r="N18" s="16"/>
      <c r="P18" s="17"/>
    </row>
    <row r="19" customFormat="false" ht="18.75" hidden="false" customHeight="true" outlineLevel="0" collapsed="false">
      <c r="F19" s="15" t="str">
        <f aca="false">UPPER(IDC!A3)</f>
        <v>INTEREST DURING CONSTRUCTION</v>
      </c>
      <c r="K19" s="1" t="n">
        <f aca="false">+K17+N17</f>
        <v>6</v>
      </c>
      <c r="N19" s="16" t="n">
        <v>2</v>
      </c>
      <c r="P19" s="17" t="n">
        <v>1</v>
      </c>
    </row>
    <row r="20" customFormat="false" ht="4.5" hidden="false" customHeight="true" outlineLevel="0" collapsed="false">
      <c r="N20" s="16"/>
      <c r="P20" s="17"/>
    </row>
    <row r="21" customFormat="false" ht="18.75" hidden="false" customHeight="true" outlineLevel="0" collapsed="false">
      <c r="F21" s="15" t="str">
        <f aca="false">UPPER('Depn&amp;Tax'!A3)</f>
        <v>DEPRECIATION AND TAXES</v>
      </c>
      <c r="K21" s="1" t="n">
        <f aca="false">+K19+N19</f>
        <v>8</v>
      </c>
      <c r="N21" s="16" t="n">
        <v>1</v>
      </c>
      <c r="P21" s="17" t="n">
        <v>1</v>
      </c>
    </row>
    <row r="22" customFormat="false" ht="4.5" hidden="false" customHeight="true" outlineLevel="0" collapsed="false">
      <c r="N22" s="16"/>
      <c r="P22" s="17"/>
    </row>
    <row r="23" customFormat="false" ht="18.75" hidden="false" customHeight="true" outlineLevel="0" collapsed="false">
      <c r="F23" s="18" t="s">
        <v>7</v>
      </c>
      <c r="K23" s="1" t="n">
        <f aca="false">+K21+N21</f>
        <v>9</v>
      </c>
      <c r="N23" s="16" t="n">
        <v>1</v>
      </c>
      <c r="P23" s="17" t="n">
        <v>1</v>
      </c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3.PrintAll">
                <anchor moveWithCells="true" sizeWithCells="false">
                  <from>
                    <xdr:col>14</xdr:col>
                    <xdr:colOff>32040</xdr:colOff>
                    <xdr:row>1</xdr:row>
                    <xdr:rowOff>28800</xdr:rowOff>
                  </from>
                  <to>
                    <xdr:col>16</xdr:col>
                    <xdr:colOff>169920</xdr:colOff>
                    <xdr:row>3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7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9" width="13.49"/>
    <col collapsed="false" customWidth="true" hidden="false" outlineLevel="0" max="2" min="2" style="19" width="13.99"/>
    <col collapsed="false" customWidth="true" hidden="false" outlineLevel="0" max="3" min="3" style="19" width="11.15"/>
    <col collapsed="false" customWidth="true" hidden="false" outlineLevel="0" max="4" min="4" style="19" width="14.49"/>
    <col collapsed="false" customWidth="true" hidden="false" outlineLevel="0" max="5" min="5" style="19" width="17.32"/>
    <col collapsed="false" customWidth="true" hidden="false" outlineLevel="0" max="6" min="6" style="19" width="2.99"/>
    <col collapsed="false" customWidth="true" hidden="false" outlineLevel="0" max="7" min="7" style="19" width="22.99"/>
    <col collapsed="false" customWidth="true" hidden="false" outlineLevel="0" max="8" min="8" style="19" width="11.99"/>
    <col collapsed="false" customWidth="true" hidden="false" outlineLevel="0" max="9" min="9" style="19" width="11.82"/>
    <col collapsed="false" customWidth="true" hidden="false" outlineLevel="0" max="10" min="10" style="19" width="12.49"/>
    <col collapsed="false" customWidth="true" hidden="false" outlineLevel="0" max="11" min="11" style="19" width="13.15"/>
    <col collapsed="false" customWidth="true" hidden="false" outlineLevel="0" max="12" min="12" style="19" width="13.65"/>
    <col collapsed="false" customWidth="true" hidden="false" outlineLevel="0" max="13" min="13" style="19" width="3.65"/>
    <col collapsed="false" customWidth="true" hidden="false" outlineLevel="0" max="14" min="14" style="19" width="18.49"/>
    <col collapsed="false" customWidth="false" hidden="false" outlineLevel="0" max="15" min="15" style="19" width="9.32"/>
    <col collapsed="false" customWidth="true" hidden="false" outlineLevel="0" max="16" min="16" style="19" width="15.15"/>
    <col collapsed="false" customWidth="false" hidden="false" outlineLevel="0" max="17" min="17" style="19" width="9.32"/>
    <col collapsed="false" customWidth="true" hidden="false" outlineLevel="0" max="18" min="18" style="19" width="11.65"/>
    <col collapsed="false" customWidth="true" hidden="false" outlineLevel="0" max="19" min="19" style="19" width="17.65"/>
    <col collapsed="false" customWidth="true" hidden="false" outlineLevel="0" max="20" min="20" style="19" width="14.99"/>
    <col collapsed="false" customWidth="true" hidden="false" outlineLevel="0" max="21" min="21" style="19" width="12.49"/>
    <col collapsed="false" customWidth="false" hidden="false" outlineLevel="0" max="22" min="22" style="19" width="9.32"/>
    <col collapsed="false" customWidth="true" hidden="false" outlineLevel="0" max="23" min="23" style="19" width="16.82"/>
    <col collapsed="false" customWidth="true" hidden="false" outlineLevel="0" max="24" min="24" style="19" width="13.82"/>
    <col collapsed="false" customWidth="true" hidden="false" outlineLevel="0" max="26" min="25" style="19" width="11.99"/>
    <col collapsed="false" customWidth="true" hidden="false" outlineLevel="0" max="27" min="27" style="19" width="11.49"/>
    <col collapsed="false" customWidth="true" hidden="false" outlineLevel="0" max="28" min="28" style="19" width="13.82"/>
    <col collapsed="false" customWidth="false" hidden="false" outlineLevel="0" max="257" min="29" style="19" width="9.32"/>
  </cols>
  <sheetData>
    <row r="1" customFormat="false" ht="15.75" hidden="false" customHeight="false" outlineLevel="0" collapsed="false">
      <c r="A1" s="2" t="s">
        <v>8</v>
      </c>
      <c r="B1" s="3"/>
      <c r="C1" s="3"/>
      <c r="D1" s="4"/>
      <c r="F1" s="20"/>
      <c r="G1" s="21" t="str">
        <f aca="false">IF(BS!AF28=0," ","BALANCE SHEET DOESN'T BALANCE")</f>
        <v> </v>
      </c>
      <c r="H1" s="22"/>
      <c r="I1" s="23"/>
      <c r="J1" s="23"/>
      <c r="K1" s="24" t="str">
        <f aca="false">IF(BS!AF46&gt;1,"CHECK INCOME STATEMENT"," ")</f>
        <v> </v>
      </c>
      <c r="L1" s="24"/>
      <c r="M1" s="21"/>
      <c r="N1" s="21" t="str">
        <f aca="false">IF(AC14=0," ","RUN CALCULATION MACRO")</f>
        <v> </v>
      </c>
      <c r="O1" s="21"/>
      <c r="P1" s="21"/>
      <c r="Q1" s="21"/>
      <c r="R1" s="21"/>
      <c r="S1" s="21"/>
      <c r="AD1" s="25"/>
      <c r="AF1" s="26"/>
      <c r="AG1" s="26"/>
      <c r="AH1" s="26"/>
      <c r="AI1" s="26"/>
      <c r="AJ1" s="26"/>
      <c r="AK1" s="26"/>
      <c r="AL1" s="26"/>
      <c r="AM1" s="26"/>
    </row>
    <row r="2" customFormat="false" ht="16.5" hidden="false" customHeight="false" outlineLevel="0" collapsed="false">
      <c r="A2" s="6" t="s">
        <v>9</v>
      </c>
      <c r="B2" s="7"/>
      <c r="C2" s="7"/>
      <c r="D2" s="8"/>
      <c r="E2" s="27"/>
      <c r="F2" s="27"/>
      <c r="G2" s="28" t="str">
        <f aca="false">+IF(OR(ABS(IDC!$AM$16-1)&gt;0.5,ABS(IDC!$AM$14+IDC!$AM$43-Assumpt!$S$58)&gt;0.6,ABS(IDC!$AM$22+estidc*eqamt-$S$7)&gt;0.5,ABS(IDC!$AM$25+estidc*debtamt-Assumpt!$S$6)&gt;0.5),"ERROR: Drawdown"," ")</f>
        <v> </v>
      </c>
      <c r="H2" s="21" t="str">
        <f aca="false">IF(OR(ABS(IDC!$AM$47-1)&gt;0.01,ABS(IDC!$AM$48-1)&gt;0.01),"ERROR: Drawdown"," ")</f>
        <v> </v>
      </c>
      <c r="I2" s="29"/>
      <c r="J2" s="21"/>
      <c r="K2" s="30"/>
      <c r="L2" s="21"/>
      <c r="M2" s="21"/>
      <c r="N2" s="21"/>
      <c r="O2" s="21"/>
      <c r="P2" s="21"/>
      <c r="Q2" s="21"/>
      <c r="R2" s="21"/>
      <c r="S2" s="21"/>
      <c r="AD2" s="25"/>
      <c r="AF2" s="26"/>
      <c r="AG2" s="26"/>
      <c r="AH2" s="26"/>
      <c r="AI2" s="26"/>
      <c r="AJ2" s="26"/>
      <c r="AK2" s="26"/>
      <c r="AL2" s="26"/>
      <c r="AM2" s="26"/>
    </row>
    <row r="3" customFormat="false" ht="17.25" hidden="false" customHeight="false" outlineLevel="0" collapsed="false">
      <c r="A3" s="10" t="s">
        <v>10</v>
      </c>
      <c r="B3" s="11"/>
      <c r="C3" s="11"/>
      <c r="D3" s="12"/>
      <c r="E3" s="14"/>
      <c r="F3" s="27"/>
      <c r="G3" s="21"/>
      <c r="H3" s="27"/>
      <c r="I3" s="29"/>
      <c r="J3" s="21"/>
      <c r="K3" s="30"/>
      <c r="L3" s="21"/>
      <c r="M3" s="21"/>
      <c r="N3" s="21"/>
      <c r="O3" s="21"/>
      <c r="P3" s="21"/>
      <c r="Q3" s="21"/>
      <c r="R3" s="21"/>
      <c r="S3" s="21"/>
      <c r="W3" s="31" t="s">
        <v>11</v>
      </c>
      <c r="X3" s="32"/>
      <c r="Y3" s="32"/>
      <c r="Z3" s="32"/>
      <c r="AA3" s="33"/>
    </row>
    <row r="4" customFormat="false" ht="15" hidden="false" customHeight="true" outlineLevel="0" collapsed="false">
      <c r="A4" s="1"/>
      <c r="D4" s="21"/>
      <c r="E4" s="21"/>
      <c r="F4" s="21"/>
      <c r="G4" s="21" t="str">
        <f aca="false">IF(ABS(Debt!AF52-Assumpt!Y10)&gt;1,"CHECK DEBT SERVICE"," ")</f>
        <v> </v>
      </c>
      <c r="H4" s="34" t="str">
        <f aca="false">IF(CF!E79&lt;1.295,"CHECK COVERAGES"," ")</f>
        <v>CHECK COVERAGES</v>
      </c>
      <c r="I4" s="35"/>
      <c r="J4" s="36"/>
      <c r="K4" s="37"/>
      <c r="L4" s="37"/>
      <c r="M4" s="23"/>
      <c r="N4" s="38"/>
      <c r="O4" s="30"/>
      <c r="P4" s="21"/>
      <c r="Q4" s="21"/>
      <c r="R4" s="21"/>
      <c r="S4" s="21"/>
      <c r="W4" s="39" t="s">
        <v>12</v>
      </c>
      <c r="X4" s="40"/>
      <c r="Y4" s="40"/>
      <c r="Z4" s="40"/>
      <c r="AA4" s="41"/>
      <c r="AK4" s="42"/>
      <c r="AL4" s="43"/>
      <c r="AM4" s="44"/>
      <c r="AN4" s="44"/>
    </row>
    <row r="5" customFormat="false" ht="15" hidden="false" customHeight="true" outlineLevel="0" collapsed="false">
      <c r="A5" s="45" t="s">
        <v>13</v>
      </c>
      <c r="B5" s="46"/>
      <c r="C5" s="47"/>
      <c r="D5" s="47"/>
      <c r="E5" s="48"/>
      <c r="G5" s="45" t="s">
        <v>14</v>
      </c>
      <c r="H5" s="49"/>
      <c r="I5" s="47"/>
      <c r="J5" s="47"/>
      <c r="K5" s="47"/>
      <c r="L5" s="48"/>
      <c r="N5" s="45" t="s">
        <v>15</v>
      </c>
      <c r="O5" s="50"/>
      <c r="P5" s="49"/>
      <c r="Q5" s="51"/>
      <c r="R5" s="47"/>
      <c r="S5" s="52"/>
      <c r="W5" s="53"/>
      <c r="X5" s="54"/>
      <c r="Y5" s="55" t="s">
        <v>16</v>
      </c>
      <c r="Z5" s="55" t="s">
        <v>17</v>
      </c>
      <c r="AA5" s="56" t="s">
        <v>18</v>
      </c>
      <c r="AK5" s="57"/>
      <c r="AL5" s="57"/>
      <c r="AM5" s="57"/>
      <c r="AN5" s="57"/>
    </row>
    <row r="6" customFormat="false" ht="15" hidden="false" customHeight="true" outlineLevel="0" collapsed="false">
      <c r="A6" s="58" t="s">
        <v>19</v>
      </c>
      <c r="B6" s="40"/>
      <c r="C6" s="14"/>
      <c r="D6" s="59"/>
      <c r="E6" s="60" t="n">
        <v>1048414.98559078</v>
      </c>
      <c r="F6" s="61"/>
      <c r="G6" s="62" t="s">
        <v>20</v>
      </c>
      <c r="H6" s="40"/>
      <c r="I6" s="40"/>
      <c r="J6" s="63"/>
      <c r="K6" s="63"/>
      <c r="L6" s="64" t="n">
        <v>0.05</v>
      </c>
      <c r="N6" s="58" t="s">
        <v>21</v>
      </c>
      <c r="O6" s="40"/>
      <c r="P6" s="65"/>
      <c r="Q6" s="66" t="n">
        <v>0.75</v>
      </c>
      <c r="R6" s="67"/>
      <c r="S6" s="68" t="n">
        <f aca="false">+estcost*$Q$6</f>
        <v>127536.680159271</v>
      </c>
      <c r="T6" s="1"/>
      <c r="W6" s="53" t="s">
        <v>22</v>
      </c>
      <c r="X6" s="40"/>
      <c r="Y6" s="69" t="n">
        <v>18315.6491983117</v>
      </c>
      <c r="Z6" s="57" t="n">
        <f aca="false">+IDC!C45</f>
        <v>18315.5645774126</v>
      </c>
      <c r="AA6" s="70" t="n">
        <f aca="false">ABS(+Y6-Z6)</f>
        <v>0.0846208991351887</v>
      </c>
      <c r="AK6" s="57"/>
      <c r="AL6" s="57"/>
      <c r="AM6" s="57"/>
      <c r="AN6" s="57"/>
    </row>
    <row r="7" customFormat="false" ht="15" hidden="false" customHeight="true" outlineLevel="0" collapsed="false">
      <c r="A7" s="71" t="s">
        <v>23</v>
      </c>
      <c r="B7" s="40"/>
      <c r="C7" s="14"/>
      <c r="D7" s="55"/>
      <c r="E7" s="72" t="n">
        <v>52.05</v>
      </c>
      <c r="G7" s="62" t="s">
        <v>24</v>
      </c>
      <c r="H7" s="40"/>
      <c r="I7" s="40"/>
      <c r="J7" s="63"/>
      <c r="K7" s="63"/>
      <c r="L7" s="64" t="n">
        <v>0.03</v>
      </c>
      <c r="N7" s="58" t="s">
        <v>25</v>
      </c>
      <c r="O7" s="40"/>
      <c r="P7" s="65"/>
      <c r="Q7" s="73" t="n">
        <f aca="false">+Q8-Q6</f>
        <v>0.25</v>
      </c>
      <c r="R7" s="67"/>
      <c r="S7" s="74" t="n">
        <f aca="false">+Q7*estcost</f>
        <v>42512.2267197572</v>
      </c>
      <c r="U7" s="75"/>
      <c r="W7" s="76" t="s">
        <v>26</v>
      </c>
      <c r="X7" s="40"/>
      <c r="Y7" s="69" t="n">
        <v>170048.906879029</v>
      </c>
      <c r="Z7" s="57" t="n">
        <f aca="false">+$S$58</f>
        <v>170049.239554269</v>
      </c>
      <c r="AA7" s="70" t="n">
        <f aca="false">ABS(+Y7-Z7)</f>
        <v>0.332675240293611</v>
      </c>
      <c r="AD7" s="77"/>
      <c r="AE7" s="77"/>
      <c r="AK7" s="57"/>
      <c r="AL7" s="57"/>
      <c r="AM7" s="57"/>
      <c r="AN7" s="57"/>
    </row>
    <row r="8" customFormat="false" ht="15" hidden="false" customHeight="true" outlineLevel="0" collapsed="false">
      <c r="A8" s="71" t="s">
        <v>27</v>
      </c>
      <c r="E8" s="60" t="n">
        <v>1070</v>
      </c>
      <c r="G8" s="62" t="s">
        <v>28</v>
      </c>
      <c r="H8" s="14"/>
      <c r="I8" s="14"/>
      <c r="J8" s="14"/>
      <c r="K8" s="14"/>
      <c r="L8" s="78" t="n">
        <v>25</v>
      </c>
      <c r="N8" s="79" t="s">
        <v>29</v>
      </c>
      <c r="O8" s="80"/>
      <c r="P8" s="80"/>
      <c r="Q8" s="81" t="n">
        <v>1</v>
      </c>
      <c r="R8" s="80"/>
      <c r="S8" s="82" t="n">
        <f aca="false">+SUM(S6:S7)</f>
        <v>170048.906879029</v>
      </c>
      <c r="W8" s="53"/>
      <c r="X8" s="40"/>
      <c r="Y8" s="69" t="n">
        <v>0</v>
      </c>
      <c r="Z8" s="57" t="n">
        <v>0</v>
      </c>
      <c r="AA8" s="70" t="n">
        <f aca="false">ABS(+Y8-Z8)</f>
        <v>0</v>
      </c>
      <c r="AK8" s="57"/>
      <c r="AL8" s="57"/>
      <c r="AM8" s="57"/>
      <c r="AN8" s="57"/>
    </row>
    <row r="9" customFormat="false" ht="15" hidden="false" customHeight="true" outlineLevel="0" collapsed="false">
      <c r="A9" s="62" t="s">
        <v>30</v>
      </c>
      <c r="B9" s="40"/>
      <c r="C9" s="14"/>
      <c r="D9" s="59"/>
      <c r="E9" s="83" t="n">
        <f aca="false">+E6*E7</f>
        <v>54570000</v>
      </c>
      <c r="F9" s="67"/>
      <c r="G9" s="62" t="s">
        <v>31</v>
      </c>
      <c r="H9" s="1"/>
      <c r="I9" s="1"/>
      <c r="J9" s="1"/>
      <c r="K9" s="1"/>
      <c r="L9" s="78" t="n">
        <v>12</v>
      </c>
      <c r="N9" s="1"/>
      <c r="O9" s="1"/>
      <c r="P9" s="1"/>
      <c r="Q9" s="1"/>
      <c r="R9" s="1"/>
      <c r="S9" s="1"/>
      <c r="U9" s="84"/>
      <c r="W9" s="76" t="s">
        <v>32</v>
      </c>
      <c r="X9" s="40"/>
      <c r="Y9" s="69" t="n">
        <v>965.041846166408</v>
      </c>
      <c r="Z9" s="57" t="n">
        <f aca="false">IDC!B70</f>
        <v>965.041788978668</v>
      </c>
      <c r="AA9" s="70" t="n">
        <f aca="false">ABS(+Y9-Z9)</f>
        <v>5.71877393440445E-005</v>
      </c>
      <c r="AK9" s="57"/>
      <c r="AL9" s="57"/>
      <c r="AM9" s="57"/>
      <c r="AN9" s="57"/>
    </row>
    <row r="10" customFormat="false" ht="15" hidden="false" customHeight="true" outlineLevel="0" collapsed="false">
      <c r="A10" s="71" t="s">
        <v>33</v>
      </c>
      <c r="B10" s="40"/>
      <c r="C10" s="85" t="s">
        <v>34</v>
      </c>
      <c r="D10" s="59"/>
      <c r="E10" s="83" t="n">
        <f aca="false">+annvol/340</f>
        <v>160500</v>
      </c>
      <c r="F10" s="1"/>
      <c r="G10" s="58" t="s">
        <v>35</v>
      </c>
      <c r="H10" s="40"/>
      <c r="I10" s="40"/>
      <c r="J10" s="86"/>
      <c r="K10" s="63"/>
      <c r="L10" s="87" t="s">
        <v>36</v>
      </c>
      <c r="N10" s="88" t="s">
        <v>37</v>
      </c>
      <c r="O10" s="49"/>
      <c r="P10" s="47"/>
      <c r="Q10" s="47"/>
      <c r="R10" s="47"/>
      <c r="S10" s="52"/>
      <c r="W10" s="53" t="s">
        <v>38</v>
      </c>
      <c r="X10" s="40"/>
      <c r="Y10" s="69" t="n">
        <v>127536.97183587</v>
      </c>
      <c r="Z10" s="57" t="n">
        <f aca="false">+S6</f>
        <v>127536.680159271</v>
      </c>
      <c r="AA10" s="70" t="n">
        <f aca="false">ABS(+Y10-Z10)</f>
        <v>0.291676598397316</v>
      </c>
      <c r="AK10" s="57"/>
      <c r="AL10" s="57"/>
      <c r="AM10" s="57"/>
      <c r="AN10" s="57"/>
    </row>
    <row r="11" customFormat="false" ht="15" hidden="false" customHeight="true" outlineLevel="0" collapsed="false">
      <c r="A11" s="71" t="s">
        <v>39</v>
      </c>
      <c r="B11" s="40"/>
      <c r="C11" s="85" t="s">
        <v>34</v>
      </c>
      <c r="D11" s="59"/>
      <c r="E11" s="89" t="n">
        <f aca="false">+E10/E8</f>
        <v>150</v>
      </c>
      <c r="G11" s="58" t="s">
        <v>40</v>
      </c>
      <c r="H11" s="40"/>
      <c r="I11" s="40"/>
      <c r="J11" s="86"/>
      <c r="K11" s="63"/>
      <c r="L11" s="64" t="n">
        <v>0.3</v>
      </c>
      <c r="N11" s="58"/>
      <c r="O11" s="40"/>
      <c r="P11" s="40"/>
      <c r="Q11" s="40"/>
      <c r="R11" s="90"/>
      <c r="S11" s="91" t="s">
        <v>41</v>
      </c>
      <c r="W11" s="53" t="s">
        <v>42</v>
      </c>
      <c r="Y11" s="92" t="n">
        <v>0</v>
      </c>
      <c r="Z11" s="57" t="n">
        <v>0</v>
      </c>
      <c r="AA11" s="70" t="n">
        <f aca="false">ABS(+Y11-Z11)</f>
        <v>0</v>
      </c>
      <c r="AK11" s="57"/>
      <c r="AL11" s="57"/>
      <c r="AM11" s="57"/>
      <c r="AN11" s="57"/>
    </row>
    <row r="12" customFormat="false" ht="15" hidden="false" customHeight="true" outlineLevel="0" collapsed="false">
      <c r="A12" s="93" t="s">
        <v>43</v>
      </c>
      <c r="B12" s="40"/>
      <c r="C12" s="14"/>
      <c r="D12" s="94"/>
      <c r="E12" s="95"/>
      <c r="G12" s="62" t="s">
        <v>44</v>
      </c>
      <c r="H12" s="40"/>
      <c r="I12" s="40"/>
      <c r="J12" s="86"/>
      <c r="K12" s="63"/>
      <c r="L12" s="78" t="n">
        <v>5</v>
      </c>
      <c r="N12" s="96" t="s">
        <v>45</v>
      </c>
      <c r="O12" s="40"/>
      <c r="P12" s="40"/>
      <c r="Q12" s="40"/>
      <c r="R12" s="40"/>
      <c r="S12" s="68"/>
      <c r="W12" s="53" t="s">
        <v>42</v>
      </c>
      <c r="Y12" s="92" t="n">
        <v>0</v>
      </c>
      <c r="Z12" s="57" t="n">
        <v>0</v>
      </c>
      <c r="AA12" s="70" t="n">
        <f aca="false">ABS(+Y12-Z12)</f>
        <v>0</v>
      </c>
      <c r="AC12" s="97" t="s">
        <v>46</v>
      </c>
      <c r="AK12" s="57"/>
      <c r="AL12" s="57"/>
      <c r="AM12" s="57"/>
      <c r="AN12" s="57"/>
    </row>
    <row r="13" customFormat="false" ht="15" hidden="false" customHeight="true" outlineLevel="0" collapsed="false">
      <c r="A13" s="98" t="s">
        <v>47</v>
      </c>
      <c r="B13" s="11"/>
      <c r="C13" s="11"/>
      <c r="D13" s="99"/>
      <c r="E13" s="100" t="n">
        <v>1</v>
      </c>
      <c r="G13" s="62" t="s">
        <v>48</v>
      </c>
      <c r="H13" s="40"/>
      <c r="I13" s="101"/>
      <c r="J13" s="102"/>
      <c r="K13" s="103"/>
      <c r="L13" s="104" t="s">
        <v>49</v>
      </c>
      <c r="N13" s="105" t="s">
        <v>50</v>
      </c>
      <c r="O13" s="14"/>
      <c r="P13" s="14"/>
      <c r="Q13" s="14"/>
      <c r="R13" s="14"/>
      <c r="S13" s="106"/>
      <c r="W13" s="53" t="s">
        <v>42</v>
      </c>
      <c r="X13" s="1"/>
      <c r="Y13" s="107" t="n">
        <v>0</v>
      </c>
      <c r="Z13" s="57" t="n">
        <v>0</v>
      </c>
      <c r="AA13" s="70" t="n">
        <f aca="false">ABS(+Y13-Z13)</f>
        <v>0</v>
      </c>
      <c r="AC13" s="108" t="s">
        <v>51</v>
      </c>
      <c r="AK13" s="57"/>
      <c r="AL13" s="57"/>
      <c r="AM13" s="57"/>
      <c r="AN13" s="57"/>
    </row>
    <row r="14" customFormat="false" ht="15" hidden="false" customHeight="true" outlineLevel="0" collapsed="false">
      <c r="A14" s="1"/>
      <c r="B14" s="1"/>
      <c r="C14" s="1"/>
      <c r="D14" s="1"/>
      <c r="E14" s="1"/>
      <c r="G14" s="109" t="s">
        <v>52</v>
      </c>
      <c r="H14" s="1"/>
      <c r="I14" s="1"/>
      <c r="J14" s="1"/>
      <c r="K14" s="1"/>
      <c r="L14" s="64" t="n">
        <f aca="false">0.06/(1-0.06)</f>
        <v>0.0638297872340426</v>
      </c>
      <c r="N14" s="110" t="s">
        <v>53</v>
      </c>
      <c r="O14" s="14"/>
      <c r="P14" s="14"/>
      <c r="Q14" s="14"/>
      <c r="R14" s="111"/>
      <c r="S14" s="78" t="n">
        <f aca="false">131790-9900</f>
        <v>121890</v>
      </c>
      <c r="U14" s="84"/>
      <c r="W14" s="53" t="s">
        <v>42</v>
      </c>
      <c r="Y14" s="92" t="n">
        <v>0</v>
      </c>
      <c r="Z14" s="57" t="n">
        <v>0</v>
      </c>
      <c r="AA14" s="70" t="n">
        <f aca="false">ABS(+Y14-Z14)</f>
        <v>0</v>
      </c>
      <c r="AC14" s="112" t="n">
        <f aca="false">IF(ABS(SUM(AA6:AA15))&lt;1,0,1)</f>
        <v>0</v>
      </c>
      <c r="AK14" s="57"/>
      <c r="AL14" s="57"/>
      <c r="AM14" s="57"/>
      <c r="AN14" s="57"/>
    </row>
    <row r="15" customFormat="false" ht="15" hidden="false" customHeight="true" outlineLevel="0" collapsed="false">
      <c r="A15" s="113" t="s">
        <v>54</v>
      </c>
      <c r="B15" s="49"/>
      <c r="C15" s="47"/>
      <c r="D15" s="47"/>
      <c r="E15" s="52"/>
      <c r="G15" s="109" t="s">
        <v>55</v>
      </c>
      <c r="H15" s="1"/>
      <c r="I15" s="1"/>
      <c r="J15" s="1"/>
      <c r="K15" s="1"/>
      <c r="L15" s="64" t="n">
        <v>0</v>
      </c>
      <c r="N15" s="114" t="s">
        <v>42</v>
      </c>
      <c r="O15" s="14"/>
      <c r="P15" s="14"/>
      <c r="Q15" s="14"/>
      <c r="R15" s="107"/>
      <c r="S15" s="115" t="n">
        <v>0</v>
      </c>
      <c r="W15" s="116" t="s">
        <v>42</v>
      </c>
      <c r="X15" s="117"/>
      <c r="Y15" s="118" t="n">
        <v>0</v>
      </c>
      <c r="Z15" s="119" t="n">
        <v>0</v>
      </c>
      <c r="AA15" s="120" t="n">
        <f aca="false">ABS(+Y15-Z15)</f>
        <v>0</v>
      </c>
      <c r="AK15" s="57"/>
      <c r="AL15" s="57"/>
      <c r="AM15" s="57"/>
      <c r="AN15" s="57"/>
    </row>
    <row r="16" customFormat="false" ht="15" hidden="false" customHeight="true" outlineLevel="0" collapsed="false">
      <c r="A16" s="62" t="s">
        <v>56</v>
      </c>
      <c r="B16" s="40"/>
      <c r="C16" s="40"/>
      <c r="D16" s="40"/>
      <c r="E16" s="121" t="n">
        <v>36526</v>
      </c>
      <c r="G16" s="109" t="s">
        <v>57</v>
      </c>
      <c r="H16" s="40"/>
      <c r="I16" s="40"/>
      <c r="J16" s="63"/>
      <c r="K16" s="63"/>
      <c r="L16" s="64" t="n">
        <v>0.1</v>
      </c>
      <c r="N16" s="110" t="s">
        <v>58</v>
      </c>
      <c r="O16" s="14"/>
      <c r="P16" s="14"/>
      <c r="Q16" s="14"/>
      <c r="R16" s="107"/>
      <c r="S16" s="83" t="n">
        <f aca="false">SUM(S14:S15)</f>
        <v>121890</v>
      </c>
      <c r="T16" s="84"/>
      <c r="U16" s="84"/>
      <c r="W16" s="1"/>
      <c r="X16" s="1"/>
      <c r="Y16" s="122"/>
      <c r="Z16" s="123"/>
      <c r="AA16" s="122"/>
      <c r="AK16" s="57"/>
      <c r="AL16" s="57"/>
      <c r="AM16" s="57"/>
      <c r="AN16" s="57"/>
    </row>
    <row r="17" customFormat="false" ht="15" hidden="false" customHeight="true" outlineLevel="0" collapsed="false">
      <c r="A17" s="62" t="s">
        <v>59</v>
      </c>
      <c r="B17" s="40"/>
      <c r="C17" s="40"/>
      <c r="D17" s="124" t="n">
        <v>36</v>
      </c>
      <c r="E17" s="125" t="n">
        <f aca="false">+EDATE(startconst,D17)</f>
        <v>37622</v>
      </c>
      <c r="G17" s="109" t="s">
        <v>60</v>
      </c>
      <c r="H17" s="40"/>
      <c r="I17" s="40"/>
      <c r="J17" s="63"/>
      <c r="K17" s="63"/>
      <c r="L17" s="64" t="n">
        <v>0.4</v>
      </c>
      <c r="N17" s="105" t="s">
        <v>61</v>
      </c>
      <c r="O17" s="14"/>
      <c r="P17" s="14"/>
      <c r="Q17" s="14"/>
      <c r="R17" s="107"/>
      <c r="S17" s="106"/>
      <c r="W17" s="40"/>
      <c r="X17" s="40"/>
      <c r="Y17" s="126"/>
      <c r="Z17" s="63"/>
      <c r="AA17" s="122"/>
      <c r="AK17" s="57"/>
      <c r="AL17" s="57"/>
      <c r="AM17" s="57"/>
      <c r="AN17" s="57"/>
    </row>
    <row r="18" customFormat="false" ht="15" hidden="false" customHeight="true" outlineLevel="0" collapsed="false">
      <c r="A18" s="62" t="s">
        <v>62</v>
      </c>
      <c r="B18" s="40"/>
      <c r="C18" s="40"/>
      <c r="D18" s="124" t="n">
        <v>15</v>
      </c>
      <c r="E18" s="125" t="n">
        <f aca="false">+EDATE(E17,D18*12)</f>
        <v>43101</v>
      </c>
      <c r="G18" s="109" t="s">
        <v>63</v>
      </c>
      <c r="H18" s="40"/>
      <c r="I18" s="40"/>
      <c r="J18" s="63"/>
      <c r="K18" s="63"/>
      <c r="L18" s="64" t="n">
        <v>0.1</v>
      </c>
      <c r="N18" s="110" t="s">
        <v>64</v>
      </c>
      <c r="O18" s="14"/>
      <c r="P18" s="14"/>
      <c r="Q18" s="14"/>
      <c r="R18" s="107"/>
      <c r="S18" s="78" t="n">
        <v>0</v>
      </c>
      <c r="T18" s="67"/>
      <c r="U18" s="84"/>
      <c r="Y18" s="25"/>
      <c r="Z18" s="63"/>
      <c r="AA18" s="122"/>
      <c r="AK18" s="57"/>
      <c r="AL18" s="57"/>
      <c r="AM18" s="57"/>
      <c r="AN18" s="57"/>
    </row>
    <row r="19" customFormat="false" ht="15" hidden="false" customHeight="true" outlineLevel="0" collapsed="false">
      <c r="A19" s="127" t="s">
        <v>65</v>
      </c>
      <c r="B19" s="80"/>
      <c r="C19" s="80"/>
      <c r="D19" s="80"/>
      <c r="E19" s="128" t="s">
        <v>66</v>
      </c>
      <c r="G19" s="109" t="s">
        <v>67</v>
      </c>
      <c r="H19" s="40"/>
      <c r="I19" s="40"/>
      <c r="J19" s="63"/>
      <c r="K19" s="63"/>
      <c r="L19" s="78" t="n">
        <f aca="false">(45791*0.5/1000+0.05)*0+25</f>
        <v>25</v>
      </c>
      <c r="N19" s="110" t="s">
        <v>68</v>
      </c>
      <c r="O19" s="14"/>
      <c r="P19" s="14"/>
      <c r="Q19" s="14"/>
      <c r="R19" s="107"/>
      <c r="S19" s="78" t="n">
        <v>0</v>
      </c>
      <c r="U19" s="129"/>
      <c r="W19" s="1"/>
      <c r="X19" s="1"/>
      <c r="Y19" s="1"/>
      <c r="Z19" s="1"/>
      <c r="AA19" s="1"/>
      <c r="AI19" s="130"/>
      <c r="AK19" s="57"/>
      <c r="AL19" s="57"/>
      <c r="AM19" s="57"/>
      <c r="AN19" s="57"/>
    </row>
    <row r="20" customFormat="false" ht="15" hidden="false" customHeight="true" outlineLevel="0" collapsed="false">
      <c r="A20" s="1"/>
      <c r="B20" s="1"/>
      <c r="C20" s="1"/>
      <c r="D20" s="1"/>
      <c r="E20" s="1"/>
      <c r="G20" s="109" t="s">
        <v>69</v>
      </c>
      <c r="H20" s="40"/>
      <c r="I20" s="40"/>
      <c r="J20" s="63"/>
      <c r="K20" s="63"/>
      <c r="L20" s="64" t="n">
        <v>0.01</v>
      </c>
      <c r="N20" s="114" t="s">
        <v>70</v>
      </c>
      <c r="O20" s="14"/>
      <c r="P20" s="14"/>
      <c r="Q20" s="14"/>
      <c r="R20" s="131"/>
      <c r="S20" s="115" t="n">
        <v>0</v>
      </c>
      <c r="W20" s="132" t="s">
        <v>71</v>
      </c>
      <c r="X20" s="1"/>
      <c r="Y20" s="1"/>
      <c r="Z20" s="1"/>
      <c r="AA20" s="1"/>
      <c r="AB20" s="1"/>
      <c r="AK20" s="57"/>
      <c r="AL20" s="57"/>
      <c r="AM20" s="57"/>
      <c r="AN20" s="57"/>
    </row>
    <row r="21" customFormat="false" ht="15" hidden="false" customHeight="true" outlineLevel="0" collapsed="false">
      <c r="A21" s="45" t="s">
        <v>72</v>
      </c>
      <c r="B21" s="49"/>
      <c r="C21" s="133"/>
      <c r="D21" s="133"/>
      <c r="E21" s="134"/>
      <c r="G21" s="127"/>
      <c r="H21" s="80"/>
      <c r="I21" s="80"/>
      <c r="J21" s="135"/>
      <c r="K21" s="135"/>
      <c r="L21" s="136"/>
      <c r="N21" s="110" t="s">
        <v>73</v>
      </c>
      <c r="O21" s="14"/>
      <c r="P21" s="14"/>
      <c r="Q21" s="14"/>
      <c r="R21" s="107"/>
      <c r="S21" s="83" t="n">
        <f aca="false">SUM(S18:S20)</f>
        <v>0</v>
      </c>
      <c r="W21" s="1" t="s">
        <v>74</v>
      </c>
      <c r="X21" s="1"/>
      <c r="Y21" s="1"/>
      <c r="Z21" s="1"/>
      <c r="AA21" s="1"/>
      <c r="AB21" s="1"/>
      <c r="AK21" s="57"/>
      <c r="AL21" s="57"/>
      <c r="AM21" s="57"/>
      <c r="AN21" s="57"/>
    </row>
    <row r="22" customFormat="false" ht="15" hidden="false" customHeight="true" outlineLevel="0" collapsed="false">
      <c r="A22" s="58"/>
      <c r="B22" s="40"/>
      <c r="C22" s="137" t="n">
        <f aca="false">+YEAR(startconst)</f>
        <v>2000</v>
      </c>
      <c r="D22" s="137" t="n">
        <f aca="false">+YEAR(E17)</f>
        <v>2003</v>
      </c>
      <c r="E22" s="95"/>
      <c r="G22" s="1"/>
      <c r="H22" s="1"/>
      <c r="I22" s="1"/>
      <c r="J22" s="1"/>
      <c r="K22" s="1"/>
      <c r="L22" s="1"/>
      <c r="N22" s="138" t="s">
        <v>75</v>
      </c>
      <c r="O22" s="14"/>
      <c r="P22" s="14"/>
      <c r="Q22" s="14"/>
      <c r="R22" s="107"/>
      <c r="S22" s="139" t="n">
        <f aca="false">+S21+S16</f>
        <v>121890</v>
      </c>
      <c r="T22" s="25"/>
      <c r="W22" s="15" t="s">
        <v>76</v>
      </c>
      <c r="X22" s="1"/>
      <c r="Y22" s="1"/>
      <c r="Z22" s="1"/>
      <c r="AA22" s="1"/>
      <c r="AB22" s="1"/>
      <c r="AK22" s="57"/>
      <c r="AL22" s="57"/>
      <c r="AM22" s="57"/>
      <c r="AN22" s="57"/>
    </row>
    <row r="23" customFormat="false" ht="15" hidden="false" customHeight="true" outlineLevel="0" collapsed="false">
      <c r="A23" s="58" t="s">
        <v>77</v>
      </c>
      <c r="B23" s="40"/>
      <c r="C23" s="140" t="n">
        <f aca="false">+D23/(1+E23)^(D22-C22)</f>
        <v>1.78949972129392</v>
      </c>
      <c r="D23" s="141" t="n">
        <v>1.89903142023488</v>
      </c>
      <c r="E23" s="142" t="n">
        <v>0.02</v>
      </c>
      <c r="G23" s="143" t="s">
        <v>78</v>
      </c>
      <c r="H23" s="144"/>
      <c r="I23" s="145"/>
      <c r="J23" s="146" t="n">
        <v>0</v>
      </c>
      <c r="K23" s="145"/>
      <c r="L23" s="147"/>
      <c r="N23" s="138" t="s">
        <v>79</v>
      </c>
      <c r="O23" s="148"/>
      <c r="P23" s="148"/>
      <c r="Q23" s="148"/>
      <c r="R23" s="131"/>
      <c r="S23" s="149" t="n">
        <v>0</v>
      </c>
      <c r="W23" s="1" t="s">
        <v>80</v>
      </c>
      <c r="X23" s="1"/>
      <c r="Y23" s="1"/>
      <c r="Z23" s="1"/>
      <c r="AA23" s="1"/>
      <c r="AB23" s="1"/>
      <c r="AK23" s="57"/>
      <c r="AL23" s="57"/>
      <c r="AM23" s="57"/>
      <c r="AN23" s="57"/>
    </row>
    <row r="24" customFormat="false" ht="15" hidden="false" customHeight="true" outlineLevel="0" collapsed="false">
      <c r="A24" s="79"/>
      <c r="B24" s="80"/>
      <c r="C24" s="150"/>
      <c r="D24" s="151"/>
      <c r="E24" s="152"/>
      <c r="G24" s="58"/>
      <c r="H24" s="40"/>
      <c r="I24" s="14"/>
      <c r="J24" s="14" t="s">
        <v>81</v>
      </c>
      <c r="K24" s="14"/>
      <c r="L24" s="106"/>
      <c r="N24" s="153" t="s">
        <v>82</v>
      </c>
      <c r="O24" s="40"/>
      <c r="P24" s="40"/>
      <c r="Q24" s="40"/>
      <c r="R24" s="154"/>
      <c r="S24" s="155" t="n">
        <f aca="false">+S22+S23</f>
        <v>121890</v>
      </c>
      <c r="T24" s="84"/>
      <c r="W24" s="1"/>
      <c r="X24" s="1"/>
      <c r="Y24" s="1"/>
      <c r="Z24" s="1"/>
      <c r="AA24" s="1"/>
      <c r="AB24" s="1"/>
      <c r="AK24" s="57"/>
      <c r="AL24" s="57"/>
      <c r="AM24" s="57"/>
      <c r="AN24" s="57"/>
    </row>
    <row r="25" customFormat="false" ht="15" hidden="false" customHeight="true" outlineLevel="0" collapsed="false">
      <c r="G25" s="58"/>
      <c r="H25" s="40"/>
      <c r="I25" s="14"/>
      <c r="J25" s="14" t="s">
        <v>83</v>
      </c>
      <c r="K25" s="14"/>
      <c r="L25" s="106"/>
      <c r="N25" s="71" t="s">
        <v>84</v>
      </c>
      <c r="O25" s="40"/>
      <c r="P25" s="40"/>
      <c r="Q25" s="40"/>
      <c r="R25" s="156" t="n">
        <v>1</v>
      </c>
      <c r="S25" s="157" t="n">
        <f aca="false">$S$24*R25*L6</f>
        <v>6094.5</v>
      </c>
      <c r="W25" s="132" t="s">
        <v>85</v>
      </c>
      <c r="X25" s="1"/>
      <c r="Y25" s="1"/>
      <c r="Z25" s="1"/>
      <c r="AA25" s="1"/>
      <c r="AB25" s="1"/>
      <c r="AK25" s="57"/>
      <c r="AL25" s="57"/>
      <c r="AM25" s="57"/>
      <c r="AN25" s="57"/>
    </row>
    <row r="26" customFormat="false" ht="15" hidden="false" customHeight="true" outlineLevel="0" collapsed="false">
      <c r="A26" s="158" t="s">
        <v>86</v>
      </c>
      <c r="B26" s="159"/>
      <c r="C26" s="160"/>
      <c r="D26" s="133" t="s">
        <v>87</v>
      </c>
      <c r="E26" s="161" t="s">
        <v>88</v>
      </c>
      <c r="G26" s="79"/>
      <c r="H26" s="80"/>
      <c r="I26" s="11"/>
      <c r="J26" s="11" t="s">
        <v>89</v>
      </c>
      <c r="K26" s="11"/>
      <c r="L26" s="12"/>
      <c r="N26" s="71" t="s">
        <v>24</v>
      </c>
      <c r="O26" s="40"/>
      <c r="P26" s="40"/>
      <c r="Q26" s="40"/>
      <c r="R26" s="156" t="n">
        <v>1</v>
      </c>
      <c r="S26" s="157" t="n">
        <f aca="false">$S$24*R26*L7</f>
        <v>3656.7</v>
      </c>
      <c r="W26" s="1" t="s">
        <v>90</v>
      </c>
      <c r="X26" s="1"/>
      <c r="Y26" s="1"/>
      <c r="Z26" s="1"/>
      <c r="AA26" s="1"/>
      <c r="AK26" s="57"/>
      <c r="AL26" s="57"/>
      <c r="AM26" s="57"/>
      <c r="AN26" s="57"/>
    </row>
    <row r="27" customFormat="false" ht="15" hidden="false" customHeight="true" outlineLevel="0" collapsed="false">
      <c r="A27" s="162" t="s">
        <v>91</v>
      </c>
      <c r="B27" s="163" t="s">
        <v>92</v>
      </c>
      <c r="C27" s="164" t="n">
        <v>0.14</v>
      </c>
      <c r="D27" s="165" t="n">
        <f aca="false">+Ret!B17</f>
        <v>23059.0253910915</v>
      </c>
      <c r="E27" s="166" t="n">
        <f aca="false">+Ret!B29</f>
        <v>16868.0127218514</v>
      </c>
      <c r="G27" s="1"/>
      <c r="H27" s="1"/>
      <c r="I27" s="1"/>
      <c r="J27" s="1"/>
      <c r="K27" s="1"/>
      <c r="L27" s="1"/>
      <c r="N27" s="71" t="s">
        <v>93</v>
      </c>
      <c r="O27" s="14"/>
      <c r="P27" s="14"/>
      <c r="Q27" s="14"/>
      <c r="R27" s="167" t="n">
        <v>0.05</v>
      </c>
      <c r="S27" s="168" t="n">
        <f aca="false">+R27*SUM(S24:S25)</f>
        <v>6399.225</v>
      </c>
      <c r="W27" s="1" t="s">
        <v>94</v>
      </c>
      <c r="X27" s="1"/>
      <c r="Y27" s="1"/>
      <c r="Z27" s="1"/>
      <c r="AA27" s="1"/>
      <c r="AK27" s="57"/>
      <c r="AL27" s="57"/>
      <c r="AM27" s="57"/>
      <c r="AN27" s="57"/>
    </row>
    <row r="28" customFormat="false" ht="15" hidden="false" customHeight="true" outlineLevel="0" collapsed="false">
      <c r="A28" s="109" t="s">
        <v>95</v>
      </c>
      <c r="B28" s="14"/>
      <c r="C28" s="169"/>
      <c r="D28" s="169" t="n">
        <f aca="false">+Ret!B18</f>
        <v>0.192198510817184</v>
      </c>
      <c r="E28" s="170" t="n">
        <f aca="false">+Ret!B30</f>
        <v>0.180000243186976</v>
      </c>
      <c r="G28" s="88" t="s">
        <v>96</v>
      </c>
      <c r="H28" s="49"/>
      <c r="I28" s="47"/>
      <c r="J28" s="47"/>
      <c r="K28" s="145"/>
      <c r="L28" s="171"/>
      <c r="N28" s="172" t="s">
        <v>97</v>
      </c>
      <c r="O28" s="173"/>
      <c r="P28" s="174"/>
      <c r="Q28" s="174"/>
      <c r="R28" s="174"/>
      <c r="S28" s="175" t="n">
        <f aca="false">+SUM(S24:S27)</f>
        <v>138040.425</v>
      </c>
      <c r="W28" s="1"/>
      <c r="X28" s="1"/>
      <c r="Y28" s="1"/>
      <c r="Z28" s="1"/>
      <c r="AA28" s="1"/>
      <c r="AK28" s="57"/>
      <c r="AL28" s="57"/>
      <c r="AM28" s="57"/>
      <c r="AN28" s="57"/>
    </row>
    <row r="29" customFormat="false" ht="15" hidden="false" customHeight="true" outlineLevel="0" collapsed="false">
      <c r="A29" s="109" t="s">
        <v>98</v>
      </c>
      <c r="B29" s="14"/>
      <c r="C29" s="176"/>
      <c r="D29" s="176"/>
      <c r="E29" s="177" t="n">
        <f aca="false">-Ret!AL10</f>
        <v>-0</v>
      </c>
      <c r="G29" s="58"/>
      <c r="H29" s="40"/>
      <c r="I29" s="40"/>
      <c r="J29" s="178" t="s">
        <v>99</v>
      </c>
      <c r="K29" s="178" t="s">
        <v>100</v>
      </c>
      <c r="L29" s="179" t="s">
        <v>101</v>
      </c>
      <c r="N29" s="58"/>
      <c r="O29" s="40"/>
      <c r="P29" s="40"/>
      <c r="Q29" s="40"/>
      <c r="R29" s="40"/>
      <c r="S29" s="157"/>
      <c r="W29" s="1"/>
      <c r="X29" s="1"/>
      <c r="Y29" s="1"/>
      <c r="Z29" s="1"/>
      <c r="AA29" s="1"/>
      <c r="AK29" s="57"/>
      <c r="AL29" s="57"/>
      <c r="AM29" s="57"/>
      <c r="AN29" s="57"/>
    </row>
    <row r="30" customFormat="false" ht="15" hidden="false" customHeight="true" outlineLevel="0" collapsed="false">
      <c r="A30" s="162" t="s">
        <v>102</v>
      </c>
      <c r="B30" s="14"/>
      <c r="C30" s="180"/>
      <c r="D30" s="180"/>
      <c r="E30" s="181" t="n">
        <f aca="false">+CF!E78</f>
        <v>1.80282325908136</v>
      </c>
      <c r="G30" s="58"/>
      <c r="H30" s="182" t="s">
        <v>103</v>
      </c>
      <c r="I30" s="40"/>
      <c r="J30" s="183" t="n">
        <f aca="false">+S58-S52</f>
        <v>168782.793927069</v>
      </c>
      <c r="K30" s="124" t="n">
        <v>40</v>
      </c>
      <c r="L30" s="184" t="s">
        <v>104</v>
      </c>
      <c r="N30" s="58" t="s">
        <v>105</v>
      </c>
      <c r="O30" s="40"/>
      <c r="P30" s="40"/>
      <c r="Q30" s="40"/>
      <c r="R30" s="40"/>
      <c r="S30" s="185" t="n">
        <f aca="false">+Y6</f>
        <v>18315.6491983117</v>
      </c>
      <c r="W30" s="186"/>
      <c r="X30" s="40"/>
      <c r="Y30" s="40"/>
      <c r="Z30" s="40"/>
      <c r="AA30" s="40"/>
      <c r="AK30" s="57"/>
      <c r="AL30" s="57"/>
      <c r="AM30" s="57"/>
      <c r="AN30" s="57"/>
    </row>
    <row r="31" customFormat="false" ht="15" hidden="false" customHeight="true" outlineLevel="0" collapsed="false">
      <c r="A31" s="98" t="s">
        <v>106</v>
      </c>
      <c r="B31" s="187"/>
      <c r="C31" s="188"/>
      <c r="D31" s="188"/>
      <c r="E31" s="189" t="n">
        <f aca="false">+CF!E79</f>
        <v>0.390670822580198</v>
      </c>
      <c r="G31" s="58"/>
      <c r="H31" s="190" t="s">
        <v>107</v>
      </c>
      <c r="I31" s="40"/>
      <c r="J31" s="183" t="n">
        <f aca="false">+S58-S52</f>
        <v>168782.793927069</v>
      </c>
      <c r="K31" s="124" t="n">
        <v>20</v>
      </c>
      <c r="L31" s="184" t="s">
        <v>104</v>
      </c>
      <c r="N31" s="162" t="s">
        <v>108</v>
      </c>
      <c r="O31" s="14"/>
      <c r="P31" s="14"/>
      <c r="Q31" s="14"/>
      <c r="R31" s="40"/>
      <c r="S31" s="83" t="n">
        <f aca="false">+S30*G47*(L16/(1-L16))</f>
        <v>0</v>
      </c>
      <c r="W31" s="40"/>
      <c r="X31" s="40"/>
      <c r="Y31" s="40"/>
      <c r="Z31" s="40"/>
      <c r="AA31" s="40"/>
      <c r="AK31" s="57"/>
      <c r="AL31" s="57"/>
      <c r="AM31" s="57"/>
      <c r="AN31" s="57"/>
    </row>
    <row r="32" customFormat="false" ht="15" hidden="false" customHeight="true" outlineLevel="0" collapsed="false">
      <c r="A32" s="1"/>
      <c r="B32" s="1"/>
      <c r="C32" s="1"/>
      <c r="D32" s="1"/>
      <c r="E32" s="1"/>
      <c r="G32" s="79"/>
      <c r="H32" s="80"/>
      <c r="I32" s="80"/>
      <c r="J32" s="80"/>
      <c r="K32" s="80"/>
      <c r="L32" s="152"/>
      <c r="N32" s="58" t="s">
        <v>109</v>
      </c>
      <c r="O32" s="40"/>
      <c r="P32" s="40"/>
      <c r="Q32" s="40"/>
      <c r="R32" s="40"/>
      <c r="S32" s="157"/>
      <c r="AF32" s="130"/>
      <c r="AK32" s="57"/>
      <c r="AL32" s="57"/>
      <c r="AM32" s="57"/>
      <c r="AN32" s="57"/>
    </row>
    <row r="33" customFormat="false" ht="15" hidden="false" customHeight="true" outlineLevel="0" collapsed="false">
      <c r="A33" s="88" t="s">
        <v>110</v>
      </c>
      <c r="B33" s="50"/>
      <c r="C33" s="49"/>
      <c r="D33" s="145"/>
      <c r="E33" s="147"/>
      <c r="G33" s="1"/>
      <c r="H33" s="1"/>
      <c r="I33" s="1"/>
      <c r="J33" s="1"/>
      <c r="K33" s="1"/>
      <c r="L33" s="1"/>
      <c r="N33" s="58" t="s">
        <v>111</v>
      </c>
      <c r="O33" s="40"/>
      <c r="P33" s="40"/>
      <c r="Q33" s="40"/>
      <c r="R33" s="40"/>
      <c r="S33" s="78" t="n">
        <v>0</v>
      </c>
      <c r="AK33" s="57"/>
      <c r="AL33" s="57"/>
      <c r="AM33" s="57"/>
      <c r="AN33" s="57"/>
    </row>
    <row r="34" customFormat="false" ht="15" hidden="false" customHeight="true" outlineLevel="0" collapsed="false">
      <c r="A34" s="71" t="s">
        <v>112</v>
      </c>
      <c r="B34" s="40"/>
      <c r="C34" s="167" t="n">
        <v>0.02</v>
      </c>
      <c r="D34" s="40"/>
      <c r="E34" s="191"/>
      <c r="G34" s="192" t="s">
        <v>113</v>
      </c>
      <c r="H34" s="193"/>
      <c r="I34" s="144"/>
      <c r="J34" s="145"/>
      <c r="K34" s="145"/>
      <c r="L34" s="147"/>
      <c r="N34" s="62" t="s">
        <v>114</v>
      </c>
      <c r="O34" s="40"/>
      <c r="P34" s="14"/>
      <c r="Q34" s="194" t="n">
        <f aca="false">+L42</f>
        <v>0.015</v>
      </c>
      <c r="R34" s="40"/>
      <c r="S34" s="157" t="n">
        <f aca="false">+Q34*tranche1amt</f>
        <v>1913.05020238907</v>
      </c>
      <c r="T34" s="195"/>
      <c r="AK34" s="57"/>
      <c r="AL34" s="57"/>
      <c r="AM34" s="57"/>
      <c r="AN34" s="57"/>
    </row>
    <row r="35" customFormat="false" ht="15" hidden="false" customHeight="true" outlineLevel="0" collapsed="false">
      <c r="A35" s="71"/>
      <c r="B35" s="40"/>
      <c r="C35" s="196" t="n">
        <v>1999</v>
      </c>
      <c r="D35" s="40"/>
      <c r="E35" s="91" t="s">
        <v>115</v>
      </c>
      <c r="G35" s="197" t="s">
        <v>116</v>
      </c>
      <c r="H35" s="198"/>
      <c r="I35" s="199"/>
      <c r="J35" s="199"/>
      <c r="K35" s="199"/>
      <c r="L35" s="200" t="n">
        <f aca="false">(tranche1cost*tranche1amt+tranche2cost*tranche2amt+tranche3cost*tranche3amt)/estdebt</f>
        <v>0.0949997827353398</v>
      </c>
      <c r="N35" s="62" t="s">
        <v>117</v>
      </c>
      <c r="O35" s="14"/>
      <c r="P35" s="14"/>
      <c r="Q35" s="194" t="n">
        <f aca="false">+L51</f>
        <v>0.0175</v>
      </c>
      <c r="R35" s="40"/>
      <c r="S35" s="157" t="n">
        <f aca="false">+Q35*tranche2amt</f>
        <v>0</v>
      </c>
      <c r="AK35" s="57"/>
      <c r="AL35" s="57"/>
      <c r="AM35" s="57"/>
      <c r="AN35" s="57"/>
    </row>
    <row r="36" customFormat="false" ht="15" hidden="false" customHeight="true" outlineLevel="0" collapsed="false">
      <c r="A36" s="71" t="s">
        <v>118</v>
      </c>
      <c r="B36" s="40"/>
      <c r="C36" s="201" t="n">
        <v>6500</v>
      </c>
      <c r="D36" s="40"/>
      <c r="E36" s="184" t="n">
        <f aca="false">+cpi</f>
        <v>0.02</v>
      </c>
      <c r="G36" s="202" t="s">
        <v>119</v>
      </c>
      <c r="H36" s="203"/>
      <c r="I36" s="203"/>
      <c r="J36" s="203"/>
      <c r="K36" s="203"/>
      <c r="L36" s="204"/>
      <c r="N36" s="62" t="s">
        <v>120</v>
      </c>
      <c r="O36" s="14"/>
      <c r="P36" s="14"/>
      <c r="Q36" s="194" t="n">
        <f aca="false">+L60</f>
        <v>0</v>
      </c>
      <c r="R36" s="40"/>
      <c r="S36" s="157" t="n">
        <f aca="false">+Q36*tranche3amt</f>
        <v>0</v>
      </c>
      <c r="T36" s="205"/>
      <c r="AK36" s="57"/>
      <c r="AL36" s="57"/>
      <c r="AM36" s="57"/>
      <c r="AN36" s="57"/>
    </row>
    <row r="37" customFormat="false" ht="15" hidden="false" customHeight="true" outlineLevel="0" collapsed="false">
      <c r="A37" s="71" t="s">
        <v>121</v>
      </c>
      <c r="B37" s="40"/>
      <c r="C37" s="201" t="n">
        <f aca="false">2000*0.68</f>
        <v>1360</v>
      </c>
      <c r="D37" s="40"/>
      <c r="E37" s="184" t="n">
        <f aca="false">+cpi</f>
        <v>0.02</v>
      </c>
      <c r="G37" s="206" t="s">
        <v>122</v>
      </c>
      <c r="H37" s="14" t="s">
        <v>123</v>
      </c>
      <c r="I37" s="40"/>
      <c r="J37" s="40"/>
      <c r="K37" s="40"/>
      <c r="L37" s="207" t="n">
        <v>2</v>
      </c>
      <c r="N37" s="62" t="s">
        <v>124</v>
      </c>
      <c r="O37" s="40"/>
      <c r="P37" s="40"/>
      <c r="Q37" s="40"/>
      <c r="R37" s="40"/>
      <c r="S37" s="185" t="n">
        <f aca="false">+Y9</f>
        <v>965.041846166408</v>
      </c>
      <c r="AK37" s="57"/>
      <c r="AL37" s="57"/>
      <c r="AM37" s="57"/>
      <c r="AN37" s="57"/>
    </row>
    <row r="38" customFormat="false" ht="15" hidden="false" customHeight="true" outlineLevel="0" collapsed="false">
      <c r="A38" s="71" t="s">
        <v>125</v>
      </c>
      <c r="B38" s="40"/>
      <c r="C38" s="201" t="n">
        <v>1500</v>
      </c>
      <c r="D38" s="40"/>
      <c r="E38" s="208" t="n">
        <f aca="false">+cpi</f>
        <v>0.02</v>
      </c>
      <c r="G38" s="209" t="n">
        <v>1</v>
      </c>
      <c r="H38" s="190" t="s">
        <v>126</v>
      </c>
      <c r="I38" s="40"/>
      <c r="J38" s="40"/>
      <c r="K38" s="14"/>
      <c r="L38" s="106" t="n">
        <f aca="false">+G44*2-L37</f>
        <v>22</v>
      </c>
      <c r="N38" s="62" t="s">
        <v>127</v>
      </c>
      <c r="O38" s="40"/>
      <c r="P38" s="40"/>
      <c r="Q38" s="40"/>
      <c r="R38" s="40"/>
      <c r="S38" s="185" t="n">
        <f aca="false">+S37*$L$14</f>
        <v>61.5984157127494</v>
      </c>
      <c r="AK38" s="57"/>
      <c r="AL38" s="57"/>
      <c r="AM38" s="57"/>
      <c r="AN38" s="57"/>
    </row>
    <row r="39" customFormat="false" ht="15" hidden="false" customHeight="true" outlineLevel="0" collapsed="false">
      <c r="A39" s="71" t="s">
        <v>42</v>
      </c>
      <c r="B39" s="40"/>
      <c r="C39" s="201" t="n">
        <v>0</v>
      </c>
      <c r="D39" s="40"/>
      <c r="E39" s="208" t="n">
        <f aca="false">+cpi</f>
        <v>0.02</v>
      </c>
      <c r="G39" s="210"/>
      <c r="H39" s="190" t="s">
        <v>128</v>
      </c>
      <c r="I39" s="40"/>
      <c r="J39" s="40"/>
      <c r="K39" s="40"/>
      <c r="L39" s="207" t="n">
        <v>0</v>
      </c>
      <c r="N39" s="58" t="s">
        <v>129</v>
      </c>
      <c r="O39" s="40"/>
      <c r="P39" s="40"/>
      <c r="Q39" s="40"/>
      <c r="R39" s="40"/>
      <c r="S39" s="115" t="n">
        <f aca="false">0.02*S16</f>
        <v>2437.8</v>
      </c>
      <c r="W39" s="40"/>
      <c r="X39" s="40"/>
      <c r="Y39" s="40"/>
      <c r="Z39" s="40"/>
      <c r="AA39" s="40"/>
      <c r="AK39" s="57"/>
      <c r="AL39" s="57"/>
      <c r="AM39" s="57"/>
      <c r="AN39" s="57"/>
    </row>
    <row r="40" customFormat="false" ht="15" hidden="false" customHeight="true" outlineLevel="0" collapsed="false">
      <c r="A40" s="71" t="s">
        <v>42</v>
      </c>
      <c r="B40" s="40"/>
      <c r="C40" s="201" t="n">
        <v>0</v>
      </c>
      <c r="D40" s="40"/>
      <c r="E40" s="208" t="n">
        <f aca="false">+cpi</f>
        <v>0.02</v>
      </c>
      <c r="G40" s="211" t="s">
        <v>99</v>
      </c>
      <c r="H40" s="212"/>
      <c r="I40" s="40"/>
      <c r="J40" s="40"/>
      <c r="K40" s="40"/>
      <c r="L40" s="213"/>
      <c r="N40" s="214"/>
      <c r="O40" s="215" t="s">
        <v>130</v>
      </c>
      <c r="P40" s="216"/>
      <c r="Q40" s="216"/>
      <c r="R40" s="216"/>
      <c r="S40" s="217" t="n">
        <f aca="false">SUM(S30:S39)</f>
        <v>23693.1396625799</v>
      </c>
      <c r="T40" s="218"/>
      <c r="W40" s="40"/>
      <c r="X40" s="40"/>
      <c r="Y40" s="40"/>
      <c r="Z40" s="40"/>
      <c r="AA40" s="40"/>
      <c r="AK40" s="57"/>
      <c r="AL40" s="57"/>
      <c r="AM40" s="57"/>
      <c r="AN40" s="57"/>
    </row>
    <row r="41" customFormat="false" ht="15" hidden="false" customHeight="true" outlineLevel="0" collapsed="false">
      <c r="A41" s="71" t="s">
        <v>42</v>
      </c>
      <c r="B41" s="40"/>
      <c r="C41" s="201" t="n">
        <v>0</v>
      </c>
      <c r="D41" s="40"/>
      <c r="E41" s="208" t="n">
        <f aca="false">+cpi</f>
        <v>0.02</v>
      </c>
      <c r="G41" s="219" t="n">
        <f aca="false">+S6*G38</f>
        <v>127536.680159271</v>
      </c>
      <c r="H41" s="40"/>
      <c r="I41" s="40"/>
      <c r="J41" s="40"/>
      <c r="K41" s="40"/>
      <c r="L41" s="191"/>
      <c r="N41" s="58"/>
      <c r="O41" s="40"/>
      <c r="P41" s="40"/>
      <c r="Q41" s="40"/>
      <c r="R41" s="40"/>
      <c r="S41" s="157"/>
      <c r="W41" s="40"/>
      <c r="X41" s="40"/>
      <c r="Y41" s="40"/>
      <c r="Z41" s="40"/>
      <c r="AA41" s="40"/>
      <c r="AL41" s="57"/>
      <c r="AM41" s="57"/>
      <c r="AN41" s="57"/>
    </row>
    <row r="42" customFormat="false" ht="15" hidden="false" customHeight="true" outlineLevel="0" collapsed="false">
      <c r="A42" s="71" t="s">
        <v>42</v>
      </c>
      <c r="B42" s="40"/>
      <c r="C42" s="201" t="n">
        <v>0</v>
      </c>
      <c r="D42" s="40"/>
      <c r="E42" s="208" t="n">
        <f aca="false">+cpi</f>
        <v>0.02</v>
      </c>
      <c r="G42" s="210"/>
      <c r="H42" s="40" t="s">
        <v>131</v>
      </c>
      <c r="I42" s="40"/>
      <c r="J42" s="40"/>
      <c r="K42" s="40"/>
      <c r="L42" s="220" t="n">
        <v>0.015</v>
      </c>
      <c r="N42" s="58" t="s">
        <v>132</v>
      </c>
      <c r="O42" s="14"/>
      <c r="P42" s="14"/>
      <c r="Q42" s="14"/>
      <c r="R42" s="14"/>
      <c r="S42" s="78" t="n">
        <v>2500</v>
      </c>
      <c r="W42" s="40"/>
      <c r="X42" s="40"/>
      <c r="Y42" s="40"/>
      <c r="Z42" s="40"/>
      <c r="AA42" s="40"/>
      <c r="AK42" s="221"/>
      <c r="AL42" s="221"/>
      <c r="AM42" s="221"/>
    </row>
    <row r="43" customFormat="false" ht="15" hidden="false" customHeight="true" outlineLevel="0" collapsed="false">
      <c r="A43" s="71" t="s">
        <v>42</v>
      </c>
      <c r="B43" s="40"/>
      <c r="C43" s="201" t="n">
        <v>0</v>
      </c>
      <c r="D43" s="40"/>
      <c r="E43" s="208" t="n">
        <f aca="false">+cpi</f>
        <v>0.02</v>
      </c>
      <c r="G43" s="211" t="s">
        <v>133</v>
      </c>
      <c r="H43" s="14" t="s">
        <v>134</v>
      </c>
      <c r="I43" s="40"/>
      <c r="J43" s="40"/>
      <c r="K43" s="40"/>
      <c r="L43" s="64" t="n">
        <v>0.005</v>
      </c>
      <c r="N43" s="58" t="s">
        <v>135</v>
      </c>
      <c r="O43" s="14"/>
      <c r="P43" s="14"/>
      <c r="Q43" s="40"/>
      <c r="R43" s="167" t="n">
        <v>0</v>
      </c>
      <c r="S43" s="222" t="n">
        <f aca="false">+S42*R43*IDC!AL5/12</f>
        <v>0</v>
      </c>
      <c r="U43" s="205"/>
      <c r="AK43" s="221"/>
      <c r="AL43" s="221"/>
      <c r="AM43" s="221"/>
    </row>
    <row r="44" customFormat="false" ht="15" hidden="false" customHeight="true" outlineLevel="0" collapsed="false">
      <c r="A44" s="223" t="s">
        <v>42</v>
      </c>
      <c r="B44" s="54"/>
      <c r="C44" s="224" t="n">
        <v>0</v>
      </c>
      <c r="D44" s="54"/>
      <c r="E44" s="225" t="n">
        <f aca="false">+cpi</f>
        <v>0.02</v>
      </c>
      <c r="G44" s="226" t="n">
        <v>12</v>
      </c>
      <c r="H44" s="227" t="s">
        <v>136</v>
      </c>
      <c r="I44" s="198"/>
      <c r="J44" s="228" t="n">
        <v>0.06</v>
      </c>
      <c r="K44" s="228" t="n">
        <v>0.035</v>
      </c>
      <c r="L44" s="229" t="n">
        <f aca="false">+K44+J44</f>
        <v>0.095</v>
      </c>
      <c r="N44" s="230"/>
      <c r="O44" s="215" t="s">
        <v>137</v>
      </c>
      <c r="P44" s="231"/>
      <c r="Q44" s="231"/>
      <c r="R44" s="231"/>
      <c r="S44" s="232" t="n">
        <f aca="false">+S43+S42</f>
        <v>2500</v>
      </c>
      <c r="U44" s="205"/>
    </row>
    <row r="45" customFormat="false" ht="15" hidden="false" customHeight="true" outlineLevel="0" collapsed="false">
      <c r="A45" s="71" t="s">
        <v>138</v>
      </c>
      <c r="B45" s="40"/>
      <c r="C45" s="233" t="n">
        <f aca="false">+SUM(C36:C44)</f>
        <v>9360</v>
      </c>
      <c r="D45" s="40"/>
      <c r="E45" s="191"/>
      <c r="G45" s="202" t="s">
        <v>139</v>
      </c>
      <c r="H45" s="203"/>
      <c r="I45" s="203"/>
      <c r="J45" s="203"/>
      <c r="K45" s="203"/>
      <c r="L45" s="204"/>
      <c r="N45" s="162"/>
      <c r="O45" s="14"/>
      <c r="P45" s="14"/>
      <c r="Q45" s="14"/>
      <c r="R45" s="14"/>
      <c r="S45" s="106"/>
      <c r="U45" s="67"/>
    </row>
    <row r="46" customFormat="false" ht="15" hidden="false" customHeight="true" outlineLevel="0" collapsed="false">
      <c r="A46" s="79"/>
      <c r="B46" s="80"/>
      <c r="C46" s="80"/>
      <c r="D46" s="80"/>
      <c r="E46" s="152"/>
      <c r="G46" s="206" t="s">
        <v>122</v>
      </c>
      <c r="H46" s="14" t="s">
        <v>123</v>
      </c>
      <c r="I46" s="40"/>
      <c r="J46" s="40"/>
      <c r="K46" s="40"/>
      <c r="L46" s="207" t="n">
        <v>1</v>
      </c>
      <c r="M46" s="40"/>
      <c r="N46" s="162" t="s">
        <v>140</v>
      </c>
      <c r="O46" s="14"/>
      <c r="P46" s="14"/>
      <c r="Q46" s="14"/>
      <c r="R46" s="14"/>
      <c r="S46" s="78" t="n">
        <v>0</v>
      </c>
      <c r="T46" s="205"/>
    </row>
    <row r="47" customFormat="false" ht="15" hidden="false" customHeight="true" outlineLevel="0" collapsed="false">
      <c r="A47" s="1"/>
      <c r="B47" s="1"/>
      <c r="C47" s="234"/>
      <c r="D47" s="1"/>
      <c r="E47" s="1"/>
      <c r="G47" s="209" t="n">
        <v>0</v>
      </c>
      <c r="H47" s="190" t="s">
        <v>126</v>
      </c>
      <c r="I47" s="40"/>
      <c r="J47" s="40"/>
      <c r="K47" s="14"/>
      <c r="L47" s="106" t="n">
        <f aca="false">+G53*2-L46</f>
        <v>14</v>
      </c>
      <c r="N47" s="235" t="s">
        <v>141</v>
      </c>
      <c r="O47" s="14"/>
      <c r="P47" s="14"/>
      <c r="Q47" s="14"/>
      <c r="R47" s="14"/>
      <c r="S47" s="78" t="n">
        <f aca="false">+S46*$L$6</f>
        <v>0</v>
      </c>
      <c r="T47" s="1"/>
      <c r="U47" s="205"/>
    </row>
    <row r="48" customFormat="false" ht="15" hidden="false" customHeight="true" outlineLevel="0" collapsed="false">
      <c r="A48" s="45" t="s">
        <v>142</v>
      </c>
      <c r="B48" s="49"/>
      <c r="C48" s="49"/>
      <c r="D48" s="47"/>
      <c r="E48" s="52"/>
      <c r="F48" s="1"/>
      <c r="G48" s="210"/>
      <c r="H48" s="190" t="s">
        <v>128</v>
      </c>
      <c r="I48" s="40"/>
      <c r="J48" s="40"/>
      <c r="K48" s="40"/>
      <c r="L48" s="207" t="n">
        <v>1</v>
      </c>
      <c r="N48" s="235" t="s">
        <v>143</v>
      </c>
      <c r="O48" s="14"/>
      <c r="P48" s="14"/>
      <c r="Q48" s="14"/>
      <c r="R48" s="14"/>
      <c r="S48" s="78" t="n">
        <f aca="false">+S46*$L$7</f>
        <v>0</v>
      </c>
      <c r="T48" s="236"/>
    </row>
    <row r="49" customFormat="false" ht="15" hidden="false" customHeight="true" outlineLevel="0" collapsed="false">
      <c r="A49" s="62" t="s">
        <v>144</v>
      </c>
      <c r="B49" s="40"/>
      <c r="C49" s="40"/>
      <c r="D49" s="237"/>
      <c r="E49" s="207" t="n">
        <v>1</v>
      </c>
      <c r="G49" s="211" t="s">
        <v>99</v>
      </c>
      <c r="H49" s="212"/>
      <c r="I49" s="40"/>
      <c r="J49" s="40"/>
      <c r="K49" s="40"/>
      <c r="L49" s="213"/>
      <c r="N49" s="162" t="s">
        <v>145</v>
      </c>
      <c r="O49" s="14"/>
      <c r="P49" s="14"/>
      <c r="Q49" s="14"/>
      <c r="R49" s="14"/>
      <c r="S49" s="78" t="n">
        <v>0</v>
      </c>
    </row>
    <row r="50" customFormat="false" ht="15" hidden="false" customHeight="true" outlineLevel="0" collapsed="false">
      <c r="A50" s="62" t="s">
        <v>146</v>
      </c>
      <c r="B50" s="40"/>
      <c r="C50" s="40"/>
      <c r="D50" s="40"/>
      <c r="E50" s="238" t="n">
        <f aca="false">+codate</f>
        <v>37622</v>
      </c>
      <c r="G50" s="219" t="n">
        <f aca="false">+S6*G47</f>
        <v>0</v>
      </c>
      <c r="H50" s="40"/>
      <c r="I50" s="40"/>
      <c r="J50" s="40"/>
      <c r="K50" s="40"/>
      <c r="L50" s="191"/>
      <c r="M50" s="1"/>
      <c r="N50" s="162" t="s">
        <v>67</v>
      </c>
      <c r="O50" s="14"/>
      <c r="P50" s="14"/>
      <c r="Q50" s="14"/>
      <c r="R50" s="14"/>
      <c r="S50" s="78" t="n">
        <f aca="false">+L19</f>
        <v>25</v>
      </c>
    </row>
    <row r="51" customFormat="false" ht="15" hidden="false" customHeight="true" outlineLevel="0" collapsed="false">
      <c r="A51" s="239"/>
      <c r="B51" s="11"/>
      <c r="C51" s="11"/>
      <c r="D51" s="11"/>
      <c r="E51" s="12"/>
      <c r="G51" s="210"/>
      <c r="H51" s="40" t="s">
        <v>131</v>
      </c>
      <c r="I51" s="40"/>
      <c r="J51" s="40"/>
      <c r="K51" s="40"/>
      <c r="L51" s="220" t="n">
        <v>0.0175</v>
      </c>
      <c r="M51" s="1"/>
      <c r="N51" s="58" t="s">
        <v>147</v>
      </c>
      <c r="O51" s="14"/>
      <c r="P51" s="14"/>
      <c r="Q51" s="14"/>
      <c r="R51" s="14"/>
      <c r="S51" s="78" t="n">
        <v>3000</v>
      </c>
    </row>
    <row r="52" customFormat="false" ht="15" hidden="false" customHeight="true" outlineLevel="0" collapsed="false">
      <c r="G52" s="211" t="s">
        <v>133</v>
      </c>
      <c r="H52" s="14" t="s">
        <v>134</v>
      </c>
      <c r="I52" s="40"/>
      <c r="J52" s="40"/>
      <c r="K52" s="40"/>
      <c r="L52" s="64" t="n">
        <v>0.005</v>
      </c>
      <c r="M52" s="1"/>
      <c r="N52" s="58" t="s">
        <v>148</v>
      </c>
      <c r="O52" s="40"/>
      <c r="P52" s="14"/>
      <c r="Q52" s="240" t="n">
        <v>1.5</v>
      </c>
      <c r="R52" s="40" t="s">
        <v>149</v>
      </c>
      <c r="S52" s="222" t="n">
        <f aca="false">+CF!E36/CF!E6*Q52</f>
        <v>1266.4456272</v>
      </c>
    </row>
    <row r="53" customFormat="false" ht="15" hidden="false" customHeight="true" outlineLevel="0" collapsed="false">
      <c r="G53" s="226" t="n">
        <v>7.5</v>
      </c>
      <c r="H53" s="227" t="s">
        <v>136</v>
      </c>
      <c r="I53" s="198"/>
      <c r="J53" s="228" t="n">
        <v>0</v>
      </c>
      <c r="K53" s="228" t="n">
        <v>0</v>
      </c>
      <c r="L53" s="229" t="n">
        <f aca="false">+K53+J53</f>
        <v>0</v>
      </c>
      <c r="M53" s="1"/>
      <c r="N53" s="214"/>
      <c r="O53" s="241" t="s">
        <v>150</v>
      </c>
      <c r="P53" s="241"/>
      <c r="Q53" s="241"/>
      <c r="R53" s="241"/>
      <c r="S53" s="217" t="n">
        <f aca="false">SUM(S46:S52)</f>
        <v>4291.4456272</v>
      </c>
      <c r="T53" s="242"/>
      <c r="U53" s="242"/>
      <c r="V53" s="242"/>
      <c r="W53" s="242"/>
      <c r="X53" s="243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2"/>
      <c r="BR53" s="242"/>
      <c r="BS53" s="242"/>
      <c r="BT53" s="242"/>
      <c r="BU53" s="242"/>
      <c r="BV53" s="242"/>
      <c r="BW53" s="242"/>
      <c r="BX53" s="242"/>
      <c r="BY53" s="242"/>
      <c r="BZ53" s="242"/>
      <c r="CA53" s="242"/>
      <c r="CB53" s="242"/>
      <c r="CC53" s="242"/>
      <c r="CD53" s="242"/>
      <c r="CE53" s="242"/>
      <c r="CF53" s="242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  <c r="CQ53" s="242"/>
      <c r="CR53" s="242"/>
      <c r="CS53" s="242"/>
      <c r="CT53" s="242"/>
      <c r="CU53" s="242"/>
      <c r="CV53" s="242"/>
      <c r="CW53" s="242"/>
      <c r="CX53" s="242"/>
      <c r="CY53" s="242"/>
      <c r="CZ53" s="242"/>
      <c r="DA53" s="242"/>
      <c r="DB53" s="242"/>
      <c r="DC53" s="242"/>
      <c r="DD53" s="242"/>
      <c r="DE53" s="242"/>
      <c r="DF53" s="242"/>
      <c r="DG53" s="242"/>
      <c r="DH53" s="242"/>
      <c r="DI53" s="242"/>
      <c r="DJ53" s="242"/>
      <c r="DK53" s="242"/>
      <c r="DL53" s="242"/>
      <c r="DM53" s="242"/>
      <c r="DN53" s="242"/>
      <c r="DO53" s="242"/>
      <c r="DP53" s="242"/>
      <c r="DQ53" s="242"/>
      <c r="DR53" s="242"/>
      <c r="DS53" s="242"/>
      <c r="DT53" s="242"/>
      <c r="DU53" s="242"/>
      <c r="DV53" s="242"/>
      <c r="DW53" s="242"/>
      <c r="DX53" s="242"/>
      <c r="DY53" s="242"/>
      <c r="DZ53" s="242"/>
      <c r="EA53" s="242"/>
      <c r="EB53" s="242"/>
      <c r="EC53" s="242"/>
      <c r="ED53" s="242"/>
      <c r="EE53" s="242"/>
      <c r="EF53" s="242"/>
      <c r="EG53" s="242"/>
      <c r="EH53" s="242"/>
      <c r="EI53" s="242"/>
      <c r="EJ53" s="242"/>
      <c r="EK53" s="242"/>
      <c r="EL53" s="242"/>
      <c r="EM53" s="242"/>
      <c r="EN53" s="242"/>
      <c r="EO53" s="242"/>
      <c r="EP53" s="242"/>
      <c r="EQ53" s="242"/>
      <c r="ER53" s="242"/>
      <c r="ES53" s="242"/>
      <c r="ET53" s="242"/>
      <c r="EU53" s="242"/>
      <c r="EV53" s="242"/>
      <c r="EW53" s="242"/>
      <c r="EX53" s="242"/>
      <c r="EY53" s="242"/>
      <c r="EZ53" s="242"/>
      <c r="FA53" s="242"/>
      <c r="FB53" s="242"/>
      <c r="FC53" s="242"/>
      <c r="FD53" s="242"/>
      <c r="FE53" s="242"/>
      <c r="FF53" s="242"/>
      <c r="FG53" s="242"/>
      <c r="FH53" s="242"/>
      <c r="FI53" s="242"/>
      <c r="FJ53" s="242"/>
      <c r="FK53" s="242"/>
      <c r="FL53" s="242"/>
      <c r="FM53" s="242"/>
      <c r="FN53" s="242"/>
      <c r="FO53" s="242"/>
      <c r="FP53" s="242"/>
      <c r="FQ53" s="242"/>
      <c r="FR53" s="242"/>
      <c r="FS53" s="242"/>
      <c r="FT53" s="242"/>
      <c r="FU53" s="242"/>
      <c r="FV53" s="242"/>
      <c r="FW53" s="242"/>
      <c r="FX53" s="242"/>
      <c r="FY53" s="242"/>
      <c r="FZ53" s="242"/>
      <c r="GA53" s="242"/>
      <c r="GB53" s="242"/>
      <c r="GC53" s="242"/>
      <c r="GD53" s="242"/>
      <c r="GE53" s="242"/>
      <c r="GF53" s="242"/>
      <c r="GG53" s="242"/>
      <c r="GH53" s="242"/>
      <c r="GI53" s="242"/>
      <c r="GJ53" s="242"/>
      <c r="GK53" s="242"/>
      <c r="GL53" s="242"/>
      <c r="GM53" s="242"/>
      <c r="GN53" s="242"/>
      <c r="GO53" s="242"/>
      <c r="GP53" s="242"/>
      <c r="GQ53" s="242"/>
      <c r="GR53" s="242"/>
      <c r="GS53" s="242"/>
      <c r="GT53" s="242"/>
      <c r="GU53" s="242"/>
      <c r="GV53" s="242"/>
      <c r="GW53" s="242"/>
      <c r="GX53" s="242"/>
      <c r="GY53" s="242"/>
      <c r="GZ53" s="242"/>
      <c r="HA53" s="242"/>
      <c r="HB53" s="242"/>
      <c r="HC53" s="242"/>
      <c r="HD53" s="242"/>
      <c r="HE53" s="242"/>
      <c r="HF53" s="242"/>
      <c r="HG53" s="242"/>
      <c r="HH53" s="242"/>
      <c r="HI53" s="242"/>
      <c r="HJ53" s="242"/>
      <c r="HK53" s="242"/>
      <c r="HL53" s="242"/>
      <c r="HM53" s="242"/>
      <c r="HN53" s="242"/>
      <c r="HO53" s="242"/>
      <c r="HP53" s="242"/>
      <c r="HQ53" s="242"/>
      <c r="HR53" s="242"/>
      <c r="HS53" s="242"/>
      <c r="HT53" s="242"/>
      <c r="HU53" s="242"/>
      <c r="HV53" s="242"/>
      <c r="HW53" s="242"/>
      <c r="HX53" s="242"/>
      <c r="HY53" s="242"/>
      <c r="HZ53" s="242"/>
      <c r="IA53" s="242"/>
      <c r="IB53" s="242"/>
      <c r="IC53" s="242"/>
      <c r="ID53" s="242"/>
      <c r="IE53" s="242"/>
      <c r="IF53" s="242"/>
      <c r="IG53" s="242"/>
      <c r="IH53" s="242"/>
      <c r="II53" s="242"/>
      <c r="IJ53" s="242"/>
      <c r="IK53" s="242"/>
      <c r="IL53" s="242"/>
      <c r="IM53" s="242"/>
      <c r="IN53" s="242"/>
      <c r="IO53" s="242"/>
      <c r="IP53" s="242"/>
      <c r="IQ53" s="242"/>
      <c r="IR53" s="242"/>
      <c r="IS53" s="242"/>
      <c r="IT53" s="242"/>
      <c r="IU53" s="242"/>
      <c r="IV53" s="242"/>
      <c r="IW53" s="242"/>
    </row>
    <row r="54" customFormat="false" ht="15" hidden="false" customHeight="true" outlineLevel="0" collapsed="false">
      <c r="G54" s="202" t="s">
        <v>151</v>
      </c>
      <c r="H54" s="203"/>
      <c r="I54" s="203"/>
      <c r="J54" s="203"/>
      <c r="K54" s="203"/>
      <c r="L54" s="204"/>
      <c r="M54" s="1"/>
      <c r="N54" s="58"/>
      <c r="O54" s="40"/>
      <c r="P54" s="40"/>
      <c r="Q54" s="40"/>
      <c r="R54" s="40"/>
      <c r="S54" s="191"/>
      <c r="X54" s="244"/>
    </row>
    <row r="55" customFormat="false" ht="15" hidden="false" customHeight="true" outlineLevel="0" collapsed="false">
      <c r="G55" s="206" t="s">
        <v>122</v>
      </c>
      <c r="H55" s="14" t="s">
        <v>123</v>
      </c>
      <c r="I55" s="40"/>
      <c r="J55" s="40"/>
      <c r="K55" s="40"/>
      <c r="L55" s="207" t="n">
        <v>0</v>
      </c>
      <c r="M55" s="1"/>
      <c r="N55" s="62" t="s">
        <v>152</v>
      </c>
      <c r="O55" s="14"/>
      <c r="P55" s="40"/>
      <c r="Q55" s="40"/>
      <c r="R55" s="167" t="n">
        <v>0.05</v>
      </c>
      <c r="S55" s="245" t="n">
        <f aca="false">+(S53+S40+S44)*R55</f>
        <v>1524.229264489</v>
      </c>
    </row>
    <row r="56" customFormat="false" ht="15" hidden="false" customHeight="true" outlineLevel="0" collapsed="false">
      <c r="G56" s="209" t="n">
        <v>0</v>
      </c>
      <c r="H56" s="190" t="s">
        <v>126</v>
      </c>
      <c r="I56" s="40"/>
      <c r="J56" s="40"/>
      <c r="K56" s="14"/>
      <c r="L56" s="106" t="n">
        <f aca="false">+tranche3term*2-tranche3grace</f>
        <v>0</v>
      </c>
      <c r="M56" s="1"/>
      <c r="N56" s="172" t="s">
        <v>153</v>
      </c>
      <c r="O56" s="173"/>
      <c r="P56" s="174"/>
      <c r="Q56" s="174"/>
      <c r="R56" s="174"/>
      <c r="S56" s="175" t="n">
        <f aca="false">+S55+S53+S44+S40</f>
        <v>32008.8145542689</v>
      </c>
    </row>
    <row r="57" customFormat="false" ht="15" hidden="false" customHeight="true" outlineLevel="0" collapsed="false">
      <c r="B57" s="44"/>
      <c r="C57" s="44"/>
      <c r="D57" s="44"/>
      <c r="E57" s="44"/>
      <c r="F57" s="44"/>
      <c r="G57" s="210"/>
      <c r="H57" s="190" t="s">
        <v>128</v>
      </c>
      <c r="I57" s="40"/>
      <c r="J57" s="40"/>
      <c r="K57" s="40"/>
      <c r="L57" s="207" t="n">
        <v>0</v>
      </c>
      <c r="M57" s="1"/>
      <c r="N57" s="58"/>
      <c r="O57" s="40"/>
      <c r="P57" s="40"/>
      <c r="Q57" s="40"/>
      <c r="R57" s="40"/>
      <c r="S57" s="191"/>
      <c r="V57" s="246"/>
      <c r="W57" s="246"/>
      <c r="X57" s="246"/>
      <c r="Y57" s="246"/>
      <c r="Z57" s="246"/>
      <c r="AA57" s="246"/>
    </row>
    <row r="58" customFormat="false" ht="15" hidden="false" customHeight="true" outlineLevel="0" collapsed="false">
      <c r="B58" s="221"/>
      <c r="C58" s="221"/>
      <c r="D58" s="221"/>
      <c r="E58" s="221"/>
      <c r="F58" s="221"/>
      <c r="G58" s="211" t="s">
        <v>99</v>
      </c>
      <c r="H58" s="212"/>
      <c r="I58" s="40"/>
      <c r="J58" s="40"/>
      <c r="K58" s="40"/>
      <c r="L58" s="213"/>
      <c r="N58" s="247" t="s">
        <v>154</v>
      </c>
      <c r="O58" s="248"/>
      <c r="P58" s="248"/>
      <c r="Q58" s="248"/>
      <c r="R58" s="248"/>
      <c r="S58" s="249" t="n">
        <f aca="false">(+S55+S53+S40+S28+S44)</f>
        <v>170049.239554269</v>
      </c>
      <c r="V58" s="246"/>
      <c r="W58" s="246"/>
      <c r="X58" s="246"/>
      <c r="Y58" s="246"/>
      <c r="Z58" s="246"/>
      <c r="AA58" s="246"/>
    </row>
    <row r="59" customFormat="false" ht="15" hidden="false" customHeight="true" outlineLevel="0" collapsed="false">
      <c r="B59" s="221"/>
      <c r="C59" s="221"/>
      <c r="D59" s="221"/>
      <c r="E59" s="221"/>
      <c r="F59" s="221"/>
      <c r="G59" s="219" t="n">
        <f aca="false">+G56*S6</f>
        <v>0</v>
      </c>
      <c r="H59" s="40"/>
      <c r="I59" s="40"/>
      <c r="J59" s="40"/>
      <c r="K59" s="40"/>
      <c r="L59" s="191"/>
      <c r="N59" s="1"/>
      <c r="O59" s="1"/>
      <c r="P59" s="1"/>
      <c r="Q59" s="1"/>
      <c r="R59" s="1"/>
      <c r="S59" s="1"/>
      <c r="T59" s="40"/>
      <c r="U59" s="40"/>
      <c r="V59" s="250"/>
      <c r="W59" s="246"/>
      <c r="X59" s="246"/>
      <c r="Y59" s="246"/>
      <c r="Z59" s="246"/>
      <c r="AA59" s="251"/>
    </row>
    <row r="60" customFormat="false" ht="15" hidden="false" customHeight="true" outlineLevel="0" collapsed="false">
      <c r="B60" s="44"/>
      <c r="C60" s="44"/>
      <c r="D60" s="44"/>
      <c r="E60" s="44"/>
      <c r="F60" s="221"/>
      <c r="G60" s="210"/>
      <c r="H60" s="40" t="s">
        <v>131</v>
      </c>
      <c r="I60" s="40"/>
      <c r="J60" s="40"/>
      <c r="K60" s="40"/>
      <c r="L60" s="220" t="n">
        <v>0</v>
      </c>
      <c r="N60" s="1"/>
      <c r="O60" s="1"/>
      <c r="P60" s="1"/>
      <c r="Q60" s="1"/>
      <c r="R60" s="1"/>
      <c r="S60" s="1"/>
      <c r="T60" s="40"/>
      <c r="U60" s="40"/>
      <c r="V60" s="252"/>
      <c r="W60" s="246"/>
      <c r="X60" s="246"/>
      <c r="Y60" s="246"/>
      <c r="Z60" s="246"/>
      <c r="AA60" s="253"/>
    </row>
    <row r="61" customFormat="false" ht="15" hidden="false" customHeight="true" outlineLevel="0" collapsed="false">
      <c r="B61" s="221"/>
      <c r="C61" s="221"/>
      <c r="D61" s="221"/>
      <c r="E61" s="221"/>
      <c r="F61" s="221"/>
      <c r="G61" s="211" t="s">
        <v>133</v>
      </c>
      <c r="H61" s="14" t="s">
        <v>134</v>
      </c>
      <c r="I61" s="40"/>
      <c r="J61" s="40"/>
      <c r="K61" s="40"/>
      <c r="L61" s="64" t="n">
        <v>0.005</v>
      </c>
      <c r="N61" s="1"/>
      <c r="O61" s="1"/>
      <c r="P61" s="1"/>
      <c r="Q61" s="1"/>
      <c r="R61" s="1"/>
      <c r="S61" s="1"/>
      <c r="T61" s="40"/>
      <c r="U61" s="40"/>
      <c r="V61" s="252"/>
      <c r="W61" s="246"/>
      <c r="X61" s="246"/>
      <c r="Y61" s="246"/>
      <c r="Z61" s="246"/>
      <c r="AA61" s="253"/>
    </row>
    <row r="62" customFormat="false" ht="15" hidden="false" customHeight="true" outlineLevel="0" collapsed="false">
      <c r="B62" s="221"/>
      <c r="C62" s="221"/>
      <c r="D62" s="221"/>
      <c r="E62" s="221"/>
      <c r="G62" s="254" t="n">
        <v>0</v>
      </c>
      <c r="H62" s="255" t="s">
        <v>136</v>
      </c>
      <c r="I62" s="80"/>
      <c r="J62" s="256" t="n">
        <v>0</v>
      </c>
      <c r="K62" s="256" t="n">
        <v>0</v>
      </c>
      <c r="L62" s="257" t="n">
        <f aca="false">+K62+J62</f>
        <v>0</v>
      </c>
      <c r="N62" s="1"/>
      <c r="O62" s="1"/>
      <c r="P62" s="1"/>
      <c r="Q62" s="1"/>
      <c r="R62" s="1"/>
      <c r="S62" s="1"/>
      <c r="T62" s="40"/>
      <c r="U62" s="40"/>
      <c r="V62" s="252"/>
      <c r="W62" s="246"/>
      <c r="X62" s="246"/>
      <c r="Y62" s="246"/>
      <c r="Z62" s="246"/>
      <c r="AA62" s="258"/>
      <c r="AB62" s="205"/>
    </row>
    <row r="63" customFormat="false" ht="15" hidden="false" customHeight="true" outlineLevel="0" collapsed="false">
      <c r="B63" s="221"/>
      <c r="C63" s="221"/>
      <c r="D63" s="221"/>
      <c r="E63" s="221"/>
      <c r="N63" s="1"/>
      <c r="O63" s="1"/>
      <c r="P63" s="1"/>
      <c r="Q63" s="1"/>
      <c r="R63" s="1"/>
      <c r="S63" s="1"/>
      <c r="T63" s="40"/>
      <c r="U63" s="40"/>
      <c r="V63" s="252"/>
      <c r="W63" s="246"/>
      <c r="X63" s="246"/>
      <c r="Y63" s="246"/>
      <c r="Z63" s="246"/>
      <c r="AA63" s="259"/>
    </row>
    <row r="64" customFormat="false" ht="15.75" hidden="false" customHeight="false" outlineLevel="0" collapsed="false">
      <c r="B64" s="221"/>
      <c r="C64" s="221"/>
      <c r="D64" s="221"/>
      <c r="E64" s="221"/>
      <c r="N64" s="1"/>
      <c r="O64" s="1"/>
      <c r="P64" s="1"/>
      <c r="Q64" s="1"/>
      <c r="R64" s="1"/>
      <c r="S64" s="1"/>
      <c r="T64" s="40"/>
      <c r="U64" s="40"/>
      <c r="V64" s="252"/>
      <c r="W64" s="246"/>
      <c r="X64" s="246"/>
      <c r="Y64" s="246"/>
      <c r="Z64" s="246"/>
      <c r="AA64" s="246"/>
    </row>
    <row r="65" customFormat="false" ht="15.75" hidden="false" customHeight="false" outlineLevel="0" collapsed="false">
      <c r="A65" s="130"/>
      <c r="N65" s="1"/>
      <c r="O65" s="1"/>
      <c r="P65" s="1"/>
      <c r="Q65" s="1"/>
      <c r="R65" s="1"/>
      <c r="S65" s="1"/>
      <c r="T65" s="40"/>
      <c r="U65" s="40"/>
      <c r="V65" s="252"/>
      <c r="W65" s="246"/>
      <c r="X65" s="246"/>
      <c r="Y65" s="246"/>
      <c r="Z65" s="246"/>
      <c r="AA65" s="246"/>
    </row>
    <row r="66" customFormat="false" ht="15.75" hidden="false" customHeight="false" outlineLevel="0" collapsed="false">
      <c r="M66" s="1"/>
      <c r="N66" s="1"/>
      <c r="O66" s="1"/>
      <c r="P66" s="1"/>
      <c r="Q66" s="1"/>
      <c r="R66" s="1"/>
      <c r="S66" s="1"/>
      <c r="T66" s="40"/>
      <c r="U66" s="40"/>
      <c r="V66" s="252"/>
      <c r="W66" s="246"/>
      <c r="X66" s="246"/>
      <c r="Y66" s="246"/>
      <c r="Z66" s="246"/>
      <c r="AA66" s="246"/>
    </row>
    <row r="67" customFormat="false" ht="15.75" hidden="false" customHeight="false" outlineLevel="0" collapsed="false">
      <c r="F67" s="260"/>
      <c r="M67" s="1"/>
      <c r="N67" s="1"/>
      <c r="O67" s="1"/>
      <c r="P67" s="1"/>
      <c r="Q67" s="1"/>
      <c r="R67" s="1"/>
      <c r="S67" s="1"/>
      <c r="T67" s="40"/>
      <c r="U67" s="40"/>
      <c r="V67" s="252"/>
      <c r="W67" s="246"/>
      <c r="X67" s="246"/>
      <c r="Y67" s="246"/>
      <c r="Z67" s="246"/>
      <c r="AA67" s="253"/>
    </row>
    <row r="68" customFormat="false" ht="15.75" hidden="false" customHeight="false" outlineLevel="0" collapsed="false">
      <c r="M68" s="1"/>
      <c r="N68" s="1"/>
      <c r="O68" s="1"/>
      <c r="P68" s="1"/>
      <c r="Q68" s="1"/>
      <c r="R68" s="1"/>
      <c r="S68" s="1"/>
      <c r="T68" s="40"/>
      <c r="U68" s="40"/>
      <c r="V68" s="252"/>
      <c r="W68" s="246"/>
      <c r="X68" s="246"/>
      <c r="Y68" s="246"/>
      <c r="Z68" s="246"/>
      <c r="AA68" s="253"/>
    </row>
    <row r="69" customFormat="false" ht="15.75" hidden="false" customHeight="false" outlineLevel="0" collapsed="false">
      <c r="M69" s="1"/>
      <c r="N69" s="14"/>
      <c r="O69" s="14"/>
      <c r="P69" s="14"/>
      <c r="Q69" s="14"/>
      <c r="R69" s="14"/>
      <c r="S69" s="14"/>
      <c r="T69" s="40"/>
      <c r="U69" s="40"/>
      <c r="V69" s="252"/>
      <c r="W69" s="246"/>
      <c r="X69" s="246"/>
      <c r="Y69" s="246"/>
      <c r="Z69" s="246"/>
      <c r="AA69" s="253"/>
    </row>
    <row r="70" customFormat="false" ht="15.75" hidden="false" customHeight="false" outlineLevel="0" collapsed="false">
      <c r="B70" s="129"/>
      <c r="C70" s="129"/>
      <c r="D70" s="129"/>
      <c r="E70" s="129"/>
      <c r="M70" s="1"/>
      <c r="N70" s="182"/>
      <c r="O70" s="40"/>
      <c r="P70" s="25"/>
      <c r="Q70" s="25"/>
      <c r="R70" s="40"/>
      <c r="S70" s="261"/>
      <c r="T70" s="40"/>
      <c r="U70" s="40"/>
      <c r="V70" s="252"/>
      <c r="AA70" s="253"/>
    </row>
    <row r="71" customFormat="false" ht="15.75" hidden="false" customHeight="false" outlineLevel="0" collapsed="false">
      <c r="M71" s="1"/>
      <c r="N71" s="1"/>
      <c r="O71" s="1"/>
      <c r="P71" s="1"/>
      <c r="Q71" s="1"/>
      <c r="R71" s="1"/>
      <c r="S71" s="1"/>
      <c r="T71" s="40"/>
      <c r="U71" s="40"/>
      <c r="V71" s="40"/>
      <c r="AA71" s="262"/>
    </row>
    <row r="72" customFormat="false" ht="15.75" hidden="false" customHeight="false" outlineLevel="0" collapsed="false">
      <c r="A72" s="263"/>
      <c r="M72" s="1"/>
      <c r="N72" s="1"/>
      <c r="O72" s="1"/>
      <c r="P72" s="1"/>
      <c r="Q72" s="1"/>
      <c r="R72" s="1"/>
      <c r="S72" s="1"/>
      <c r="T72" s="40"/>
      <c r="U72" s="40"/>
      <c r="V72" s="40"/>
      <c r="X72" s="246"/>
      <c r="AA72" s="259"/>
    </row>
    <row r="73" customFormat="false" ht="12.75" hidden="false" customHeight="false" outlineLevel="0" collapsed="false">
      <c r="M73" s="14"/>
      <c r="N73" s="1"/>
      <c r="O73" s="1"/>
      <c r="P73" s="1"/>
      <c r="Q73" s="1"/>
      <c r="R73" s="1"/>
      <c r="S73" s="1"/>
      <c r="T73" s="40"/>
      <c r="U73" s="40"/>
      <c r="V73" s="40"/>
    </row>
    <row r="74" customFormat="false" ht="12.75" hidden="false" customHeight="false" outlineLevel="0" collapsed="false">
      <c r="M74" s="1"/>
      <c r="N74" s="1"/>
      <c r="O74" s="1"/>
      <c r="P74" s="1"/>
      <c r="Q74" s="1"/>
      <c r="R74" s="1"/>
      <c r="S74" s="1"/>
      <c r="T74" s="40"/>
      <c r="U74" s="40"/>
      <c r="V74" s="40"/>
    </row>
    <row r="75" customFormat="false" ht="12.75" hidden="false" customHeight="false" outlineLevel="0" collapsed="false">
      <c r="G75" s="264"/>
      <c r="H75" s="264"/>
      <c r="I75" s="265"/>
      <c r="J75" s="266"/>
      <c r="K75" s="264"/>
      <c r="L75" s="267"/>
      <c r="M75" s="1"/>
      <c r="N75" s="1"/>
      <c r="O75" s="1"/>
      <c r="P75" s="1"/>
      <c r="Q75" s="1"/>
      <c r="R75" s="1"/>
      <c r="S75" s="1"/>
      <c r="T75" s="40"/>
      <c r="U75" s="40"/>
      <c r="V75" s="40"/>
    </row>
    <row r="76" customFormat="false" ht="12.75" hidden="false" customHeight="false" outlineLevel="0" collapsed="false">
      <c r="G76" s="264"/>
      <c r="H76" s="264"/>
      <c r="I76" s="264"/>
      <c r="J76" s="268"/>
      <c r="K76" s="265"/>
      <c r="L76" s="265"/>
      <c r="M76" s="1"/>
      <c r="N76" s="1"/>
      <c r="O76" s="1"/>
      <c r="P76" s="1"/>
      <c r="Q76" s="1"/>
      <c r="R76" s="1"/>
      <c r="S76" s="1"/>
      <c r="T76" s="40"/>
      <c r="U76" s="40"/>
      <c r="V76" s="40"/>
    </row>
    <row r="77" customFormat="false" ht="12.75" hidden="false" customHeight="false" outlineLevel="0" collapsed="false">
      <c r="G77" s="264"/>
      <c r="H77" s="269"/>
      <c r="I77" s="270"/>
      <c r="J77" s="269"/>
      <c r="K77" s="271"/>
      <c r="L77" s="272"/>
      <c r="M77" s="1"/>
      <c r="N77" s="1"/>
      <c r="O77" s="1"/>
      <c r="P77" s="1"/>
      <c r="Q77" s="1"/>
      <c r="R77" s="1"/>
      <c r="S77" s="1"/>
      <c r="T77" s="40"/>
      <c r="U77" s="40"/>
      <c r="V77" s="40"/>
    </row>
    <row r="78" customFormat="false" ht="12.75" hidden="false" customHeight="false" outlineLevel="0" collapsed="false">
      <c r="G78" s="1"/>
      <c r="H78" s="1"/>
      <c r="I78" s="1"/>
      <c r="J78" s="1"/>
      <c r="K78" s="1"/>
      <c r="L78" s="1"/>
      <c r="M78" s="1"/>
      <c r="P78" s="40"/>
      <c r="Q78" s="40"/>
      <c r="R78" s="40"/>
      <c r="S78" s="40"/>
      <c r="T78" s="186"/>
      <c r="U78" s="40"/>
      <c r="V78" s="40"/>
    </row>
    <row r="79" customFormat="false" ht="12.75" hidden="false" customHeight="false" outlineLevel="0" collapsed="false">
      <c r="G79" s="1"/>
      <c r="H79" s="1"/>
      <c r="I79" s="1"/>
      <c r="J79" s="1"/>
      <c r="K79" s="1"/>
      <c r="L79" s="1"/>
      <c r="N79" s="273"/>
      <c r="O79" s="273"/>
      <c r="P79" s="54"/>
      <c r="Q79" s="54"/>
      <c r="R79" s="54"/>
      <c r="S79" s="40"/>
      <c r="T79" s="186"/>
      <c r="U79" s="40"/>
      <c r="V79" s="40"/>
    </row>
    <row r="80" customFormat="false" ht="12.75" hidden="false" customHeight="false" outlineLevel="0" collapsed="false">
      <c r="G80" s="1"/>
      <c r="H80" s="1"/>
      <c r="I80" s="1"/>
      <c r="J80" s="1"/>
      <c r="K80" s="1"/>
      <c r="L80" s="1"/>
      <c r="P80" s="40"/>
      <c r="Q80" s="40"/>
      <c r="R80" s="40"/>
      <c r="S80" s="40"/>
      <c r="T80" s="40"/>
      <c r="U80" s="40"/>
      <c r="V80" s="40"/>
    </row>
    <row r="81" customFormat="false" ht="12.75" hidden="false" customHeight="false" outlineLevel="0" collapsed="false">
      <c r="P81" s="40"/>
      <c r="Q81" s="40"/>
      <c r="R81" s="40"/>
      <c r="S81" s="40"/>
      <c r="T81" s="40"/>
      <c r="U81" s="40"/>
      <c r="V81" s="40"/>
    </row>
    <row r="82" customFormat="false" ht="12.75" hidden="false" customHeight="false" outlineLevel="0" collapsed="false">
      <c r="G82" s="1"/>
      <c r="H82" s="1"/>
      <c r="I82" s="274"/>
      <c r="J82" s="1"/>
      <c r="K82" s="1"/>
      <c r="L82" s="1"/>
      <c r="P82" s="40"/>
      <c r="Q82" s="40"/>
      <c r="R82" s="40"/>
      <c r="S82" s="40"/>
      <c r="T82" s="40"/>
      <c r="U82" s="196"/>
      <c r="V82" s="40"/>
    </row>
    <row r="83" customFormat="false" ht="12.75" hidden="false" customHeight="false" outlineLevel="0" collapsed="false">
      <c r="G83" s="1"/>
      <c r="H83" s="1"/>
      <c r="I83" s="234"/>
      <c r="J83" s="1"/>
      <c r="K83" s="1"/>
      <c r="L83" s="1"/>
      <c r="N83" s="40"/>
      <c r="O83" s="40"/>
      <c r="P83" s="40"/>
      <c r="Q83" s="40"/>
      <c r="R83" s="40"/>
      <c r="S83" s="275"/>
      <c r="T83" s="40"/>
      <c r="U83" s="267"/>
      <c r="V83" s="40"/>
    </row>
    <row r="84" customFormat="false" ht="12.75" hidden="false" customHeight="false" outlineLevel="0" collapsed="false">
      <c r="G84" s="1"/>
      <c r="H84" s="1"/>
      <c r="I84" s="1"/>
      <c r="J84" s="1"/>
      <c r="K84" s="1"/>
      <c r="L84" s="1"/>
      <c r="P84" s="40"/>
      <c r="Q84" s="40"/>
      <c r="R84" s="40"/>
      <c r="S84" s="40"/>
      <c r="T84" s="40"/>
      <c r="U84" s="67"/>
      <c r="V84" s="40"/>
    </row>
    <row r="85" customFormat="false" ht="12.75" hidden="false" customHeight="false" outlineLevel="0" collapsed="false">
      <c r="G85" s="1"/>
      <c r="H85" s="1"/>
      <c r="I85" s="1"/>
      <c r="J85" s="1"/>
      <c r="K85" s="1"/>
      <c r="L85" s="1"/>
      <c r="P85" s="40"/>
      <c r="Q85" s="40"/>
      <c r="R85" s="40"/>
      <c r="S85" s="40"/>
      <c r="T85" s="40"/>
      <c r="U85" s="67"/>
      <c r="V85" s="40"/>
    </row>
    <row r="86" customFormat="false" ht="15.75" hidden="false" customHeight="false" outlineLevel="0" collapsed="false">
      <c r="G86" s="276"/>
      <c r="H86" s="276"/>
      <c r="I86" s="276"/>
      <c r="J86" s="277"/>
      <c r="K86" s="277"/>
      <c r="L86" s="277"/>
      <c r="P86" s="40"/>
      <c r="Q86" s="40"/>
      <c r="R86" s="40"/>
      <c r="S86" s="40"/>
      <c r="T86" s="40"/>
      <c r="U86" s="67"/>
      <c r="V86" s="40"/>
    </row>
    <row r="87" customFormat="false" ht="15.75" hidden="false" customHeight="false" outlineLevel="0" collapsed="false">
      <c r="G87" s="278"/>
      <c r="H87" s="278"/>
      <c r="I87" s="278"/>
      <c r="J87" s="279"/>
      <c r="K87" s="279"/>
      <c r="L87" s="279"/>
      <c r="P87" s="40"/>
      <c r="Q87" s="40"/>
      <c r="R87" s="40"/>
      <c r="S87" s="40"/>
      <c r="T87" s="40"/>
      <c r="U87" s="67"/>
      <c r="V87" s="40"/>
    </row>
    <row r="88" customFormat="false" ht="15.75" hidden="false" customHeight="false" outlineLevel="0" collapsed="false">
      <c r="G88" s="40"/>
      <c r="H88" s="40"/>
      <c r="I88" s="40"/>
      <c r="J88" s="40"/>
      <c r="K88" s="40"/>
      <c r="L88" s="40"/>
      <c r="P88" s="40"/>
      <c r="Q88" s="40"/>
      <c r="R88" s="252"/>
      <c r="S88" s="186"/>
      <c r="T88" s="40"/>
      <c r="U88" s="67"/>
      <c r="V88" s="40"/>
    </row>
    <row r="89" customFormat="false" ht="12.75" hidden="false" customHeight="false" outlineLevel="0" collapsed="false">
      <c r="G89" s="40"/>
      <c r="H89" s="40"/>
      <c r="I89" s="40"/>
      <c r="J89" s="40"/>
      <c r="K89" s="40"/>
      <c r="L89" s="40"/>
      <c r="P89" s="40"/>
      <c r="Q89" s="40"/>
      <c r="R89" s="280"/>
      <c r="S89" s="186"/>
      <c r="T89" s="40"/>
      <c r="U89" s="281"/>
      <c r="V89" s="40"/>
    </row>
    <row r="90" customFormat="false" ht="12.75" hidden="false" customHeight="false" outlineLevel="0" collapsed="false">
      <c r="G90" s="186"/>
      <c r="H90" s="40"/>
      <c r="I90" s="282"/>
      <c r="J90" s="280"/>
      <c r="K90" s="40"/>
      <c r="L90" s="40"/>
      <c r="P90" s="40"/>
      <c r="Q90" s="40"/>
      <c r="R90" s="40"/>
      <c r="S90" s="40"/>
      <c r="T90" s="40"/>
      <c r="U90" s="283"/>
      <c r="V90" s="40"/>
    </row>
    <row r="91" customFormat="false" ht="12.75" hidden="false" customHeight="false" outlineLevel="0" collapsed="false">
      <c r="G91" s="212"/>
      <c r="H91" s="40"/>
      <c r="I91" s="284"/>
      <c r="J91" s="77"/>
      <c r="K91" s="182"/>
      <c r="L91" s="275"/>
      <c r="P91" s="280"/>
      <c r="Q91" s="280"/>
      <c r="R91" s="40"/>
      <c r="S91" s="40"/>
      <c r="T91" s="40"/>
      <c r="U91" s="40"/>
      <c r="V91" s="40"/>
    </row>
    <row r="92" customFormat="false" ht="12.75" hidden="false" customHeight="false" outlineLevel="0" collapsed="false">
      <c r="G92" s="40"/>
      <c r="H92" s="40"/>
      <c r="I92" s="266"/>
      <c r="J92" s="40"/>
      <c r="K92" s="40"/>
      <c r="L92" s="267"/>
      <c r="P92" s="40"/>
      <c r="Q92" s="40"/>
      <c r="R92" s="40"/>
      <c r="S92" s="40"/>
      <c r="T92" s="40"/>
      <c r="U92" s="233"/>
      <c r="V92" s="40"/>
    </row>
    <row r="93" customFormat="false" ht="12.75" hidden="false" customHeight="false" outlineLevel="0" collapsed="false">
      <c r="G93" s="40"/>
      <c r="H93" s="40"/>
      <c r="I93" s="40"/>
      <c r="J93" s="40"/>
      <c r="K93" s="275"/>
      <c r="L93" s="40"/>
      <c r="P93" s="182"/>
      <c r="Q93" s="182"/>
      <c r="R93" s="40"/>
      <c r="S93" s="40"/>
      <c r="T93" s="40"/>
      <c r="U93" s="67"/>
      <c r="V93" s="40"/>
    </row>
    <row r="94" customFormat="false" ht="12.75" hidden="false" customHeight="false" outlineLevel="0" collapsed="false">
      <c r="G94" s="40"/>
      <c r="H94" s="269"/>
      <c r="I94" s="212"/>
      <c r="J94" s="269"/>
      <c r="K94" s="77"/>
      <c r="L94" s="285"/>
      <c r="P94" s="182"/>
      <c r="Q94" s="182"/>
      <c r="R94" s="40"/>
      <c r="S94" s="40"/>
      <c r="T94" s="40"/>
      <c r="U94" s="67"/>
      <c r="V94" s="40"/>
    </row>
    <row r="95" customFormat="false" ht="12.75" hidden="false" customHeight="false" outlineLevel="0" collapsed="false">
      <c r="G95" s="40"/>
      <c r="H95" s="40"/>
      <c r="I95" s="40"/>
      <c r="J95" s="40"/>
      <c r="K95" s="40"/>
      <c r="L95" s="40"/>
      <c r="P95" s="40"/>
      <c r="Q95" s="40"/>
      <c r="R95" s="40"/>
      <c r="S95" s="40"/>
      <c r="T95" s="40"/>
      <c r="U95" s="67"/>
      <c r="V95" s="40"/>
    </row>
    <row r="96" customFormat="false" ht="15" hidden="false" customHeight="false" outlineLevel="0" collapsed="false">
      <c r="G96" s="186"/>
      <c r="H96" s="40"/>
      <c r="I96" s="40"/>
      <c r="J96" s="280"/>
      <c r="K96" s="40"/>
      <c r="L96" s="40"/>
      <c r="P96" s="40"/>
      <c r="Q96" s="40"/>
      <c r="R96" s="40"/>
      <c r="S96" s="40"/>
      <c r="T96" s="40"/>
      <c r="U96" s="281"/>
      <c r="V96" s="40"/>
    </row>
    <row r="97" customFormat="false" ht="12.75" hidden="false" customHeight="false" outlineLevel="0" collapsed="false">
      <c r="G97" s="77"/>
      <c r="H97" s="77"/>
      <c r="I97" s="286"/>
      <c r="J97" s="77"/>
      <c r="K97" s="40"/>
      <c r="L97" s="275"/>
      <c r="P97" s="182"/>
      <c r="Q97" s="182"/>
      <c r="R97" s="40"/>
      <c r="S97" s="40"/>
      <c r="T97" s="40"/>
      <c r="U97" s="287"/>
      <c r="V97" s="40"/>
    </row>
    <row r="98" customFormat="false" ht="12.75" hidden="false" customHeight="false" outlineLevel="0" collapsed="false">
      <c r="G98" s="40"/>
      <c r="H98" s="40"/>
      <c r="I98" s="269"/>
      <c r="J98" s="40"/>
      <c r="K98" s="40"/>
      <c r="L98" s="288"/>
      <c r="P98" s="40"/>
      <c r="Q98" s="40"/>
      <c r="R98" s="40"/>
      <c r="S98" s="40"/>
      <c r="T98" s="40"/>
      <c r="U98" s="40"/>
      <c r="V98" s="40"/>
    </row>
    <row r="99" customFormat="false" ht="12.75" hidden="false" customHeight="false" outlineLevel="0" collapsed="false">
      <c r="G99" s="40"/>
      <c r="H99" s="269"/>
      <c r="I99" s="77"/>
      <c r="J99" s="269"/>
      <c r="K99" s="77"/>
      <c r="L99" s="25"/>
      <c r="P99" s="40"/>
      <c r="Q99" s="40"/>
      <c r="R99" s="40"/>
      <c r="S99" s="40"/>
      <c r="T99" s="40"/>
      <c r="U99" s="67"/>
      <c r="V99" s="40"/>
    </row>
    <row r="100" customFormat="false" ht="12.75" hidden="false" customHeight="false" outlineLevel="0" collapsed="false">
      <c r="G100" s="14"/>
      <c r="H100" s="14"/>
      <c r="I100" s="14"/>
      <c r="J100" s="14"/>
      <c r="K100" s="14"/>
      <c r="L100" s="14"/>
      <c r="P100" s="40"/>
      <c r="Q100" s="40"/>
      <c r="R100" s="186"/>
      <c r="S100" s="40"/>
      <c r="T100" s="40"/>
      <c r="U100" s="67"/>
      <c r="V100" s="40"/>
    </row>
    <row r="101" customFormat="false" ht="12.75" hidden="false" customHeight="false" outlineLevel="0" collapsed="false">
      <c r="G101" s="186"/>
      <c r="H101" s="40"/>
      <c r="I101" s="282"/>
      <c r="J101" s="280"/>
      <c r="K101" s="40"/>
      <c r="L101" s="40"/>
      <c r="P101" s="40"/>
      <c r="Q101" s="40"/>
      <c r="R101" s="40"/>
      <c r="S101" s="40"/>
      <c r="T101" s="40"/>
      <c r="U101" s="67"/>
      <c r="V101" s="40"/>
    </row>
    <row r="102" customFormat="false" ht="12.75" hidden="false" customHeight="false" outlineLevel="0" collapsed="false">
      <c r="G102" s="212"/>
      <c r="H102" s="40"/>
      <c r="I102" s="284"/>
      <c r="J102" s="77"/>
      <c r="K102" s="182"/>
      <c r="L102" s="275"/>
      <c r="P102" s="40"/>
      <c r="Q102" s="40"/>
      <c r="R102" s="40"/>
      <c r="S102" s="40"/>
      <c r="T102" s="40"/>
      <c r="U102" s="40"/>
      <c r="V102" s="40"/>
    </row>
    <row r="103" customFormat="false" ht="12.75" hidden="false" customHeight="false" outlineLevel="0" collapsed="false">
      <c r="G103" s="40"/>
      <c r="H103" s="40"/>
      <c r="I103" s="266"/>
      <c r="J103" s="40"/>
      <c r="K103" s="40"/>
      <c r="L103" s="267"/>
      <c r="P103" s="40"/>
      <c r="Q103" s="40"/>
      <c r="R103" s="40"/>
      <c r="S103" s="40"/>
      <c r="T103" s="40"/>
      <c r="U103" s="67"/>
      <c r="V103" s="40"/>
    </row>
    <row r="104" customFormat="false" ht="12.75" hidden="false" customHeight="false" outlineLevel="0" collapsed="false">
      <c r="G104" s="40"/>
      <c r="H104" s="40"/>
      <c r="I104" s="40"/>
      <c r="J104" s="40"/>
      <c r="K104" s="275"/>
      <c r="L104" s="267"/>
      <c r="P104" s="40"/>
      <c r="Q104" s="40"/>
      <c r="R104" s="40"/>
      <c r="S104" s="40"/>
      <c r="T104" s="40"/>
      <c r="U104" s="233"/>
      <c r="V104" s="40"/>
    </row>
    <row r="105" customFormat="false" ht="12.75" hidden="false" customHeight="false" outlineLevel="0" collapsed="false">
      <c r="G105" s="40"/>
      <c r="H105" s="269"/>
      <c r="I105" s="212"/>
      <c r="J105" s="269"/>
      <c r="K105" s="77"/>
      <c r="L105" s="285"/>
      <c r="P105" s="182"/>
      <c r="Q105" s="182"/>
      <c r="R105" s="40"/>
      <c r="S105" s="289"/>
      <c r="T105" s="40"/>
      <c r="U105" s="233"/>
      <c r="V105" s="40"/>
    </row>
    <row r="106" customFormat="false" ht="12.75" hidden="false" customHeight="false" outlineLevel="0" collapsed="false">
      <c r="P106" s="40"/>
      <c r="Q106" s="40"/>
      <c r="R106" s="40"/>
      <c r="S106" s="40"/>
      <c r="T106" s="40"/>
      <c r="U106" s="40"/>
      <c r="V106" s="40"/>
    </row>
    <row r="107" customFormat="false" ht="12.75" hidden="false" customHeight="false" outlineLevel="0" collapsed="false">
      <c r="P107" s="40"/>
      <c r="Q107" s="40"/>
      <c r="R107" s="280"/>
      <c r="S107" s="40"/>
      <c r="T107" s="40"/>
      <c r="U107" s="281"/>
      <c r="V107" s="40"/>
    </row>
    <row r="108" customFormat="false" ht="12.75" hidden="false" customHeight="false" outlineLevel="0" collapsed="false">
      <c r="P108" s="40"/>
      <c r="Q108" s="40"/>
      <c r="R108" s="40"/>
      <c r="S108" s="40"/>
      <c r="T108" s="186"/>
      <c r="U108" s="287"/>
      <c r="V108" s="40"/>
    </row>
    <row r="109" customFormat="false" ht="12.75" hidden="false" customHeight="false" outlineLevel="0" collapsed="false">
      <c r="P109" s="182"/>
      <c r="Q109" s="182"/>
      <c r="R109" s="40"/>
      <c r="S109" s="40"/>
      <c r="T109" s="40"/>
      <c r="U109" s="40"/>
      <c r="V109" s="40"/>
    </row>
    <row r="110" customFormat="false" ht="12.75" hidden="false" customHeight="false" outlineLevel="0" collapsed="false">
      <c r="P110" s="40"/>
      <c r="Q110" s="40"/>
      <c r="R110" s="40"/>
      <c r="S110" s="40"/>
      <c r="T110" s="40"/>
      <c r="U110" s="40"/>
      <c r="V110" s="40"/>
    </row>
    <row r="111" customFormat="false" ht="12.75" hidden="false" customHeight="false" outlineLevel="0" collapsed="false">
      <c r="P111" s="40"/>
      <c r="Q111" s="40"/>
      <c r="R111" s="40"/>
      <c r="S111" s="40"/>
      <c r="T111" s="40"/>
      <c r="U111" s="40"/>
      <c r="V111" s="40"/>
    </row>
    <row r="112" customFormat="false" ht="12.75" hidden="false" customHeight="false" outlineLevel="0" collapsed="false">
      <c r="P112" s="40"/>
      <c r="Q112" s="40"/>
      <c r="R112" s="40"/>
      <c r="S112" s="40"/>
      <c r="T112" s="40"/>
      <c r="U112" s="40"/>
      <c r="V112" s="40"/>
    </row>
    <row r="113" customFormat="false" ht="12.75" hidden="false" customHeight="false" outlineLevel="0" collapsed="false">
      <c r="P113" s="40"/>
      <c r="Q113" s="40"/>
      <c r="R113" s="40"/>
      <c r="S113" s="40"/>
      <c r="T113" s="40"/>
      <c r="U113" s="40"/>
      <c r="V113" s="40"/>
    </row>
    <row r="114" customFormat="false" ht="12.75" hidden="false" customHeight="false" outlineLevel="0" collapsed="false">
      <c r="P114" s="40"/>
      <c r="Q114" s="40"/>
      <c r="R114" s="40"/>
      <c r="S114" s="40"/>
      <c r="T114" s="40"/>
      <c r="U114" s="40"/>
      <c r="V114" s="40"/>
    </row>
    <row r="115" customFormat="false" ht="12.75" hidden="false" customHeight="false" outlineLevel="0" collapsed="false">
      <c r="P115" s="40"/>
      <c r="Q115" s="40"/>
      <c r="R115" s="40"/>
      <c r="S115" s="40"/>
      <c r="T115" s="40"/>
      <c r="U115" s="40"/>
      <c r="V115" s="40"/>
    </row>
    <row r="116" customFormat="false" ht="12.75" hidden="false" customHeight="false" outlineLevel="0" collapsed="false">
      <c r="P116" s="40"/>
      <c r="Q116" s="40"/>
      <c r="R116" s="40"/>
      <c r="S116" s="40"/>
      <c r="T116" s="40"/>
      <c r="U116" s="287"/>
      <c r="V116" s="40"/>
    </row>
    <row r="117" customFormat="false" ht="12.75" hidden="false" customHeight="false" outlineLevel="0" collapsed="false">
      <c r="P117" s="40"/>
      <c r="Q117" s="40"/>
      <c r="R117" s="40"/>
      <c r="S117" s="40"/>
      <c r="T117" s="40"/>
      <c r="U117" s="40"/>
      <c r="V117" s="40"/>
    </row>
    <row r="118" customFormat="false" ht="12.75" hidden="false" customHeight="false" outlineLevel="0" collapsed="false">
      <c r="P118" s="40"/>
      <c r="Q118" s="40"/>
      <c r="R118" s="186"/>
      <c r="S118" s="186"/>
      <c r="T118" s="186"/>
      <c r="U118" s="287"/>
      <c r="V118" s="40"/>
    </row>
    <row r="119" customFormat="false" ht="12.75" hidden="false" customHeight="false" outlineLevel="0" collapsed="false">
      <c r="P119" s="40"/>
      <c r="Q119" s="40"/>
      <c r="R119" s="40"/>
      <c r="S119" s="40"/>
      <c r="T119" s="40"/>
      <c r="U119" s="287"/>
      <c r="V119" s="40"/>
    </row>
    <row r="120" customFormat="false" ht="12.75" hidden="false" customHeight="false" outlineLevel="0" collapsed="false">
      <c r="P120" s="40"/>
      <c r="Q120" s="40"/>
      <c r="R120" s="40"/>
      <c r="S120" s="40"/>
      <c r="T120" s="40"/>
      <c r="U120" s="287"/>
      <c r="V120" s="40"/>
    </row>
    <row r="121" customFormat="false" ht="12.75" hidden="false" customHeight="false" outlineLevel="0" collapsed="false">
      <c r="P121" s="40"/>
      <c r="Q121" s="40"/>
      <c r="R121" s="40"/>
      <c r="S121" s="40"/>
      <c r="T121" s="40"/>
      <c r="U121" s="40"/>
      <c r="V121" s="40"/>
    </row>
    <row r="122" customFormat="false" ht="12.75" hidden="false" customHeight="false" outlineLevel="0" collapsed="false">
      <c r="P122" s="40"/>
      <c r="Q122" s="40"/>
      <c r="R122" s="40"/>
      <c r="S122" s="40"/>
      <c r="T122" s="40"/>
      <c r="U122" s="40"/>
      <c r="V122" s="40"/>
    </row>
    <row r="123" customFormat="false" ht="12.75" hidden="false" customHeight="false" outlineLevel="0" collapsed="false">
      <c r="P123" s="40"/>
      <c r="Q123" s="40"/>
      <c r="R123" s="40"/>
      <c r="S123" s="40"/>
      <c r="T123" s="40"/>
      <c r="U123" s="40"/>
      <c r="V123" s="40"/>
    </row>
    <row r="124" customFormat="false" ht="12.75" hidden="false" customHeight="false" outlineLevel="0" collapsed="false">
      <c r="P124" s="40"/>
      <c r="Q124" s="40"/>
      <c r="R124" s="40"/>
      <c r="S124" s="40"/>
      <c r="T124" s="40"/>
      <c r="U124" s="40"/>
      <c r="V124" s="40"/>
    </row>
    <row r="125" customFormat="false" ht="12.75" hidden="false" customHeight="false" outlineLevel="0" collapsed="false">
      <c r="P125" s="40"/>
      <c r="Q125" s="40"/>
      <c r="R125" s="40"/>
      <c r="S125" s="40"/>
      <c r="T125" s="40"/>
      <c r="U125" s="40"/>
      <c r="V125" s="40"/>
    </row>
    <row r="126" customFormat="false" ht="12.75" hidden="false" customHeight="false" outlineLevel="0" collapsed="false">
      <c r="P126" s="40"/>
      <c r="Q126" s="40"/>
      <c r="R126" s="40"/>
      <c r="S126" s="40"/>
      <c r="T126" s="237"/>
      <c r="U126" s="237"/>
      <c r="V126" s="40"/>
    </row>
    <row r="127" customFormat="false" ht="12.75" hidden="false" customHeight="false" outlineLevel="0" collapsed="false">
      <c r="P127" s="40"/>
      <c r="Q127" s="40"/>
      <c r="R127" s="40"/>
      <c r="S127" s="40"/>
      <c r="T127" s="40"/>
      <c r="U127" s="237"/>
      <c r="V127" s="40"/>
    </row>
    <row r="128" customFormat="false" ht="12.75" hidden="false" customHeight="false" outlineLevel="0" collapsed="false">
      <c r="P128" s="280"/>
      <c r="Q128" s="280"/>
      <c r="R128" s="186"/>
      <c r="S128" s="186"/>
    </row>
    <row r="129" customFormat="false" ht="12.75" hidden="false" customHeight="false" outlineLevel="0" collapsed="false">
      <c r="P129" s="280"/>
      <c r="Q129" s="280"/>
      <c r="R129" s="40"/>
      <c r="S129" s="40"/>
    </row>
    <row r="130" customFormat="false" ht="12.75" hidden="false" customHeight="false" outlineLevel="0" collapsed="false">
      <c r="P130" s="186"/>
      <c r="Q130" s="186"/>
      <c r="R130" s="40"/>
      <c r="S130" s="40"/>
    </row>
    <row r="131" customFormat="false" ht="12.75" hidden="false" customHeight="false" outlineLevel="0" collapsed="false">
      <c r="P131" s="40"/>
      <c r="Q131" s="40"/>
      <c r="R131" s="40"/>
      <c r="S131" s="40"/>
    </row>
    <row r="132" customFormat="false" ht="12.75" hidden="false" customHeight="false" outlineLevel="0" collapsed="false">
      <c r="P132" s="186"/>
      <c r="Q132" s="186"/>
      <c r="R132" s="40"/>
      <c r="S132" s="40"/>
    </row>
    <row r="133" customFormat="false" ht="12.75" hidden="false" customHeight="false" outlineLevel="0" collapsed="false">
      <c r="P133" s="40"/>
      <c r="Q133" s="40"/>
      <c r="R133" s="40"/>
      <c r="S133" s="40"/>
    </row>
    <row r="134" customFormat="false" ht="12.75" hidden="false" customHeight="false" outlineLevel="0" collapsed="false">
      <c r="P134" s="40"/>
      <c r="Q134" s="40"/>
      <c r="R134" s="40"/>
      <c r="S134" s="40"/>
    </row>
    <row r="135" customFormat="false" ht="12.75" hidden="false" customHeight="false" outlineLevel="0" collapsed="false">
      <c r="P135" s="40"/>
      <c r="Q135" s="40"/>
      <c r="R135" s="40"/>
      <c r="S135" s="40"/>
    </row>
    <row r="136" customFormat="false" ht="12.75" hidden="false" customHeight="false" outlineLevel="0" collapsed="false">
      <c r="P136" s="40"/>
      <c r="Q136" s="40"/>
      <c r="R136" s="40"/>
      <c r="S136" s="40"/>
    </row>
    <row r="137" customFormat="false" ht="12.75" hidden="false" customHeight="false" outlineLevel="0" collapsed="false">
      <c r="P137" s="182"/>
      <c r="Q137" s="182"/>
      <c r="R137" s="40"/>
      <c r="S137" s="40"/>
    </row>
  </sheetData>
  <mergeCells count="1">
    <mergeCell ref="K1:L1"/>
  </mergeCells>
  <printOptions headings="false" gridLines="false" gridLinesSet="true" horizontalCentered="true" verticalCentered="false"/>
  <pageMargins left="0.5" right="0.5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XLS.M1.Calc">
                <anchor moveWithCells="true" sizeWithCells="false">
                  <from>
                    <xdr:col>23</xdr:col>
                    <xdr:colOff>433800</xdr:colOff>
                    <xdr:row>2</xdr:row>
                    <xdr:rowOff>114480</xdr:rowOff>
                  </from>
                  <to>
                    <xdr:col>26</xdr:col>
                    <xdr:colOff>53280</xdr:colOff>
                    <xdr:row>4</xdr:row>
                    <xdr:rowOff>19440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71">
              <controlPr defaultSize="0" print="false" autoFill="0" autoPict="0" macro="XLS.Module1.Target18IRR">
                <anchor moveWithCells="true" sizeWithCells="false">
                  <from>
                    <xdr:col>4</xdr:col>
                    <xdr:colOff>84600</xdr:colOff>
                    <xdr:row>20</xdr:row>
                    <xdr:rowOff>38160</xdr:rowOff>
                  </from>
                  <to>
                    <xdr:col>5</xdr:col>
                    <xdr:colOff>-83880</xdr:colOff>
                    <xdr:row>21</xdr:row>
                    <xdr:rowOff>133200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7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1"/>
  <cols>
    <col collapsed="false" customWidth="false" hidden="false" outlineLevel="0" max="1" min="1" style="1" width="9.32"/>
    <col collapsed="false" customWidth="true" hidden="false" outlineLevel="0" max="4" min="2" style="1" width="13.49"/>
    <col collapsed="false" customWidth="true" hidden="false" outlineLevel="0" max="5" min="5" style="1" width="13.99"/>
    <col collapsed="false" customWidth="true" hidden="false" outlineLevel="0" max="18" min="6" style="1" width="12.49"/>
    <col collapsed="false" customWidth="true" hidden="false" outlineLevel="0" max="25" min="19" style="14" width="12.49"/>
    <col collapsed="false" customWidth="true" hidden="false" outlineLevel="1" max="31" min="26" style="14" width="12.49"/>
    <col collapsed="false" customWidth="true" hidden="false" outlineLevel="0" max="32" min="32" style="1" width="15.49"/>
    <col collapsed="false" customWidth="true" hidden="false" outlineLevel="0" max="33" min="33" style="1" width="6.99"/>
    <col collapsed="false" customWidth="true" hidden="false" outlineLevel="0" max="34" min="34" style="1" width="16.49"/>
    <col collapsed="false" customWidth="false" hidden="false" outlineLevel="0" max="257" min="35" style="1" width="9.32"/>
  </cols>
  <sheetData>
    <row r="1" customFormat="false" ht="15.75" hidden="false" customHeight="false" outlineLevel="0" collapsed="false">
      <c r="A1" s="2" t="str">
        <f aca="false">+Assumpt!A1</f>
        <v>Panama Regas Terminal</v>
      </c>
      <c r="B1" s="3"/>
      <c r="C1" s="3"/>
      <c r="D1" s="4"/>
    </row>
    <row r="2" customFormat="false" ht="15.75" hidden="false" customHeight="false" outlineLevel="0" collapsed="false">
      <c r="A2" s="6" t="str">
        <f aca="false">+Assumpt!A2</f>
        <v>Enron International</v>
      </c>
      <c r="B2" s="7"/>
      <c r="C2" s="7"/>
      <c r="D2" s="8"/>
    </row>
    <row r="3" customFormat="false" ht="16.5" hidden="false" customHeight="false" outlineLevel="0" collapsed="false">
      <c r="A3" s="10" t="s">
        <v>155</v>
      </c>
      <c r="B3" s="11"/>
      <c r="C3" s="11"/>
      <c r="D3" s="12"/>
    </row>
    <row r="5" customFormat="false" ht="12.75" hidden="false" customHeight="false" outlineLevel="0" collapsed="false">
      <c r="A5" s="290" t="s">
        <v>156</v>
      </c>
      <c r="B5" s="291"/>
      <c r="C5" s="291"/>
      <c r="D5" s="291"/>
      <c r="E5" s="292" t="n">
        <f aca="false">YEAR(Assumpt!E17)</f>
        <v>2003</v>
      </c>
      <c r="F5" s="292" t="n">
        <f aca="false">+E5+1</f>
        <v>2004</v>
      </c>
      <c r="G5" s="292" t="n">
        <f aca="false">+F5+1</f>
        <v>2005</v>
      </c>
      <c r="H5" s="292" t="n">
        <f aca="false">+G5+1</f>
        <v>2006</v>
      </c>
      <c r="I5" s="292" t="n">
        <f aca="false">+H5+1</f>
        <v>2007</v>
      </c>
      <c r="J5" s="292" t="n">
        <f aca="false">+I5+1</f>
        <v>2008</v>
      </c>
      <c r="K5" s="292" t="n">
        <f aca="false">+J5+1</f>
        <v>2009</v>
      </c>
      <c r="L5" s="292" t="n">
        <f aca="false">+K5+1</f>
        <v>2010</v>
      </c>
      <c r="M5" s="292" t="n">
        <f aca="false">+L5+1</f>
        <v>2011</v>
      </c>
      <c r="N5" s="292" t="n">
        <f aca="false">+M5+1</f>
        <v>2012</v>
      </c>
      <c r="O5" s="292" t="n">
        <f aca="false">+N5+1</f>
        <v>2013</v>
      </c>
      <c r="P5" s="292" t="n">
        <f aca="false">+O5+1</f>
        <v>2014</v>
      </c>
      <c r="Q5" s="292" t="n">
        <f aca="false">+P5+1</f>
        <v>2015</v>
      </c>
      <c r="R5" s="292" t="n">
        <f aca="false">+Q5+1</f>
        <v>2016</v>
      </c>
      <c r="S5" s="292" t="n">
        <f aca="false">+R5+1</f>
        <v>2017</v>
      </c>
      <c r="T5" s="292" t="n">
        <f aca="false">+S5+1</f>
        <v>2018</v>
      </c>
      <c r="U5" s="292" t="n">
        <f aca="false">+T5+1</f>
        <v>2019</v>
      </c>
      <c r="V5" s="292" t="n">
        <f aca="false">+U5+1</f>
        <v>2020</v>
      </c>
      <c r="W5" s="292" t="n">
        <f aca="false">+V5+1</f>
        <v>2021</v>
      </c>
      <c r="X5" s="292" t="n">
        <f aca="false">+W5+1</f>
        <v>2022</v>
      </c>
      <c r="Y5" s="292" t="n">
        <f aca="false">+X5+1</f>
        <v>2023</v>
      </c>
      <c r="Z5" s="292" t="n">
        <f aca="false">+Y5+1</f>
        <v>2024</v>
      </c>
      <c r="AA5" s="292" t="n">
        <f aca="false">+Z5+1</f>
        <v>2025</v>
      </c>
      <c r="AB5" s="292" t="n">
        <f aca="false">+AA5+1</f>
        <v>2026</v>
      </c>
      <c r="AC5" s="292" t="n">
        <f aca="false">+AB5+1</f>
        <v>2027</v>
      </c>
      <c r="AD5" s="292" t="n">
        <f aca="false">+AC5+1</f>
        <v>2028</v>
      </c>
      <c r="AE5" s="292" t="n">
        <f aca="false">+AD5+1</f>
        <v>2029</v>
      </c>
      <c r="AF5" s="293" t="s">
        <v>157</v>
      </c>
      <c r="AG5" s="294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  <c r="HR5" s="296"/>
      <c r="HS5" s="296"/>
      <c r="HT5" s="296"/>
      <c r="HU5" s="296"/>
      <c r="HV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  <c r="IK5" s="296"/>
      <c r="IL5" s="296"/>
      <c r="IM5" s="296"/>
      <c r="IN5" s="296"/>
      <c r="IO5" s="296"/>
      <c r="IP5" s="296"/>
      <c r="IQ5" s="296"/>
      <c r="IR5" s="296"/>
      <c r="IS5" s="296"/>
      <c r="IT5" s="296"/>
      <c r="IU5" s="296"/>
      <c r="IV5" s="296"/>
      <c r="IW5" s="296"/>
    </row>
    <row r="6" customFormat="false" ht="12.75" hidden="false" customHeight="false" outlineLevel="0" collapsed="false">
      <c r="A6" s="297" t="s">
        <v>158</v>
      </c>
      <c r="B6" s="298"/>
      <c r="C6" s="298"/>
      <c r="D6" s="298"/>
      <c r="E6" s="299" t="n">
        <f aca="false">+YEARFRAC(DATE(E5,12,31),codate,0)*12</f>
        <v>12</v>
      </c>
      <c r="F6" s="299" t="n">
        <f aca="false">+MIN(termyrs*12-SUM($E6:E6),12)</f>
        <v>12</v>
      </c>
      <c r="G6" s="299" t="n">
        <f aca="false">+MIN(termyrs*12-SUM($E6:F6),12)</f>
        <v>12</v>
      </c>
      <c r="H6" s="299" t="n">
        <f aca="false">+MIN(termyrs*12-SUM($E6:G6),12)</f>
        <v>12</v>
      </c>
      <c r="I6" s="299" t="n">
        <f aca="false">+MIN(termyrs*12-SUM($E6:H6),12)</f>
        <v>12</v>
      </c>
      <c r="J6" s="299" t="n">
        <f aca="false">+MIN(termyrs*12-SUM($E6:I6),12)</f>
        <v>12</v>
      </c>
      <c r="K6" s="299" t="n">
        <f aca="false">+MIN(termyrs*12-SUM($E6:J6),12)</f>
        <v>12</v>
      </c>
      <c r="L6" s="299" t="n">
        <f aca="false">+MIN(termyrs*12-SUM($E6:K6),12)</f>
        <v>12</v>
      </c>
      <c r="M6" s="299" t="n">
        <f aca="false">+MIN(termyrs*12-SUM($E6:L6),12)</f>
        <v>12</v>
      </c>
      <c r="N6" s="299" t="n">
        <f aca="false">+MIN(termyrs*12-SUM($E6:M6),12)</f>
        <v>12</v>
      </c>
      <c r="O6" s="299" t="n">
        <f aca="false">+MIN(termyrs*12-SUM($E6:N6),12)</f>
        <v>12</v>
      </c>
      <c r="P6" s="299" t="n">
        <f aca="false">+MIN(termyrs*12-SUM($E6:O6),12)</f>
        <v>12</v>
      </c>
      <c r="Q6" s="299" t="n">
        <f aca="false">+MIN(termyrs*12-SUM($E6:P6),12)</f>
        <v>12</v>
      </c>
      <c r="R6" s="299" t="n">
        <f aca="false">+MIN(termyrs*12-SUM($E6:Q6),12)</f>
        <v>12</v>
      </c>
      <c r="S6" s="299" t="n">
        <f aca="false">+MIN(termyrs*12-SUM($E6:R6),12)</f>
        <v>12</v>
      </c>
      <c r="T6" s="299" t="n">
        <f aca="false">+MIN(termyrs*12-SUM($E6:S6),12)</f>
        <v>0</v>
      </c>
      <c r="U6" s="299" t="n">
        <f aca="false">+MIN(termyrs*12-SUM($E6:T6),12)</f>
        <v>0</v>
      </c>
      <c r="V6" s="299" t="n">
        <f aca="false">+MIN(termyrs*12-SUM($E6:U6),12)</f>
        <v>0</v>
      </c>
      <c r="W6" s="299" t="n">
        <f aca="false">+MIN(termyrs*12-SUM($E6:V6),12)</f>
        <v>0</v>
      </c>
      <c r="X6" s="299" t="n">
        <f aca="false">+MIN(termyrs*12-SUM($E6:W6),12)</f>
        <v>0</v>
      </c>
      <c r="Y6" s="299" t="n">
        <f aca="false">+MIN(termyrs*12-SUM($E6:X6),12)</f>
        <v>0</v>
      </c>
      <c r="Z6" s="299" t="n">
        <f aca="false">+MIN(termyrs*12-SUM($E6:Y6),12)</f>
        <v>0</v>
      </c>
      <c r="AA6" s="299" t="n">
        <f aca="false">+MIN(termyrs*12-SUM($E6:Z6),12)</f>
        <v>0</v>
      </c>
      <c r="AB6" s="299" t="n">
        <f aca="false">+MIN(termyrs*12-SUM($E6:AA6),12)</f>
        <v>0</v>
      </c>
      <c r="AC6" s="299" t="n">
        <f aca="false">+MIN(termyrs*12-SUM($E6:AB6),12)</f>
        <v>0</v>
      </c>
      <c r="AD6" s="299" t="n">
        <f aca="false">+MIN(termyrs*12-SUM($E6:AC6),12)</f>
        <v>0</v>
      </c>
      <c r="AE6" s="299" t="n">
        <f aca="false">+MIN(termyrs*12-SUM($E6:AD6),12)</f>
        <v>0</v>
      </c>
      <c r="AF6" s="300" t="n">
        <f aca="false">+SUM(E6:AE6)</f>
        <v>180</v>
      </c>
      <c r="AG6" s="301"/>
      <c r="AH6" s="302"/>
      <c r="AI6" s="302"/>
      <c r="AJ6" s="302"/>
      <c r="AK6" s="302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customFormat="false" ht="12.75" hidden="false" customHeight="false" outlineLevel="0" collapsed="false">
      <c r="A7" s="303" t="s">
        <v>159</v>
      </c>
      <c r="B7" s="304"/>
      <c r="C7" s="304"/>
      <c r="D7" s="304"/>
      <c r="E7" s="305" t="n">
        <f aca="false">+E6/12</f>
        <v>1</v>
      </c>
      <c r="F7" s="305" t="n">
        <f aca="false">+E7+F6/12</f>
        <v>2</v>
      </c>
      <c r="G7" s="305" t="n">
        <f aca="false">+F7+G6/12</f>
        <v>3</v>
      </c>
      <c r="H7" s="305" t="n">
        <f aca="false">+G7+H6/12</f>
        <v>4</v>
      </c>
      <c r="I7" s="305" t="n">
        <f aca="false">+H7+I6/12</f>
        <v>5</v>
      </c>
      <c r="J7" s="305" t="n">
        <f aca="false">+I7+J6/12</f>
        <v>6</v>
      </c>
      <c r="K7" s="305" t="n">
        <f aca="false">+J7+K6/12</f>
        <v>7</v>
      </c>
      <c r="L7" s="305" t="n">
        <f aca="false">+K7+L6/12</f>
        <v>8</v>
      </c>
      <c r="M7" s="305" t="n">
        <f aca="false">+L7+M6/12</f>
        <v>9</v>
      </c>
      <c r="N7" s="305" t="n">
        <f aca="false">+M7+N6/12</f>
        <v>10</v>
      </c>
      <c r="O7" s="305" t="n">
        <f aca="false">+N7+O6/12</f>
        <v>11</v>
      </c>
      <c r="P7" s="305" t="n">
        <f aca="false">+O7+P6/12</f>
        <v>12</v>
      </c>
      <c r="Q7" s="305" t="n">
        <f aca="false">+P7+Q6/12</f>
        <v>13</v>
      </c>
      <c r="R7" s="305" t="n">
        <f aca="false">+Q7+R6/12</f>
        <v>14</v>
      </c>
      <c r="S7" s="305" t="n">
        <f aca="false">+R7+S6/12</f>
        <v>15</v>
      </c>
      <c r="T7" s="305" t="n">
        <f aca="false">+S7+T6/12</f>
        <v>15</v>
      </c>
      <c r="U7" s="305" t="n">
        <f aca="false">+T7+U6/12</f>
        <v>15</v>
      </c>
      <c r="V7" s="305" t="n">
        <f aca="false">+U7+V6/12</f>
        <v>15</v>
      </c>
      <c r="W7" s="305" t="n">
        <f aca="false">+V7+W6/12</f>
        <v>15</v>
      </c>
      <c r="X7" s="305" t="n">
        <f aca="false">+W7+X6/12</f>
        <v>15</v>
      </c>
      <c r="Y7" s="305" t="n">
        <f aca="false">+X7+Y6/12</f>
        <v>15</v>
      </c>
      <c r="Z7" s="305" t="n">
        <f aca="false">+Y7+Z6/12</f>
        <v>15</v>
      </c>
      <c r="AA7" s="305" t="n">
        <f aca="false">+Z7+AA6/12</f>
        <v>15</v>
      </c>
      <c r="AB7" s="305" t="n">
        <f aca="false">+AA7+AB6/12</f>
        <v>15</v>
      </c>
      <c r="AC7" s="305" t="n">
        <f aca="false">+AB7+AC6/12</f>
        <v>15</v>
      </c>
      <c r="AD7" s="305" t="n">
        <f aca="false">+AC7+AD6/12</f>
        <v>15</v>
      </c>
      <c r="AE7" s="305" t="n">
        <f aca="false">+AD7+AE6/12</f>
        <v>15</v>
      </c>
      <c r="AF7" s="306" t="n">
        <f aca="false">+AE7</f>
        <v>15</v>
      </c>
      <c r="AG7" s="307"/>
      <c r="AH7" s="302"/>
      <c r="AI7" s="302"/>
      <c r="AJ7" s="302"/>
      <c r="AK7" s="302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customFormat="false" ht="12.75" hidden="false" customHeight="false" outlineLevel="0" collapsed="false">
      <c r="A8" s="14"/>
      <c r="B8" s="14"/>
      <c r="C8" s="14"/>
      <c r="D8" s="14"/>
      <c r="E8" s="14"/>
      <c r="F8" s="14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308" t="s">
        <v>160</v>
      </c>
      <c r="B9" s="298"/>
      <c r="C9" s="298"/>
      <c r="D9" s="298"/>
      <c r="E9" s="30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310"/>
      <c r="AG9" s="311"/>
      <c r="AH9" s="311"/>
      <c r="AI9" s="311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</row>
    <row r="10" customFormat="false" ht="12.75" hidden="false" customHeight="false" outlineLevel="0" collapsed="false">
      <c r="A10" s="312" t="s">
        <v>161</v>
      </c>
      <c r="B10" s="7"/>
      <c r="C10" s="7"/>
      <c r="D10" s="7"/>
      <c r="E10" s="313" t="n">
        <f aca="false">+Assumpt!$E$9*CF!E6/12/1000</f>
        <v>54570</v>
      </c>
      <c r="F10" s="313" t="n">
        <f aca="false">+Assumpt!$E$9*CF!F6/12/1000</f>
        <v>54570</v>
      </c>
      <c r="G10" s="313" t="n">
        <f aca="false">+Assumpt!$E$9*CF!G6/12/1000</f>
        <v>54570</v>
      </c>
      <c r="H10" s="313" t="n">
        <f aca="false">+Assumpt!$E$9*CF!H6/12/1000</f>
        <v>54570</v>
      </c>
      <c r="I10" s="313" t="n">
        <f aca="false">+Assumpt!$E$9*CF!I6/12/1000</f>
        <v>54570</v>
      </c>
      <c r="J10" s="313" t="n">
        <f aca="false">+Assumpt!$E$9*CF!J6/12/1000</f>
        <v>54570</v>
      </c>
      <c r="K10" s="313" t="n">
        <f aca="false">+Assumpt!$E$9*CF!K6/12/1000</f>
        <v>54570</v>
      </c>
      <c r="L10" s="313" t="n">
        <f aca="false">+Assumpt!$E$9*CF!L6/12/1000</f>
        <v>54570</v>
      </c>
      <c r="M10" s="313" t="n">
        <f aca="false">+Assumpt!$E$9*CF!M6/12/1000</f>
        <v>54570</v>
      </c>
      <c r="N10" s="313" t="n">
        <f aca="false">+Assumpt!$E$9*CF!N6/12/1000</f>
        <v>54570</v>
      </c>
      <c r="O10" s="313" t="n">
        <f aca="false">+Assumpt!$E$9*CF!O6/12/1000</f>
        <v>54570</v>
      </c>
      <c r="P10" s="313" t="n">
        <f aca="false">+Assumpt!$E$9*CF!P6/12/1000</f>
        <v>54570</v>
      </c>
      <c r="Q10" s="313" t="n">
        <f aca="false">+Assumpt!$E$9*CF!Q6/12/1000</f>
        <v>54570</v>
      </c>
      <c r="R10" s="313" t="n">
        <f aca="false">+Assumpt!$E$9*CF!R6/12/1000</f>
        <v>54570</v>
      </c>
      <c r="S10" s="313" t="n">
        <f aca="false">+Assumpt!$E$9*CF!S6/12/1000</f>
        <v>54570</v>
      </c>
      <c r="T10" s="313" t="n">
        <f aca="false">+Assumpt!$E$9*CF!T6/12/1000</f>
        <v>0</v>
      </c>
      <c r="U10" s="313" t="n">
        <f aca="false">+Assumpt!$E$9*CF!U6/12/1000</f>
        <v>0</v>
      </c>
      <c r="V10" s="313" t="n">
        <f aca="false">+Assumpt!$E$9*CF!V6/12/1000</f>
        <v>0</v>
      </c>
      <c r="W10" s="313" t="n">
        <f aca="false">+Assumpt!$E$9*CF!W6/12/1000</f>
        <v>0</v>
      </c>
      <c r="X10" s="313" t="n">
        <f aca="false">+Assumpt!$E$9*CF!X6/12/1000</f>
        <v>0</v>
      </c>
      <c r="Y10" s="313" t="n">
        <f aca="false">+Assumpt!$E$9*CF!Y6/12/1000</f>
        <v>0</v>
      </c>
      <c r="Z10" s="313" t="n">
        <f aca="false">+Assumpt!$E$9*CF!Z6/12/1000</f>
        <v>0</v>
      </c>
      <c r="AA10" s="313" t="n">
        <f aca="false">+Assumpt!$E$9*CF!AA6/12/1000</f>
        <v>0</v>
      </c>
      <c r="AB10" s="313" t="n">
        <f aca="false">+Assumpt!$E$9*CF!AB6/12/1000</f>
        <v>0</v>
      </c>
      <c r="AC10" s="313" t="n">
        <f aca="false">+Assumpt!$E$9*CF!AC6/12/1000</f>
        <v>0</v>
      </c>
      <c r="AD10" s="313" t="n">
        <f aca="false">+Assumpt!$E$9*CF!AD6/12/1000</f>
        <v>0</v>
      </c>
      <c r="AE10" s="313" t="n">
        <f aca="false">+Assumpt!$E$9*CF!AE6/12/1000</f>
        <v>0</v>
      </c>
      <c r="AF10" s="314" t="n">
        <f aca="false">SUM(E10:AE10)</f>
        <v>818550</v>
      </c>
      <c r="AG10" s="311"/>
      <c r="AH10" s="311"/>
      <c r="AI10" s="311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</row>
    <row r="11" customFormat="false" ht="12.75" hidden="false" customHeight="false" outlineLevel="0" collapsed="false">
      <c r="A11" s="312" t="s">
        <v>162</v>
      </c>
      <c r="B11" s="7"/>
      <c r="C11" s="7"/>
      <c r="D11" s="7"/>
      <c r="E11" s="315" t="n">
        <v>0.169533333333333</v>
      </c>
      <c r="F11" s="315" t="n">
        <v>0.170933333333333</v>
      </c>
      <c r="G11" s="315" t="n">
        <v>0.3286</v>
      </c>
      <c r="H11" s="315" t="n">
        <v>0.3388</v>
      </c>
      <c r="I11" s="315" t="n">
        <v>0.340333333333333</v>
      </c>
      <c r="J11" s="315" t="n">
        <v>0.3466</v>
      </c>
      <c r="K11" s="315" t="n">
        <v>0.3488</v>
      </c>
      <c r="L11" s="315" t="n">
        <v>0.632266666666667</v>
      </c>
      <c r="M11" s="315" t="n">
        <v>0.671666666666667</v>
      </c>
      <c r="N11" s="315" t="n">
        <v>0.6768</v>
      </c>
      <c r="O11" s="315" t="n">
        <v>0.683266666666667</v>
      </c>
      <c r="P11" s="315" t="n">
        <v>0.695933333333333</v>
      </c>
      <c r="Q11" s="315" t="n">
        <v>0.695933333333333</v>
      </c>
      <c r="R11" s="315" t="n">
        <v>0.695933333333333</v>
      </c>
      <c r="S11" s="315" t="n">
        <v>0.695933333333333</v>
      </c>
      <c r="T11" s="315" t="n">
        <v>0.695933333333333</v>
      </c>
      <c r="U11" s="315" t="n">
        <v>0.695933333333333</v>
      </c>
      <c r="V11" s="315" t="n">
        <v>0.695933333333333</v>
      </c>
      <c r="W11" s="315" t="n">
        <v>0.695933333333333</v>
      </c>
      <c r="X11" s="315" t="n">
        <v>0.695933333333333</v>
      </c>
      <c r="Y11" s="315" t="n">
        <v>0.695933333333333</v>
      </c>
      <c r="Z11" s="315" t="n">
        <v>0.695933333333333</v>
      </c>
      <c r="AA11" s="315" t="n">
        <v>0.695933333333333</v>
      </c>
      <c r="AB11" s="315" t="n">
        <v>0.695933333333333</v>
      </c>
      <c r="AC11" s="315" t="n">
        <v>0.695933333333333</v>
      </c>
      <c r="AD11" s="315" t="n">
        <v>0.695933333333333</v>
      </c>
      <c r="AE11" s="315" t="n">
        <v>0.695933333333333</v>
      </c>
      <c r="AF11" s="316"/>
      <c r="AG11" s="311"/>
      <c r="AH11" s="311"/>
      <c r="AI11" s="311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</row>
    <row r="12" customFormat="false" ht="12.75" hidden="false" customHeight="false" outlineLevel="0" collapsed="false">
      <c r="A12" s="317" t="s">
        <v>47</v>
      </c>
      <c r="B12" s="7"/>
      <c r="C12" s="7"/>
      <c r="D12" s="7"/>
      <c r="E12" s="318" t="n">
        <f aca="false">+Assumpt!$E$13</f>
        <v>1</v>
      </c>
      <c r="F12" s="318" t="n">
        <f aca="false">+Assumpt!$E$13</f>
        <v>1</v>
      </c>
      <c r="G12" s="318" t="n">
        <f aca="false">+Assumpt!$E$13</f>
        <v>1</v>
      </c>
      <c r="H12" s="318" t="n">
        <f aca="false">+Assumpt!$E$13</f>
        <v>1</v>
      </c>
      <c r="I12" s="318" t="n">
        <f aca="false">+Assumpt!$E$13</f>
        <v>1</v>
      </c>
      <c r="J12" s="318" t="n">
        <f aca="false">+Assumpt!$E$13</f>
        <v>1</v>
      </c>
      <c r="K12" s="318" t="n">
        <f aca="false">+Assumpt!$E$13</f>
        <v>1</v>
      </c>
      <c r="L12" s="318" t="n">
        <f aca="false">+Assumpt!$E$13</f>
        <v>1</v>
      </c>
      <c r="M12" s="318" t="n">
        <f aca="false">+Assumpt!$E$13</f>
        <v>1</v>
      </c>
      <c r="N12" s="318" t="n">
        <f aca="false">+Assumpt!$E$13</f>
        <v>1</v>
      </c>
      <c r="O12" s="318" t="n">
        <f aca="false">+Assumpt!$E$13</f>
        <v>1</v>
      </c>
      <c r="P12" s="318" t="n">
        <f aca="false">+Assumpt!$E$13</f>
        <v>1</v>
      </c>
      <c r="Q12" s="318" t="n">
        <f aca="false">+Assumpt!$E$13</f>
        <v>1</v>
      </c>
      <c r="R12" s="318" t="n">
        <f aca="false">+Assumpt!$E$13</f>
        <v>1</v>
      </c>
      <c r="S12" s="318" t="n">
        <f aca="false">+Assumpt!$E$13</f>
        <v>1</v>
      </c>
      <c r="T12" s="318" t="n">
        <f aca="false">+Assumpt!$E$13</f>
        <v>1</v>
      </c>
      <c r="U12" s="318" t="n">
        <f aca="false">+Assumpt!$E$13</f>
        <v>1</v>
      </c>
      <c r="V12" s="318" t="n">
        <f aca="false">+Assumpt!$E$13</f>
        <v>1</v>
      </c>
      <c r="W12" s="318" t="n">
        <f aca="false">+Assumpt!$E$13</f>
        <v>1</v>
      </c>
      <c r="X12" s="318" t="n">
        <f aca="false">+Assumpt!$E$13</f>
        <v>1</v>
      </c>
      <c r="Y12" s="318" t="n">
        <f aca="false">+Assumpt!$E$13</f>
        <v>1</v>
      </c>
      <c r="Z12" s="318" t="n">
        <f aca="false">+Assumpt!$E$13</f>
        <v>1</v>
      </c>
      <c r="AA12" s="318" t="n">
        <f aca="false">+Assumpt!$E$13</f>
        <v>1</v>
      </c>
      <c r="AB12" s="318" t="n">
        <f aca="false">+Assumpt!$E$13</f>
        <v>1</v>
      </c>
      <c r="AC12" s="318" t="n">
        <f aca="false">+Assumpt!$E$13</f>
        <v>1</v>
      </c>
      <c r="AD12" s="318" t="n">
        <f aca="false">+Assumpt!$E$13</f>
        <v>1</v>
      </c>
      <c r="AE12" s="318" t="n">
        <f aca="false">+Assumpt!$E$13</f>
        <v>1</v>
      </c>
      <c r="AF12" s="319"/>
      <c r="AG12" s="301"/>
      <c r="AH12" s="301"/>
      <c r="AI12" s="301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</row>
    <row r="13" customFormat="false" ht="12.75" hidden="false" customHeight="false" outlineLevel="0" collapsed="false">
      <c r="A13" s="312" t="s">
        <v>163</v>
      </c>
      <c r="B13" s="7"/>
      <c r="C13" s="7"/>
      <c r="D13" s="7"/>
      <c r="E13" s="320" t="n">
        <f aca="false">+E12*E11*E10</f>
        <v>9251.434</v>
      </c>
      <c r="F13" s="320" t="n">
        <f aca="false">+F12*F11*F10</f>
        <v>9327.832</v>
      </c>
      <c r="G13" s="320" t="n">
        <f aca="false">+G12*G11*G10</f>
        <v>17931.702</v>
      </c>
      <c r="H13" s="320" t="n">
        <f aca="false">+H12*H11*H10</f>
        <v>18488.316</v>
      </c>
      <c r="I13" s="320" t="n">
        <f aca="false">+I12*I11*I10</f>
        <v>18571.99</v>
      </c>
      <c r="J13" s="320" t="n">
        <f aca="false">+J12*J11*J10</f>
        <v>18913.962</v>
      </c>
      <c r="K13" s="320" t="n">
        <f aca="false">+K12*K11*K10</f>
        <v>19034.016</v>
      </c>
      <c r="L13" s="320" t="n">
        <f aca="false">+L12*L11*L10</f>
        <v>34502.792</v>
      </c>
      <c r="M13" s="320" t="n">
        <f aca="false">+M12*M11*M10</f>
        <v>36652.85</v>
      </c>
      <c r="N13" s="320" t="n">
        <f aca="false">+N12*N11*N10</f>
        <v>36932.976</v>
      </c>
      <c r="O13" s="320" t="n">
        <f aca="false">+O12*O11*O10</f>
        <v>37285.862</v>
      </c>
      <c r="P13" s="320" t="n">
        <f aca="false">+P12*P11*P10</f>
        <v>37977.082</v>
      </c>
      <c r="Q13" s="320" t="n">
        <f aca="false">+Q12*Q11*Q10</f>
        <v>37977.082</v>
      </c>
      <c r="R13" s="320" t="n">
        <f aca="false">+R12*R11*R10</f>
        <v>37977.082</v>
      </c>
      <c r="S13" s="320" t="n">
        <f aca="false">+S12*S11*S10</f>
        <v>37977.082</v>
      </c>
      <c r="T13" s="320" t="n">
        <f aca="false">+T12*T11*T10</f>
        <v>0</v>
      </c>
      <c r="U13" s="320" t="n">
        <f aca="false">+U12*U11*U10</f>
        <v>0</v>
      </c>
      <c r="V13" s="320" t="n">
        <f aca="false">+V12*V11*V10</f>
        <v>0</v>
      </c>
      <c r="W13" s="320" t="n">
        <f aca="false">+W12*W11*W10</f>
        <v>0</v>
      </c>
      <c r="X13" s="320" t="n">
        <f aca="false">+X12*X11*X10</f>
        <v>0</v>
      </c>
      <c r="Y13" s="320" t="n">
        <f aca="false">+Y12*Y11*Y10</f>
        <v>0</v>
      </c>
      <c r="Z13" s="320" t="n">
        <f aca="false">+Z12*Z11*Z10</f>
        <v>0</v>
      </c>
      <c r="AA13" s="320" t="n">
        <f aca="false">+AA12*AA11*AA10</f>
        <v>0</v>
      </c>
      <c r="AB13" s="320" t="n">
        <f aca="false">+AB12*AB11*AB10</f>
        <v>0</v>
      </c>
      <c r="AC13" s="320" t="n">
        <f aca="false">+AC12*AC11*AC10</f>
        <v>0</v>
      </c>
      <c r="AD13" s="320" t="n">
        <f aca="false">+AD12*AD11*AD10</f>
        <v>0</v>
      </c>
      <c r="AE13" s="320" t="n">
        <f aca="false">+AE12*AE11*AE10</f>
        <v>0</v>
      </c>
      <c r="AF13" s="314" t="n">
        <f aca="false">SUM(E13:AE13)</f>
        <v>408802.06</v>
      </c>
      <c r="AG13" s="321"/>
      <c r="AH13" s="322"/>
      <c r="AI13" s="321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</row>
    <row r="14" customFormat="false" ht="12.75" hidden="false" customHeight="false" outlineLevel="0" collapsed="false">
      <c r="A14" s="323" t="s">
        <v>164</v>
      </c>
      <c r="B14" s="324"/>
      <c r="C14" s="324"/>
      <c r="D14" s="324"/>
      <c r="E14" s="325" t="n">
        <f aca="false">+E13/340/Assumpt!$E$8*1000</f>
        <v>25.43</v>
      </c>
      <c r="F14" s="325" t="n">
        <f aca="false">+F13/340/Assumpt!$E$8*1000</f>
        <v>25.64</v>
      </c>
      <c r="G14" s="325" t="n">
        <f aca="false">+G13/340/Assumpt!$E$8*1000</f>
        <v>49.29</v>
      </c>
      <c r="H14" s="325" t="n">
        <f aca="false">+H13/340/Assumpt!$E$8*1000</f>
        <v>50.82</v>
      </c>
      <c r="I14" s="325" t="n">
        <f aca="false">+I13/340/Assumpt!$E$8*1000</f>
        <v>51.05</v>
      </c>
      <c r="J14" s="325" t="n">
        <f aca="false">+J13/340/Assumpt!$E$8*1000</f>
        <v>51.99</v>
      </c>
      <c r="K14" s="325" t="n">
        <f aca="false">+K13/340/Assumpt!$E$8*1000</f>
        <v>52.32</v>
      </c>
      <c r="L14" s="325" t="n">
        <f aca="false">+L13/340/Assumpt!$E$8*1000</f>
        <v>94.84</v>
      </c>
      <c r="M14" s="325" t="n">
        <f aca="false">+M13/340/Assumpt!$E$8*1000</f>
        <v>100.75</v>
      </c>
      <c r="N14" s="325" t="n">
        <f aca="false">+N13/340/Assumpt!$E$8*1000</f>
        <v>101.52</v>
      </c>
      <c r="O14" s="325" t="n">
        <f aca="false">+O13/340/Assumpt!$E$8*1000</f>
        <v>102.49</v>
      </c>
      <c r="P14" s="325" t="n">
        <f aca="false">+P13/340/Assumpt!$E$8*1000</f>
        <v>104.39</v>
      </c>
      <c r="Q14" s="325" t="n">
        <f aca="false">+Q13/340/Assumpt!$E$8*1000</f>
        <v>104.39</v>
      </c>
      <c r="R14" s="325" t="n">
        <f aca="false">+R13/340/Assumpt!$E$8*1000</f>
        <v>104.39</v>
      </c>
      <c r="S14" s="325" t="n">
        <f aca="false">+S13/340/Assumpt!$E$8*1000</f>
        <v>104.39</v>
      </c>
      <c r="T14" s="325" t="n">
        <f aca="false">+T13/340/Assumpt!$E$8*1000</f>
        <v>0</v>
      </c>
      <c r="U14" s="325" t="n">
        <f aca="false">+U13/340/Assumpt!$E$8*1000</f>
        <v>0</v>
      </c>
      <c r="V14" s="325" t="n">
        <f aca="false">+V13/340/Assumpt!$E$8*1000</f>
        <v>0</v>
      </c>
      <c r="W14" s="325" t="n">
        <f aca="false">+W13/340/Assumpt!$E$8*1000</f>
        <v>0</v>
      </c>
      <c r="X14" s="325" t="n">
        <f aca="false">+X13/340/Assumpt!$E$8*1000</f>
        <v>0</v>
      </c>
      <c r="Y14" s="325" t="n">
        <f aca="false">+Y13/340/Assumpt!$E$8*1000</f>
        <v>0</v>
      </c>
      <c r="Z14" s="325" t="n">
        <f aca="false">+Z13/340/Assumpt!$E$8*1000</f>
        <v>0</v>
      </c>
      <c r="AA14" s="325" t="n">
        <f aca="false">+AA13/340/Assumpt!$E$8*1000</f>
        <v>0</v>
      </c>
      <c r="AB14" s="325" t="n">
        <f aca="false">+AB13/340/Assumpt!$E$8*1000</f>
        <v>0</v>
      </c>
      <c r="AC14" s="325" t="n">
        <f aca="false">+AC13/340/Assumpt!$E$8*1000</f>
        <v>0</v>
      </c>
      <c r="AD14" s="325" t="n">
        <f aca="false">+AD13/340/Assumpt!$E$8*1000</f>
        <v>0</v>
      </c>
      <c r="AE14" s="325" t="n">
        <f aca="false">+AE13/340/Assumpt!$E$8*1000</f>
        <v>0</v>
      </c>
      <c r="AF14" s="326"/>
      <c r="AG14" s="327"/>
      <c r="AH14" s="328"/>
      <c r="AI14" s="327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29"/>
      <c r="BY14" s="329"/>
      <c r="BZ14" s="329"/>
      <c r="CA14" s="329"/>
      <c r="CB14" s="329"/>
      <c r="CC14" s="329"/>
      <c r="CD14" s="329"/>
      <c r="CE14" s="329"/>
      <c r="CF14" s="329"/>
      <c r="CG14" s="329"/>
      <c r="CH14" s="329"/>
      <c r="CI14" s="329"/>
      <c r="CJ14" s="329"/>
      <c r="CK14" s="329"/>
      <c r="CL14" s="329"/>
      <c r="CM14" s="329"/>
      <c r="CN14" s="329"/>
      <c r="CO14" s="329"/>
      <c r="CP14" s="329"/>
      <c r="CQ14" s="329"/>
      <c r="CR14" s="329"/>
      <c r="CS14" s="329"/>
      <c r="CT14" s="329"/>
      <c r="CU14" s="329"/>
      <c r="CV14" s="329"/>
      <c r="CW14" s="329"/>
      <c r="CX14" s="329"/>
      <c r="CY14" s="329"/>
      <c r="CZ14" s="329"/>
      <c r="DA14" s="329"/>
      <c r="DB14" s="329"/>
      <c r="DC14" s="329"/>
      <c r="DD14" s="329"/>
      <c r="DE14" s="329"/>
      <c r="DF14" s="329"/>
      <c r="DG14" s="329"/>
      <c r="DH14" s="329"/>
      <c r="DI14" s="329"/>
      <c r="DJ14" s="329"/>
      <c r="DK14" s="329"/>
      <c r="DL14" s="329"/>
      <c r="DM14" s="329"/>
      <c r="DN14" s="329"/>
      <c r="DO14" s="329"/>
      <c r="DP14" s="329"/>
      <c r="DQ14" s="329"/>
      <c r="DR14" s="329"/>
      <c r="DS14" s="329"/>
      <c r="DT14" s="329"/>
      <c r="DU14" s="329"/>
      <c r="DV14" s="329"/>
      <c r="DW14" s="329"/>
      <c r="DX14" s="329"/>
      <c r="DY14" s="329"/>
      <c r="DZ14" s="329"/>
      <c r="EA14" s="329"/>
      <c r="EB14" s="329"/>
      <c r="EC14" s="329"/>
      <c r="ED14" s="329"/>
      <c r="EE14" s="329"/>
      <c r="EF14" s="329"/>
      <c r="EG14" s="329"/>
      <c r="EH14" s="329"/>
      <c r="EI14" s="329"/>
      <c r="EJ14" s="329"/>
      <c r="EK14" s="329"/>
      <c r="EL14" s="329"/>
      <c r="EM14" s="329"/>
      <c r="EN14" s="329"/>
      <c r="EO14" s="329"/>
      <c r="EP14" s="329"/>
      <c r="EQ14" s="329"/>
      <c r="ER14" s="329"/>
      <c r="ES14" s="329"/>
      <c r="ET14" s="329"/>
      <c r="EU14" s="329"/>
      <c r="EV14" s="329"/>
      <c r="EW14" s="329"/>
      <c r="EX14" s="329"/>
      <c r="EY14" s="329"/>
      <c r="EZ14" s="329"/>
      <c r="FA14" s="329"/>
      <c r="FB14" s="329"/>
      <c r="FC14" s="329"/>
      <c r="FD14" s="329"/>
      <c r="FE14" s="329"/>
      <c r="FF14" s="329"/>
      <c r="FG14" s="329"/>
      <c r="FH14" s="329"/>
      <c r="FI14" s="329"/>
      <c r="FJ14" s="329"/>
      <c r="FK14" s="329"/>
      <c r="FL14" s="329"/>
      <c r="FM14" s="329"/>
      <c r="FN14" s="329"/>
      <c r="FO14" s="329"/>
      <c r="FP14" s="329"/>
      <c r="FQ14" s="329"/>
      <c r="FR14" s="329"/>
      <c r="FS14" s="329"/>
      <c r="FT14" s="329"/>
      <c r="FU14" s="329"/>
      <c r="FV14" s="329"/>
      <c r="FW14" s="329"/>
      <c r="FX14" s="329"/>
      <c r="FY14" s="329"/>
      <c r="FZ14" s="329"/>
      <c r="GA14" s="329"/>
      <c r="GB14" s="329"/>
      <c r="GC14" s="329"/>
      <c r="GD14" s="329"/>
      <c r="GE14" s="329"/>
      <c r="GF14" s="329"/>
      <c r="GG14" s="329"/>
      <c r="GH14" s="329"/>
      <c r="GI14" s="329"/>
      <c r="GJ14" s="329"/>
      <c r="GK14" s="329"/>
      <c r="GL14" s="329"/>
      <c r="GM14" s="329"/>
      <c r="GN14" s="329"/>
      <c r="GO14" s="329"/>
      <c r="GP14" s="329"/>
      <c r="GQ14" s="329"/>
      <c r="GR14" s="329"/>
      <c r="GS14" s="329"/>
      <c r="GT14" s="329"/>
      <c r="GU14" s="329"/>
      <c r="GV14" s="329"/>
      <c r="GW14" s="329"/>
      <c r="GX14" s="329"/>
      <c r="GY14" s="329"/>
      <c r="GZ14" s="329"/>
      <c r="HA14" s="329"/>
      <c r="HB14" s="329"/>
      <c r="HC14" s="329"/>
      <c r="HD14" s="329"/>
      <c r="HE14" s="329"/>
      <c r="HF14" s="329"/>
      <c r="HG14" s="329"/>
      <c r="HH14" s="329"/>
      <c r="HI14" s="329"/>
      <c r="HJ14" s="329"/>
      <c r="HK14" s="329"/>
      <c r="HL14" s="329"/>
      <c r="HM14" s="329"/>
      <c r="HN14" s="329"/>
      <c r="HO14" s="329"/>
      <c r="HP14" s="329"/>
      <c r="HQ14" s="329"/>
      <c r="HR14" s="329"/>
      <c r="HS14" s="329"/>
      <c r="HT14" s="329"/>
      <c r="HU14" s="329"/>
      <c r="HV14" s="329"/>
      <c r="HW14" s="329"/>
      <c r="HX14" s="329"/>
      <c r="HY14" s="329"/>
      <c r="HZ14" s="329"/>
      <c r="IA14" s="329"/>
      <c r="IB14" s="329"/>
      <c r="IC14" s="329"/>
      <c r="ID14" s="329"/>
      <c r="IE14" s="329"/>
      <c r="IF14" s="329"/>
      <c r="IG14" s="329"/>
      <c r="IH14" s="329"/>
      <c r="II14" s="329"/>
      <c r="IJ14" s="329"/>
      <c r="IK14" s="329"/>
      <c r="IL14" s="329"/>
      <c r="IM14" s="329"/>
      <c r="IN14" s="329"/>
      <c r="IO14" s="329"/>
      <c r="IP14" s="329"/>
      <c r="IQ14" s="329"/>
      <c r="IR14" s="329"/>
      <c r="IS14" s="329"/>
      <c r="IT14" s="329"/>
      <c r="IU14" s="329"/>
      <c r="IV14" s="329"/>
      <c r="IW14" s="329"/>
    </row>
    <row r="15" customFormat="false" ht="12.75" hidden="false" customHeight="false" outlineLevel="0" collapsed="false">
      <c r="A15" s="330"/>
      <c r="B15" s="265"/>
      <c r="C15" s="265"/>
      <c r="D15" s="265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31"/>
      <c r="AG15" s="321"/>
      <c r="AH15" s="321"/>
      <c r="AI15" s="321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</row>
    <row r="16" customFormat="false" ht="12.75" hidden="false" customHeight="false" outlineLevel="0" collapsed="false">
      <c r="A16" s="332" t="s">
        <v>165</v>
      </c>
      <c r="B16" s="265"/>
      <c r="C16" s="265"/>
      <c r="D16" s="265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4"/>
      <c r="AG16" s="333"/>
      <c r="AH16" s="333"/>
      <c r="AI16" s="333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</row>
    <row r="17" customFormat="false" ht="12.75" hidden="false" customHeight="false" outlineLevel="0" collapsed="false">
      <c r="A17" s="335" t="str">
        <f aca="false">+A13</f>
        <v>Total Annual Production (MMBTU)</v>
      </c>
      <c r="B17" s="265"/>
      <c r="C17" s="265"/>
      <c r="D17" s="336"/>
      <c r="E17" s="107" t="n">
        <f aca="false">+E13</f>
        <v>9251.434</v>
      </c>
      <c r="F17" s="107" t="n">
        <f aca="false">+F13</f>
        <v>9327.832</v>
      </c>
      <c r="G17" s="107" t="n">
        <f aca="false">+G13</f>
        <v>17931.702</v>
      </c>
      <c r="H17" s="107" t="n">
        <f aca="false">+H13</f>
        <v>18488.316</v>
      </c>
      <c r="I17" s="107" t="n">
        <f aca="false">+I13</f>
        <v>18571.99</v>
      </c>
      <c r="J17" s="107" t="n">
        <f aca="false">+J13</f>
        <v>18913.962</v>
      </c>
      <c r="K17" s="107" t="n">
        <f aca="false">+K13</f>
        <v>19034.016</v>
      </c>
      <c r="L17" s="107" t="n">
        <f aca="false">+L13</f>
        <v>34502.792</v>
      </c>
      <c r="M17" s="107" t="n">
        <f aca="false">+M13</f>
        <v>36652.85</v>
      </c>
      <c r="N17" s="107" t="n">
        <f aca="false">+N13</f>
        <v>36932.976</v>
      </c>
      <c r="O17" s="107" t="n">
        <f aca="false">+O13</f>
        <v>37285.862</v>
      </c>
      <c r="P17" s="107" t="n">
        <f aca="false">+P13</f>
        <v>37977.082</v>
      </c>
      <c r="Q17" s="107" t="n">
        <f aca="false">+Q13</f>
        <v>37977.082</v>
      </c>
      <c r="R17" s="107" t="n">
        <f aca="false">+R13</f>
        <v>37977.082</v>
      </c>
      <c r="S17" s="107" t="n">
        <f aca="false">+S13</f>
        <v>37977.082</v>
      </c>
      <c r="T17" s="107" t="n">
        <f aca="false">+T13</f>
        <v>0</v>
      </c>
      <c r="U17" s="107" t="n">
        <f aca="false">+U13</f>
        <v>0</v>
      </c>
      <c r="V17" s="107" t="n">
        <f aca="false">+V13</f>
        <v>0</v>
      </c>
      <c r="W17" s="107" t="n">
        <f aca="false">+W13</f>
        <v>0</v>
      </c>
      <c r="X17" s="107" t="n">
        <f aca="false">+X13</f>
        <v>0</v>
      </c>
      <c r="Y17" s="107" t="n">
        <f aca="false">+Y13</f>
        <v>0</v>
      </c>
      <c r="Z17" s="107" t="n">
        <f aca="false">+Z13</f>
        <v>0</v>
      </c>
      <c r="AA17" s="107" t="n">
        <f aca="false">+AA13</f>
        <v>0</v>
      </c>
      <c r="AB17" s="107" t="n">
        <f aca="false">+AB13</f>
        <v>0</v>
      </c>
      <c r="AC17" s="107" t="n">
        <f aca="false">+AC13</f>
        <v>0</v>
      </c>
      <c r="AD17" s="107" t="n">
        <f aca="false">+AD13</f>
        <v>0</v>
      </c>
      <c r="AE17" s="107" t="n">
        <f aca="false">+AE13</f>
        <v>0</v>
      </c>
      <c r="AF17" s="337" t="n">
        <f aca="false">SUM(E17:AE17)</f>
        <v>408802.06</v>
      </c>
      <c r="AG17" s="338"/>
      <c r="AH17" s="338"/>
      <c r="AI17" s="338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</row>
    <row r="18" customFormat="false" ht="12.75" hidden="false" customHeight="false" outlineLevel="0" collapsed="false">
      <c r="A18" s="339" t="s">
        <v>166</v>
      </c>
      <c r="B18" s="340"/>
      <c r="C18" s="340"/>
      <c r="D18" s="340"/>
      <c r="E18" s="341" t="n">
        <f aca="false">+fixtariff2003*(1+Assumpt!$E$23)^(E5-Assumpt!$D$22)</f>
        <v>1.89903142023488</v>
      </c>
      <c r="F18" s="341" t="n">
        <f aca="false">+fixtariff2003*(1+Assumpt!$E$23)^(F5-Assumpt!$D$22)</f>
        <v>1.93701204863958</v>
      </c>
      <c r="G18" s="341" t="n">
        <f aca="false">+fixtariff2003*(1+Assumpt!$E$23)^(G5-Assumpt!$D$22)</f>
        <v>1.97575228961237</v>
      </c>
      <c r="H18" s="341" t="n">
        <f aca="false">+fixtariff2003*(1+Assumpt!$E$23)^(H5-Assumpt!$D$22)</f>
        <v>2.01526733540462</v>
      </c>
      <c r="I18" s="341" t="n">
        <f aca="false">+fixtariff2003*(1+Assumpt!$E$23)^(I5-Assumpt!$D$22)</f>
        <v>2.05557268211271</v>
      </c>
      <c r="J18" s="341" t="n">
        <f aca="false">+fixtariff2003*(1+Assumpt!$E$23)^(J5-Assumpt!$D$22)</f>
        <v>2.09668413575496</v>
      </c>
      <c r="K18" s="341" t="n">
        <f aca="false">+fixtariff2003*(1+Assumpt!$E$23)^(K5-Assumpt!$D$22)</f>
        <v>2.13861781847006</v>
      </c>
      <c r="L18" s="341" t="n">
        <f aca="false">+fixtariff2003*(1+Assumpt!$E$23)^(L5-Assumpt!$D$22)</f>
        <v>2.18139017483946</v>
      </c>
      <c r="M18" s="341" t="n">
        <f aca="false">+fixtariff2003*(1+Assumpt!$E$23)^(M5-Assumpt!$D$22)</f>
        <v>2.22501797833625</v>
      </c>
      <c r="N18" s="341" t="n">
        <f aca="false">+fixtariff2003*(1+Assumpt!$E$23)^(N5-Assumpt!$D$22)</f>
        <v>2.26951833790298</v>
      </c>
      <c r="O18" s="341" t="n">
        <f aca="false">+fixtariff2003*(1+Assumpt!$E$23)^(O5-Assumpt!$D$22)</f>
        <v>2.31490870466104</v>
      </c>
      <c r="P18" s="341" t="n">
        <f aca="false">+fixtariff2003*(1+Assumpt!$E$23)^(P5-Assumpt!$D$22)</f>
        <v>2.36120687875426</v>
      </c>
      <c r="Q18" s="341" t="n">
        <f aca="false">+fixtariff2003*(1+Assumpt!$E$23)^(Q5-Assumpt!$D$22)</f>
        <v>2.40843101632934</v>
      </c>
      <c r="R18" s="341" t="n">
        <f aca="false">+fixtariff2003*(1+Assumpt!$E$23)^(R5-Assumpt!$D$22)</f>
        <v>2.45659963665593</v>
      </c>
      <c r="S18" s="341" t="n">
        <f aca="false">+fixtariff2003*(1+Assumpt!$E$23)^(S5-Assumpt!$D$22)</f>
        <v>2.50573162938905</v>
      </c>
      <c r="T18" s="341" t="n">
        <f aca="false">+fixtariff2003*(1+Assumpt!$E$23)^(T5-Assumpt!$D$22)</f>
        <v>2.55584626197683</v>
      </c>
      <c r="U18" s="341" t="n">
        <f aca="false">+fixtariff2003*(1+Assumpt!$E$23)^(U5-Assumpt!$D$22)</f>
        <v>2.60696318721637</v>
      </c>
      <c r="V18" s="341" t="n">
        <f aca="false">+fixtariff2003*(1+Assumpt!$E$23)^(V5-Assumpt!$D$22)</f>
        <v>2.65910245096069</v>
      </c>
      <c r="W18" s="341" t="n">
        <f aca="false">+fixtariff2003*(1+Assumpt!$E$23)^(W5-Assumpt!$D$22)</f>
        <v>2.71228449997991</v>
      </c>
      <c r="X18" s="341" t="n">
        <f aca="false">+fixtariff2003*(1+Assumpt!$E$23)^(X5-Assumpt!$D$22)</f>
        <v>2.7665301899795</v>
      </c>
      <c r="Y18" s="341" t="n">
        <f aca="false">+fixtariff2003*(1+Assumpt!$E$23)^(Y5-Assumpt!$D$22)</f>
        <v>2.8218607937791</v>
      </c>
      <c r="Z18" s="341" t="n">
        <f aca="false">+fixtariff2003*(1+Assumpt!$E$23)^(Z5-Assumpt!$D$22)</f>
        <v>2.87829800965468</v>
      </c>
      <c r="AA18" s="341" t="n">
        <f aca="false">+fixtariff2003*(1+Assumpt!$E$23)^(AA5-Assumpt!$D$22)</f>
        <v>2.93586396984777</v>
      </c>
      <c r="AB18" s="341" t="n">
        <f aca="false">+fixtariff2003*(1+Assumpt!$E$23)^(AB5-Assumpt!$D$22)</f>
        <v>2.99458124924473</v>
      </c>
      <c r="AC18" s="341" t="n">
        <f aca="false">+fixtariff2003*(1+Assumpt!$E$23)^(AC5-Assumpt!$D$22)</f>
        <v>3.05447287422962</v>
      </c>
      <c r="AD18" s="341" t="n">
        <f aca="false">+fixtariff2003*(1+Assumpt!$E$23)^(AD5-Assumpt!$D$22)</f>
        <v>3.11556233171421</v>
      </c>
      <c r="AE18" s="341" t="n">
        <f aca="false">+fixtariff2003*(1+Assumpt!$E$23)^(AE5-Assumpt!$D$22)</f>
        <v>3.1778735783485</v>
      </c>
      <c r="AF18" s="342"/>
      <c r="AG18" s="343"/>
      <c r="AH18" s="343"/>
      <c r="AI18" s="343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  <c r="BM18" s="344"/>
      <c r="BN18" s="344"/>
      <c r="BO18" s="344"/>
      <c r="BP18" s="344"/>
      <c r="BQ18" s="344"/>
      <c r="BR18" s="344"/>
      <c r="BS18" s="344"/>
      <c r="BT18" s="344"/>
      <c r="BU18" s="344"/>
      <c r="BV18" s="344"/>
      <c r="BW18" s="344"/>
      <c r="BX18" s="344"/>
      <c r="BY18" s="344"/>
      <c r="BZ18" s="344"/>
      <c r="CA18" s="344"/>
      <c r="CB18" s="344"/>
      <c r="CC18" s="344"/>
      <c r="CD18" s="344"/>
      <c r="CE18" s="344"/>
      <c r="CF18" s="344"/>
      <c r="CG18" s="344"/>
      <c r="CH18" s="344"/>
      <c r="CI18" s="344"/>
      <c r="CJ18" s="344"/>
      <c r="CK18" s="344"/>
      <c r="CL18" s="344"/>
      <c r="CM18" s="344"/>
      <c r="CN18" s="344"/>
      <c r="CO18" s="344"/>
      <c r="CP18" s="344"/>
      <c r="CQ18" s="344"/>
      <c r="CR18" s="344"/>
      <c r="CS18" s="344"/>
      <c r="CT18" s="344"/>
      <c r="CU18" s="344"/>
      <c r="CV18" s="344"/>
      <c r="CW18" s="344"/>
      <c r="CX18" s="344"/>
      <c r="CY18" s="344"/>
      <c r="CZ18" s="344"/>
      <c r="DA18" s="344"/>
      <c r="DB18" s="344"/>
      <c r="DC18" s="344"/>
      <c r="DD18" s="344"/>
      <c r="DE18" s="344"/>
      <c r="DF18" s="344"/>
      <c r="DG18" s="344"/>
      <c r="DH18" s="344"/>
      <c r="DI18" s="344"/>
      <c r="DJ18" s="344"/>
      <c r="DK18" s="344"/>
      <c r="DL18" s="344"/>
      <c r="DM18" s="344"/>
      <c r="DN18" s="344"/>
      <c r="DO18" s="344"/>
      <c r="DP18" s="344"/>
      <c r="DQ18" s="344"/>
      <c r="DR18" s="344"/>
      <c r="DS18" s="344"/>
      <c r="DT18" s="344"/>
      <c r="DU18" s="344"/>
      <c r="DV18" s="344"/>
      <c r="DW18" s="344"/>
      <c r="DX18" s="344"/>
      <c r="DY18" s="344"/>
      <c r="DZ18" s="344"/>
      <c r="EA18" s="344"/>
      <c r="EB18" s="344"/>
      <c r="EC18" s="344"/>
      <c r="ED18" s="344"/>
      <c r="EE18" s="344"/>
      <c r="EF18" s="344"/>
      <c r="EG18" s="344"/>
      <c r="EH18" s="344"/>
      <c r="EI18" s="344"/>
      <c r="EJ18" s="344"/>
      <c r="EK18" s="344"/>
      <c r="EL18" s="344"/>
      <c r="EM18" s="344"/>
      <c r="EN18" s="344"/>
      <c r="EO18" s="344"/>
      <c r="EP18" s="344"/>
      <c r="EQ18" s="344"/>
      <c r="ER18" s="344"/>
      <c r="ES18" s="344"/>
      <c r="ET18" s="344"/>
      <c r="EU18" s="344"/>
      <c r="EV18" s="344"/>
      <c r="EW18" s="344"/>
      <c r="EX18" s="344"/>
      <c r="EY18" s="344"/>
      <c r="EZ18" s="344"/>
      <c r="FA18" s="344"/>
      <c r="FB18" s="344"/>
      <c r="FC18" s="344"/>
      <c r="FD18" s="344"/>
      <c r="FE18" s="344"/>
      <c r="FF18" s="344"/>
      <c r="FG18" s="344"/>
      <c r="FH18" s="344"/>
      <c r="FI18" s="344"/>
      <c r="FJ18" s="344"/>
      <c r="FK18" s="344"/>
      <c r="FL18" s="344"/>
      <c r="FM18" s="344"/>
      <c r="FN18" s="344"/>
      <c r="FO18" s="344"/>
      <c r="FP18" s="344"/>
      <c r="FQ18" s="344"/>
      <c r="FR18" s="344"/>
      <c r="FS18" s="344"/>
      <c r="FT18" s="344"/>
      <c r="FU18" s="344"/>
      <c r="FV18" s="344"/>
      <c r="FW18" s="344"/>
      <c r="FX18" s="344"/>
      <c r="FY18" s="344"/>
      <c r="FZ18" s="344"/>
      <c r="GA18" s="344"/>
      <c r="GB18" s="344"/>
      <c r="GC18" s="344"/>
      <c r="GD18" s="344"/>
      <c r="GE18" s="344"/>
      <c r="GF18" s="344"/>
      <c r="GG18" s="344"/>
      <c r="GH18" s="344"/>
      <c r="GI18" s="344"/>
      <c r="GJ18" s="344"/>
      <c r="GK18" s="344"/>
      <c r="GL18" s="344"/>
      <c r="GM18" s="344"/>
      <c r="GN18" s="344"/>
      <c r="GO18" s="344"/>
      <c r="GP18" s="344"/>
      <c r="GQ18" s="344"/>
      <c r="GR18" s="344"/>
      <c r="GS18" s="344"/>
      <c r="GT18" s="344"/>
      <c r="GU18" s="344"/>
      <c r="GV18" s="344"/>
      <c r="GW18" s="344"/>
      <c r="GX18" s="344"/>
      <c r="GY18" s="344"/>
      <c r="GZ18" s="344"/>
      <c r="HA18" s="344"/>
      <c r="HB18" s="344"/>
      <c r="HC18" s="344"/>
      <c r="HD18" s="344"/>
      <c r="HE18" s="344"/>
      <c r="HF18" s="344"/>
      <c r="HG18" s="344"/>
      <c r="HH18" s="344"/>
      <c r="HI18" s="344"/>
      <c r="HJ18" s="344"/>
      <c r="HK18" s="344"/>
      <c r="HL18" s="344"/>
      <c r="HM18" s="344"/>
      <c r="HN18" s="344"/>
      <c r="HO18" s="344"/>
      <c r="HP18" s="344"/>
      <c r="HQ18" s="344"/>
      <c r="HR18" s="344"/>
      <c r="HS18" s="344"/>
      <c r="HT18" s="344"/>
      <c r="HU18" s="344"/>
      <c r="HV18" s="344"/>
      <c r="HW18" s="344"/>
      <c r="HX18" s="344"/>
      <c r="HY18" s="344"/>
      <c r="HZ18" s="344"/>
      <c r="IA18" s="344"/>
      <c r="IB18" s="344"/>
      <c r="IC18" s="344"/>
      <c r="ID18" s="344"/>
      <c r="IE18" s="344"/>
      <c r="IF18" s="344"/>
      <c r="IG18" s="344"/>
      <c r="IH18" s="344"/>
      <c r="II18" s="344"/>
      <c r="IJ18" s="344"/>
      <c r="IK18" s="344"/>
      <c r="IL18" s="344"/>
      <c r="IM18" s="344"/>
      <c r="IN18" s="344"/>
      <c r="IO18" s="344"/>
      <c r="IP18" s="344"/>
      <c r="IQ18" s="344"/>
      <c r="IR18" s="344"/>
      <c r="IS18" s="344"/>
      <c r="IT18" s="344"/>
      <c r="IU18" s="344"/>
      <c r="IV18" s="344"/>
      <c r="IW18" s="344"/>
    </row>
    <row r="19" customFormat="false" ht="15" hidden="false" customHeight="false" outlineLevel="0" collapsed="false">
      <c r="A19" s="335" t="s">
        <v>167</v>
      </c>
      <c r="B19" s="265"/>
      <c r="C19" s="265"/>
      <c r="D19" s="265"/>
      <c r="E19" s="345" t="n">
        <f aca="false">+E18*E17</f>
        <v>17568.7638482292</v>
      </c>
      <c r="F19" s="345" t="n">
        <f aca="false">+F18*F17</f>
        <v>18068.1229716858</v>
      </c>
      <c r="G19" s="345" t="n">
        <f aca="false">+G18*G17</f>
        <v>35428.6012831467</v>
      </c>
      <c r="H19" s="345" t="n">
        <f aca="false">+H18*H17</f>
        <v>37258.8993214385</v>
      </c>
      <c r="I19" s="345" t="n">
        <f aca="false">+I18*I17</f>
        <v>38176.0752964704</v>
      </c>
      <c r="J19" s="345" t="n">
        <f aca="false">+J18*J17</f>
        <v>39656.6040696722</v>
      </c>
      <c r="K19" s="345" t="n">
        <f aca="false">+K18*K17</f>
        <v>40706.4857746443</v>
      </c>
      <c r="L19" s="345" t="n">
        <f aca="false">+L18*L17</f>
        <v>75264.0514733296</v>
      </c>
      <c r="M19" s="345" t="n">
        <f aca="false">+M18*M17</f>
        <v>81553.2502072618</v>
      </c>
      <c r="N19" s="345" t="n">
        <f aca="false">+N18*N17</f>
        <v>83820.0663053305</v>
      </c>
      <c r="O19" s="345" t="n">
        <f aca="false">+O18*O17</f>
        <v>86313.3665045902</v>
      </c>
      <c r="P19" s="345" t="n">
        <f aca="false">+P18*P17</f>
        <v>89671.7472534145</v>
      </c>
      <c r="Q19" s="345" t="n">
        <f aca="false">+Q18*Q17</f>
        <v>91465.1821984828</v>
      </c>
      <c r="R19" s="345" t="n">
        <f aca="false">+R18*R17</f>
        <v>93294.4858424524</v>
      </c>
      <c r="S19" s="345" t="n">
        <f aca="false">+S18*S17</f>
        <v>95160.3755593015</v>
      </c>
      <c r="T19" s="345" t="n">
        <f aca="false">+T18*T17</f>
        <v>0</v>
      </c>
      <c r="U19" s="345" t="n">
        <f aca="false">+U18*U17</f>
        <v>0</v>
      </c>
      <c r="V19" s="345" t="n">
        <f aca="false">+V18*V17</f>
        <v>0</v>
      </c>
      <c r="W19" s="345" t="n">
        <f aca="false">+W18*W17</f>
        <v>0</v>
      </c>
      <c r="X19" s="345" t="n">
        <f aca="false">+X18*X17</f>
        <v>0</v>
      </c>
      <c r="Y19" s="345" t="n">
        <f aca="false">+Y18*Y17</f>
        <v>0</v>
      </c>
      <c r="Z19" s="345" t="n">
        <f aca="false">+Z18*Z17</f>
        <v>0</v>
      </c>
      <c r="AA19" s="345" t="n">
        <f aca="false">+AA18*AA17</f>
        <v>0</v>
      </c>
      <c r="AB19" s="345" t="n">
        <f aca="false">+AB18*AB17</f>
        <v>0</v>
      </c>
      <c r="AC19" s="345" t="n">
        <f aca="false">+AC18*AC17</f>
        <v>0</v>
      </c>
      <c r="AD19" s="345" t="n">
        <f aca="false">+AD18*AD17</f>
        <v>0</v>
      </c>
      <c r="AE19" s="345" t="n">
        <f aca="false">+AE18*AE17</f>
        <v>0</v>
      </c>
      <c r="AF19" s="337" t="n">
        <f aca="false">SUM(E19:AE19)</f>
        <v>923406.07790945</v>
      </c>
      <c r="AG19" s="346"/>
      <c r="AH19" s="346"/>
      <c r="AI19" s="346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</row>
    <row r="20" customFormat="false" ht="12.75" hidden="false" customHeight="false" outlineLevel="0" collapsed="false">
      <c r="A20" s="347"/>
      <c r="B20" s="265"/>
      <c r="C20" s="265"/>
      <c r="D20" s="265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337"/>
      <c r="AG20" s="180"/>
      <c r="AH20" s="180"/>
      <c r="AI20" s="180"/>
      <c r="AW20" s="14"/>
      <c r="AX20" s="14"/>
      <c r="AY20" s="14"/>
      <c r="AZ20" s="14"/>
      <c r="BA20" s="14"/>
      <c r="BB20" s="14"/>
    </row>
    <row r="21" customFormat="false" ht="12.75" hidden="false" customHeight="false" outlineLevel="0" collapsed="false">
      <c r="A21" s="348" t="s">
        <v>168</v>
      </c>
      <c r="B21" s="265"/>
      <c r="C21" s="265"/>
      <c r="D21" s="265"/>
      <c r="E21" s="180" t="n">
        <f aca="false">E19</f>
        <v>17568.7638482292</v>
      </c>
      <c r="F21" s="180" t="n">
        <f aca="false">F19</f>
        <v>18068.1229716858</v>
      </c>
      <c r="G21" s="180" t="n">
        <f aca="false">G19</f>
        <v>35428.6012831467</v>
      </c>
      <c r="H21" s="180" t="n">
        <f aca="false">H19</f>
        <v>37258.8993214385</v>
      </c>
      <c r="I21" s="180" t="n">
        <f aca="false">I19</f>
        <v>38176.0752964704</v>
      </c>
      <c r="J21" s="180" t="n">
        <f aca="false">J19</f>
        <v>39656.6040696722</v>
      </c>
      <c r="K21" s="180" t="n">
        <f aca="false">K19</f>
        <v>40706.4857746443</v>
      </c>
      <c r="L21" s="180" t="n">
        <f aca="false">L19</f>
        <v>75264.0514733296</v>
      </c>
      <c r="M21" s="180" t="n">
        <f aca="false">M19</f>
        <v>81553.2502072618</v>
      </c>
      <c r="N21" s="180" t="n">
        <f aca="false">N19</f>
        <v>83820.0663053305</v>
      </c>
      <c r="O21" s="180" t="n">
        <f aca="false">O19</f>
        <v>86313.3665045902</v>
      </c>
      <c r="P21" s="180" t="n">
        <f aca="false">P19</f>
        <v>89671.7472534145</v>
      </c>
      <c r="Q21" s="180" t="n">
        <f aca="false">Q19</f>
        <v>91465.1821984828</v>
      </c>
      <c r="R21" s="180" t="n">
        <f aca="false">R19</f>
        <v>93294.4858424524</v>
      </c>
      <c r="S21" s="180" t="n">
        <f aca="false">S19</f>
        <v>95160.3755593015</v>
      </c>
      <c r="T21" s="180" t="n">
        <f aca="false">T19</f>
        <v>0</v>
      </c>
      <c r="U21" s="180" t="n">
        <f aca="false">U19</f>
        <v>0</v>
      </c>
      <c r="V21" s="180" t="n">
        <f aca="false">V19</f>
        <v>0</v>
      </c>
      <c r="W21" s="180" t="n">
        <f aca="false">W19</f>
        <v>0</v>
      </c>
      <c r="X21" s="180" t="n">
        <f aca="false">X19</f>
        <v>0</v>
      </c>
      <c r="Y21" s="180" t="n">
        <f aca="false">Y19</f>
        <v>0</v>
      </c>
      <c r="Z21" s="180" t="n">
        <f aca="false">Z19</f>
        <v>0</v>
      </c>
      <c r="AA21" s="180" t="n">
        <f aca="false">AA19</f>
        <v>0</v>
      </c>
      <c r="AB21" s="180" t="n">
        <f aca="false">AB19</f>
        <v>0</v>
      </c>
      <c r="AC21" s="180" t="n">
        <f aca="false">AC19</f>
        <v>0</v>
      </c>
      <c r="AD21" s="180" t="n">
        <f aca="false">AD19</f>
        <v>0</v>
      </c>
      <c r="AE21" s="180" t="n">
        <f aca="false">AE19</f>
        <v>0</v>
      </c>
      <c r="AF21" s="337" t="n">
        <f aca="false">SUM(E21:AE21)</f>
        <v>923406.07790945</v>
      </c>
      <c r="AG21" s="180"/>
      <c r="AH21" s="180"/>
      <c r="AI21" s="180"/>
      <c r="AW21" s="14"/>
      <c r="AX21" s="14"/>
      <c r="AY21" s="14"/>
      <c r="AZ21" s="14"/>
      <c r="BA21" s="14"/>
      <c r="BB21" s="14"/>
    </row>
    <row r="22" customFormat="false" ht="12.75" hidden="false" customHeight="false" outlineLevel="0" collapsed="false">
      <c r="A22" s="347"/>
      <c r="B22" s="265"/>
      <c r="C22" s="265"/>
      <c r="D22" s="265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337"/>
      <c r="AG22" s="180"/>
      <c r="AH22" s="180"/>
      <c r="AI22" s="180"/>
      <c r="AW22" s="14"/>
      <c r="AX22" s="14"/>
      <c r="AY22" s="14"/>
      <c r="AZ22" s="14"/>
      <c r="BA22" s="14"/>
      <c r="BB22" s="14"/>
    </row>
    <row r="23" customFormat="false" ht="12.75" hidden="false" customHeight="false" outlineLevel="0" collapsed="false">
      <c r="A23" s="349" t="s">
        <v>169</v>
      </c>
      <c r="B23" s="350"/>
      <c r="C23" s="350"/>
      <c r="D23" s="298"/>
      <c r="E23" s="351" t="n">
        <f aca="false">+E21</f>
        <v>17568.7638482292</v>
      </c>
      <c r="F23" s="351" t="n">
        <f aca="false">+F21</f>
        <v>18068.1229716858</v>
      </c>
      <c r="G23" s="351" t="n">
        <f aca="false">+G21</f>
        <v>35428.6012831467</v>
      </c>
      <c r="H23" s="351" t="n">
        <f aca="false">+H21</f>
        <v>37258.8993214385</v>
      </c>
      <c r="I23" s="351" t="n">
        <f aca="false">+I21</f>
        <v>38176.0752964704</v>
      </c>
      <c r="J23" s="351" t="n">
        <f aca="false">+J21</f>
        <v>39656.6040696722</v>
      </c>
      <c r="K23" s="351" t="n">
        <f aca="false">+K21</f>
        <v>40706.4857746443</v>
      </c>
      <c r="L23" s="351" t="n">
        <f aca="false">+L21</f>
        <v>75264.0514733296</v>
      </c>
      <c r="M23" s="351" t="n">
        <f aca="false">+M21</f>
        <v>81553.2502072618</v>
      </c>
      <c r="N23" s="351" t="n">
        <f aca="false">+N21</f>
        <v>83820.0663053305</v>
      </c>
      <c r="O23" s="351" t="n">
        <f aca="false">+O21</f>
        <v>86313.3665045902</v>
      </c>
      <c r="P23" s="351" t="n">
        <f aca="false">+P21</f>
        <v>89671.7472534145</v>
      </c>
      <c r="Q23" s="351" t="n">
        <f aca="false">+Q21</f>
        <v>91465.1821984828</v>
      </c>
      <c r="R23" s="351" t="n">
        <f aca="false">+R21</f>
        <v>93294.4858424524</v>
      </c>
      <c r="S23" s="351" t="n">
        <f aca="false">+S21</f>
        <v>95160.3755593015</v>
      </c>
      <c r="T23" s="351" t="n">
        <f aca="false">+T21</f>
        <v>0</v>
      </c>
      <c r="U23" s="351" t="n">
        <f aca="false">+U21</f>
        <v>0</v>
      </c>
      <c r="V23" s="351" t="n">
        <f aca="false">+V21</f>
        <v>0</v>
      </c>
      <c r="W23" s="351" t="n">
        <f aca="false">+W21</f>
        <v>0</v>
      </c>
      <c r="X23" s="351" t="n">
        <f aca="false">+X21</f>
        <v>0</v>
      </c>
      <c r="Y23" s="351" t="n">
        <f aca="false">+Y21</f>
        <v>0</v>
      </c>
      <c r="Z23" s="351" t="n">
        <f aca="false">+Z21</f>
        <v>0</v>
      </c>
      <c r="AA23" s="351" t="n">
        <f aca="false">+AA21</f>
        <v>0</v>
      </c>
      <c r="AB23" s="351" t="n">
        <f aca="false">+AB21</f>
        <v>0</v>
      </c>
      <c r="AC23" s="351" t="n">
        <f aca="false">+AC21</f>
        <v>0</v>
      </c>
      <c r="AD23" s="351" t="n">
        <f aca="false">+AD21</f>
        <v>0</v>
      </c>
      <c r="AE23" s="351" t="n">
        <f aca="false">+AE21</f>
        <v>0</v>
      </c>
      <c r="AF23" s="352" t="n">
        <f aca="false">SUM(E23:AE23)</f>
        <v>923406.07790945</v>
      </c>
      <c r="AG23" s="353"/>
      <c r="AH23" s="353"/>
      <c r="AI23" s="353"/>
      <c r="AJ23" s="353"/>
      <c r="AK23" s="353"/>
      <c r="AL23" s="353"/>
      <c r="AM23" s="353"/>
      <c r="AN23" s="353"/>
      <c r="AO23" s="353"/>
      <c r="AP23" s="353"/>
      <c r="AQ23" s="353"/>
      <c r="AR23" s="353"/>
      <c r="AS23" s="353"/>
      <c r="AT23" s="353"/>
      <c r="AU23" s="295"/>
      <c r="AV23" s="295"/>
      <c r="AW23" s="295"/>
      <c r="AX23" s="295"/>
      <c r="AY23" s="295"/>
      <c r="AZ23" s="295"/>
      <c r="BA23" s="295"/>
      <c r="BB23" s="14"/>
    </row>
    <row r="24" customFormat="false" ht="12.75" hidden="false" customHeight="false" outlineLevel="0" collapsed="false">
      <c r="A24" s="354" t="s">
        <v>170</v>
      </c>
      <c r="B24" s="324"/>
      <c r="C24" s="324"/>
      <c r="D24" s="355"/>
      <c r="E24" s="356" t="n">
        <f aca="false">IF(ISERROR(E23/E13),0,E23/E13)</f>
        <v>1.89903142023488</v>
      </c>
      <c r="F24" s="356" t="n">
        <f aca="false">IF(ISERROR(F23/F13),0,F23/F13)</f>
        <v>1.93701204863958</v>
      </c>
      <c r="G24" s="356" t="n">
        <f aca="false">IF(ISERROR(G23/G13),0,G23/G13)</f>
        <v>1.97575228961237</v>
      </c>
      <c r="H24" s="356" t="n">
        <f aca="false">IF(ISERROR(H23/H13),0,H23/H13)</f>
        <v>2.01526733540462</v>
      </c>
      <c r="I24" s="356" t="n">
        <f aca="false">IF(ISERROR(I23/I13),0,I23/I13)</f>
        <v>2.05557268211271</v>
      </c>
      <c r="J24" s="356" t="n">
        <f aca="false">IF(ISERROR(J23/J13),0,J23/J13)</f>
        <v>2.09668413575496</v>
      </c>
      <c r="K24" s="356" t="n">
        <f aca="false">IF(ISERROR(K23/K13),0,K23/K13)</f>
        <v>2.13861781847006</v>
      </c>
      <c r="L24" s="356" t="n">
        <f aca="false">IF(ISERROR(L23/L13),0,L23/L13)</f>
        <v>2.18139017483946</v>
      </c>
      <c r="M24" s="356" t="n">
        <f aca="false">IF(ISERROR(M23/M13),0,M23/M13)</f>
        <v>2.22501797833625</v>
      </c>
      <c r="N24" s="356" t="n">
        <f aca="false">IF(ISERROR(N23/N13),0,N23/N13)</f>
        <v>2.26951833790298</v>
      </c>
      <c r="O24" s="356" t="n">
        <f aca="false">IF(ISERROR(O23/O13),0,O23/O13)</f>
        <v>2.31490870466104</v>
      </c>
      <c r="P24" s="356" t="n">
        <f aca="false">IF(ISERROR(P23/P13),0,P23/P13)</f>
        <v>2.36120687875426</v>
      </c>
      <c r="Q24" s="356" t="n">
        <f aca="false">IF(ISERROR(Q23/Q13),0,Q23/Q13)</f>
        <v>2.40843101632934</v>
      </c>
      <c r="R24" s="356" t="n">
        <f aca="false">IF(ISERROR(R23/R13),0,R23/R13)</f>
        <v>2.45659963665593</v>
      </c>
      <c r="S24" s="356" t="n">
        <f aca="false">IF(ISERROR(S23/S13),0,S23/S13)</f>
        <v>2.50573162938905</v>
      </c>
      <c r="T24" s="356" t="n">
        <f aca="false">IF(ISERROR(T23/T13),0,T23/T13)</f>
        <v>0</v>
      </c>
      <c r="U24" s="356" t="n">
        <f aca="false">IF(ISERROR(U23/U13),0,U23/U13)</f>
        <v>0</v>
      </c>
      <c r="V24" s="356" t="n">
        <f aca="false">IF(ISERROR(V23/V13),0,V23/V13)</f>
        <v>0</v>
      </c>
      <c r="W24" s="356" t="n">
        <f aca="false">IF(ISERROR(W23/W13),0,W23/W13)</f>
        <v>0</v>
      </c>
      <c r="X24" s="356" t="n">
        <f aca="false">IF(ISERROR(X23/X13),0,X23/X13)</f>
        <v>0</v>
      </c>
      <c r="Y24" s="356" t="n">
        <f aca="false">IF(ISERROR(Y23/Y13),0,Y23/Y13)</f>
        <v>0</v>
      </c>
      <c r="Z24" s="356" t="n">
        <f aca="false">IF(ISERROR(Z23/Z13),0,Z23/Z13)</f>
        <v>0</v>
      </c>
      <c r="AA24" s="356" t="n">
        <f aca="false">IF(ISERROR(AA23/AA13),0,AA23/AA13)</f>
        <v>0</v>
      </c>
      <c r="AB24" s="356" t="n">
        <f aca="false">IF(ISERROR(AB23/AB13),0,AB23/AB13)</f>
        <v>0</v>
      </c>
      <c r="AC24" s="356" t="n">
        <f aca="false">IF(ISERROR(AC23/AC13),0,AC23/AC13)</f>
        <v>0</v>
      </c>
      <c r="AD24" s="356" t="n">
        <f aca="false">IF(ISERROR(AD23/AD13),0,AD23/AD13)</f>
        <v>0</v>
      </c>
      <c r="AE24" s="356" t="n">
        <f aca="false">IF(ISERROR(AE23/AE13),0,AE23/AE13)</f>
        <v>0</v>
      </c>
      <c r="AF24" s="357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85"/>
      <c r="AV24" s="85"/>
      <c r="AW24" s="85"/>
      <c r="AX24" s="85"/>
      <c r="AY24" s="85"/>
      <c r="AZ24" s="85"/>
      <c r="BA24" s="85"/>
      <c r="BB24" s="85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29"/>
      <c r="CA24" s="329"/>
      <c r="CB24" s="329"/>
      <c r="CC24" s="329"/>
      <c r="CD24" s="329"/>
      <c r="CE24" s="329"/>
      <c r="CF24" s="329"/>
      <c r="CG24" s="329"/>
      <c r="CH24" s="329"/>
      <c r="CI24" s="329"/>
      <c r="CJ24" s="329"/>
      <c r="CK24" s="329"/>
      <c r="CL24" s="329"/>
      <c r="CM24" s="329"/>
      <c r="CN24" s="329"/>
      <c r="CO24" s="329"/>
      <c r="CP24" s="329"/>
      <c r="CQ24" s="329"/>
      <c r="CR24" s="329"/>
      <c r="CS24" s="329"/>
      <c r="CT24" s="329"/>
      <c r="CU24" s="329"/>
      <c r="CV24" s="329"/>
      <c r="CW24" s="329"/>
      <c r="CX24" s="329"/>
      <c r="CY24" s="329"/>
      <c r="CZ24" s="329"/>
      <c r="DA24" s="329"/>
      <c r="DB24" s="329"/>
      <c r="DC24" s="329"/>
      <c r="DD24" s="329"/>
      <c r="DE24" s="329"/>
      <c r="DF24" s="329"/>
      <c r="DG24" s="329"/>
      <c r="DH24" s="329"/>
      <c r="DI24" s="329"/>
      <c r="DJ24" s="329"/>
      <c r="DK24" s="329"/>
      <c r="DL24" s="329"/>
      <c r="DM24" s="329"/>
      <c r="DN24" s="329"/>
      <c r="DO24" s="329"/>
      <c r="DP24" s="329"/>
      <c r="DQ24" s="329"/>
      <c r="DR24" s="329"/>
      <c r="DS24" s="329"/>
      <c r="DT24" s="329"/>
      <c r="DU24" s="329"/>
      <c r="DV24" s="329"/>
      <c r="DW24" s="329"/>
      <c r="DX24" s="329"/>
      <c r="DY24" s="329"/>
      <c r="DZ24" s="329"/>
      <c r="EA24" s="329"/>
      <c r="EB24" s="329"/>
      <c r="EC24" s="329"/>
      <c r="ED24" s="329"/>
      <c r="EE24" s="329"/>
      <c r="EF24" s="329"/>
      <c r="EG24" s="329"/>
      <c r="EH24" s="329"/>
      <c r="EI24" s="329"/>
      <c r="EJ24" s="329"/>
      <c r="EK24" s="329"/>
      <c r="EL24" s="329"/>
      <c r="EM24" s="329"/>
      <c r="EN24" s="329"/>
      <c r="EO24" s="329"/>
      <c r="EP24" s="329"/>
      <c r="EQ24" s="329"/>
      <c r="ER24" s="329"/>
      <c r="ES24" s="329"/>
      <c r="ET24" s="329"/>
      <c r="EU24" s="329"/>
      <c r="EV24" s="329"/>
      <c r="EW24" s="329"/>
      <c r="EX24" s="329"/>
      <c r="EY24" s="329"/>
      <c r="EZ24" s="329"/>
      <c r="FA24" s="329"/>
      <c r="FB24" s="329"/>
      <c r="FC24" s="329"/>
      <c r="FD24" s="329"/>
      <c r="FE24" s="329"/>
      <c r="FF24" s="329"/>
      <c r="FG24" s="329"/>
      <c r="FH24" s="329"/>
      <c r="FI24" s="329"/>
      <c r="FJ24" s="329"/>
      <c r="FK24" s="329"/>
      <c r="FL24" s="329"/>
      <c r="FM24" s="329"/>
      <c r="FN24" s="329"/>
      <c r="FO24" s="329"/>
      <c r="FP24" s="329"/>
      <c r="FQ24" s="329"/>
      <c r="FR24" s="329"/>
      <c r="FS24" s="329"/>
      <c r="FT24" s="329"/>
      <c r="FU24" s="329"/>
      <c r="FV24" s="329"/>
      <c r="FW24" s="329"/>
      <c r="FX24" s="329"/>
      <c r="FY24" s="329"/>
      <c r="FZ24" s="329"/>
      <c r="GA24" s="329"/>
      <c r="GB24" s="329"/>
      <c r="GC24" s="329"/>
      <c r="GD24" s="329"/>
      <c r="GE24" s="329"/>
      <c r="GF24" s="329"/>
      <c r="GG24" s="329"/>
      <c r="GH24" s="329"/>
      <c r="GI24" s="329"/>
      <c r="GJ24" s="329"/>
      <c r="GK24" s="329"/>
      <c r="GL24" s="329"/>
      <c r="GM24" s="329"/>
      <c r="GN24" s="329"/>
      <c r="GO24" s="329"/>
      <c r="GP24" s="329"/>
      <c r="GQ24" s="329"/>
      <c r="GR24" s="329"/>
      <c r="GS24" s="329"/>
      <c r="GT24" s="329"/>
      <c r="GU24" s="329"/>
      <c r="GV24" s="329"/>
      <c r="GW24" s="329"/>
      <c r="GX24" s="329"/>
      <c r="GY24" s="329"/>
      <c r="GZ24" s="329"/>
      <c r="HA24" s="329"/>
      <c r="HB24" s="329"/>
      <c r="HC24" s="329"/>
      <c r="HD24" s="329"/>
      <c r="HE24" s="329"/>
      <c r="HF24" s="329"/>
      <c r="HG24" s="329"/>
      <c r="HH24" s="329"/>
      <c r="HI24" s="329"/>
      <c r="HJ24" s="329"/>
      <c r="HK24" s="329"/>
      <c r="HL24" s="329"/>
      <c r="HM24" s="329"/>
      <c r="HN24" s="329"/>
      <c r="HO24" s="329"/>
      <c r="HP24" s="329"/>
      <c r="HQ24" s="329"/>
      <c r="HR24" s="329"/>
      <c r="HS24" s="329"/>
      <c r="HT24" s="329"/>
      <c r="HU24" s="329"/>
      <c r="HV24" s="329"/>
      <c r="HW24" s="329"/>
      <c r="HX24" s="329"/>
      <c r="HY24" s="329"/>
      <c r="HZ24" s="329"/>
      <c r="IA24" s="329"/>
      <c r="IB24" s="329"/>
      <c r="IC24" s="329"/>
      <c r="ID24" s="329"/>
      <c r="IE24" s="329"/>
      <c r="IF24" s="329"/>
      <c r="IG24" s="329"/>
      <c r="IH24" s="329"/>
      <c r="II24" s="329"/>
      <c r="IJ24" s="329"/>
      <c r="IK24" s="329"/>
      <c r="IL24" s="329"/>
      <c r="IM24" s="329"/>
      <c r="IN24" s="329"/>
      <c r="IO24" s="329"/>
      <c r="IP24" s="329"/>
      <c r="IQ24" s="329"/>
      <c r="IR24" s="329"/>
      <c r="IS24" s="329"/>
      <c r="IT24" s="329"/>
      <c r="IU24" s="329"/>
      <c r="IV24" s="329"/>
      <c r="IW24" s="329"/>
    </row>
    <row r="25" customFormat="false" ht="12.75" hidden="false" customHeight="false" outlineLevel="0" collapsed="false">
      <c r="A25" s="359"/>
      <c r="B25" s="329"/>
      <c r="C25" s="329"/>
      <c r="D25" s="360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  <c r="AA25" s="361"/>
      <c r="AB25" s="361"/>
      <c r="AC25" s="361"/>
      <c r="AD25" s="361"/>
      <c r="AE25" s="361"/>
      <c r="AF25" s="362"/>
      <c r="AG25" s="358"/>
      <c r="AH25" s="358"/>
      <c r="AI25" s="358"/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85"/>
      <c r="AV25" s="85"/>
      <c r="AW25" s="85"/>
      <c r="AX25" s="85"/>
      <c r="AY25" s="85"/>
      <c r="AZ25" s="85"/>
      <c r="BA25" s="85"/>
      <c r="BB25" s="85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329"/>
      <c r="CD25" s="329"/>
      <c r="CE25" s="329"/>
      <c r="CF25" s="329"/>
      <c r="CG25" s="329"/>
      <c r="CH25" s="329"/>
      <c r="CI25" s="329"/>
      <c r="CJ25" s="329"/>
      <c r="CK25" s="329"/>
      <c r="CL25" s="329"/>
      <c r="CM25" s="329"/>
      <c r="CN25" s="329"/>
      <c r="CO25" s="329"/>
      <c r="CP25" s="329"/>
      <c r="CQ25" s="329"/>
      <c r="CR25" s="329"/>
      <c r="CS25" s="329"/>
      <c r="CT25" s="329"/>
      <c r="CU25" s="329"/>
      <c r="CV25" s="329"/>
      <c r="CW25" s="329"/>
      <c r="CX25" s="329"/>
      <c r="CY25" s="329"/>
      <c r="CZ25" s="329"/>
      <c r="DA25" s="329"/>
      <c r="DB25" s="329"/>
      <c r="DC25" s="329"/>
      <c r="DD25" s="329"/>
      <c r="DE25" s="329"/>
      <c r="DF25" s="329"/>
      <c r="DG25" s="329"/>
      <c r="DH25" s="329"/>
      <c r="DI25" s="329"/>
      <c r="DJ25" s="329"/>
      <c r="DK25" s="329"/>
      <c r="DL25" s="329"/>
      <c r="DM25" s="329"/>
      <c r="DN25" s="329"/>
      <c r="DO25" s="329"/>
      <c r="DP25" s="329"/>
      <c r="DQ25" s="329"/>
      <c r="DR25" s="329"/>
      <c r="DS25" s="329"/>
      <c r="DT25" s="329"/>
      <c r="DU25" s="329"/>
      <c r="DV25" s="329"/>
      <c r="DW25" s="329"/>
      <c r="DX25" s="329"/>
      <c r="DY25" s="329"/>
      <c r="DZ25" s="329"/>
      <c r="EA25" s="329"/>
      <c r="EB25" s="329"/>
      <c r="EC25" s="329"/>
      <c r="ED25" s="329"/>
      <c r="EE25" s="329"/>
      <c r="EF25" s="329"/>
      <c r="EG25" s="329"/>
      <c r="EH25" s="329"/>
      <c r="EI25" s="329"/>
      <c r="EJ25" s="329"/>
      <c r="EK25" s="329"/>
      <c r="EL25" s="329"/>
      <c r="EM25" s="329"/>
      <c r="EN25" s="329"/>
      <c r="EO25" s="329"/>
      <c r="EP25" s="329"/>
      <c r="EQ25" s="329"/>
      <c r="ER25" s="329"/>
      <c r="ES25" s="329"/>
      <c r="ET25" s="329"/>
      <c r="EU25" s="329"/>
      <c r="EV25" s="329"/>
      <c r="EW25" s="329"/>
      <c r="EX25" s="329"/>
      <c r="EY25" s="329"/>
      <c r="EZ25" s="329"/>
      <c r="FA25" s="329"/>
      <c r="FB25" s="329"/>
      <c r="FC25" s="329"/>
      <c r="FD25" s="329"/>
      <c r="FE25" s="329"/>
      <c r="FF25" s="329"/>
      <c r="FG25" s="329"/>
      <c r="FH25" s="329"/>
      <c r="FI25" s="329"/>
      <c r="FJ25" s="329"/>
      <c r="FK25" s="329"/>
      <c r="FL25" s="329"/>
      <c r="FM25" s="329"/>
      <c r="FN25" s="329"/>
      <c r="FO25" s="329"/>
      <c r="FP25" s="329"/>
      <c r="FQ25" s="329"/>
      <c r="FR25" s="329"/>
      <c r="FS25" s="329"/>
      <c r="FT25" s="329"/>
      <c r="FU25" s="329"/>
      <c r="FV25" s="329"/>
      <c r="FW25" s="329"/>
      <c r="FX25" s="329"/>
      <c r="FY25" s="329"/>
      <c r="FZ25" s="329"/>
      <c r="GA25" s="329"/>
      <c r="GB25" s="329"/>
      <c r="GC25" s="329"/>
      <c r="GD25" s="329"/>
      <c r="GE25" s="329"/>
      <c r="GF25" s="329"/>
      <c r="GG25" s="329"/>
      <c r="GH25" s="329"/>
      <c r="GI25" s="329"/>
      <c r="GJ25" s="329"/>
      <c r="GK25" s="329"/>
      <c r="GL25" s="329"/>
      <c r="GM25" s="329"/>
      <c r="GN25" s="329"/>
      <c r="GO25" s="329"/>
      <c r="GP25" s="329"/>
      <c r="GQ25" s="329"/>
      <c r="GR25" s="329"/>
      <c r="GS25" s="329"/>
      <c r="GT25" s="329"/>
      <c r="GU25" s="329"/>
      <c r="GV25" s="329"/>
      <c r="GW25" s="329"/>
      <c r="GX25" s="329"/>
      <c r="GY25" s="329"/>
      <c r="GZ25" s="329"/>
      <c r="HA25" s="329"/>
      <c r="HB25" s="329"/>
      <c r="HC25" s="329"/>
      <c r="HD25" s="329"/>
      <c r="HE25" s="329"/>
      <c r="HF25" s="329"/>
      <c r="HG25" s="329"/>
      <c r="HH25" s="329"/>
      <c r="HI25" s="329"/>
      <c r="HJ25" s="329"/>
      <c r="HK25" s="329"/>
      <c r="HL25" s="329"/>
      <c r="HM25" s="329"/>
      <c r="HN25" s="329"/>
      <c r="HO25" s="329"/>
      <c r="HP25" s="329"/>
      <c r="HQ25" s="329"/>
      <c r="HR25" s="329"/>
      <c r="HS25" s="329"/>
      <c r="HT25" s="329"/>
      <c r="HU25" s="329"/>
      <c r="HV25" s="329"/>
      <c r="HW25" s="329"/>
      <c r="HX25" s="329"/>
      <c r="HY25" s="329"/>
      <c r="HZ25" s="329"/>
      <c r="IA25" s="329"/>
      <c r="IB25" s="329"/>
      <c r="IC25" s="329"/>
      <c r="ID25" s="329"/>
      <c r="IE25" s="329"/>
      <c r="IF25" s="329"/>
      <c r="IG25" s="329"/>
      <c r="IH25" s="329"/>
      <c r="II25" s="329"/>
      <c r="IJ25" s="329"/>
      <c r="IK25" s="329"/>
      <c r="IL25" s="329"/>
      <c r="IM25" s="329"/>
      <c r="IN25" s="329"/>
      <c r="IO25" s="329"/>
      <c r="IP25" s="329"/>
      <c r="IQ25" s="329"/>
      <c r="IR25" s="329"/>
      <c r="IS25" s="329"/>
      <c r="IT25" s="329"/>
      <c r="IU25" s="329"/>
      <c r="IV25" s="329"/>
      <c r="IW25" s="329"/>
    </row>
    <row r="26" customFormat="false" ht="12.75" hidden="false" customHeight="false" outlineLevel="0" collapsed="false">
      <c r="A26" s="363" t="s">
        <v>171</v>
      </c>
      <c r="B26" s="296"/>
      <c r="C26" s="296"/>
      <c r="D26" s="296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  <c r="AG26" s="353"/>
      <c r="AH26" s="353"/>
      <c r="AI26" s="353"/>
      <c r="AJ26" s="353"/>
      <c r="AK26" s="353"/>
      <c r="AL26" s="353"/>
      <c r="AM26" s="353"/>
      <c r="AN26" s="353"/>
      <c r="AO26" s="353"/>
      <c r="AP26" s="353"/>
      <c r="AQ26" s="353"/>
      <c r="AR26" s="353"/>
      <c r="AS26" s="353"/>
      <c r="AT26" s="353"/>
      <c r="AU26" s="295"/>
      <c r="AV26" s="295"/>
      <c r="AW26" s="295"/>
      <c r="AX26" s="295"/>
      <c r="AY26" s="295"/>
      <c r="AZ26" s="295"/>
      <c r="BA26" s="295"/>
      <c r="BB26" s="14"/>
    </row>
    <row r="27" customFormat="false" ht="12.75" hidden="false" customHeight="false" outlineLevel="0" collapsed="false">
      <c r="A27" s="366" t="str">
        <f aca="false">+Assumpt!A36</f>
        <v>O&amp;M</v>
      </c>
      <c r="B27" s="296"/>
      <c r="C27" s="296"/>
      <c r="D27" s="296"/>
      <c r="E27" s="107" t="n">
        <f aca="false">+Assumpt!$C36*(1+Assumpt!$E36)^(E$5-Assumpt!$C$35)*E$6/12</f>
        <v>7035.80904</v>
      </c>
      <c r="F27" s="107" t="n">
        <f aca="false">+Assumpt!$C36*(1+Assumpt!$E36)^(F$5-Assumpt!$C$35)*F$6/12</f>
        <v>7176.5252208</v>
      </c>
      <c r="G27" s="107" t="n">
        <f aca="false">+Assumpt!$C36*(1+Assumpt!$E36)^(G$5-Assumpt!$C$35)*G$6/12</f>
        <v>7320.055725216</v>
      </c>
      <c r="H27" s="107" t="n">
        <f aca="false">+Assumpt!$C36*(1+Assumpt!$E36)^(H$5-Assumpt!$C$35)*H$6/12</f>
        <v>7466.45683972032</v>
      </c>
      <c r="I27" s="107" t="n">
        <f aca="false">+Assumpt!$C36*(1+Assumpt!$E36)^(I$5-Assumpt!$C$35)*I$6/12</f>
        <v>7615.78597651473</v>
      </c>
      <c r="J27" s="107" t="n">
        <f aca="false">+Assumpt!$C36*(1+Assumpt!$E36)^(J$5-Assumpt!$C$35)*J$6/12</f>
        <v>7768.10169604502</v>
      </c>
      <c r="K27" s="107" t="n">
        <f aca="false">+Assumpt!$C36*(1+Assumpt!$E36)^(K$5-Assumpt!$C$35)*K$6/12</f>
        <v>7923.46372996592</v>
      </c>
      <c r="L27" s="107" t="n">
        <f aca="false">+Assumpt!$C36*(1+Assumpt!$E36)^(L$5-Assumpt!$C$35)*L$6/12</f>
        <v>8081.93300456524</v>
      </c>
      <c r="M27" s="107" t="n">
        <f aca="false">+Assumpt!$C36*(1+Assumpt!$E36)^(M$5-Assumpt!$C$35)*M$6/12</f>
        <v>8243.57166465655</v>
      </c>
      <c r="N27" s="107" t="n">
        <f aca="false">+Assumpt!$C36*(1+Assumpt!$E36)^(N$5-Assumpt!$C$35)*N$6/12</f>
        <v>8408.44309794968</v>
      </c>
      <c r="O27" s="107" t="n">
        <f aca="false">+Assumpt!$C36*(1+Assumpt!$E36)^(O$5-Assumpt!$C$35)*O$6/12</f>
        <v>8576.61195990867</v>
      </c>
      <c r="P27" s="107" t="n">
        <f aca="false">+Assumpt!$C36*(1+Assumpt!$E36)^(P$5-Assumpt!$C$35)*P$6/12</f>
        <v>8748.14419910684</v>
      </c>
      <c r="Q27" s="107" t="n">
        <f aca="false">+Assumpt!$C36*(1+Assumpt!$E36)^(Q$5-Assumpt!$C$35)*Q$6/12</f>
        <v>8923.10708308898</v>
      </c>
      <c r="R27" s="107" t="n">
        <f aca="false">+Assumpt!$C36*(1+Assumpt!$E36)^(R$5-Assumpt!$C$35)*R$6/12</f>
        <v>9101.56922475076</v>
      </c>
      <c r="S27" s="107" t="n">
        <f aca="false">+Assumpt!$C36*(1+Assumpt!$E36)^(S$5-Assumpt!$C$35)*S$6/12</f>
        <v>9283.60060924578</v>
      </c>
      <c r="T27" s="107" t="n">
        <f aca="false">+Assumpt!$C36*(1+Assumpt!$E36)^(T$5-Assumpt!$C$35)*T$6/12</f>
        <v>0</v>
      </c>
      <c r="U27" s="107" t="n">
        <f aca="false">+Assumpt!$C36*(1+Assumpt!$E36)^(U$5-Assumpt!$C$35)*U$6/12</f>
        <v>0</v>
      </c>
      <c r="V27" s="107" t="n">
        <f aca="false">+Assumpt!$C36*(1+Assumpt!$E36)^(V$5-Assumpt!$C$35)*V$6/12</f>
        <v>0</v>
      </c>
      <c r="W27" s="107" t="n">
        <f aca="false">+Assumpt!$C36*(1+Assumpt!$E36)^(W$5-Assumpt!$C$35)*W$6/12</f>
        <v>0</v>
      </c>
      <c r="X27" s="107" t="n">
        <f aca="false">+Assumpt!$C36*(1+Assumpt!$E36)^(X$5-Assumpt!$C$35)*X$6/12</f>
        <v>0</v>
      </c>
      <c r="Y27" s="107" t="n">
        <f aca="false">+Assumpt!$C36*(1+Assumpt!$E36)^(Y$5-Assumpt!$C$35)*Y$6/12</f>
        <v>0</v>
      </c>
      <c r="Z27" s="107" t="n">
        <f aca="false">+Assumpt!$C36*(1+Assumpt!$E36)^(Z$5-Assumpt!$C$35)*Z$6/12</f>
        <v>0</v>
      </c>
      <c r="AA27" s="107" t="n">
        <f aca="false">+Assumpt!$C36*(1+Assumpt!$E36)^(AA$5-Assumpt!$C$35)*AA$6/12</f>
        <v>0</v>
      </c>
      <c r="AB27" s="107" t="n">
        <f aca="false">+Assumpt!$C36*(1+Assumpt!$E36)^(AB$5-Assumpt!$C$35)*AB$6/12</f>
        <v>0</v>
      </c>
      <c r="AC27" s="107" t="n">
        <f aca="false">+Assumpt!$C36*(1+Assumpt!$E36)^(AC$5-Assumpt!$C$35)*AC$6/12</f>
        <v>0</v>
      </c>
      <c r="AD27" s="107" t="n">
        <f aca="false">+Assumpt!$C36*(1+Assumpt!$E36)^(AD$5-Assumpt!$C$35)*AD$6/12</f>
        <v>0</v>
      </c>
      <c r="AE27" s="107" t="n">
        <f aca="false">+Assumpt!$C36*(1+Assumpt!$E36)^(AE$5-Assumpt!$C$35)*AE$6/12</f>
        <v>0</v>
      </c>
      <c r="AF27" s="337" t="n">
        <f aca="false">SUM(E27:AE27)</f>
        <v>121673.179071535</v>
      </c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353"/>
      <c r="AU27" s="295"/>
      <c r="AV27" s="295"/>
      <c r="AW27" s="295"/>
      <c r="AX27" s="295"/>
      <c r="AY27" s="295"/>
      <c r="AZ27" s="295"/>
      <c r="BA27" s="295"/>
      <c r="BB27" s="14"/>
    </row>
    <row r="28" customFormat="false" ht="12.75" hidden="false" customHeight="false" outlineLevel="0" collapsed="false">
      <c r="A28" s="366" t="str">
        <f aca="false">+Assumpt!A37</f>
        <v>Purch. Power</v>
      </c>
      <c r="B28" s="296"/>
      <c r="C28" s="296"/>
      <c r="D28" s="296"/>
      <c r="E28" s="107" t="n">
        <f aca="false">+Assumpt!$C37*(1+Assumpt!$E37)^(E$5-Assumpt!$C$35)*E$6/12</f>
        <v>1472.1077376</v>
      </c>
      <c r="F28" s="107" t="n">
        <f aca="false">+Assumpt!$C37*(1+Assumpt!$E37)^(F$5-Assumpt!$C$35)*F$6/12</f>
        <v>1501.549892352</v>
      </c>
      <c r="G28" s="107" t="n">
        <f aca="false">+Assumpt!$C37*(1+Assumpt!$E37)^(G$5-Assumpt!$C$35)*G$6/12</f>
        <v>1531.58089019904</v>
      </c>
      <c r="H28" s="107" t="n">
        <f aca="false">+Assumpt!$C37*(1+Assumpt!$E37)^(H$5-Assumpt!$C$35)*H$6/12</f>
        <v>1562.21250800302</v>
      </c>
      <c r="I28" s="107" t="n">
        <f aca="false">+Assumpt!$C37*(1+Assumpt!$E37)^(I$5-Assumpt!$C$35)*I$6/12</f>
        <v>1593.45675816308</v>
      </c>
      <c r="J28" s="107" t="n">
        <f aca="false">+Assumpt!$C37*(1+Assumpt!$E37)^(J$5-Assumpt!$C$35)*J$6/12</f>
        <v>1625.32589332634</v>
      </c>
      <c r="K28" s="107" t="n">
        <f aca="false">+Assumpt!$C37*(1+Assumpt!$E37)^(K$5-Assumpt!$C$35)*K$6/12</f>
        <v>1657.83241119287</v>
      </c>
      <c r="L28" s="107" t="n">
        <f aca="false">+Assumpt!$C37*(1+Assumpt!$E37)^(L$5-Assumpt!$C$35)*L$6/12</f>
        <v>1690.98905941673</v>
      </c>
      <c r="M28" s="107" t="n">
        <f aca="false">+Assumpt!$C37*(1+Assumpt!$E37)^(M$5-Assumpt!$C$35)*M$6/12</f>
        <v>1724.80884060506</v>
      </c>
      <c r="N28" s="107" t="n">
        <f aca="false">+Assumpt!$C37*(1+Assumpt!$E37)^(N$5-Assumpt!$C$35)*N$6/12</f>
        <v>1759.30501741716</v>
      </c>
      <c r="O28" s="107" t="n">
        <f aca="false">+Assumpt!$C37*(1+Assumpt!$E37)^(O$5-Assumpt!$C$35)*O$6/12</f>
        <v>1794.49111776551</v>
      </c>
      <c r="P28" s="107" t="n">
        <f aca="false">+Assumpt!$C37*(1+Assumpt!$E37)^(P$5-Assumpt!$C$35)*P$6/12</f>
        <v>1830.38094012082</v>
      </c>
      <c r="Q28" s="107" t="n">
        <f aca="false">+Assumpt!$C37*(1+Assumpt!$E37)^(Q$5-Assumpt!$C$35)*Q$6/12</f>
        <v>1866.98855892323</v>
      </c>
      <c r="R28" s="107" t="n">
        <f aca="false">+Assumpt!$C37*(1+Assumpt!$E37)^(R$5-Assumpt!$C$35)*R$6/12</f>
        <v>1904.3283301017</v>
      </c>
      <c r="S28" s="107" t="n">
        <f aca="false">+Assumpt!$C37*(1+Assumpt!$E37)^(S$5-Assumpt!$C$35)*S$6/12</f>
        <v>1942.41489670373</v>
      </c>
      <c r="T28" s="107" t="n">
        <f aca="false">+Assumpt!$C37*(1+Assumpt!$E37)^(T$5-Assumpt!$C$35)*T$6/12</f>
        <v>0</v>
      </c>
      <c r="U28" s="107" t="n">
        <f aca="false">+Assumpt!$C37*(1+Assumpt!$E37)^(U$5-Assumpt!$C$35)*U$6/12</f>
        <v>0</v>
      </c>
      <c r="V28" s="107" t="n">
        <f aca="false">+Assumpt!$C37*(1+Assumpt!$E37)^(V$5-Assumpt!$C$35)*V$6/12</f>
        <v>0</v>
      </c>
      <c r="W28" s="107" t="n">
        <f aca="false">+Assumpt!$C37*(1+Assumpt!$E37)^(W$5-Assumpt!$C$35)*W$6/12</f>
        <v>0</v>
      </c>
      <c r="X28" s="107" t="n">
        <f aca="false">+Assumpt!$C37*(1+Assumpt!$E37)^(X$5-Assumpt!$C$35)*X$6/12</f>
        <v>0</v>
      </c>
      <c r="Y28" s="107" t="n">
        <f aca="false">+Assumpt!$C37*(1+Assumpt!$E37)^(Y$5-Assumpt!$C$35)*Y$6/12</f>
        <v>0</v>
      </c>
      <c r="Z28" s="107" t="n">
        <f aca="false">+Assumpt!$C37*(1+Assumpt!$E37)^(Z$5-Assumpt!$C$35)*Z$6/12</f>
        <v>0</v>
      </c>
      <c r="AA28" s="107" t="n">
        <f aca="false">+Assumpt!$C37*(1+Assumpt!$E37)^(AA$5-Assumpt!$C$35)*AA$6/12</f>
        <v>0</v>
      </c>
      <c r="AB28" s="107" t="n">
        <f aca="false">+Assumpt!$C37*(1+Assumpt!$E37)^(AB$5-Assumpt!$C$35)*AB$6/12</f>
        <v>0</v>
      </c>
      <c r="AC28" s="107" t="n">
        <f aca="false">+Assumpt!$C37*(1+Assumpt!$E37)^(AC$5-Assumpt!$C$35)*AC$6/12</f>
        <v>0</v>
      </c>
      <c r="AD28" s="107" t="n">
        <f aca="false">+Assumpt!$C37*(1+Assumpt!$E37)^(AD$5-Assumpt!$C$35)*AD$6/12</f>
        <v>0</v>
      </c>
      <c r="AE28" s="107" t="n">
        <f aca="false">+Assumpt!$C37*(1+Assumpt!$E37)^(AE$5-Assumpt!$C$35)*AE$6/12</f>
        <v>0</v>
      </c>
      <c r="AF28" s="337" t="n">
        <f aca="false">SUM(E28:AE28)</f>
        <v>25457.7728518903</v>
      </c>
      <c r="AG28" s="353"/>
      <c r="AH28" s="353"/>
      <c r="AI28" s="353"/>
      <c r="AJ28" s="353"/>
      <c r="AK28" s="353"/>
      <c r="AL28" s="353"/>
      <c r="AM28" s="353"/>
      <c r="AN28" s="353"/>
      <c r="AO28" s="353"/>
      <c r="AP28" s="353"/>
      <c r="AQ28" s="353"/>
      <c r="AR28" s="353"/>
      <c r="AS28" s="353"/>
      <c r="AT28" s="353"/>
      <c r="AU28" s="295"/>
      <c r="AV28" s="295"/>
      <c r="AW28" s="295"/>
      <c r="AX28" s="295"/>
      <c r="AY28" s="295"/>
      <c r="AZ28" s="295"/>
      <c r="BA28" s="295"/>
      <c r="BB28" s="14"/>
    </row>
    <row r="29" customFormat="false" ht="12.75" hidden="false" customHeight="false" outlineLevel="0" collapsed="false">
      <c r="A29" s="366" t="str">
        <f aca="false">+Assumpt!A38</f>
        <v>Insurance</v>
      </c>
      <c r="B29" s="296"/>
      <c r="C29" s="296"/>
      <c r="D29" s="296"/>
      <c r="E29" s="107" t="n">
        <f aca="false">+Assumpt!$C38*(1+Assumpt!$E38)^(E$5-Assumpt!$C$35)*E$6/12</f>
        <v>1623.64824</v>
      </c>
      <c r="F29" s="107" t="n">
        <f aca="false">+Assumpt!$C38*(1+Assumpt!$E38)^(F$5-Assumpt!$C$35)*F$6/12</f>
        <v>1656.1212048</v>
      </c>
      <c r="G29" s="107" t="n">
        <f aca="false">+Assumpt!$C38*(1+Assumpt!$E38)^(G$5-Assumpt!$C$35)*G$6/12</f>
        <v>1689.243628896</v>
      </c>
      <c r="H29" s="107" t="n">
        <f aca="false">+Assumpt!$C38*(1+Assumpt!$E38)^(H$5-Assumpt!$C$35)*H$6/12</f>
        <v>1723.02850147392</v>
      </c>
      <c r="I29" s="107" t="n">
        <f aca="false">+Assumpt!$C38*(1+Assumpt!$E38)^(I$5-Assumpt!$C$35)*I$6/12</f>
        <v>1757.4890715034</v>
      </c>
      <c r="J29" s="107" t="n">
        <f aca="false">+Assumpt!$C38*(1+Assumpt!$E38)^(J$5-Assumpt!$C$35)*J$6/12</f>
        <v>1792.63885293347</v>
      </c>
      <c r="K29" s="107" t="n">
        <f aca="false">+Assumpt!$C38*(1+Assumpt!$E38)^(K$5-Assumpt!$C$35)*K$6/12</f>
        <v>1828.49162999214</v>
      </c>
      <c r="L29" s="107" t="n">
        <f aca="false">+Assumpt!$C38*(1+Assumpt!$E38)^(L$5-Assumpt!$C$35)*L$6/12</f>
        <v>1865.06146259198</v>
      </c>
      <c r="M29" s="107" t="n">
        <f aca="false">+Assumpt!$C38*(1+Assumpt!$E38)^(M$5-Assumpt!$C$35)*M$6/12</f>
        <v>1902.36269184382</v>
      </c>
      <c r="N29" s="107" t="n">
        <f aca="false">+Assumpt!$C38*(1+Assumpt!$E38)^(N$5-Assumpt!$C$35)*N$6/12</f>
        <v>1940.4099456807</v>
      </c>
      <c r="O29" s="107" t="n">
        <f aca="false">+Assumpt!$C38*(1+Assumpt!$E38)^(O$5-Assumpt!$C$35)*O$6/12</f>
        <v>1979.21814459431</v>
      </c>
      <c r="P29" s="107" t="n">
        <f aca="false">+Assumpt!$C38*(1+Assumpt!$E38)^(P$5-Assumpt!$C$35)*P$6/12</f>
        <v>2018.8025074862</v>
      </c>
      <c r="Q29" s="107" t="n">
        <f aca="false">+Assumpt!$C38*(1+Assumpt!$E38)^(Q$5-Assumpt!$C$35)*Q$6/12</f>
        <v>2059.17855763592</v>
      </c>
      <c r="R29" s="107" t="n">
        <f aca="false">+Assumpt!$C38*(1+Assumpt!$E38)^(R$5-Assumpt!$C$35)*R$6/12</f>
        <v>2100.36212878864</v>
      </c>
      <c r="S29" s="107" t="n">
        <f aca="false">+Assumpt!$C38*(1+Assumpt!$E38)^(S$5-Assumpt!$C$35)*S$6/12</f>
        <v>2142.36937136441</v>
      </c>
      <c r="T29" s="107" t="n">
        <f aca="false">+Assumpt!$C38*(1+Assumpt!$E38)^(T$5-Assumpt!$C$35)*T$6/12</f>
        <v>0</v>
      </c>
      <c r="U29" s="107" t="n">
        <f aca="false">+Assumpt!$C38*(1+Assumpt!$E38)^(U$5-Assumpt!$C$35)*U$6/12</f>
        <v>0</v>
      </c>
      <c r="V29" s="107" t="n">
        <f aca="false">+Assumpt!$C38*(1+Assumpt!$E38)^(V$5-Assumpt!$C$35)*V$6/12</f>
        <v>0</v>
      </c>
      <c r="W29" s="107" t="n">
        <f aca="false">+Assumpt!$C38*(1+Assumpt!$E38)^(W$5-Assumpt!$C$35)*W$6/12</f>
        <v>0</v>
      </c>
      <c r="X29" s="107" t="n">
        <f aca="false">+Assumpt!$C38*(1+Assumpt!$E38)^(X$5-Assumpt!$C$35)*X$6/12</f>
        <v>0</v>
      </c>
      <c r="Y29" s="107" t="n">
        <f aca="false">+Assumpt!$C38*(1+Assumpt!$E38)^(Y$5-Assumpt!$C$35)*Y$6/12</f>
        <v>0</v>
      </c>
      <c r="Z29" s="107" t="n">
        <f aca="false">+Assumpt!$C38*(1+Assumpt!$E38)^(Z$5-Assumpt!$C$35)*Z$6/12</f>
        <v>0</v>
      </c>
      <c r="AA29" s="107" t="n">
        <f aca="false">+Assumpt!$C38*(1+Assumpt!$E38)^(AA$5-Assumpt!$C$35)*AA$6/12</f>
        <v>0</v>
      </c>
      <c r="AB29" s="107" t="n">
        <f aca="false">+Assumpt!$C38*(1+Assumpt!$E38)^(AB$5-Assumpt!$C$35)*AB$6/12</f>
        <v>0</v>
      </c>
      <c r="AC29" s="107" t="n">
        <f aca="false">+Assumpt!$C38*(1+Assumpt!$E38)^(AC$5-Assumpt!$C$35)*AC$6/12</f>
        <v>0</v>
      </c>
      <c r="AD29" s="107" t="n">
        <f aca="false">+Assumpt!$C38*(1+Assumpt!$E38)^(AD$5-Assumpt!$C$35)*AD$6/12</f>
        <v>0</v>
      </c>
      <c r="AE29" s="107" t="n">
        <f aca="false">+Assumpt!$C38*(1+Assumpt!$E38)^(AE$5-Assumpt!$C$35)*AE$6/12</f>
        <v>0</v>
      </c>
      <c r="AF29" s="337" t="n">
        <f aca="false">SUM(E29:AE29)</f>
        <v>28078.4259395849</v>
      </c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4"/>
      <c r="AV29" s="14"/>
      <c r="AW29" s="14"/>
      <c r="AX29" s="14"/>
      <c r="AY29" s="14"/>
      <c r="AZ29" s="14"/>
      <c r="BA29" s="14"/>
      <c r="BB29" s="14"/>
    </row>
    <row r="30" customFormat="false" ht="12.75" hidden="false" customHeight="false" outlineLevel="0" collapsed="false">
      <c r="A30" s="366" t="str">
        <f aca="false">+Assumpt!A39</f>
        <v>Other</v>
      </c>
      <c r="B30" s="296"/>
      <c r="C30" s="296"/>
      <c r="D30" s="296"/>
      <c r="E30" s="107" t="n">
        <f aca="false">+Assumpt!$C39*(1+Assumpt!$E39)^(E$5-Assumpt!$C$35)*E$6/12</f>
        <v>0</v>
      </c>
      <c r="F30" s="107" t="n">
        <f aca="false">+Assumpt!$C39*(1+Assumpt!$E39)^(F$5-Assumpt!$C$35)*F$6/12</f>
        <v>0</v>
      </c>
      <c r="G30" s="107" t="n">
        <f aca="false">+Assumpt!$C39*(1+Assumpt!$E39)^(G$5-Assumpt!$C$35)*G$6/12</f>
        <v>0</v>
      </c>
      <c r="H30" s="107" t="n">
        <f aca="false">+Assumpt!$C39*(1+Assumpt!$E39)^(H$5-Assumpt!$C$35)*H$6/12</f>
        <v>0</v>
      </c>
      <c r="I30" s="107" t="n">
        <f aca="false">+Assumpt!$C39*(1+Assumpt!$E39)^(I$5-Assumpt!$C$35)*I$6/12</f>
        <v>0</v>
      </c>
      <c r="J30" s="107" t="n">
        <f aca="false">+Assumpt!$C39*(1+Assumpt!$E39)^(J$5-Assumpt!$C$35)*J$6/12</f>
        <v>0</v>
      </c>
      <c r="K30" s="107" t="n">
        <f aca="false">+Assumpt!$C39*(1+Assumpt!$E39)^(K$5-Assumpt!$C$35)*K$6/12</f>
        <v>0</v>
      </c>
      <c r="L30" s="107" t="n">
        <f aca="false">+Assumpt!$C39*(1+Assumpt!$E39)^(L$5-Assumpt!$C$35)*L$6/12</f>
        <v>0</v>
      </c>
      <c r="M30" s="107" t="n">
        <f aca="false">+Assumpt!$C39*(1+Assumpt!$E39)^(M$5-Assumpt!$C$35)*M$6/12</f>
        <v>0</v>
      </c>
      <c r="N30" s="107" t="n">
        <f aca="false">+Assumpt!$C39*(1+Assumpt!$E39)^(N$5-Assumpt!$C$35)*N$6/12</f>
        <v>0</v>
      </c>
      <c r="O30" s="107" t="n">
        <f aca="false">+Assumpt!$C39*(1+Assumpt!$E39)^(O$5-Assumpt!$C$35)*O$6/12</f>
        <v>0</v>
      </c>
      <c r="P30" s="107" t="n">
        <f aca="false">+Assumpt!$C39*(1+Assumpt!$E39)^(P$5-Assumpt!$C$35)*P$6/12</f>
        <v>0</v>
      </c>
      <c r="Q30" s="107" t="n">
        <f aca="false">+Assumpt!$C39*(1+Assumpt!$E39)^(Q$5-Assumpt!$C$35)*Q$6/12</f>
        <v>0</v>
      </c>
      <c r="R30" s="107" t="n">
        <f aca="false">+Assumpt!$C39*(1+Assumpt!$E39)^(R$5-Assumpt!$C$35)*R$6/12</f>
        <v>0</v>
      </c>
      <c r="S30" s="107" t="n">
        <f aca="false">+Assumpt!$C39*(1+Assumpt!$E39)^(S$5-Assumpt!$C$35)*S$6/12</f>
        <v>0</v>
      </c>
      <c r="T30" s="107" t="n">
        <f aca="false">+Assumpt!$C39*(1+Assumpt!$E39)^(T$5-Assumpt!$C$35)*T$6/12</f>
        <v>0</v>
      </c>
      <c r="U30" s="107" t="n">
        <f aca="false">+Assumpt!$C39*(1+Assumpt!$E39)^(U$5-Assumpt!$C$35)*U$6/12</f>
        <v>0</v>
      </c>
      <c r="V30" s="107" t="n">
        <f aca="false">+Assumpt!$C39*(1+Assumpt!$E39)^(V$5-Assumpt!$C$35)*V$6/12</f>
        <v>0</v>
      </c>
      <c r="W30" s="107" t="n">
        <f aca="false">+Assumpt!$C39*(1+Assumpt!$E39)^(W$5-Assumpt!$C$35)*W$6/12</f>
        <v>0</v>
      </c>
      <c r="X30" s="107" t="n">
        <f aca="false">+Assumpt!$C39*(1+Assumpt!$E39)^(X$5-Assumpt!$C$35)*X$6/12</f>
        <v>0</v>
      </c>
      <c r="Y30" s="107" t="n">
        <f aca="false">+Assumpt!$C39*(1+Assumpt!$E39)^(Y$5-Assumpt!$C$35)*Y$6/12</f>
        <v>0</v>
      </c>
      <c r="Z30" s="107" t="n">
        <f aca="false">+Assumpt!$C39*(1+Assumpt!$E39)^(Z$5-Assumpt!$C$35)*Z$6/12</f>
        <v>0</v>
      </c>
      <c r="AA30" s="107" t="n">
        <f aca="false">+Assumpt!$C39*(1+Assumpt!$E39)^(AA$5-Assumpt!$C$35)*AA$6/12</f>
        <v>0</v>
      </c>
      <c r="AB30" s="107" t="n">
        <f aca="false">+Assumpt!$C39*(1+Assumpt!$E39)^(AB$5-Assumpt!$C$35)*AB$6/12</f>
        <v>0</v>
      </c>
      <c r="AC30" s="107" t="n">
        <f aca="false">+Assumpt!$C39*(1+Assumpt!$E39)^(AC$5-Assumpt!$C$35)*AC$6/12</f>
        <v>0</v>
      </c>
      <c r="AD30" s="107" t="n">
        <f aca="false">+Assumpt!$C39*(1+Assumpt!$E39)^(AD$5-Assumpt!$C$35)*AD$6/12</f>
        <v>0</v>
      </c>
      <c r="AE30" s="107" t="n">
        <f aca="false">+Assumpt!$C39*(1+Assumpt!$E39)^(AE$5-Assumpt!$C$35)*AE$6/12</f>
        <v>0</v>
      </c>
      <c r="AF30" s="337" t="n">
        <f aca="false">SUM(E30:AE30)</f>
        <v>0</v>
      </c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4"/>
      <c r="AV30" s="14"/>
      <c r="AW30" s="14"/>
      <c r="AX30" s="14"/>
      <c r="AY30" s="14"/>
      <c r="AZ30" s="14"/>
      <c r="BA30" s="14"/>
      <c r="BB30" s="14"/>
    </row>
    <row r="31" customFormat="false" ht="12.75" hidden="false" customHeight="false" outlineLevel="0" collapsed="false">
      <c r="A31" s="366" t="str">
        <f aca="false">+Assumpt!A40</f>
        <v>Other</v>
      </c>
      <c r="B31" s="296"/>
      <c r="C31" s="296"/>
      <c r="D31" s="296"/>
      <c r="E31" s="107" t="n">
        <f aca="false">+Assumpt!$C40*(1+Assumpt!$E40)^(E$5-Assumpt!$C$35)*E$6/12</f>
        <v>0</v>
      </c>
      <c r="F31" s="107" t="n">
        <f aca="false">+Assumpt!$C40*(1+Assumpt!$E40)^(F$5-Assumpt!$C$35)*F$6/12</f>
        <v>0</v>
      </c>
      <c r="G31" s="107" t="n">
        <f aca="false">+Assumpt!$C40*(1+Assumpt!$E40)^(G$5-Assumpt!$C$35)*G$6/12</f>
        <v>0</v>
      </c>
      <c r="H31" s="107" t="n">
        <f aca="false">+Assumpt!$C40*(1+Assumpt!$E40)^(H$5-Assumpt!$C$35)*H$6/12</f>
        <v>0</v>
      </c>
      <c r="I31" s="107" t="n">
        <f aca="false">+Assumpt!$C40*(1+Assumpt!$E40)^(I$5-Assumpt!$C$35)*I$6/12</f>
        <v>0</v>
      </c>
      <c r="J31" s="107" t="n">
        <f aca="false">+Assumpt!$C40*(1+Assumpt!$E40)^(J$5-Assumpt!$C$35)*J$6/12</f>
        <v>0</v>
      </c>
      <c r="K31" s="107" t="n">
        <f aca="false">+Assumpt!$C40*(1+Assumpt!$E40)^(K$5-Assumpt!$C$35)*K$6/12</f>
        <v>0</v>
      </c>
      <c r="L31" s="107" t="n">
        <f aca="false">+Assumpt!$C40*(1+Assumpt!$E40)^(L$5-Assumpt!$C$35)*L$6/12</f>
        <v>0</v>
      </c>
      <c r="M31" s="107" t="n">
        <f aca="false">+Assumpt!$C40*(1+Assumpt!$E40)^(M$5-Assumpt!$C$35)*M$6/12</f>
        <v>0</v>
      </c>
      <c r="N31" s="107" t="n">
        <f aca="false">+Assumpt!$C40*(1+Assumpt!$E40)^(N$5-Assumpt!$C$35)*N$6/12</f>
        <v>0</v>
      </c>
      <c r="O31" s="107" t="n">
        <f aca="false">+Assumpt!$C40*(1+Assumpt!$E40)^(O$5-Assumpt!$C$35)*O$6/12</f>
        <v>0</v>
      </c>
      <c r="P31" s="107" t="n">
        <f aca="false">+Assumpt!$C40*(1+Assumpt!$E40)^(P$5-Assumpt!$C$35)*P$6/12</f>
        <v>0</v>
      </c>
      <c r="Q31" s="107" t="n">
        <f aca="false">+Assumpt!$C40*(1+Assumpt!$E40)^(Q$5-Assumpt!$C$35)*Q$6/12</f>
        <v>0</v>
      </c>
      <c r="R31" s="107" t="n">
        <f aca="false">+Assumpt!$C40*(1+Assumpt!$E40)^(R$5-Assumpt!$C$35)*R$6/12</f>
        <v>0</v>
      </c>
      <c r="S31" s="107" t="n">
        <f aca="false">+Assumpt!$C40*(1+Assumpt!$E40)^(S$5-Assumpt!$C$35)*S$6/12</f>
        <v>0</v>
      </c>
      <c r="T31" s="107" t="n">
        <f aca="false">+Assumpt!$C40*(1+Assumpt!$E40)^(T$5-Assumpt!$C$35)*T$6/12</f>
        <v>0</v>
      </c>
      <c r="U31" s="107" t="n">
        <f aca="false">+Assumpt!$C40*(1+Assumpt!$E40)^(U$5-Assumpt!$C$35)*U$6/12</f>
        <v>0</v>
      </c>
      <c r="V31" s="107" t="n">
        <f aca="false">+Assumpt!$C40*(1+Assumpt!$E40)^(V$5-Assumpt!$C$35)*V$6/12</f>
        <v>0</v>
      </c>
      <c r="W31" s="107" t="n">
        <f aca="false">+Assumpt!$C40*(1+Assumpt!$E40)^(W$5-Assumpt!$C$35)*W$6/12</f>
        <v>0</v>
      </c>
      <c r="X31" s="107" t="n">
        <f aca="false">+Assumpt!$C40*(1+Assumpt!$E40)^(X$5-Assumpt!$C$35)*X$6/12</f>
        <v>0</v>
      </c>
      <c r="Y31" s="107" t="n">
        <f aca="false">+Assumpt!$C40*(1+Assumpt!$E40)^(Y$5-Assumpt!$C$35)*Y$6/12</f>
        <v>0</v>
      </c>
      <c r="Z31" s="107" t="n">
        <f aca="false">+Assumpt!$C40*(1+Assumpt!$E40)^(Z$5-Assumpt!$C$35)*Z$6/12</f>
        <v>0</v>
      </c>
      <c r="AA31" s="107" t="n">
        <f aca="false">+Assumpt!$C40*(1+Assumpt!$E40)^(AA$5-Assumpt!$C$35)*AA$6/12</f>
        <v>0</v>
      </c>
      <c r="AB31" s="107" t="n">
        <f aca="false">+Assumpt!$C40*(1+Assumpt!$E40)^(AB$5-Assumpt!$C$35)*AB$6/12</f>
        <v>0</v>
      </c>
      <c r="AC31" s="107" t="n">
        <f aca="false">+Assumpt!$C40*(1+Assumpt!$E40)^(AC$5-Assumpt!$C$35)*AC$6/12</f>
        <v>0</v>
      </c>
      <c r="AD31" s="107" t="n">
        <f aca="false">+Assumpt!$C40*(1+Assumpt!$E40)^(AD$5-Assumpt!$C$35)*AD$6/12</f>
        <v>0</v>
      </c>
      <c r="AE31" s="107" t="n">
        <f aca="false">+Assumpt!$C40*(1+Assumpt!$E40)^(AE$5-Assumpt!$C$35)*AE$6/12</f>
        <v>0</v>
      </c>
      <c r="AF31" s="337" t="n">
        <f aca="false">SUM(E31:AE31)</f>
        <v>0</v>
      </c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4"/>
      <c r="AV31" s="14"/>
      <c r="AW31" s="14"/>
      <c r="AX31" s="14"/>
      <c r="AY31" s="14"/>
      <c r="AZ31" s="14"/>
      <c r="BA31" s="14"/>
      <c r="BB31" s="14"/>
    </row>
    <row r="32" customFormat="false" ht="12.75" hidden="false" customHeight="false" outlineLevel="0" collapsed="false">
      <c r="A32" s="366" t="str">
        <f aca="false">+Assumpt!A41</f>
        <v>Other</v>
      </c>
      <c r="B32" s="296"/>
      <c r="C32" s="296"/>
      <c r="D32" s="296"/>
      <c r="E32" s="107" t="n">
        <f aca="false">+Assumpt!$C41*(1+Assumpt!$E41)^(E$5-Assumpt!$C$35)*E$6/12</f>
        <v>0</v>
      </c>
      <c r="F32" s="107" t="n">
        <f aca="false">+Assumpt!$C41*(1+Assumpt!$E41)^(F$5-Assumpt!$C$35)*F$6/12</f>
        <v>0</v>
      </c>
      <c r="G32" s="107" t="n">
        <f aca="false">+Assumpt!$C41*(1+Assumpt!$E41)^(G$5-Assumpt!$C$35)*G$6/12</f>
        <v>0</v>
      </c>
      <c r="H32" s="107" t="n">
        <f aca="false">+Assumpt!$C41*(1+Assumpt!$E41)^(H$5-Assumpt!$C$35)*H$6/12</f>
        <v>0</v>
      </c>
      <c r="I32" s="107" t="n">
        <f aca="false">+Assumpt!$C41*(1+Assumpt!$E41)^(I$5-Assumpt!$C$35)*I$6/12</f>
        <v>0</v>
      </c>
      <c r="J32" s="107" t="n">
        <f aca="false">+Assumpt!$C41*(1+Assumpt!$E41)^(J$5-Assumpt!$C$35)*J$6/12</f>
        <v>0</v>
      </c>
      <c r="K32" s="107" t="n">
        <f aca="false">+Assumpt!$C41*(1+Assumpt!$E41)^(K$5-Assumpt!$C$35)*K$6/12</f>
        <v>0</v>
      </c>
      <c r="L32" s="107" t="n">
        <f aca="false">+Assumpt!$C41*(1+Assumpt!$E41)^(L$5-Assumpt!$C$35)*L$6/12</f>
        <v>0</v>
      </c>
      <c r="M32" s="107" t="n">
        <f aca="false">+Assumpt!$C41*(1+Assumpt!$E41)^(M$5-Assumpt!$C$35)*M$6/12</f>
        <v>0</v>
      </c>
      <c r="N32" s="107" t="n">
        <f aca="false">+Assumpt!$C41*(1+Assumpt!$E41)^(N$5-Assumpt!$C$35)*N$6/12</f>
        <v>0</v>
      </c>
      <c r="O32" s="107" t="n">
        <f aca="false">+Assumpt!$C41*(1+Assumpt!$E41)^(O$5-Assumpt!$C$35)*O$6/12</f>
        <v>0</v>
      </c>
      <c r="P32" s="107" t="n">
        <f aca="false">+Assumpt!$C41*(1+Assumpt!$E41)^(P$5-Assumpt!$C$35)*P$6/12</f>
        <v>0</v>
      </c>
      <c r="Q32" s="107" t="n">
        <f aca="false">+Assumpt!$C41*(1+Assumpt!$E41)^(Q$5-Assumpt!$C$35)*Q$6/12</f>
        <v>0</v>
      </c>
      <c r="R32" s="107" t="n">
        <f aca="false">+Assumpt!$C41*(1+Assumpt!$E41)^(R$5-Assumpt!$C$35)*R$6/12</f>
        <v>0</v>
      </c>
      <c r="S32" s="107" t="n">
        <f aca="false">+Assumpt!$C41*(1+Assumpt!$E41)^(S$5-Assumpt!$C$35)*S$6/12</f>
        <v>0</v>
      </c>
      <c r="T32" s="107" t="n">
        <f aca="false">+Assumpt!$C41*(1+Assumpt!$E41)^(T$5-Assumpt!$C$35)*T$6/12</f>
        <v>0</v>
      </c>
      <c r="U32" s="107" t="n">
        <f aca="false">+Assumpt!$C41*(1+Assumpt!$E41)^(U$5-Assumpt!$C$35)*U$6/12</f>
        <v>0</v>
      </c>
      <c r="V32" s="107" t="n">
        <f aca="false">+Assumpt!$C41*(1+Assumpt!$E41)^(V$5-Assumpt!$C$35)*V$6/12</f>
        <v>0</v>
      </c>
      <c r="W32" s="107" t="n">
        <f aca="false">+Assumpt!$C41*(1+Assumpt!$E41)^(W$5-Assumpt!$C$35)*W$6/12</f>
        <v>0</v>
      </c>
      <c r="X32" s="107" t="n">
        <f aca="false">+Assumpt!$C41*(1+Assumpt!$E41)^(X$5-Assumpt!$C$35)*X$6/12</f>
        <v>0</v>
      </c>
      <c r="Y32" s="107" t="n">
        <f aca="false">+Assumpt!$C41*(1+Assumpt!$E41)^(Y$5-Assumpt!$C$35)*Y$6/12</f>
        <v>0</v>
      </c>
      <c r="Z32" s="107" t="n">
        <f aca="false">+Assumpt!$C41*(1+Assumpt!$E41)^(Z$5-Assumpt!$C$35)*Z$6/12</f>
        <v>0</v>
      </c>
      <c r="AA32" s="107" t="n">
        <f aca="false">+Assumpt!$C41*(1+Assumpt!$E41)^(AA$5-Assumpt!$C$35)*AA$6/12</f>
        <v>0</v>
      </c>
      <c r="AB32" s="107" t="n">
        <f aca="false">+Assumpt!$C41*(1+Assumpt!$E41)^(AB$5-Assumpt!$C$35)*AB$6/12</f>
        <v>0</v>
      </c>
      <c r="AC32" s="107" t="n">
        <f aca="false">+Assumpt!$C41*(1+Assumpt!$E41)^(AC$5-Assumpt!$C$35)*AC$6/12</f>
        <v>0</v>
      </c>
      <c r="AD32" s="107" t="n">
        <f aca="false">+Assumpt!$C41*(1+Assumpt!$E41)^(AD$5-Assumpt!$C$35)*AD$6/12</f>
        <v>0</v>
      </c>
      <c r="AE32" s="107" t="n">
        <f aca="false">+Assumpt!$C41*(1+Assumpt!$E41)^(AE$5-Assumpt!$C$35)*AE$6/12</f>
        <v>0</v>
      </c>
      <c r="AF32" s="337" t="n">
        <f aca="false">SUM(E32:AE32)</f>
        <v>0</v>
      </c>
      <c r="AG32" s="353"/>
      <c r="AH32" s="353"/>
      <c r="AI32" s="353"/>
      <c r="AJ32" s="353"/>
      <c r="AK32" s="353"/>
      <c r="AL32" s="353"/>
      <c r="AM32" s="353"/>
      <c r="AN32" s="353"/>
      <c r="AO32" s="353"/>
      <c r="AP32" s="353"/>
      <c r="AQ32" s="353"/>
      <c r="AR32" s="353"/>
      <c r="AS32" s="353"/>
      <c r="AT32" s="353"/>
      <c r="AU32" s="295"/>
      <c r="AV32" s="295"/>
      <c r="AW32" s="295"/>
      <c r="AX32" s="295"/>
      <c r="AY32" s="295"/>
      <c r="AZ32" s="295"/>
      <c r="BA32" s="295"/>
      <c r="BB32" s="14"/>
    </row>
    <row r="33" customFormat="false" ht="12.75" hidden="false" customHeight="false" outlineLevel="0" collapsed="false">
      <c r="A33" s="366" t="str">
        <f aca="false">+Assumpt!A42</f>
        <v>Other</v>
      </c>
      <c r="B33" s="296"/>
      <c r="C33" s="296"/>
      <c r="D33" s="296"/>
      <c r="E33" s="107" t="n">
        <f aca="false">+Assumpt!$C42*(1+Assumpt!$E42)^(E$5-Assumpt!$C$35)*E$6/12</f>
        <v>0</v>
      </c>
      <c r="F33" s="107" t="n">
        <f aca="false">+Assumpt!$C42*(1+Assumpt!$E42)^(F$5-Assumpt!$C$35)*F$6/12</f>
        <v>0</v>
      </c>
      <c r="G33" s="107" t="n">
        <f aca="false">+Assumpt!$C42*(1+Assumpt!$E42)^(G$5-Assumpt!$C$35)*G$6/12</f>
        <v>0</v>
      </c>
      <c r="H33" s="107" t="n">
        <f aca="false">+Assumpt!$C42*(1+Assumpt!$E42)^(H$5-Assumpt!$C$35)*H$6/12</f>
        <v>0</v>
      </c>
      <c r="I33" s="107" t="n">
        <f aca="false">+Assumpt!$C42*(1+Assumpt!$E42)^(I$5-Assumpt!$C$35)*I$6/12</f>
        <v>0</v>
      </c>
      <c r="J33" s="107" t="n">
        <f aca="false">+Assumpt!$C42*(1+Assumpt!$E42)^(J$5-Assumpt!$C$35)*J$6/12</f>
        <v>0</v>
      </c>
      <c r="K33" s="107" t="n">
        <f aca="false">+Assumpt!$C42*(1+Assumpt!$E42)^(K$5-Assumpt!$C$35)*K$6/12</f>
        <v>0</v>
      </c>
      <c r="L33" s="107" t="n">
        <f aca="false">+Assumpt!$C42*(1+Assumpt!$E42)^(L$5-Assumpt!$C$35)*L$6/12</f>
        <v>0</v>
      </c>
      <c r="M33" s="107" t="n">
        <f aca="false">+Assumpt!$C42*(1+Assumpt!$E42)^(M$5-Assumpt!$C$35)*M$6/12</f>
        <v>0</v>
      </c>
      <c r="N33" s="107" t="n">
        <f aca="false">+Assumpt!$C42*(1+Assumpt!$E42)^(N$5-Assumpt!$C$35)*N$6/12</f>
        <v>0</v>
      </c>
      <c r="O33" s="107" t="n">
        <f aca="false">+Assumpt!$C42*(1+Assumpt!$E42)^(O$5-Assumpt!$C$35)*O$6/12</f>
        <v>0</v>
      </c>
      <c r="P33" s="107" t="n">
        <f aca="false">+Assumpt!$C42*(1+Assumpt!$E42)^(P$5-Assumpt!$C$35)*P$6/12</f>
        <v>0</v>
      </c>
      <c r="Q33" s="107" t="n">
        <f aca="false">+Assumpt!$C42*(1+Assumpt!$E42)^(Q$5-Assumpt!$C$35)*Q$6/12</f>
        <v>0</v>
      </c>
      <c r="R33" s="107" t="n">
        <f aca="false">+Assumpt!$C42*(1+Assumpt!$E42)^(R$5-Assumpt!$C$35)*R$6/12</f>
        <v>0</v>
      </c>
      <c r="S33" s="107" t="n">
        <f aca="false">+Assumpt!$C42*(1+Assumpt!$E42)^(S$5-Assumpt!$C$35)*S$6/12</f>
        <v>0</v>
      </c>
      <c r="T33" s="107" t="n">
        <f aca="false">+Assumpt!$C42*(1+Assumpt!$E42)^(T$5-Assumpt!$C$35)*T$6/12</f>
        <v>0</v>
      </c>
      <c r="U33" s="107" t="n">
        <f aca="false">+Assumpt!$C42*(1+Assumpt!$E42)^(U$5-Assumpt!$C$35)*U$6/12</f>
        <v>0</v>
      </c>
      <c r="V33" s="107" t="n">
        <f aca="false">+Assumpt!$C42*(1+Assumpt!$E42)^(V$5-Assumpt!$C$35)*V$6/12</f>
        <v>0</v>
      </c>
      <c r="W33" s="107" t="n">
        <f aca="false">+Assumpt!$C42*(1+Assumpt!$E42)^(W$5-Assumpt!$C$35)*W$6/12</f>
        <v>0</v>
      </c>
      <c r="X33" s="107" t="n">
        <f aca="false">+Assumpt!$C42*(1+Assumpt!$E42)^(X$5-Assumpt!$C$35)*X$6/12</f>
        <v>0</v>
      </c>
      <c r="Y33" s="107" t="n">
        <f aca="false">+Assumpt!$C42*(1+Assumpt!$E42)^(Y$5-Assumpt!$C$35)*Y$6/12</f>
        <v>0</v>
      </c>
      <c r="Z33" s="107" t="n">
        <f aca="false">+Assumpt!$C42*(1+Assumpt!$E42)^(Z$5-Assumpt!$C$35)*Z$6/12</f>
        <v>0</v>
      </c>
      <c r="AA33" s="107" t="n">
        <f aca="false">+Assumpt!$C42*(1+Assumpt!$E42)^(AA$5-Assumpt!$C$35)*AA$6/12</f>
        <v>0</v>
      </c>
      <c r="AB33" s="107" t="n">
        <f aca="false">+Assumpt!$C42*(1+Assumpt!$E42)^(AB$5-Assumpt!$C$35)*AB$6/12</f>
        <v>0</v>
      </c>
      <c r="AC33" s="107" t="n">
        <f aca="false">+Assumpt!$C42*(1+Assumpt!$E42)^(AC$5-Assumpt!$C$35)*AC$6/12</f>
        <v>0</v>
      </c>
      <c r="AD33" s="107" t="n">
        <f aca="false">+Assumpt!$C42*(1+Assumpt!$E42)^(AD$5-Assumpt!$C$35)*AD$6/12</f>
        <v>0</v>
      </c>
      <c r="AE33" s="107" t="n">
        <f aca="false">+Assumpt!$C42*(1+Assumpt!$E42)^(AE$5-Assumpt!$C$35)*AE$6/12</f>
        <v>0</v>
      </c>
      <c r="AF33" s="337" t="n">
        <f aca="false">SUM(E33:AE33)</f>
        <v>0</v>
      </c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  <c r="AT33" s="353"/>
      <c r="AU33" s="295"/>
      <c r="AV33" s="295"/>
      <c r="AW33" s="295"/>
      <c r="AX33" s="295"/>
      <c r="AY33" s="295"/>
      <c r="AZ33" s="295"/>
      <c r="BA33" s="295"/>
      <c r="BB33" s="14"/>
    </row>
    <row r="34" customFormat="false" ht="12.75" hidden="false" customHeight="false" outlineLevel="0" collapsed="false">
      <c r="A34" s="366" t="str">
        <f aca="false">+Assumpt!A43</f>
        <v>Other</v>
      </c>
      <c r="E34" s="107" t="n">
        <f aca="false">+Assumpt!$C43*(1+Assumpt!$E43)^(E$5-Assumpt!$C$35)*E$6/12</f>
        <v>0</v>
      </c>
      <c r="F34" s="107" t="n">
        <f aca="false">+Assumpt!$C43*(1+Assumpt!$E43)^(F$5-Assumpt!$C$35)*F$6/12</f>
        <v>0</v>
      </c>
      <c r="G34" s="107" t="n">
        <f aca="false">+Assumpt!$C43*(1+Assumpt!$E43)^(G$5-Assumpt!$C$35)*G$6/12</f>
        <v>0</v>
      </c>
      <c r="H34" s="107" t="n">
        <f aca="false">+Assumpt!$C43*(1+Assumpt!$E43)^(H$5-Assumpt!$C$35)*H$6/12</f>
        <v>0</v>
      </c>
      <c r="I34" s="107" t="n">
        <f aca="false">+Assumpt!$C43*(1+Assumpt!$E43)^(I$5-Assumpt!$C$35)*I$6/12</f>
        <v>0</v>
      </c>
      <c r="J34" s="107" t="n">
        <f aca="false">+Assumpt!$C43*(1+Assumpt!$E43)^(J$5-Assumpt!$C$35)*J$6/12</f>
        <v>0</v>
      </c>
      <c r="K34" s="107" t="n">
        <f aca="false">+Assumpt!$C43*(1+Assumpt!$E43)^(K$5-Assumpt!$C$35)*K$6/12</f>
        <v>0</v>
      </c>
      <c r="L34" s="107" t="n">
        <f aca="false">+Assumpt!$C43*(1+Assumpt!$E43)^(L$5-Assumpt!$C$35)*L$6/12</f>
        <v>0</v>
      </c>
      <c r="M34" s="107" t="n">
        <f aca="false">+Assumpt!$C43*(1+Assumpt!$E43)^(M$5-Assumpt!$C$35)*M$6/12</f>
        <v>0</v>
      </c>
      <c r="N34" s="107" t="n">
        <f aca="false">+Assumpt!$C43*(1+Assumpt!$E43)^(N$5-Assumpt!$C$35)*N$6/12</f>
        <v>0</v>
      </c>
      <c r="O34" s="107" t="n">
        <f aca="false">+Assumpt!$C43*(1+Assumpt!$E43)^(O$5-Assumpt!$C$35)*O$6/12</f>
        <v>0</v>
      </c>
      <c r="P34" s="107" t="n">
        <f aca="false">+Assumpt!$C43*(1+Assumpt!$E43)^(P$5-Assumpt!$C$35)*P$6/12</f>
        <v>0</v>
      </c>
      <c r="Q34" s="107" t="n">
        <f aca="false">+Assumpt!$C43*(1+Assumpt!$E43)^(Q$5-Assumpt!$C$35)*Q$6/12</f>
        <v>0</v>
      </c>
      <c r="R34" s="107" t="n">
        <f aca="false">+Assumpt!$C43*(1+Assumpt!$E43)^(R$5-Assumpt!$C$35)*R$6/12</f>
        <v>0</v>
      </c>
      <c r="S34" s="107" t="n">
        <f aca="false">+Assumpt!$C43*(1+Assumpt!$E43)^(S$5-Assumpt!$C$35)*S$6/12</f>
        <v>0</v>
      </c>
      <c r="T34" s="107" t="n">
        <f aca="false">+Assumpt!$C43*(1+Assumpt!$E43)^(T$5-Assumpt!$C$35)*T$6/12</f>
        <v>0</v>
      </c>
      <c r="U34" s="107" t="n">
        <f aca="false">+Assumpt!$C43*(1+Assumpt!$E43)^(U$5-Assumpt!$C$35)*U$6/12</f>
        <v>0</v>
      </c>
      <c r="V34" s="107" t="n">
        <f aca="false">+Assumpt!$C43*(1+Assumpt!$E43)^(V$5-Assumpt!$C$35)*V$6/12</f>
        <v>0</v>
      </c>
      <c r="W34" s="107" t="n">
        <f aca="false">+Assumpt!$C43*(1+Assumpt!$E43)^(W$5-Assumpt!$C$35)*W$6/12</f>
        <v>0</v>
      </c>
      <c r="X34" s="107" t="n">
        <f aca="false">+Assumpt!$C43*(1+Assumpt!$E43)^(X$5-Assumpt!$C$35)*X$6/12</f>
        <v>0</v>
      </c>
      <c r="Y34" s="107" t="n">
        <f aca="false">+Assumpt!$C43*(1+Assumpt!$E43)^(Y$5-Assumpt!$C$35)*Y$6/12</f>
        <v>0</v>
      </c>
      <c r="Z34" s="107" t="n">
        <f aca="false">+Assumpt!$C43*(1+Assumpt!$E43)^(Z$5-Assumpt!$C$35)*Z$6/12</f>
        <v>0</v>
      </c>
      <c r="AA34" s="107" t="n">
        <f aca="false">+Assumpt!$C43*(1+Assumpt!$E43)^(AA$5-Assumpt!$C$35)*AA$6/12</f>
        <v>0</v>
      </c>
      <c r="AB34" s="107" t="n">
        <f aca="false">+Assumpt!$C43*(1+Assumpt!$E43)^(AB$5-Assumpt!$C$35)*AB$6/12</f>
        <v>0</v>
      </c>
      <c r="AC34" s="107" t="n">
        <f aca="false">+Assumpt!$C43*(1+Assumpt!$E43)^(AC$5-Assumpt!$C$35)*AC$6/12</f>
        <v>0</v>
      </c>
      <c r="AD34" s="107" t="n">
        <f aca="false">+Assumpt!$C43*(1+Assumpt!$E43)^(AD$5-Assumpt!$C$35)*AD$6/12</f>
        <v>0</v>
      </c>
      <c r="AE34" s="107" t="n">
        <f aca="false">+Assumpt!$C43*(1+Assumpt!$E43)^(AE$5-Assumpt!$C$35)*AE$6/12</f>
        <v>0</v>
      </c>
      <c r="AF34" s="337" t="n">
        <f aca="false">SUM(E34:AE34)</f>
        <v>0</v>
      </c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4"/>
      <c r="AV34" s="14"/>
      <c r="AW34" s="14"/>
      <c r="AX34" s="14"/>
      <c r="AY34" s="14"/>
      <c r="AZ34" s="14"/>
      <c r="BA34" s="14"/>
      <c r="BB34" s="14"/>
    </row>
    <row r="35" customFormat="false" ht="12.75" hidden="false" customHeight="false" outlineLevel="0" collapsed="false">
      <c r="A35" s="367" t="str">
        <f aca="false">+Assumpt!A44</f>
        <v>Other</v>
      </c>
      <c r="B35" s="344"/>
      <c r="C35" s="344"/>
      <c r="D35" s="344"/>
      <c r="E35" s="131" t="n">
        <f aca="false">+Assumpt!$C44*(1+Assumpt!$E44)^(E$5-Assumpt!$C$35)*E$6/12</f>
        <v>0</v>
      </c>
      <c r="F35" s="131" t="n">
        <f aca="false">+Assumpt!$C44*(1+Assumpt!$E44)^(F$5-Assumpt!$C$35)*F$6/12</f>
        <v>0</v>
      </c>
      <c r="G35" s="131" t="n">
        <f aca="false">+Assumpt!$C44*(1+Assumpt!$E44)^(G$5-Assumpt!$C$35)*G$6/12</f>
        <v>0</v>
      </c>
      <c r="H35" s="131" t="n">
        <f aca="false">+Assumpt!$C44*(1+Assumpt!$E44)^(H$5-Assumpt!$C$35)*H$6/12</f>
        <v>0</v>
      </c>
      <c r="I35" s="131" t="n">
        <f aca="false">+Assumpt!$C44*(1+Assumpt!$E44)^(I$5-Assumpt!$C$35)*I$6/12</f>
        <v>0</v>
      </c>
      <c r="J35" s="131" t="n">
        <f aca="false">+Assumpt!$C44*(1+Assumpt!$E44)^(J$5-Assumpt!$C$35)*J$6/12</f>
        <v>0</v>
      </c>
      <c r="K35" s="131" t="n">
        <f aca="false">+Assumpt!$C44*(1+Assumpt!$E44)^(K$5-Assumpt!$C$35)*K$6/12</f>
        <v>0</v>
      </c>
      <c r="L35" s="131" t="n">
        <f aca="false">+Assumpt!$C44*(1+Assumpt!$E44)^(L$5-Assumpt!$C$35)*L$6/12</f>
        <v>0</v>
      </c>
      <c r="M35" s="131" t="n">
        <f aca="false">+Assumpt!$C44*(1+Assumpt!$E44)^(M$5-Assumpt!$C$35)*M$6/12</f>
        <v>0</v>
      </c>
      <c r="N35" s="131" t="n">
        <f aca="false">+Assumpt!$C44*(1+Assumpt!$E44)^(N$5-Assumpt!$C$35)*N$6/12</f>
        <v>0</v>
      </c>
      <c r="O35" s="131" t="n">
        <f aca="false">+Assumpt!$C44*(1+Assumpt!$E44)^(O$5-Assumpt!$C$35)*O$6/12</f>
        <v>0</v>
      </c>
      <c r="P35" s="131" t="n">
        <f aca="false">+Assumpt!$C44*(1+Assumpt!$E44)^(P$5-Assumpt!$C$35)*P$6/12</f>
        <v>0</v>
      </c>
      <c r="Q35" s="131" t="n">
        <f aca="false">+Assumpt!$C44*(1+Assumpt!$E44)^(Q$5-Assumpt!$C$35)*Q$6/12</f>
        <v>0</v>
      </c>
      <c r="R35" s="131" t="n">
        <f aca="false">+Assumpt!$C44*(1+Assumpt!$E44)^(R$5-Assumpt!$C$35)*R$6/12</f>
        <v>0</v>
      </c>
      <c r="S35" s="131" t="n">
        <f aca="false">+Assumpt!$C44*(1+Assumpt!$E44)^(S$5-Assumpt!$C$35)*S$6/12</f>
        <v>0</v>
      </c>
      <c r="T35" s="131" t="n">
        <f aca="false">+Assumpt!$C44*(1+Assumpt!$E44)^(T$5-Assumpt!$C$35)*T$6/12</f>
        <v>0</v>
      </c>
      <c r="U35" s="131" t="n">
        <f aca="false">+Assumpt!$C44*(1+Assumpt!$E44)^(U$5-Assumpt!$C$35)*U$6/12</f>
        <v>0</v>
      </c>
      <c r="V35" s="131" t="n">
        <f aca="false">+Assumpt!$C44*(1+Assumpt!$E44)^(V$5-Assumpt!$C$35)*V$6/12</f>
        <v>0</v>
      </c>
      <c r="W35" s="131" t="n">
        <f aca="false">+Assumpt!$C44*(1+Assumpt!$E44)^(W$5-Assumpt!$C$35)*W$6/12</f>
        <v>0</v>
      </c>
      <c r="X35" s="131" t="n">
        <f aca="false">+Assumpt!$C44*(1+Assumpt!$E44)^(X$5-Assumpt!$C$35)*X$6/12</f>
        <v>0</v>
      </c>
      <c r="Y35" s="131" t="n">
        <f aca="false">+Assumpt!$C44*(1+Assumpt!$E44)^(Y$5-Assumpt!$C$35)*Y$6/12</f>
        <v>0</v>
      </c>
      <c r="Z35" s="131" t="n">
        <f aca="false">+Assumpt!$C44*(1+Assumpt!$E44)^(Z$5-Assumpt!$C$35)*Z$6/12</f>
        <v>0</v>
      </c>
      <c r="AA35" s="131" t="n">
        <f aca="false">+Assumpt!$C44*(1+Assumpt!$E44)^(AA$5-Assumpt!$C$35)*AA$6/12</f>
        <v>0</v>
      </c>
      <c r="AB35" s="131" t="n">
        <f aca="false">+Assumpt!$C44*(1+Assumpt!$E44)^(AB$5-Assumpt!$C$35)*AB$6/12</f>
        <v>0</v>
      </c>
      <c r="AC35" s="131" t="n">
        <f aca="false">+Assumpt!$C44*(1+Assumpt!$E44)^(AC$5-Assumpt!$C$35)*AC$6/12</f>
        <v>0</v>
      </c>
      <c r="AD35" s="131" t="n">
        <f aca="false">+Assumpt!$C44*(1+Assumpt!$E44)^(AD$5-Assumpt!$C$35)*AD$6/12</f>
        <v>0</v>
      </c>
      <c r="AE35" s="131" t="n">
        <f aca="false">+Assumpt!$C44*(1+Assumpt!$E44)^(AE$5-Assumpt!$C$35)*AE$6/12</f>
        <v>0</v>
      </c>
      <c r="AF35" s="368" t="n">
        <f aca="false">SUM(E35:AE35)</f>
        <v>0</v>
      </c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48"/>
      <c r="AV35" s="148"/>
      <c r="AW35" s="148"/>
      <c r="AX35" s="148"/>
      <c r="AY35" s="148"/>
      <c r="AZ35" s="148"/>
      <c r="BA35" s="148"/>
      <c r="BB35" s="148"/>
      <c r="BC35" s="344"/>
      <c r="BD35" s="344"/>
      <c r="BE35" s="344"/>
      <c r="BF35" s="344"/>
      <c r="BG35" s="344"/>
      <c r="BH35" s="344"/>
      <c r="BI35" s="344"/>
      <c r="BJ35" s="344"/>
      <c r="BK35" s="344"/>
      <c r="BL35" s="344"/>
      <c r="BM35" s="344"/>
      <c r="BN35" s="344"/>
      <c r="BO35" s="344"/>
      <c r="BP35" s="344"/>
      <c r="BQ35" s="344"/>
      <c r="BR35" s="344"/>
      <c r="BS35" s="344"/>
      <c r="BT35" s="344"/>
      <c r="BU35" s="344"/>
      <c r="BV35" s="344"/>
      <c r="BW35" s="344"/>
      <c r="BX35" s="344"/>
      <c r="BY35" s="344"/>
      <c r="BZ35" s="344"/>
      <c r="CA35" s="344"/>
      <c r="CB35" s="344"/>
      <c r="CC35" s="344"/>
      <c r="CD35" s="344"/>
      <c r="CE35" s="344"/>
      <c r="CF35" s="344"/>
      <c r="CG35" s="344"/>
      <c r="CH35" s="344"/>
      <c r="CI35" s="344"/>
      <c r="CJ35" s="344"/>
      <c r="CK35" s="344"/>
      <c r="CL35" s="344"/>
      <c r="CM35" s="344"/>
      <c r="CN35" s="344"/>
      <c r="CO35" s="344"/>
      <c r="CP35" s="344"/>
      <c r="CQ35" s="344"/>
      <c r="CR35" s="344"/>
      <c r="CS35" s="344"/>
      <c r="CT35" s="344"/>
      <c r="CU35" s="344"/>
      <c r="CV35" s="344"/>
      <c r="CW35" s="344"/>
      <c r="CX35" s="344"/>
      <c r="CY35" s="344"/>
      <c r="CZ35" s="344"/>
      <c r="DA35" s="344"/>
      <c r="DB35" s="344"/>
      <c r="DC35" s="344"/>
      <c r="DD35" s="344"/>
      <c r="DE35" s="344"/>
      <c r="DF35" s="344"/>
      <c r="DG35" s="344"/>
      <c r="DH35" s="344"/>
      <c r="DI35" s="344"/>
      <c r="DJ35" s="344"/>
      <c r="DK35" s="344"/>
      <c r="DL35" s="344"/>
      <c r="DM35" s="344"/>
      <c r="DN35" s="344"/>
      <c r="DO35" s="344"/>
      <c r="DP35" s="344"/>
      <c r="DQ35" s="344"/>
      <c r="DR35" s="344"/>
      <c r="DS35" s="344"/>
      <c r="DT35" s="344"/>
      <c r="DU35" s="344"/>
      <c r="DV35" s="344"/>
      <c r="DW35" s="344"/>
      <c r="DX35" s="344"/>
      <c r="DY35" s="344"/>
      <c r="DZ35" s="344"/>
      <c r="EA35" s="344"/>
      <c r="EB35" s="344"/>
      <c r="EC35" s="344"/>
      <c r="ED35" s="344"/>
      <c r="EE35" s="344"/>
      <c r="EF35" s="344"/>
      <c r="EG35" s="344"/>
      <c r="EH35" s="344"/>
      <c r="EI35" s="344"/>
      <c r="EJ35" s="344"/>
      <c r="EK35" s="344"/>
      <c r="EL35" s="344"/>
      <c r="EM35" s="344"/>
      <c r="EN35" s="344"/>
      <c r="EO35" s="344"/>
      <c r="EP35" s="344"/>
      <c r="EQ35" s="344"/>
      <c r="ER35" s="344"/>
      <c r="ES35" s="344"/>
      <c r="ET35" s="344"/>
      <c r="EU35" s="344"/>
      <c r="EV35" s="344"/>
      <c r="EW35" s="344"/>
      <c r="EX35" s="344"/>
      <c r="EY35" s="344"/>
      <c r="EZ35" s="344"/>
      <c r="FA35" s="344"/>
      <c r="FB35" s="344"/>
      <c r="FC35" s="344"/>
      <c r="FD35" s="344"/>
      <c r="FE35" s="344"/>
      <c r="FF35" s="344"/>
      <c r="FG35" s="344"/>
      <c r="FH35" s="344"/>
      <c r="FI35" s="344"/>
      <c r="FJ35" s="344"/>
      <c r="FK35" s="344"/>
      <c r="FL35" s="344"/>
      <c r="FM35" s="344"/>
      <c r="FN35" s="344"/>
      <c r="FO35" s="344"/>
      <c r="FP35" s="344"/>
      <c r="FQ35" s="344"/>
      <c r="FR35" s="344"/>
      <c r="FS35" s="344"/>
      <c r="FT35" s="344"/>
      <c r="FU35" s="344"/>
      <c r="FV35" s="344"/>
      <c r="FW35" s="344"/>
      <c r="FX35" s="344"/>
      <c r="FY35" s="344"/>
      <c r="FZ35" s="344"/>
      <c r="GA35" s="344"/>
      <c r="GB35" s="344"/>
      <c r="GC35" s="344"/>
      <c r="GD35" s="344"/>
      <c r="GE35" s="344"/>
      <c r="GF35" s="344"/>
      <c r="GG35" s="344"/>
      <c r="GH35" s="344"/>
      <c r="GI35" s="344"/>
      <c r="GJ35" s="344"/>
      <c r="GK35" s="344"/>
      <c r="GL35" s="344"/>
      <c r="GM35" s="344"/>
      <c r="GN35" s="344"/>
      <c r="GO35" s="344"/>
      <c r="GP35" s="344"/>
      <c r="GQ35" s="344"/>
      <c r="GR35" s="344"/>
      <c r="GS35" s="344"/>
      <c r="GT35" s="344"/>
      <c r="GU35" s="344"/>
      <c r="GV35" s="344"/>
      <c r="GW35" s="344"/>
      <c r="GX35" s="344"/>
      <c r="GY35" s="344"/>
      <c r="GZ35" s="344"/>
      <c r="HA35" s="344"/>
      <c r="HB35" s="344"/>
      <c r="HC35" s="344"/>
      <c r="HD35" s="344"/>
      <c r="HE35" s="344"/>
      <c r="HF35" s="344"/>
      <c r="HG35" s="344"/>
      <c r="HH35" s="344"/>
      <c r="HI35" s="344"/>
      <c r="HJ35" s="344"/>
      <c r="HK35" s="344"/>
      <c r="HL35" s="344"/>
      <c r="HM35" s="344"/>
      <c r="HN35" s="344"/>
      <c r="HO35" s="344"/>
      <c r="HP35" s="344"/>
      <c r="HQ35" s="344"/>
      <c r="HR35" s="344"/>
      <c r="HS35" s="344"/>
      <c r="HT35" s="344"/>
      <c r="HU35" s="344"/>
      <c r="HV35" s="344"/>
      <c r="HW35" s="344"/>
      <c r="HX35" s="344"/>
      <c r="HY35" s="344"/>
      <c r="HZ35" s="344"/>
      <c r="IA35" s="344"/>
      <c r="IB35" s="344"/>
      <c r="IC35" s="344"/>
      <c r="ID35" s="344"/>
      <c r="IE35" s="344"/>
      <c r="IF35" s="344"/>
      <c r="IG35" s="344"/>
      <c r="IH35" s="344"/>
      <c r="II35" s="344"/>
      <c r="IJ35" s="344"/>
      <c r="IK35" s="344"/>
      <c r="IL35" s="344"/>
      <c r="IM35" s="344"/>
      <c r="IN35" s="344"/>
      <c r="IO35" s="344"/>
      <c r="IP35" s="344"/>
      <c r="IQ35" s="344"/>
      <c r="IR35" s="344"/>
      <c r="IS35" s="344"/>
      <c r="IT35" s="344"/>
      <c r="IU35" s="344"/>
      <c r="IV35" s="344"/>
      <c r="IW35" s="344"/>
    </row>
    <row r="36" customFormat="false" ht="12.75" hidden="false" customHeight="false" outlineLevel="0" collapsed="false">
      <c r="A36" s="366" t="s">
        <v>172</v>
      </c>
      <c r="E36" s="107" t="n">
        <f aca="false">+SUM(E27:E35)</f>
        <v>10131.5650176</v>
      </c>
      <c r="F36" s="107" t="n">
        <f aca="false">+SUM(F27:F35)</f>
        <v>10334.196317952</v>
      </c>
      <c r="G36" s="107" t="n">
        <f aca="false">+SUM(G27:G35)</f>
        <v>10540.880244311</v>
      </c>
      <c r="H36" s="107" t="n">
        <f aca="false">+SUM(H27:H35)</f>
        <v>10751.6978491973</v>
      </c>
      <c r="I36" s="107" t="n">
        <f aca="false">+SUM(I27:I35)</f>
        <v>10966.7318061812</v>
      </c>
      <c r="J36" s="107" t="n">
        <f aca="false">+SUM(J27:J35)</f>
        <v>11186.0664423048</v>
      </c>
      <c r="K36" s="107" t="n">
        <f aca="false">+SUM(K27:K35)</f>
        <v>11409.7877711509</v>
      </c>
      <c r="L36" s="107" t="n">
        <f aca="false">+SUM(L27:L35)</f>
        <v>11637.9835265739</v>
      </c>
      <c r="M36" s="107" t="n">
        <f aca="false">+SUM(M27:M35)</f>
        <v>11870.7431971054</v>
      </c>
      <c r="N36" s="107" t="n">
        <f aca="false">+SUM(N27:N35)</f>
        <v>12108.1580610475</v>
      </c>
      <c r="O36" s="107" t="n">
        <f aca="false">+SUM(O27:O35)</f>
        <v>12350.3212222685</v>
      </c>
      <c r="P36" s="107" t="n">
        <f aca="false">+SUM(P27:P35)</f>
        <v>12597.3276467139</v>
      </c>
      <c r="Q36" s="107" t="n">
        <f aca="false">+SUM(Q27:Q35)</f>
        <v>12849.2741996481</v>
      </c>
      <c r="R36" s="107" t="n">
        <f aca="false">+SUM(R27:R35)</f>
        <v>13106.2596836411</v>
      </c>
      <c r="S36" s="107" t="n">
        <f aca="false">+SUM(S27:S35)</f>
        <v>13368.3848773139</v>
      </c>
      <c r="T36" s="107" t="n">
        <f aca="false">+SUM(T27:T35)</f>
        <v>0</v>
      </c>
      <c r="U36" s="107" t="n">
        <f aca="false">+SUM(U27:U35)</f>
        <v>0</v>
      </c>
      <c r="V36" s="107" t="n">
        <f aca="false">+SUM(V27:V35)</f>
        <v>0</v>
      </c>
      <c r="W36" s="107" t="n">
        <f aca="false">+SUM(W27:W35)</f>
        <v>0</v>
      </c>
      <c r="X36" s="107" t="n">
        <f aca="false">+SUM(X27:X35)</f>
        <v>0</v>
      </c>
      <c r="Y36" s="107" t="n">
        <f aca="false">+SUM(Y27:Y35)</f>
        <v>0</v>
      </c>
      <c r="Z36" s="107" t="n">
        <f aca="false">+SUM(Z27:Z35)</f>
        <v>0</v>
      </c>
      <c r="AA36" s="107" t="n">
        <f aca="false">+SUM(AA27:AA35)</f>
        <v>0</v>
      </c>
      <c r="AB36" s="107" t="n">
        <f aca="false">+SUM(AB27:AB35)</f>
        <v>0</v>
      </c>
      <c r="AC36" s="107" t="n">
        <f aca="false">+SUM(AC27:AC35)</f>
        <v>0</v>
      </c>
      <c r="AD36" s="107" t="n">
        <f aca="false">+SUM(AD27:AD35)</f>
        <v>0</v>
      </c>
      <c r="AE36" s="107" t="n">
        <f aca="false">+SUM(AE27:AE35)</f>
        <v>0</v>
      </c>
      <c r="AF36" s="337" t="n">
        <f aca="false">SUM(E36:AE36)</f>
        <v>175209.37786301</v>
      </c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4"/>
      <c r="AV36" s="14"/>
      <c r="AW36" s="14"/>
      <c r="AX36" s="14"/>
      <c r="AY36" s="14"/>
      <c r="AZ36" s="14"/>
      <c r="BA36" s="14"/>
      <c r="BB36" s="14"/>
    </row>
    <row r="37" customFormat="false" ht="12.75" hidden="false" customHeight="false" outlineLevel="0" collapsed="false">
      <c r="A37" s="369" t="s">
        <v>173</v>
      </c>
      <c r="B37" s="329"/>
      <c r="C37" s="329"/>
      <c r="D37" s="329"/>
      <c r="E37" s="370" t="n">
        <f aca="false">IF(ISERROR(E36/E$13),0,E36/E$13)</f>
        <v>1.09513455077343</v>
      </c>
      <c r="F37" s="370" t="n">
        <f aca="false">IF(ISERROR(F36/F$13),0,F36/F$13)</f>
        <v>1.1078883408226</v>
      </c>
      <c r="G37" s="370" t="n">
        <f aca="false">IF(ISERROR(G36/G$13),0,G36/G$13)</f>
        <v>0.58783489957122</v>
      </c>
      <c r="H37" s="370" t="n">
        <f aca="false">IF(ISERROR(H36/H$13),0,H36/H$13)</f>
        <v>0.581540138604147</v>
      </c>
      <c r="I37" s="370" t="n">
        <f aca="false">IF(ISERROR(I36/I$13),0,I36/I$13)</f>
        <v>0.590498476801958</v>
      </c>
      <c r="J37" s="370" t="n">
        <f aca="false">IF(ISERROR(J36/J$13),0,J36/J$13)</f>
        <v>0.591418468658488</v>
      </c>
      <c r="K37" s="370" t="n">
        <f aca="false">IF(ISERROR(K36/K$13),0,K36/K$13)</f>
        <v>0.599441955452329</v>
      </c>
      <c r="L37" s="370" t="n">
        <f aca="false">IF(ISERROR(L36/L$13),0,L36/L$13)</f>
        <v>0.337305558534914</v>
      </c>
      <c r="M37" s="370" t="n">
        <f aca="false">IF(ISERROR(M36/M$13),0,M36/M$13)</f>
        <v>0.323869581686156</v>
      </c>
      <c r="N37" s="370" t="n">
        <f aca="false">IF(ISERROR(N36/N$13),0,N36/N$13)</f>
        <v>0.327841386544305</v>
      </c>
      <c r="O37" s="370" t="n">
        <f aca="false">IF(ISERROR(O36/O$13),0,O36/O$13)</f>
        <v>0.33123335655398</v>
      </c>
      <c r="P37" s="370" t="n">
        <f aca="false">IF(ISERROR(P36/P$13),0,P36/P$13)</f>
        <v>0.331708677531198</v>
      </c>
      <c r="Q37" s="370" t="n">
        <f aca="false">IF(ISERROR(Q36/Q$13),0,Q36/Q$13)</f>
        <v>0.338342851081822</v>
      </c>
      <c r="R37" s="370" t="n">
        <f aca="false">IF(ISERROR(R36/R$13),0,R36/R$13)</f>
        <v>0.345109708103458</v>
      </c>
      <c r="S37" s="370" t="n">
        <f aca="false">IF(ISERROR(S36/S$13),0,S36/S$13)</f>
        <v>0.352011902265527</v>
      </c>
      <c r="T37" s="370" t="n">
        <f aca="false">IF(ISERROR(T36/T$13),0,T36/T$13)</f>
        <v>0</v>
      </c>
      <c r="U37" s="370" t="n">
        <f aca="false">IF(ISERROR(U36/U$13),0,U36/U$13)</f>
        <v>0</v>
      </c>
      <c r="V37" s="370" t="n">
        <f aca="false">IF(ISERROR(V36/V$13),0,V36/V$13)</f>
        <v>0</v>
      </c>
      <c r="W37" s="370" t="n">
        <f aca="false">IF(ISERROR(W36/W$13),0,W36/W$13)</f>
        <v>0</v>
      </c>
      <c r="X37" s="370" t="n">
        <f aca="false">IF(ISERROR(X36/X$13),0,X36/X$13)</f>
        <v>0</v>
      </c>
      <c r="Y37" s="370" t="n">
        <f aca="false">IF(ISERROR(Y36/Y$13),0,Y36/Y$13)</f>
        <v>0</v>
      </c>
      <c r="Z37" s="370" t="n">
        <f aca="false">IF(ISERROR(Z36/Z$13),0,Z36/Z$13)</f>
        <v>0</v>
      </c>
      <c r="AA37" s="370" t="n">
        <f aca="false">IF(ISERROR(AA36/AA$13),0,AA36/AA$13)</f>
        <v>0</v>
      </c>
      <c r="AB37" s="370" t="n">
        <f aca="false">IF(ISERROR(AB36/AB$13),0,AB36/AB$13)</f>
        <v>0</v>
      </c>
      <c r="AC37" s="370" t="n">
        <f aca="false">IF(ISERROR(AC36/AC$13),0,AC36/AC$13)</f>
        <v>0</v>
      </c>
      <c r="AD37" s="370" t="n">
        <f aca="false">IF(ISERROR(AD36/AD$13),0,AD36/AD$13)</f>
        <v>0</v>
      </c>
      <c r="AE37" s="370" t="n">
        <f aca="false">IF(ISERROR(AE36/AE$13),0,AE36/AE$13)</f>
        <v>0</v>
      </c>
      <c r="AF37" s="371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85"/>
      <c r="AV37" s="85"/>
      <c r="AW37" s="85"/>
      <c r="AX37" s="85"/>
      <c r="AY37" s="85"/>
      <c r="AZ37" s="85"/>
      <c r="BA37" s="85"/>
      <c r="BB37" s="85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  <c r="BS37" s="329"/>
      <c r="BT37" s="329"/>
      <c r="BU37" s="329"/>
      <c r="BV37" s="329"/>
      <c r="BW37" s="329"/>
      <c r="BX37" s="329"/>
      <c r="BY37" s="329"/>
      <c r="BZ37" s="329"/>
      <c r="CA37" s="329"/>
      <c r="CB37" s="329"/>
      <c r="CC37" s="329"/>
      <c r="CD37" s="329"/>
      <c r="CE37" s="329"/>
      <c r="CF37" s="329"/>
      <c r="CG37" s="329"/>
      <c r="CH37" s="329"/>
      <c r="CI37" s="329"/>
      <c r="CJ37" s="329"/>
      <c r="CK37" s="329"/>
      <c r="CL37" s="329"/>
      <c r="CM37" s="329"/>
      <c r="CN37" s="329"/>
      <c r="CO37" s="329"/>
      <c r="CP37" s="329"/>
      <c r="CQ37" s="329"/>
      <c r="CR37" s="329"/>
      <c r="CS37" s="329"/>
      <c r="CT37" s="329"/>
      <c r="CU37" s="329"/>
      <c r="CV37" s="329"/>
      <c r="CW37" s="329"/>
      <c r="CX37" s="329"/>
      <c r="CY37" s="329"/>
      <c r="CZ37" s="329"/>
      <c r="DA37" s="329"/>
      <c r="DB37" s="329"/>
      <c r="DC37" s="329"/>
      <c r="DD37" s="329"/>
      <c r="DE37" s="329"/>
      <c r="DF37" s="329"/>
      <c r="DG37" s="329"/>
      <c r="DH37" s="329"/>
      <c r="DI37" s="329"/>
      <c r="DJ37" s="329"/>
      <c r="DK37" s="329"/>
      <c r="DL37" s="329"/>
      <c r="DM37" s="329"/>
      <c r="DN37" s="329"/>
      <c r="DO37" s="329"/>
      <c r="DP37" s="329"/>
      <c r="DQ37" s="329"/>
      <c r="DR37" s="329"/>
      <c r="DS37" s="329"/>
      <c r="DT37" s="329"/>
      <c r="DU37" s="329"/>
      <c r="DV37" s="329"/>
      <c r="DW37" s="329"/>
      <c r="DX37" s="329"/>
      <c r="DY37" s="329"/>
      <c r="DZ37" s="329"/>
      <c r="EA37" s="329"/>
      <c r="EB37" s="329"/>
      <c r="EC37" s="329"/>
      <c r="ED37" s="329"/>
      <c r="EE37" s="329"/>
      <c r="EF37" s="329"/>
      <c r="EG37" s="329"/>
      <c r="EH37" s="329"/>
      <c r="EI37" s="329"/>
      <c r="EJ37" s="329"/>
      <c r="EK37" s="329"/>
      <c r="EL37" s="329"/>
      <c r="EM37" s="329"/>
      <c r="EN37" s="329"/>
      <c r="EO37" s="329"/>
      <c r="EP37" s="329"/>
      <c r="EQ37" s="329"/>
      <c r="ER37" s="329"/>
      <c r="ES37" s="329"/>
      <c r="ET37" s="329"/>
      <c r="EU37" s="329"/>
      <c r="EV37" s="329"/>
      <c r="EW37" s="329"/>
      <c r="EX37" s="329"/>
      <c r="EY37" s="329"/>
      <c r="EZ37" s="329"/>
      <c r="FA37" s="329"/>
      <c r="FB37" s="329"/>
      <c r="FC37" s="329"/>
      <c r="FD37" s="329"/>
      <c r="FE37" s="329"/>
      <c r="FF37" s="329"/>
      <c r="FG37" s="329"/>
      <c r="FH37" s="329"/>
      <c r="FI37" s="329"/>
      <c r="FJ37" s="329"/>
      <c r="FK37" s="329"/>
      <c r="FL37" s="329"/>
      <c r="FM37" s="329"/>
      <c r="FN37" s="329"/>
      <c r="FO37" s="329"/>
      <c r="FP37" s="329"/>
      <c r="FQ37" s="329"/>
      <c r="FR37" s="329"/>
      <c r="FS37" s="329"/>
      <c r="FT37" s="329"/>
      <c r="FU37" s="329"/>
      <c r="FV37" s="329"/>
      <c r="FW37" s="329"/>
      <c r="FX37" s="329"/>
      <c r="FY37" s="329"/>
      <c r="FZ37" s="329"/>
      <c r="GA37" s="329"/>
      <c r="GB37" s="329"/>
      <c r="GC37" s="329"/>
      <c r="GD37" s="329"/>
      <c r="GE37" s="329"/>
      <c r="GF37" s="329"/>
      <c r="GG37" s="329"/>
      <c r="GH37" s="329"/>
      <c r="GI37" s="329"/>
      <c r="GJ37" s="329"/>
      <c r="GK37" s="329"/>
      <c r="GL37" s="329"/>
      <c r="GM37" s="329"/>
      <c r="GN37" s="329"/>
      <c r="GO37" s="329"/>
      <c r="GP37" s="329"/>
      <c r="GQ37" s="329"/>
      <c r="GR37" s="329"/>
      <c r="GS37" s="329"/>
      <c r="GT37" s="329"/>
      <c r="GU37" s="329"/>
      <c r="GV37" s="329"/>
      <c r="GW37" s="329"/>
      <c r="GX37" s="329"/>
      <c r="GY37" s="329"/>
      <c r="GZ37" s="329"/>
      <c r="HA37" s="329"/>
      <c r="HB37" s="329"/>
      <c r="HC37" s="329"/>
      <c r="HD37" s="329"/>
      <c r="HE37" s="329"/>
      <c r="HF37" s="329"/>
      <c r="HG37" s="329"/>
      <c r="HH37" s="329"/>
      <c r="HI37" s="329"/>
      <c r="HJ37" s="329"/>
      <c r="HK37" s="329"/>
      <c r="HL37" s="329"/>
      <c r="HM37" s="329"/>
      <c r="HN37" s="329"/>
      <c r="HO37" s="329"/>
      <c r="HP37" s="329"/>
      <c r="HQ37" s="329"/>
      <c r="HR37" s="329"/>
      <c r="HS37" s="329"/>
      <c r="HT37" s="329"/>
      <c r="HU37" s="329"/>
      <c r="HV37" s="329"/>
      <c r="HW37" s="329"/>
      <c r="HX37" s="329"/>
      <c r="HY37" s="329"/>
      <c r="HZ37" s="329"/>
      <c r="IA37" s="329"/>
      <c r="IB37" s="329"/>
      <c r="IC37" s="329"/>
      <c r="ID37" s="329"/>
      <c r="IE37" s="329"/>
      <c r="IF37" s="329"/>
      <c r="IG37" s="329"/>
      <c r="IH37" s="329"/>
      <c r="II37" s="329"/>
      <c r="IJ37" s="329"/>
      <c r="IK37" s="329"/>
      <c r="IL37" s="329"/>
      <c r="IM37" s="329"/>
      <c r="IN37" s="329"/>
      <c r="IO37" s="329"/>
      <c r="IP37" s="329"/>
      <c r="IQ37" s="329"/>
      <c r="IR37" s="329"/>
      <c r="IS37" s="329"/>
      <c r="IT37" s="329"/>
      <c r="IU37" s="329"/>
      <c r="IV37" s="329"/>
      <c r="IW37" s="329"/>
    </row>
    <row r="38" customFormat="false" ht="12.75" hidden="false" customHeight="false" outlineLevel="0" collapsed="false">
      <c r="A38" s="372"/>
      <c r="B38" s="296"/>
      <c r="C38" s="296"/>
      <c r="D38" s="296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5"/>
      <c r="AG38" s="353"/>
      <c r="AH38" s="353"/>
      <c r="AI38" s="353"/>
      <c r="AJ38" s="353"/>
      <c r="AK38" s="353"/>
      <c r="AL38" s="353"/>
      <c r="AM38" s="353"/>
      <c r="AN38" s="353"/>
      <c r="AO38" s="353"/>
      <c r="AP38" s="353"/>
      <c r="AQ38" s="353"/>
      <c r="AR38" s="353"/>
      <c r="AS38" s="353"/>
      <c r="AT38" s="353"/>
      <c r="AU38" s="295"/>
      <c r="AV38" s="295"/>
      <c r="AW38" s="295"/>
      <c r="AX38" s="295"/>
      <c r="AY38" s="295"/>
      <c r="AZ38" s="295"/>
      <c r="BA38" s="295"/>
      <c r="BB38" s="14"/>
    </row>
    <row r="39" customFormat="false" ht="12.75" hidden="false" customHeight="false" outlineLevel="0" collapsed="false">
      <c r="A39" s="290" t="s">
        <v>174</v>
      </c>
      <c r="B39" s="291"/>
      <c r="C39" s="291"/>
      <c r="D39" s="291"/>
      <c r="E39" s="373" t="n">
        <f aca="false">+E23-E36</f>
        <v>7437.19883062925</v>
      </c>
      <c r="F39" s="373" t="n">
        <f aca="false">+F23-F36</f>
        <v>7733.9266537338</v>
      </c>
      <c r="G39" s="373" t="n">
        <f aca="false">+G23-G36</f>
        <v>24887.7210388356</v>
      </c>
      <c r="H39" s="373" t="n">
        <f aca="false">+H23-H36</f>
        <v>26507.2014722413</v>
      </c>
      <c r="I39" s="373" t="n">
        <f aca="false">+I23-I36</f>
        <v>27209.3434902892</v>
      </c>
      <c r="J39" s="373" t="n">
        <f aca="false">+J23-J36</f>
        <v>28470.5376273673</v>
      </c>
      <c r="K39" s="373" t="n">
        <f aca="false">+K23-K36</f>
        <v>29296.6980034933</v>
      </c>
      <c r="L39" s="373" t="n">
        <f aca="false">+L23-L36</f>
        <v>63626.0679467556</v>
      </c>
      <c r="M39" s="373" t="n">
        <f aca="false">+M23-M36</f>
        <v>69682.5070101564</v>
      </c>
      <c r="N39" s="373" t="n">
        <f aca="false">+N23-N36</f>
        <v>71711.908244283</v>
      </c>
      <c r="O39" s="373" t="n">
        <f aca="false">+O23-O36</f>
        <v>73963.0452823217</v>
      </c>
      <c r="P39" s="373" t="n">
        <f aca="false">+P23-P36</f>
        <v>77074.4196067006</v>
      </c>
      <c r="Q39" s="373" t="n">
        <f aca="false">+Q23-Q36</f>
        <v>78615.9079988346</v>
      </c>
      <c r="R39" s="373" t="n">
        <f aca="false">+R23-R36</f>
        <v>80188.2261588113</v>
      </c>
      <c r="S39" s="373" t="n">
        <f aca="false">+S23-S36</f>
        <v>81791.9906819876</v>
      </c>
      <c r="T39" s="373" t="n">
        <f aca="false">+T23-T36</f>
        <v>0</v>
      </c>
      <c r="U39" s="373" t="n">
        <f aca="false">+U23-U36</f>
        <v>0</v>
      </c>
      <c r="V39" s="373" t="n">
        <f aca="false">+V23-V36</f>
        <v>0</v>
      </c>
      <c r="W39" s="373" t="n">
        <f aca="false">+W23-W36</f>
        <v>0</v>
      </c>
      <c r="X39" s="373" t="n">
        <f aca="false">+X23-X36</f>
        <v>0</v>
      </c>
      <c r="Y39" s="373" t="n">
        <f aca="false">+Y23-Y36</f>
        <v>0</v>
      </c>
      <c r="Z39" s="373" t="n">
        <f aca="false">+Z23-Z36</f>
        <v>0</v>
      </c>
      <c r="AA39" s="373" t="n">
        <f aca="false">+AA23-AA36</f>
        <v>0</v>
      </c>
      <c r="AB39" s="373" t="n">
        <f aca="false">+AB23-AB36</f>
        <v>0</v>
      </c>
      <c r="AC39" s="373" t="n">
        <f aca="false">+AC23-AC36</f>
        <v>0</v>
      </c>
      <c r="AD39" s="373" t="n">
        <f aca="false">+AD23-AD36</f>
        <v>0</v>
      </c>
      <c r="AE39" s="373" t="n">
        <f aca="false">+AE23-AE36</f>
        <v>0</v>
      </c>
      <c r="AF39" s="374" t="n">
        <f aca="false">SUM(E39:AE39)</f>
        <v>748196.700046441</v>
      </c>
      <c r="AG39" s="353"/>
      <c r="AH39" s="353"/>
      <c r="AI39" s="353"/>
      <c r="AJ39" s="353"/>
      <c r="AK39" s="353"/>
      <c r="AL39" s="353"/>
      <c r="AM39" s="353"/>
      <c r="AN39" s="353"/>
      <c r="AO39" s="353"/>
      <c r="AP39" s="353"/>
      <c r="AQ39" s="353"/>
      <c r="AR39" s="353"/>
      <c r="AS39" s="353"/>
      <c r="AT39" s="353"/>
      <c r="AU39" s="295"/>
      <c r="AV39" s="295"/>
      <c r="AW39" s="295"/>
      <c r="AX39" s="295"/>
      <c r="AY39" s="295"/>
      <c r="AZ39" s="295"/>
      <c r="BA39" s="295"/>
      <c r="BB39" s="14"/>
    </row>
    <row r="40" customFormat="false" ht="12.75" hidden="false" customHeight="false" outlineLevel="0" collapsed="false">
      <c r="A40" s="372"/>
      <c r="B40" s="296"/>
      <c r="C40" s="296"/>
      <c r="D40" s="296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5"/>
      <c r="AG40" s="353"/>
      <c r="AH40" s="353"/>
      <c r="AI40" s="353"/>
      <c r="AJ40" s="353"/>
      <c r="AK40" s="353"/>
      <c r="AL40" s="353"/>
      <c r="AM40" s="353"/>
      <c r="AN40" s="353"/>
      <c r="AO40" s="353"/>
      <c r="AP40" s="353"/>
      <c r="AQ40" s="353"/>
      <c r="AR40" s="353"/>
      <c r="AS40" s="353"/>
      <c r="AT40" s="353"/>
      <c r="AU40" s="295"/>
      <c r="AV40" s="295"/>
      <c r="AW40" s="295"/>
      <c r="AX40" s="295"/>
      <c r="AY40" s="295"/>
      <c r="AZ40" s="295"/>
      <c r="BA40" s="295"/>
      <c r="BB40" s="14"/>
    </row>
    <row r="41" customFormat="false" ht="12.75" hidden="false" customHeight="false" outlineLevel="0" collapsed="false">
      <c r="A41" s="375" t="s">
        <v>175</v>
      </c>
      <c r="B41" s="296"/>
      <c r="C41" s="296"/>
      <c r="D41" s="296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5"/>
      <c r="AG41" s="353"/>
      <c r="AH41" s="353"/>
      <c r="AI41" s="353"/>
      <c r="AJ41" s="353"/>
      <c r="AK41" s="353"/>
      <c r="AL41" s="353"/>
      <c r="AM41" s="353"/>
      <c r="AN41" s="353"/>
      <c r="AO41" s="353"/>
      <c r="AP41" s="353"/>
      <c r="AQ41" s="353"/>
      <c r="AR41" s="353"/>
      <c r="AS41" s="353"/>
      <c r="AT41" s="353"/>
      <c r="AU41" s="295"/>
      <c r="AV41" s="295"/>
      <c r="AW41" s="295"/>
      <c r="AX41" s="295"/>
      <c r="AY41" s="295"/>
      <c r="AZ41" s="295"/>
      <c r="BA41" s="295"/>
      <c r="BB41" s="14"/>
    </row>
    <row r="42" customFormat="false" ht="12.75" hidden="false" customHeight="false" outlineLevel="0" collapsed="false">
      <c r="A42" s="376" t="s">
        <v>176</v>
      </c>
      <c r="D42" s="377"/>
      <c r="E42" s="107" t="n">
        <f aca="false">-Assumpt!$L$8*E$6/12</f>
        <v>-25</v>
      </c>
      <c r="F42" s="107" t="n">
        <f aca="false">-Assumpt!$L$8*F$6/12</f>
        <v>-25</v>
      </c>
      <c r="G42" s="107" t="n">
        <f aca="false">-Assumpt!$L$8*G$6/12</f>
        <v>-25</v>
      </c>
      <c r="H42" s="107" t="n">
        <f aca="false">-Assumpt!$L$8*H$6/12</f>
        <v>-25</v>
      </c>
      <c r="I42" s="107" t="n">
        <f aca="false">-Assumpt!$L$8*I$6/12</f>
        <v>-25</v>
      </c>
      <c r="J42" s="107" t="n">
        <f aca="false">-Assumpt!$L$8*J$6/12</f>
        <v>-25</v>
      </c>
      <c r="K42" s="107" t="n">
        <f aca="false">-Assumpt!$L$8*K$6/12</f>
        <v>-25</v>
      </c>
      <c r="L42" s="107" t="n">
        <f aca="false">-Assumpt!$L$8*L$6/12</f>
        <v>-25</v>
      </c>
      <c r="M42" s="107" t="n">
        <f aca="false">-Assumpt!$L$8*M$6/12</f>
        <v>-25</v>
      </c>
      <c r="N42" s="107" t="n">
        <f aca="false">-Assumpt!$L$8*N$6/12</f>
        <v>-25</v>
      </c>
      <c r="O42" s="107" t="n">
        <f aca="false">-Assumpt!$L$8*O$6/12</f>
        <v>-25</v>
      </c>
      <c r="P42" s="107" t="n">
        <f aca="false">-Assumpt!$L$8*P$6/12</f>
        <v>-25</v>
      </c>
      <c r="Q42" s="107" t="n">
        <f aca="false">-Assumpt!$L$8*Q$6/12</f>
        <v>-25</v>
      </c>
      <c r="R42" s="107" t="n">
        <f aca="false">-Assumpt!$L$8*R$6/12</f>
        <v>-25</v>
      </c>
      <c r="S42" s="107" t="n">
        <f aca="false">-Assumpt!$L$8*S$6/12</f>
        <v>-25</v>
      </c>
      <c r="T42" s="107" t="n">
        <f aca="false">-Assumpt!$L$8*T$6/12</f>
        <v>-0</v>
      </c>
      <c r="U42" s="107" t="n">
        <f aca="false">-Assumpt!$L$8*U$6/12</f>
        <v>-0</v>
      </c>
      <c r="V42" s="107" t="n">
        <f aca="false">-Assumpt!$L$8*V$6/12</f>
        <v>-0</v>
      </c>
      <c r="W42" s="107" t="n">
        <f aca="false">-Assumpt!$L$8*W$6/12</f>
        <v>-0</v>
      </c>
      <c r="X42" s="107" t="n">
        <f aca="false">-Assumpt!$L$8*X$6/12</f>
        <v>-0</v>
      </c>
      <c r="Y42" s="107" t="n">
        <f aca="false">-Assumpt!$L$8*Y$6/12</f>
        <v>-0</v>
      </c>
      <c r="Z42" s="107" t="n">
        <f aca="false">-Assumpt!$L$8*Z$6/12</f>
        <v>-0</v>
      </c>
      <c r="AA42" s="107" t="n">
        <f aca="false">-Assumpt!$L$8*AA$6/12</f>
        <v>-0</v>
      </c>
      <c r="AB42" s="107" t="n">
        <f aca="false">-Assumpt!$L$8*AB$6/12</f>
        <v>-0</v>
      </c>
      <c r="AC42" s="107" t="n">
        <f aca="false">-Assumpt!$L$8*AC$6/12</f>
        <v>-0</v>
      </c>
      <c r="AD42" s="107" t="n">
        <f aca="false">-Assumpt!$L$8*AD$6/12</f>
        <v>-0</v>
      </c>
      <c r="AE42" s="107" t="n">
        <f aca="false">-Assumpt!$L$8*AE$6/12</f>
        <v>-0</v>
      </c>
      <c r="AF42" s="337" t="n">
        <f aca="false">SUM(E42:AE42)</f>
        <v>-375</v>
      </c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4"/>
      <c r="AV42" s="14"/>
      <c r="AW42" s="14"/>
      <c r="AX42" s="14"/>
      <c r="AY42" s="14"/>
      <c r="AZ42" s="14"/>
      <c r="BA42" s="14"/>
      <c r="BB42" s="14"/>
    </row>
    <row r="43" customFormat="false" ht="12.75" hidden="false" customHeight="false" outlineLevel="0" collapsed="false">
      <c r="A43" s="376" t="s">
        <v>31</v>
      </c>
      <c r="B43" s="296"/>
      <c r="C43" s="296"/>
      <c r="D43" s="378"/>
      <c r="E43" s="107" t="n">
        <f aca="false">-Assumpt!$L$9*E$6/12</f>
        <v>-12</v>
      </c>
      <c r="F43" s="107" t="n">
        <f aca="false">-Assumpt!$L$9*F$6/12</f>
        <v>-12</v>
      </c>
      <c r="G43" s="107" t="n">
        <f aca="false">-Assumpt!$L$9*G$6/12</f>
        <v>-12</v>
      </c>
      <c r="H43" s="107" t="n">
        <f aca="false">-Assumpt!$L$9*H$6/12</f>
        <v>-12</v>
      </c>
      <c r="I43" s="107" t="n">
        <f aca="false">-Assumpt!$L$9*I$6/12</f>
        <v>-12</v>
      </c>
      <c r="J43" s="107" t="n">
        <f aca="false">-Assumpt!$L$9*J$6/12</f>
        <v>-12</v>
      </c>
      <c r="K43" s="107" t="n">
        <f aca="false">-Assumpt!$L$9*K$6/12</f>
        <v>-12</v>
      </c>
      <c r="L43" s="107" t="n">
        <f aca="false">-Assumpt!$L$9*L$6/12</f>
        <v>-12</v>
      </c>
      <c r="M43" s="107" t="n">
        <f aca="false">-Assumpt!$L$9*M$6/12</f>
        <v>-12</v>
      </c>
      <c r="N43" s="107" t="n">
        <f aca="false">-Assumpt!$L$9*N$6/12</f>
        <v>-12</v>
      </c>
      <c r="O43" s="107" t="n">
        <f aca="false">-Assumpt!$L$9*O$6/12</f>
        <v>-12</v>
      </c>
      <c r="P43" s="107" t="n">
        <f aca="false">-Assumpt!$L$9*P$6/12</f>
        <v>-12</v>
      </c>
      <c r="Q43" s="107" t="n">
        <f aca="false">-Assumpt!$L$9*Q$6/12</f>
        <v>-12</v>
      </c>
      <c r="R43" s="107" t="n">
        <f aca="false">-Assumpt!$L$9*R$6/12</f>
        <v>-12</v>
      </c>
      <c r="S43" s="107" t="n">
        <f aca="false">-Assumpt!$L$9*S$6/12</f>
        <v>-12</v>
      </c>
      <c r="T43" s="107" t="n">
        <f aca="false">-Assumpt!$L$9*T$6/12</f>
        <v>-0</v>
      </c>
      <c r="U43" s="107" t="n">
        <f aca="false">-Assumpt!$L$9*U$6/12</f>
        <v>-0</v>
      </c>
      <c r="V43" s="107" t="n">
        <f aca="false">-Assumpt!$L$9*V$6/12</f>
        <v>-0</v>
      </c>
      <c r="W43" s="107" t="n">
        <f aca="false">-Assumpt!$L$9*W$6/12</f>
        <v>-0</v>
      </c>
      <c r="X43" s="107" t="n">
        <f aca="false">-Assumpt!$L$9*X$6/12</f>
        <v>-0</v>
      </c>
      <c r="Y43" s="107" t="n">
        <f aca="false">-Assumpt!$L$9*Y$6/12</f>
        <v>-0</v>
      </c>
      <c r="Z43" s="107" t="n">
        <f aca="false">-Assumpt!$L$9*Z$6/12</f>
        <v>-0</v>
      </c>
      <c r="AA43" s="107" t="n">
        <f aca="false">-Assumpt!$L$9*AA$6/12</f>
        <v>-0</v>
      </c>
      <c r="AB43" s="107" t="n">
        <f aca="false">-Assumpt!$L$9*AB$6/12</f>
        <v>-0</v>
      </c>
      <c r="AC43" s="107" t="n">
        <f aca="false">-Assumpt!$L$9*AC$6/12</f>
        <v>-0</v>
      </c>
      <c r="AD43" s="107" t="n">
        <f aca="false">-Assumpt!$L$9*AD$6/12</f>
        <v>-0</v>
      </c>
      <c r="AE43" s="107" t="n">
        <f aca="false">-Assumpt!$L$9*AE$6/12</f>
        <v>-0</v>
      </c>
      <c r="AF43" s="337" t="n">
        <f aca="false">SUM(E43:AE43)</f>
        <v>-180</v>
      </c>
      <c r="AG43" s="353"/>
      <c r="AH43" s="353"/>
      <c r="AI43" s="353"/>
      <c r="AJ43" s="353"/>
      <c r="AK43" s="353"/>
      <c r="AL43" s="353"/>
      <c r="AM43" s="353"/>
      <c r="AN43" s="353"/>
      <c r="AO43" s="353"/>
      <c r="AP43" s="353"/>
      <c r="AQ43" s="353"/>
      <c r="AR43" s="353"/>
      <c r="AS43" s="353"/>
      <c r="AT43" s="353"/>
      <c r="AU43" s="295"/>
      <c r="AV43" s="295"/>
      <c r="AW43" s="295"/>
      <c r="AX43" s="295"/>
      <c r="AY43" s="295"/>
      <c r="AZ43" s="295"/>
      <c r="BA43" s="295"/>
      <c r="BB43" s="14"/>
    </row>
    <row r="44" customFormat="false" ht="12.75" hidden="false" customHeight="false" outlineLevel="0" collapsed="false">
      <c r="A44" s="379" t="s">
        <v>42</v>
      </c>
      <c r="B44" s="380"/>
      <c r="C44" s="380"/>
      <c r="D44" s="381"/>
      <c r="E44" s="382" t="n">
        <v>0</v>
      </c>
      <c r="F44" s="382" t="n">
        <v>0</v>
      </c>
      <c r="G44" s="382" t="n">
        <v>0</v>
      </c>
      <c r="H44" s="382" t="n">
        <v>0</v>
      </c>
      <c r="I44" s="382" t="n">
        <v>0</v>
      </c>
      <c r="J44" s="382" t="n">
        <v>0</v>
      </c>
      <c r="K44" s="382" t="n">
        <v>0</v>
      </c>
      <c r="L44" s="382" t="n">
        <v>0</v>
      </c>
      <c r="M44" s="382" t="n">
        <v>0</v>
      </c>
      <c r="N44" s="382" t="n">
        <v>0</v>
      </c>
      <c r="O44" s="382" t="n">
        <v>0</v>
      </c>
      <c r="P44" s="382" t="n">
        <v>0</v>
      </c>
      <c r="Q44" s="382" t="n">
        <v>0</v>
      </c>
      <c r="R44" s="382" t="n">
        <v>0</v>
      </c>
      <c r="S44" s="382" t="n">
        <v>0</v>
      </c>
      <c r="T44" s="382" t="n">
        <v>0</v>
      </c>
      <c r="U44" s="382" t="n">
        <v>0</v>
      </c>
      <c r="V44" s="382" t="n">
        <v>0</v>
      </c>
      <c r="W44" s="382" t="n">
        <v>0</v>
      </c>
      <c r="X44" s="382" t="n">
        <v>0</v>
      </c>
      <c r="Y44" s="382" t="n">
        <v>0</v>
      </c>
      <c r="Z44" s="382" t="n">
        <v>0</v>
      </c>
      <c r="AA44" s="382" t="n">
        <v>0</v>
      </c>
      <c r="AB44" s="382" t="n">
        <v>0</v>
      </c>
      <c r="AC44" s="382" t="n">
        <v>0</v>
      </c>
      <c r="AD44" s="382" t="n">
        <v>0</v>
      </c>
      <c r="AE44" s="382" t="n">
        <v>0</v>
      </c>
      <c r="AF44" s="368" t="n">
        <f aca="false">SUM(E44:AE44)</f>
        <v>0</v>
      </c>
      <c r="AG44" s="383"/>
      <c r="AH44" s="383"/>
      <c r="AI44" s="383"/>
      <c r="AJ44" s="383"/>
      <c r="AK44" s="383"/>
      <c r="AL44" s="383"/>
      <c r="AM44" s="383"/>
      <c r="AN44" s="383"/>
      <c r="AO44" s="383"/>
      <c r="AP44" s="383"/>
      <c r="AQ44" s="383"/>
      <c r="AR44" s="383"/>
      <c r="AS44" s="383"/>
      <c r="AT44" s="383"/>
      <c r="AU44" s="384"/>
      <c r="AV44" s="384"/>
      <c r="AW44" s="384"/>
      <c r="AX44" s="384"/>
      <c r="AY44" s="384"/>
      <c r="AZ44" s="384"/>
      <c r="BA44" s="384"/>
      <c r="BB44" s="148"/>
      <c r="BC44" s="344"/>
      <c r="BD44" s="344"/>
      <c r="BE44" s="344"/>
      <c r="BF44" s="344"/>
      <c r="BG44" s="344"/>
      <c r="BH44" s="344"/>
      <c r="BI44" s="344"/>
      <c r="BJ44" s="344"/>
      <c r="BK44" s="344"/>
      <c r="BL44" s="344"/>
      <c r="BM44" s="344"/>
      <c r="BN44" s="344"/>
      <c r="BO44" s="344"/>
      <c r="BP44" s="344"/>
      <c r="BQ44" s="344"/>
      <c r="BR44" s="344"/>
      <c r="BS44" s="344"/>
      <c r="BT44" s="344"/>
      <c r="BU44" s="344"/>
      <c r="BV44" s="344"/>
      <c r="BW44" s="344"/>
      <c r="BX44" s="344"/>
      <c r="BY44" s="344"/>
      <c r="BZ44" s="344"/>
      <c r="CA44" s="344"/>
      <c r="CB44" s="344"/>
      <c r="CC44" s="344"/>
      <c r="CD44" s="344"/>
      <c r="CE44" s="344"/>
      <c r="CF44" s="344"/>
      <c r="CG44" s="344"/>
      <c r="CH44" s="344"/>
      <c r="CI44" s="344"/>
      <c r="CJ44" s="344"/>
      <c r="CK44" s="344"/>
      <c r="CL44" s="344"/>
      <c r="CM44" s="344"/>
      <c r="CN44" s="344"/>
      <c r="CO44" s="344"/>
      <c r="CP44" s="344"/>
      <c r="CQ44" s="344"/>
      <c r="CR44" s="344"/>
      <c r="CS44" s="344"/>
      <c r="CT44" s="344"/>
      <c r="CU44" s="344"/>
      <c r="CV44" s="344"/>
      <c r="CW44" s="344"/>
      <c r="CX44" s="344"/>
      <c r="CY44" s="344"/>
      <c r="CZ44" s="344"/>
      <c r="DA44" s="344"/>
      <c r="DB44" s="344"/>
      <c r="DC44" s="344"/>
      <c r="DD44" s="344"/>
      <c r="DE44" s="344"/>
      <c r="DF44" s="344"/>
      <c r="DG44" s="344"/>
      <c r="DH44" s="344"/>
      <c r="DI44" s="344"/>
      <c r="DJ44" s="344"/>
      <c r="DK44" s="344"/>
      <c r="DL44" s="344"/>
      <c r="DM44" s="344"/>
      <c r="DN44" s="344"/>
      <c r="DO44" s="344"/>
      <c r="DP44" s="344"/>
      <c r="DQ44" s="344"/>
      <c r="DR44" s="344"/>
      <c r="DS44" s="344"/>
      <c r="DT44" s="344"/>
      <c r="DU44" s="344"/>
      <c r="DV44" s="344"/>
      <c r="DW44" s="344"/>
      <c r="DX44" s="344"/>
      <c r="DY44" s="344"/>
      <c r="DZ44" s="344"/>
      <c r="EA44" s="344"/>
      <c r="EB44" s="344"/>
      <c r="EC44" s="344"/>
      <c r="ED44" s="344"/>
      <c r="EE44" s="344"/>
      <c r="EF44" s="344"/>
      <c r="EG44" s="344"/>
      <c r="EH44" s="344"/>
      <c r="EI44" s="344"/>
      <c r="EJ44" s="344"/>
      <c r="EK44" s="344"/>
      <c r="EL44" s="344"/>
      <c r="EM44" s="344"/>
      <c r="EN44" s="344"/>
      <c r="EO44" s="344"/>
      <c r="EP44" s="344"/>
      <c r="EQ44" s="344"/>
      <c r="ER44" s="344"/>
      <c r="ES44" s="344"/>
      <c r="ET44" s="344"/>
      <c r="EU44" s="344"/>
      <c r="EV44" s="344"/>
      <c r="EW44" s="344"/>
      <c r="EX44" s="344"/>
      <c r="EY44" s="344"/>
      <c r="EZ44" s="344"/>
      <c r="FA44" s="344"/>
      <c r="FB44" s="344"/>
      <c r="FC44" s="344"/>
      <c r="FD44" s="344"/>
      <c r="FE44" s="344"/>
      <c r="FF44" s="344"/>
      <c r="FG44" s="344"/>
      <c r="FH44" s="344"/>
      <c r="FI44" s="344"/>
      <c r="FJ44" s="344"/>
      <c r="FK44" s="344"/>
      <c r="FL44" s="344"/>
      <c r="FM44" s="344"/>
      <c r="FN44" s="344"/>
      <c r="FO44" s="344"/>
      <c r="FP44" s="344"/>
      <c r="FQ44" s="344"/>
      <c r="FR44" s="344"/>
      <c r="FS44" s="344"/>
      <c r="FT44" s="344"/>
      <c r="FU44" s="344"/>
      <c r="FV44" s="344"/>
      <c r="FW44" s="344"/>
      <c r="FX44" s="344"/>
      <c r="FY44" s="344"/>
      <c r="FZ44" s="344"/>
      <c r="GA44" s="344"/>
      <c r="GB44" s="344"/>
      <c r="GC44" s="344"/>
      <c r="GD44" s="344"/>
      <c r="GE44" s="344"/>
      <c r="GF44" s="344"/>
      <c r="GG44" s="344"/>
      <c r="GH44" s="344"/>
      <c r="GI44" s="344"/>
      <c r="GJ44" s="344"/>
      <c r="GK44" s="344"/>
      <c r="GL44" s="344"/>
      <c r="GM44" s="344"/>
      <c r="GN44" s="344"/>
      <c r="GO44" s="344"/>
      <c r="GP44" s="344"/>
      <c r="GQ44" s="344"/>
      <c r="GR44" s="344"/>
      <c r="GS44" s="344"/>
      <c r="GT44" s="344"/>
      <c r="GU44" s="344"/>
      <c r="GV44" s="344"/>
      <c r="GW44" s="344"/>
      <c r="GX44" s="344"/>
      <c r="GY44" s="344"/>
      <c r="GZ44" s="344"/>
      <c r="HA44" s="344"/>
      <c r="HB44" s="344"/>
      <c r="HC44" s="344"/>
      <c r="HD44" s="344"/>
      <c r="HE44" s="344"/>
      <c r="HF44" s="344"/>
      <c r="HG44" s="344"/>
      <c r="HH44" s="344"/>
      <c r="HI44" s="344"/>
      <c r="HJ44" s="344"/>
      <c r="HK44" s="344"/>
      <c r="HL44" s="344"/>
      <c r="HM44" s="344"/>
      <c r="HN44" s="344"/>
      <c r="HO44" s="344"/>
      <c r="HP44" s="344"/>
      <c r="HQ44" s="344"/>
      <c r="HR44" s="344"/>
      <c r="HS44" s="344"/>
      <c r="HT44" s="344"/>
      <c r="HU44" s="344"/>
      <c r="HV44" s="344"/>
      <c r="HW44" s="344"/>
      <c r="HX44" s="344"/>
      <c r="HY44" s="344"/>
      <c r="HZ44" s="344"/>
      <c r="IA44" s="344"/>
      <c r="IB44" s="344"/>
      <c r="IC44" s="344"/>
      <c r="ID44" s="344"/>
      <c r="IE44" s="344"/>
      <c r="IF44" s="344"/>
      <c r="IG44" s="344"/>
      <c r="IH44" s="344"/>
      <c r="II44" s="344"/>
      <c r="IJ44" s="344"/>
      <c r="IK44" s="344"/>
      <c r="IL44" s="344"/>
      <c r="IM44" s="344"/>
      <c r="IN44" s="344"/>
      <c r="IO44" s="344"/>
      <c r="IP44" s="344"/>
      <c r="IQ44" s="344"/>
      <c r="IR44" s="344"/>
      <c r="IS44" s="344"/>
      <c r="IT44" s="344"/>
      <c r="IU44" s="344"/>
      <c r="IV44" s="344"/>
      <c r="IW44" s="344"/>
    </row>
    <row r="45" customFormat="false" ht="12.75" hidden="false" customHeight="false" outlineLevel="0" collapsed="false">
      <c r="A45" s="376" t="s">
        <v>177</v>
      </c>
      <c r="D45" s="377"/>
      <c r="E45" s="107" t="n">
        <f aca="false">+SUM(E42:E44)</f>
        <v>-37</v>
      </c>
      <c r="F45" s="107" t="n">
        <f aca="false">+SUM(F42:F44)</f>
        <v>-37</v>
      </c>
      <c r="G45" s="107" t="n">
        <f aca="false">+SUM(G42:G44)</f>
        <v>-37</v>
      </c>
      <c r="H45" s="107" t="n">
        <f aca="false">+SUM(H42:H44)</f>
        <v>-37</v>
      </c>
      <c r="I45" s="107" t="n">
        <f aca="false">+SUM(I42:I44)</f>
        <v>-37</v>
      </c>
      <c r="J45" s="107" t="n">
        <f aca="false">+SUM(J42:J44)</f>
        <v>-37</v>
      </c>
      <c r="K45" s="107" t="n">
        <f aca="false">+SUM(K42:K44)</f>
        <v>-37</v>
      </c>
      <c r="L45" s="107" t="n">
        <f aca="false">+SUM(L42:L44)</f>
        <v>-37</v>
      </c>
      <c r="M45" s="107" t="n">
        <f aca="false">+SUM(M42:M44)</f>
        <v>-37</v>
      </c>
      <c r="N45" s="107" t="n">
        <f aca="false">+SUM(N42:N44)</f>
        <v>-37</v>
      </c>
      <c r="O45" s="107" t="n">
        <f aca="false">+SUM(O42:O44)</f>
        <v>-37</v>
      </c>
      <c r="P45" s="107" t="n">
        <f aca="false">+SUM(P42:P44)</f>
        <v>-37</v>
      </c>
      <c r="Q45" s="107" t="n">
        <f aca="false">+SUM(Q42:Q44)</f>
        <v>-37</v>
      </c>
      <c r="R45" s="107" t="n">
        <f aca="false">+SUM(R42:R44)</f>
        <v>-37</v>
      </c>
      <c r="S45" s="107" t="n">
        <f aca="false">+SUM(S42:S44)</f>
        <v>-37</v>
      </c>
      <c r="T45" s="107" t="n">
        <f aca="false">+SUM(T42:T44)</f>
        <v>0</v>
      </c>
      <c r="U45" s="107" t="n">
        <f aca="false">+SUM(U42:U44)</f>
        <v>0</v>
      </c>
      <c r="V45" s="107" t="n">
        <f aca="false">+SUM(V42:V44)</f>
        <v>0</v>
      </c>
      <c r="W45" s="107" t="n">
        <f aca="false">+SUM(W42:W44)</f>
        <v>0</v>
      </c>
      <c r="X45" s="107" t="n">
        <f aca="false">+SUM(X42:X44)</f>
        <v>0</v>
      </c>
      <c r="Y45" s="107" t="n">
        <f aca="false">+SUM(Y42:Y44)</f>
        <v>0</v>
      </c>
      <c r="Z45" s="107" t="n">
        <f aca="false">+SUM(Z42:Z44)</f>
        <v>0</v>
      </c>
      <c r="AA45" s="107" t="n">
        <f aca="false">+SUM(AA42:AA44)</f>
        <v>0</v>
      </c>
      <c r="AB45" s="107" t="n">
        <f aca="false">+SUM(AB42:AB44)</f>
        <v>0</v>
      </c>
      <c r="AC45" s="107" t="n">
        <f aca="false">+SUM(AC42:AC44)</f>
        <v>0</v>
      </c>
      <c r="AD45" s="107" t="n">
        <f aca="false">+SUM(AD42:AD44)</f>
        <v>0</v>
      </c>
      <c r="AE45" s="107" t="n">
        <f aca="false">+SUM(AE42:AE44)</f>
        <v>0</v>
      </c>
      <c r="AF45" s="337" t="n">
        <f aca="false">SUM(E45:AE45)</f>
        <v>-555</v>
      </c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4"/>
      <c r="AV45" s="14"/>
      <c r="AW45" s="14"/>
      <c r="AX45" s="14"/>
      <c r="AY45" s="14"/>
      <c r="AZ45" s="14"/>
      <c r="BA45" s="14"/>
      <c r="BB45" s="14"/>
    </row>
    <row r="46" customFormat="false" ht="12.75" hidden="false" customHeight="false" outlineLevel="0" collapsed="false">
      <c r="A46" s="376"/>
      <c r="B46" s="296"/>
      <c r="C46" s="296"/>
      <c r="D46" s="378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3"/>
      <c r="S46" s="353"/>
      <c r="T46" s="353"/>
      <c r="U46" s="353"/>
      <c r="V46" s="353"/>
      <c r="W46" s="353"/>
      <c r="X46" s="353"/>
      <c r="Y46" s="353"/>
      <c r="Z46" s="353"/>
      <c r="AA46" s="353"/>
      <c r="AB46" s="353"/>
      <c r="AC46" s="353"/>
      <c r="AD46" s="353"/>
      <c r="AE46" s="353"/>
      <c r="AF46" s="337"/>
      <c r="AG46" s="353"/>
      <c r="AH46" s="353"/>
      <c r="AI46" s="353"/>
      <c r="AJ46" s="353"/>
      <c r="AK46" s="353"/>
      <c r="AL46" s="353"/>
      <c r="AM46" s="353"/>
      <c r="AN46" s="353"/>
      <c r="AO46" s="353"/>
      <c r="AP46" s="353"/>
      <c r="AQ46" s="353"/>
      <c r="AR46" s="353"/>
      <c r="AS46" s="353"/>
      <c r="AT46" s="353"/>
      <c r="AU46" s="295"/>
      <c r="AV46" s="295"/>
      <c r="AW46" s="295"/>
      <c r="AX46" s="295"/>
      <c r="AY46" s="295"/>
      <c r="AZ46" s="295"/>
      <c r="BA46" s="295"/>
      <c r="BB46" s="14"/>
    </row>
    <row r="47" customFormat="false" ht="12.75" hidden="false" customHeight="false" outlineLevel="0" collapsed="false">
      <c r="A47" s="385" t="s">
        <v>178</v>
      </c>
      <c r="B47" s="291"/>
      <c r="C47" s="291"/>
      <c r="D47" s="386"/>
      <c r="E47" s="373" t="n">
        <f aca="false">+E39+E45</f>
        <v>7400.19883062925</v>
      </c>
      <c r="F47" s="373" t="n">
        <f aca="false">+F39+F45</f>
        <v>7696.9266537338</v>
      </c>
      <c r="G47" s="373" t="n">
        <f aca="false">+G39+G45</f>
        <v>24850.7210388356</v>
      </c>
      <c r="H47" s="373" t="n">
        <f aca="false">+H39+H45</f>
        <v>26470.2014722413</v>
      </c>
      <c r="I47" s="373" t="n">
        <f aca="false">+I39+I45</f>
        <v>27172.3434902892</v>
      </c>
      <c r="J47" s="373" t="n">
        <f aca="false">+J39+J45</f>
        <v>28433.5376273673</v>
      </c>
      <c r="K47" s="373" t="n">
        <f aca="false">+K39+K45</f>
        <v>29259.6980034933</v>
      </c>
      <c r="L47" s="373" t="n">
        <f aca="false">+L39+L45</f>
        <v>63589.0679467556</v>
      </c>
      <c r="M47" s="373" t="n">
        <f aca="false">+M39+M45</f>
        <v>69645.5070101564</v>
      </c>
      <c r="N47" s="373" t="n">
        <f aca="false">+N39+N45</f>
        <v>71674.908244283</v>
      </c>
      <c r="O47" s="373" t="n">
        <f aca="false">+O39+O45</f>
        <v>73926.0452823217</v>
      </c>
      <c r="P47" s="373" t="n">
        <f aca="false">+P39+P45</f>
        <v>77037.4196067006</v>
      </c>
      <c r="Q47" s="373" t="n">
        <f aca="false">+Q39+Q45</f>
        <v>78578.9079988346</v>
      </c>
      <c r="R47" s="373" t="n">
        <f aca="false">+R39+R45</f>
        <v>80151.2261588113</v>
      </c>
      <c r="S47" s="373" t="n">
        <f aca="false">+S39+S45</f>
        <v>81754.9906819876</v>
      </c>
      <c r="T47" s="373" t="n">
        <f aca="false">+T39+T45</f>
        <v>0</v>
      </c>
      <c r="U47" s="373" t="n">
        <f aca="false">+U39+U45</f>
        <v>0</v>
      </c>
      <c r="V47" s="373" t="n">
        <f aca="false">+V39+V45</f>
        <v>0</v>
      </c>
      <c r="W47" s="373" t="n">
        <f aca="false">+W39+W45</f>
        <v>0</v>
      </c>
      <c r="X47" s="373" t="n">
        <f aca="false">+X39+X45</f>
        <v>0</v>
      </c>
      <c r="Y47" s="373" t="n">
        <f aca="false">+Y39+Y45</f>
        <v>0</v>
      </c>
      <c r="Z47" s="373" t="n">
        <f aca="false">+Z39+Z45</f>
        <v>0</v>
      </c>
      <c r="AA47" s="373" t="n">
        <f aca="false">+AA39+AA45</f>
        <v>0</v>
      </c>
      <c r="AB47" s="373" t="n">
        <f aca="false">+AB39+AB45</f>
        <v>0</v>
      </c>
      <c r="AC47" s="373" t="n">
        <f aca="false">+AC39+AC45</f>
        <v>0</v>
      </c>
      <c r="AD47" s="373" t="n">
        <f aca="false">+AD39+AD45</f>
        <v>0</v>
      </c>
      <c r="AE47" s="373" t="n">
        <f aca="false">+AE39+AE45</f>
        <v>0</v>
      </c>
      <c r="AF47" s="387" t="n">
        <f aca="false">SUM(E47:AE47)</f>
        <v>747641.700046441</v>
      </c>
      <c r="AG47" s="388"/>
      <c r="AH47" s="388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6"/>
      <c r="BP47" s="296"/>
      <c r="BQ47" s="296"/>
      <c r="BR47" s="296"/>
      <c r="BS47" s="296"/>
      <c r="BT47" s="296"/>
      <c r="BU47" s="296"/>
      <c r="BV47" s="296"/>
      <c r="BW47" s="296"/>
      <c r="BX47" s="296"/>
      <c r="BY47" s="296"/>
      <c r="BZ47" s="296"/>
      <c r="CA47" s="296"/>
      <c r="CB47" s="296"/>
      <c r="CC47" s="296"/>
      <c r="CD47" s="296"/>
      <c r="CE47" s="296"/>
      <c r="CF47" s="296"/>
      <c r="CG47" s="296"/>
      <c r="CH47" s="296"/>
      <c r="CI47" s="296"/>
      <c r="CJ47" s="296"/>
      <c r="CK47" s="296"/>
      <c r="CL47" s="296"/>
      <c r="CM47" s="296"/>
      <c r="CN47" s="296"/>
      <c r="CO47" s="296"/>
      <c r="CP47" s="296"/>
      <c r="CQ47" s="296"/>
      <c r="CR47" s="296"/>
      <c r="CS47" s="296"/>
      <c r="CT47" s="296"/>
      <c r="CU47" s="296"/>
      <c r="CV47" s="296"/>
      <c r="CW47" s="296"/>
      <c r="CX47" s="296"/>
      <c r="CY47" s="296"/>
      <c r="CZ47" s="296"/>
      <c r="DA47" s="296"/>
      <c r="DB47" s="296"/>
      <c r="DC47" s="296"/>
      <c r="DD47" s="296"/>
      <c r="DE47" s="296"/>
      <c r="DF47" s="296"/>
      <c r="DG47" s="296"/>
      <c r="DH47" s="296"/>
      <c r="DI47" s="296"/>
      <c r="DJ47" s="296"/>
      <c r="DK47" s="296"/>
      <c r="DL47" s="296"/>
      <c r="DM47" s="296"/>
      <c r="DN47" s="296"/>
      <c r="DO47" s="296"/>
      <c r="DP47" s="296"/>
      <c r="DQ47" s="296"/>
      <c r="DR47" s="296"/>
      <c r="DS47" s="296"/>
      <c r="DT47" s="296"/>
      <c r="DU47" s="296"/>
      <c r="DV47" s="296"/>
      <c r="DW47" s="296"/>
      <c r="DX47" s="296"/>
      <c r="DY47" s="296"/>
      <c r="DZ47" s="296"/>
      <c r="EA47" s="296"/>
      <c r="EB47" s="296"/>
      <c r="EC47" s="296"/>
      <c r="ED47" s="296"/>
      <c r="EE47" s="296"/>
      <c r="EF47" s="296"/>
      <c r="EG47" s="296"/>
      <c r="EH47" s="296"/>
      <c r="EI47" s="296"/>
      <c r="EJ47" s="296"/>
      <c r="EK47" s="296"/>
      <c r="EL47" s="296"/>
      <c r="EM47" s="296"/>
      <c r="EN47" s="296"/>
      <c r="EO47" s="296"/>
      <c r="EP47" s="296"/>
      <c r="EQ47" s="296"/>
      <c r="ER47" s="296"/>
      <c r="ES47" s="296"/>
      <c r="ET47" s="296"/>
      <c r="EU47" s="296"/>
      <c r="EV47" s="296"/>
      <c r="EW47" s="296"/>
      <c r="EX47" s="296"/>
      <c r="EY47" s="296"/>
      <c r="EZ47" s="296"/>
      <c r="FA47" s="296"/>
      <c r="FB47" s="296"/>
      <c r="FC47" s="296"/>
      <c r="FD47" s="296"/>
      <c r="FE47" s="296"/>
      <c r="FF47" s="296"/>
      <c r="FG47" s="296"/>
      <c r="FH47" s="296"/>
      <c r="FI47" s="296"/>
      <c r="FJ47" s="296"/>
      <c r="FK47" s="296"/>
      <c r="FL47" s="296"/>
      <c r="FM47" s="296"/>
      <c r="FN47" s="296"/>
      <c r="FO47" s="296"/>
      <c r="FP47" s="296"/>
      <c r="FQ47" s="296"/>
      <c r="FR47" s="296"/>
      <c r="FS47" s="296"/>
      <c r="FT47" s="296"/>
      <c r="FU47" s="296"/>
      <c r="FV47" s="296"/>
      <c r="FW47" s="296"/>
      <c r="FX47" s="296"/>
      <c r="FY47" s="296"/>
      <c r="FZ47" s="296"/>
      <c r="GA47" s="296"/>
      <c r="GB47" s="296"/>
      <c r="GC47" s="296"/>
      <c r="GD47" s="296"/>
      <c r="GE47" s="296"/>
      <c r="GF47" s="296"/>
      <c r="GG47" s="296"/>
      <c r="GH47" s="296"/>
      <c r="GI47" s="296"/>
      <c r="GJ47" s="296"/>
      <c r="GK47" s="296"/>
      <c r="GL47" s="296"/>
      <c r="GM47" s="296"/>
      <c r="GN47" s="296"/>
      <c r="GO47" s="296"/>
      <c r="GP47" s="296"/>
      <c r="GQ47" s="296"/>
      <c r="GR47" s="296"/>
      <c r="GS47" s="296"/>
      <c r="GT47" s="296"/>
      <c r="GU47" s="296"/>
      <c r="GV47" s="296"/>
      <c r="GW47" s="296"/>
      <c r="GX47" s="296"/>
      <c r="GY47" s="296"/>
      <c r="GZ47" s="296"/>
      <c r="HA47" s="296"/>
      <c r="HB47" s="296"/>
      <c r="HC47" s="296"/>
      <c r="HD47" s="296"/>
      <c r="HE47" s="296"/>
      <c r="HF47" s="296"/>
      <c r="HG47" s="296"/>
      <c r="HH47" s="296"/>
      <c r="HI47" s="296"/>
      <c r="HJ47" s="296"/>
      <c r="HK47" s="296"/>
      <c r="HL47" s="296"/>
      <c r="HM47" s="296"/>
      <c r="HN47" s="296"/>
      <c r="HO47" s="296"/>
      <c r="HP47" s="296"/>
      <c r="HQ47" s="296"/>
      <c r="HR47" s="296"/>
      <c r="HS47" s="296"/>
      <c r="HT47" s="296"/>
      <c r="HU47" s="296"/>
      <c r="HV47" s="296"/>
      <c r="HW47" s="296"/>
      <c r="HX47" s="296"/>
      <c r="HY47" s="296"/>
      <c r="HZ47" s="296"/>
      <c r="IA47" s="296"/>
      <c r="IB47" s="296"/>
      <c r="IC47" s="296"/>
      <c r="ID47" s="296"/>
      <c r="IE47" s="296"/>
      <c r="IF47" s="296"/>
      <c r="IG47" s="296"/>
      <c r="IH47" s="296"/>
      <c r="II47" s="296"/>
      <c r="IJ47" s="296"/>
      <c r="IK47" s="296"/>
      <c r="IL47" s="296"/>
      <c r="IM47" s="296"/>
      <c r="IN47" s="296"/>
      <c r="IO47" s="296"/>
      <c r="IP47" s="296"/>
      <c r="IQ47" s="296"/>
      <c r="IR47" s="296"/>
      <c r="IS47" s="296"/>
      <c r="IT47" s="296"/>
      <c r="IU47" s="296"/>
      <c r="IV47" s="296"/>
      <c r="IW47" s="296"/>
    </row>
    <row r="48" customFormat="false" ht="12.75" hidden="false" customHeight="false" outlineLevel="0" collapsed="false">
      <c r="A48" s="372"/>
      <c r="AF48" s="389"/>
    </row>
    <row r="49" customFormat="false" ht="12.75" hidden="false" customHeight="false" outlineLevel="0" collapsed="false">
      <c r="A49" s="366" t="s">
        <v>179</v>
      </c>
      <c r="E49" s="107" t="n">
        <f aca="false">-Debt!E51</f>
        <v>-12115.9846151308</v>
      </c>
      <c r="F49" s="107" t="n">
        <f aca="false">-Debt!F51</f>
        <v>-11953.9426671253</v>
      </c>
      <c r="G49" s="107" t="n">
        <f aca="false">-Debt!G51</f>
        <v>-11274.6212978373</v>
      </c>
      <c r="H49" s="107" t="n">
        <f aca="false">-Debt!H51</f>
        <v>-10529.2316796274</v>
      </c>
      <c r="I49" s="107" t="n">
        <f aca="false">-Debt!I51</f>
        <v>-9711.34826236155</v>
      </c>
      <c r="J49" s="107" t="n">
        <f aca="false">-Debt!J51</f>
        <v>-8813.9205709952</v>
      </c>
      <c r="K49" s="107" t="n">
        <f aca="false">-Debt!K51</f>
        <v>-7829.2124277204</v>
      </c>
      <c r="L49" s="107" t="n">
        <f aca="false">-Debt!L51</f>
        <v>-6748.73526308623</v>
      </c>
      <c r="M49" s="107" t="n">
        <f aca="false">-Debt!M51</f>
        <v>-5563.17494120911</v>
      </c>
      <c r="N49" s="107" t="n">
        <f aca="false">-Debt!N51</f>
        <v>-4262.31146827742</v>
      </c>
      <c r="O49" s="107" t="n">
        <f aca="false">-Debt!O51</f>
        <v>-2834.93089220643</v>
      </c>
      <c r="P49" s="107" t="n">
        <f aca="false">-Debt!P51</f>
        <v>-1268.72863398393</v>
      </c>
      <c r="Q49" s="107" t="n">
        <f aca="false">-Debt!Q51</f>
        <v>1.48611434269696E-011</v>
      </c>
      <c r="R49" s="107" t="n">
        <f aca="false">-Debt!R51</f>
        <v>1.11458575702272E-011</v>
      </c>
      <c r="S49" s="107" t="n">
        <f aca="false">-Debt!S51</f>
        <v>1.48611434269696E-011</v>
      </c>
      <c r="T49" s="107" t="n">
        <f aca="false">-Debt!T51</f>
        <v>1.48611434269696E-011</v>
      </c>
      <c r="U49" s="107" t="n">
        <f aca="false">-Debt!U51</f>
        <v>-7.43057171348482E-012</v>
      </c>
      <c r="V49" s="107" t="n">
        <f aca="false">-Debt!V51</f>
        <v>-7.43057171348482E-012</v>
      </c>
      <c r="W49" s="107" t="n">
        <f aca="false">-Debt!W51</f>
        <v>-7.43057171348482E-012</v>
      </c>
      <c r="X49" s="107" t="n">
        <f aca="false">-Debt!X51</f>
        <v>-7.43057171348482E-012</v>
      </c>
      <c r="Y49" s="107" t="n">
        <f aca="false">-Debt!Y51</f>
        <v>-7.43057171348482E-012</v>
      </c>
      <c r="Z49" s="107" t="n">
        <f aca="false">-Debt!Z51</f>
        <v>-7.43057171348482E-012</v>
      </c>
      <c r="AA49" s="107" t="n">
        <f aca="false">-Debt!AA51</f>
        <v>-7.43057171348482E-012</v>
      </c>
      <c r="AB49" s="107" t="n">
        <f aca="false">-Debt!AB51</f>
        <v>-7.43057171348482E-012</v>
      </c>
      <c r="AC49" s="107" t="n">
        <f aca="false">-Debt!AC51</f>
        <v>-7.43057171348482E-012</v>
      </c>
      <c r="AD49" s="107" t="n">
        <f aca="false">-Debt!AD51</f>
        <v>-7.43057171348482E-012</v>
      </c>
      <c r="AE49" s="107" t="n">
        <f aca="false">-Debt!AE51</f>
        <v>-0</v>
      </c>
      <c r="AF49" s="337" t="n">
        <f aca="false">SUM(E49:AE49)</f>
        <v>-92906.1427195611</v>
      </c>
    </row>
    <row r="50" customFormat="false" ht="12.75" hidden="false" customHeight="false" outlineLevel="0" collapsed="false">
      <c r="A50" s="366" t="s">
        <v>180</v>
      </c>
      <c r="E50" s="107" t="n">
        <f aca="false">+E49*Assumpt!$L$14</f>
        <v>-773.360720114731</v>
      </c>
      <c r="F50" s="107" t="n">
        <f aca="false">+F49*Assumpt!$L$14</f>
        <v>-763.017617050553</v>
      </c>
      <c r="G50" s="107" t="n">
        <f aca="false">+G49*Assumpt!$L$14</f>
        <v>-719.656678585359</v>
      </c>
      <c r="H50" s="107" t="n">
        <f aca="false">+H49*Assumpt!$L$14</f>
        <v>-672.07861784856</v>
      </c>
      <c r="I50" s="107" t="n">
        <f aca="false">+I49*Assumpt!$L$14</f>
        <v>-619.873293342226</v>
      </c>
      <c r="J50" s="107" t="n">
        <f aca="false">+J49*Assumpt!$L$14</f>
        <v>-562.590674744374</v>
      </c>
      <c r="K50" s="107" t="n">
        <f aca="false">+K49*Assumpt!$L$14</f>
        <v>-499.736963471515</v>
      </c>
      <c r="L50" s="107" t="n">
        <f aca="false">+L49*Assumpt!$L$14</f>
        <v>-430.770335941674</v>
      </c>
      <c r="M50" s="107" t="n">
        <f aca="false">+M49*Assumpt!$L$14</f>
        <v>-355.096272843134</v>
      </c>
      <c r="N50" s="107" t="n">
        <f aca="false">+N49*Assumpt!$L$14</f>
        <v>-272.062434145367</v>
      </c>
      <c r="O50" s="107" t="n">
        <f aca="false">+O49*Assumpt!$L$14</f>
        <v>-180.953035672751</v>
      </c>
      <c r="P50" s="107" t="n">
        <f aca="false">+P49*Assumpt!$L$14</f>
        <v>-80.9826787649315</v>
      </c>
      <c r="Q50" s="107" t="n">
        <f aca="false">+Q49*Assumpt!$L$14</f>
        <v>9.48583622998062E-013</v>
      </c>
      <c r="R50" s="107" t="n">
        <f aca="false">+R49*Assumpt!$L$14</f>
        <v>7.11437717248547E-013</v>
      </c>
      <c r="S50" s="107" t="n">
        <f aca="false">+S49*Assumpt!$L$14</f>
        <v>9.48583622998062E-013</v>
      </c>
      <c r="T50" s="107" t="n">
        <f aca="false">+T49*Assumpt!$L$14</f>
        <v>9.48583622998062E-013</v>
      </c>
      <c r="U50" s="107" t="n">
        <f aca="false">+U49*Assumpt!$L$14</f>
        <v>-4.74291811499031E-013</v>
      </c>
      <c r="V50" s="107" t="n">
        <f aca="false">+V49*Assumpt!$L$14</f>
        <v>-4.74291811499031E-013</v>
      </c>
      <c r="W50" s="107" t="n">
        <f aca="false">+W49*Assumpt!$L$14</f>
        <v>-4.74291811499031E-013</v>
      </c>
      <c r="X50" s="107" t="n">
        <f aca="false">+X49*Assumpt!$L$14</f>
        <v>-4.74291811499031E-013</v>
      </c>
      <c r="Y50" s="107" t="n">
        <f aca="false">+Y49*Assumpt!$L$14</f>
        <v>-4.74291811499031E-013</v>
      </c>
      <c r="Z50" s="107" t="n">
        <f aca="false">+Z49*Assumpt!$L$14</f>
        <v>-4.74291811499031E-013</v>
      </c>
      <c r="AA50" s="107" t="n">
        <f aca="false">+AA49*Assumpt!$L$14</f>
        <v>-4.74291811499031E-013</v>
      </c>
      <c r="AB50" s="107" t="n">
        <f aca="false">+AB49*Assumpt!$L$14</f>
        <v>-4.74291811499031E-013</v>
      </c>
      <c r="AC50" s="107" t="n">
        <f aca="false">+AC49*Assumpt!$L$14</f>
        <v>-4.74291811499031E-013</v>
      </c>
      <c r="AD50" s="107" t="n">
        <f aca="false">+AD49*Assumpt!$L$14</f>
        <v>-4.74291811499031E-013</v>
      </c>
      <c r="AE50" s="107" t="n">
        <f aca="false">+AE49*Assumpt!$L$14</f>
        <v>-0</v>
      </c>
      <c r="AF50" s="337" t="n">
        <f aca="false">SUM(E50:AE50)</f>
        <v>-5930.17932252518</v>
      </c>
      <c r="AH50" s="107"/>
    </row>
    <row r="51" customFormat="false" ht="12.75" hidden="false" customHeight="false" outlineLevel="0" collapsed="false">
      <c r="A51" s="366" t="s">
        <v>181</v>
      </c>
      <c r="E51" s="107" t="n">
        <f aca="false">-'Depn&amp;Tax'!E$87</f>
        <v>-0</v>
      </c>
      <c r="F51" s="107" t="n">
        <f aca="false">-'Depn&amp;Tax'!F$87</f>
        <v>-20</v>
      </c>
      <c r="G51" s="107" t="n">
        <f aca="false">-'Depn&amp;Tax'!G$87</f>
        <v>-20</v>
      </c>
      <c r="H51" s="107" t="n">
        <f aca="false">-'Depn&amp;Tax'!H$87</f>
        <v>-20</v>
      </c>
      <c r="I51" s="107" t="n">
        <f aca="false">-'Depn&amp;Tax'!I$87</f>
        <v>-20</v>
      </c>
      <c r="J51" s="107" t="n">
        <f aca="false">-'Depn&amp;Tax'!J$87</f>
        <v>-20</v>
      </c>
      <c r="K51" s="107" t="n">
        <f aca="false">-'Depn&amp;Tax'!K$87</f>
        <v>-20</v>
      </c>
      <c r="L51" s="107" t="n">
        <f aca="false">-'Depn&amp;Tax'!L$87</f>
        <v>-20</v>
      </c>
      <c r="M51" s="107" t="n">
        <f aca="false">-'Depn&amp;Tax'!M$87</f>
        <v>-20</v>
      </c>
      <c r="N51" s="107" t="n">
        <f aca="false">-'Depn&amp;Tax'!N$87</f>
        <v>-20</v>
      </c>
      <c r="O51" s="107" t="n">
        <f aca="false">-'Depn&amp;Tax'!O$87</f>
        <v>-20</v>
      </c>
      <c r="P51" s="107" t="n">
        <f aca="false">-'Depn&amp;Tax'!P$87</f>
        <v>-20</v>
      </c>
      <c r="Q51" s="107" t="n">
        <f aca="false">-'Depn&amp;Tax'!Q$87</f>
        <v>-20</v>
      </c>
      <c r="R51" s="107" t="n">
        <f aca="false">-'Depn&amp;Tax'!R$87</f>
        <v>-20</v>
      </c>
      <c r="S51" s="107" t="n">
        <f aca="false">-'Depn&amp;Tax'!S$87</f>
        <v>-20</v>
      </c>
      <c r="T51" s="107" t="n">
        <f aca="false">-'Depn&amp;Tax'!T$87</f>
        <v>-0</v>
      </c>
      <c r="U51" s="107" t="n">
        <f aca="false">-'Depn&amp;Tax'!U$87</f>
        <v>-0</v>
      </c>
      <c r="V51" s="107" t="n">
        <f aca="false">-'Depn&amp;Tax'!V$87</f>
        <v>-0</v>
      </c>
      <c r="W51" s="107" t="n">
        <f aca="false">-'Depn&amp;Tax'!W$87</f>
        <v>-0</v>
      </c>
      <c r="X51" s="107" t="n">
        <f aca="false">-'Depn&amp;Tax'!X$87</f>
        <v>-0</v>
      </c>
      <c r="Y51" s="107" t="n">
        <f aca="false">-'Depn&amp;Tax'!Y$87</f>
        <v>-0</v>
      </c>
      <c r="Z51" s="107" t="n">
        <f aca="false">-'Depn&amp;Tax'!Z$87</f>
        <v>-0</v>
      </c>
      <c r="AA51" s="107" t="n">
        <f aca="false">-'Depn&amp;Tax'!AA$87</f>
        <v>-0</v>
      </c>
      <c r="AB51" s="107" t="n">
        <f aca="false">-'Depn&amp;Tax'!AB$87</f>
        <v>-0</v>
      </c>
      <c r="AC51" s="107" t="n">
        <f aca="false">-'Depn&amp;Tax'!AC$87</f>
        <v>-0</v>
      </c>
      <c r="AD51" s="107" t="n">
        <f aca="false">-'Depn&amp;Tax'!AD$87</f>
        <v>-0</v>
      </c>
      <c r="AE51" s="107" t="n">
        <f aca="false">-'Depn&amp;Tax'!AE$87</f>
        <v>-0</v>
      </c>
      <c r="AF51" s="337" t="n">
        <f aca="false">SUM(E51:AE51)</f>
        <v>-280</v>
      </c>
      <c r="AH51" s="107"/>
    </row>
    <row r="52" customFormat="false" ht="12.75" hidden="false" customHeight="false" outlineLevel="0" collapsed="false">
      <c r="A52" s="366" t="s">
        <v>182</v>
      </c>
      <c r="E52" s="107" t="n">
        <f aca="false">'Depn&amp;Tax'!E11</f>
        <v>-4219.56984817672</v>
      </c>
      <c r="F52" s="107" t="n">
        <f aca="false">'Depn&amp;Tax'!F11</f>
        <v>-4219.56984817672</v>
      </c>
      <c r="G52" s="107" t="n">
        <f aca="false">'Depn&amp;Tax'!G11</f>
        <v>-4219.56984817672</v>
      </c>
      <c r="H52" s="107" t="n">
        <f aca="false">'Depn&amp;Tax'!H11</f>
        <v>-4219.56984817672</v>
      </c>
      <c r="I52" s="107" t="n">
        <f aca="false">'Depn&amp;Tax'!I11</f>
        <v>-4219.56984817672</v>
      </c>
      <c r="J52" s="107" t="n">
        <f aca="false">'Depn&amp;Tax'!J11</f>
        <v>-4219.56984817672</v>
      </c>
      <c r="K52" s="107" t="n">
        <f aca="false">'Depn&amp;Tax'!K11</f>
        <v>-4219.56984817672</v>
      </c>
      <c r="L52" s="107" t="n">
        <f aca="false">'Depn&amp;Tax'!L11</f>
        <v>-4219.56984817672</v>
      </c>
      <c r="M52" s="107" t="n">
        <f aca="false">'Depn&amp;Tax'!M11</f>
        <v>-4219.56984817672</v>
      </c>
      <c r="N52" s="107" t="n">
        <f aca="false">'Depn&amp;Tax'!N11</f>
        <v>-4219.56984817672</v>
      </c>
      <c r="O52" s="107" t="n">
        <f aca="false">'Depn&amp;Tax'!O11</f>
        <v>-4219.56984817672</v>
      </c>
      <c r="P52" s="107" t="n">
        <f aca="false">'Depn&amp;Tax'!P11</f>
        <v>-4219.56984817672</v>
      </c>
      <c r="Q52" s="107" t="n">
        <f aca="false">'Depn&amp;Tax'!Q11</f>
        <v>-4219.56984817672</v>
      </c>
      <c r="R52" s="107" t="n">
        <f aca="false">'Depn&amp;Tax'!R11</f>
        <v>-4219.56984817672</v>
      </c>
      <c r="S52" s="107" t="n">
        <f aca="false">'Depn&amp;Tax'!S11</f>
        <v>-4219.56984817672</v>
      </c>
      <c r="T52" s="107" t="n">
        <f aca="false">'Depn&amp;Tax'!T11</f>
        <v>-0</v>
      </c>
      <c r="U52" s="107" t="n">
        <f aca="false">'Depn&amp;Tax'!U11</f>
        <v>-0</v>
      </c>
      <c r="V52" s="107" t="n">
        <f aca="false">'Depn&amp;Tax'!V11</f>
        <v>-0</v>
      </c>
      <c r="W52" s="107" t="n">
        <f aca="false">'Depn&amp;Tax'!W11</f>
        <v>-0</v>
      </c>
      <c r="X52" s="107" t="n">
        <f aca="false">'Depn&amp;Tax'!X11</f>
        <v>-0</v>
      </c>
      <c r="Y52" s="107" t="n">
        <f aca="false">'Depn&amp;Tax'!Y11</f>
        <v>-0</v>
      </c>
      <c r="Z52" s="107" t="n">
        <f aca="false">'Depn&amp;Tax'!Z11</f>
        <v>-0</v>
      </c>
      <c r="AA52" s="107" t="n">
        <f aca="false">'Depn&amp;Tax'!AA11</f>
        <v>-0</v>
      </c>
      <c r="AB52" s="107" t="n">
        <f aca="false">'Depn&amp;Tax'!AB11</f>
        <v>-0</v>
      </c>
      <c r="AC52" s="107" t="n">
        <f aca="false">'Depn&amp;Tax'!AC11</f>
        <v>-0</v>
      </c>
      <c r="AD52" s="107" t="n">
        <f aca="false">'Depn&amp;Tax'!AD11</f>
        <v>-0</v>
      </c>
      <c r="AE52" s="107" t="n">
        <f aca="false">'Depn&amp;Tax'!AE11</f>
        <v>-0</v>
      </c>
      <c r="AF52" s="337" t="n">
        <f aca="false">SUM(E52:AE52)</f>
        <v>-63293.5477226509</v>
      </c>
      <c r="AH52" s="107"/>
    </row>
    <row r="53" customFormat="false" ht="12.75" hidden="false" customHeight="false" outlineLevel="0" collapsed="false">
      <c r="A53" s="366" t="s">
        <v>183</v>
      </c>
      <c r="E53" s="107" t="n">
        <f aca="false">-'Depn&amp;Tax'!E30</f>
        <v>-0</v>
      </c>
      <c r="F53" s="107" t="n">
        <f aca="false">-'Depn&amp;Tax'!F30</f>
        <v>-0</v>
      </c>
      <c r="G53" s="107" t="n">
        <f aca="false">-'Depn&amp;Tax'!G30</f>
        <v>-1292.53098213544</v>
      </c>
      <c r="H53" s="107" t="n">
        <f aca="false">-'Depn&amp;Tax'!H30</f>
        <v>-1654.39819898828</v>
      </c>
      <c r="I53" s="107" t="n">
        <f aca="false">-'Depn&amp;Tax'!I30</f>
        <v>-1890.2328129613</v>
      </c>
      <c r="J53" s="107" t="n">
        <f aca="false">-'Depn&amp;Tax'!J30</f>
        <v>-3591.90300469679</v>
      </c>
      <c r="K53" s="107" t="n">
        <f aca="false">-'Depn&amp;Tax'!K30</f>
        <v>-5007.35362923741</v>
      </c>
      <c r="L53" s="107" t="n">
        <f aca="false">-'Depn&amp;Tax'!L30</f>
        <v>-15650.9977498653</v>
      </c>
      <c r="M53" s="107" t="n">
        <f aca="false">-'Depn&amp;Tax'!M30</f>
        <v>-17846.2997843782</v>
      </c>
      <c r="N53" s="107" t="n">
        <f aca="false">-'Depn&amp;Tax'!N30</f>
        <v>-18870.289348105</v>
      </c>
      <c r="O53" s="107" t="n">
        <f aca="false">-'Depn&amp;Tax'!O30</f>
        <v>-20001.1774518797</v>
      </c>
      <c r="P53" s="107" t="n">
        <f aca="false">-'Depn&amp;Tax'!P30</f>
        <v>-21434.4415337325</v>
      </c>
      <c r="Q53" s="107" t="n">
        <f aca="false">-'Depn&amp;Tax'!Q30</f>
        <v>-22301.8014451974</v>
      </c>
      <c r="R53" s="107" t="n">
        <f aca="false">-'Depn&amp;Tax'!R30</f>
        <v>-22773.4968931904</v>
      </c>
      <c r="S53" s="107" t="n">
        <f aca="false">-'Depn&amp;Tax'!S30</f>
        <v>-23254.6262501433</v>
      </c>
      <c r="T53" s="107" t="n">
        <f aca="false">-'Depn&amp;Tax'!T30</f>
        <v>-4.74291811499031E-012</v>
      </c>
      <c r="U53" s="107" t="n">
        <f aca="false">-'Depn&amp;Tax'!U30</f>
        <v>-0</v>
      </c>
      <c r="V53" s="107" t="n">
        <f aca="false">-'Depn&amp;Tax'!V30</f>
        <v>-0</v>
      </c>
      <c r="W53" s="107" t="n">
        <f aca="false">-'Depn&amp;Tax'!W30</f>
        <v>-0</v>
      </c>
      <c r="X53" s="107" t="n">
        <f aca="false">-'Depn&amp;Tax'!X30</f>
        <v>-0</v>
      </c>
      <c r="Y53" s="107" t="n">
        <f aca="false">-'Depn&amp;Tax'!Y30</f>
        <v>-0</v>
      </c>
      <c r="Z53" s="107" t="n">
        <f aca="false">-'Depn&amp;Tax'!Z30</f>
        <v>-0</v>
      </c>
      <c r="AA53" s="107" t="n">
        <f aca="false">-'Depn&amp;Tax'!AA30</f>
        <v>-0</v>
      </c>
      <c r="AB53" s="107" t="n">
        <f aca="false">-'Depn&amp;Tax'!AB30</f>
        <v>-0</v>
      </c>
      <c r="AC53" s="107" t="n">
        <f aca="false">-'Depn&amp;Tax'!AC30</f>
        <v>-0</v>
      </c>
      <c r="AD53" s="107" t="n">
        <f aca="false">-'Depn&amp;Tax'!AD30</f>
        <v>-0</v>
      </c>
      <c r="AE53" s="107" t="n">
        <f aca="false">-'Depn&amp;Tax'!AE30</f>
        <v>-0</v>
      </c>
      <c r="AF53" s="337" t="n">
        <f aca="false">SUM(E53:AE53)</f>
        <v>-175569.549084511</v>
      </c>
      <c r="AH53" s="107"/>
    </row>
    <row r="54" customFormat="false" ht="12.75" hidden="false" customHeight="false" outlineLevel="0" collapsed="false">
      <c r="A54" s="372"/>
      <c r="AF54" s="389"/>
    </row>
    <row r="55" customFormat="false" ht="12.75" hidden="false" customHeight="false" outlineLevel="0" collapsed="false">
      <c r="A55" s="385" t="s">
        <v>184</v>
      </c>
      <c r="B55" s="291"/>
      <c r="C55" s="291"/>
      <c r="D55" s="386"/>
      <c r="E55" s="373" t="n">
        <f aca="false">SUM(E47:E53)</f>
        <v>-9708.716352793</v>
      </c>
      <c r="F55" s="373" t="n">
        <f aca="false">SUM(F47:F53)</f>
        <v>-9259.60347861881</v>
      </c>
      <c r="G55" s="373" t="n">
        <f aca="false">SUM(G47:G53)</f>
        <v>7324.34223210082</v>
      </c>
      <c r="H55" s="373" t="n">
        <f aca="false">SUM(H47:H53)</f>
        <v>9374.92312760026</v>
      </c>
      <c r="I55" s="373" t="n">
        <f aca="false">SUM(I47:I53)</f>
        <v>10711.3192734474</v>
      </c>
      <c r="J55" s="373" t="n">
        <f aca="false">SUM(J47:J53)</f>
        <v>11225.5535287543</v>
      </c>
      <c r="K55" s="373" t="n">
        <f aca="false">SUM(K47:K53)</f>
        <v>11683.8251348873</v>
      </c>
      <c r="L55" s="373" t="n">
        <f aca="false">SUM(L47:L53)</f>
        <v>36518.9947496857</v>
      </c>
      <c r="M55" s="373" t="n">
        <f aca="false">SUM(M47:M53)</f>
        <v>41641.3661635492</v>
      </c>
      <c r="N55" s="373" t="n">
        <f aca="false">SUM(N47:N53)</f>
        <v>44030.6751455784</v>
      </c>
      <c r="O55" s="373" t="n">
        <f aca="false">SUM(O47:O53)</f>
        <v>46669.4140543861</v>
      </c>
      <c r="P55" s="373" t="n">
        <f aca="false">SUM(P47:P53)</f>
        <v>50013.6969120425</v>
      </c>
      <c r="Q55" s="373" t="n">
        <f aca="false">SUM(Q47:Q53)</f>
        <v>52037.5367054606</v>
      </c>
      <c r="R55" s="373" t="n">
        <f aca="false">SUM(R47:R53)</f>
        <v>53138.1594174442</v>
      </c>
      <c r="S55" s="373" t="n">
        <f aca="false">SUM(S47:S53)</f>
        <v>54260.7945836676</v>
      </c>
      <c r="T55" s="373" t="n">
        <f aca="false">SUM(T47:T53)</f>
        <v>1.10668089349774E-011</v>
      </c>
      <c r="U55" s="373" t="n">
        <f aca="false">SUM(U47:U53)</f>
        <v>-7.90486352498385E-012</v>
      </c>
      <c r="V55" s="373" t="n">
        <f aca="false">SUM(V47:V53)</f>
        <v>-7.90486352498385E-012</v>
      </c>
      <c r="W55" s="373" t="n">
        <f aca="false">SUM(W47:W53)</f>
        <v>-7.90486352498385E-012</v>
      </c>
      <c r="X55" s="373" t="n">
        <f aca="false">SUM(X47:X53)</f>
        <v>-7.90486352498385E-012</v>
      </c>
      <c r="Y55" s="373" t="n">
        <f aca="false">SUM(Y47:Y53)</f>
        <v>-7.90486352498385E-012</v>
      </c>
      <c r="Z55" s="373" t="n">
        <f aca="false">SUM(Z47:Z53)</f>
        <v>-7.90486352498385E-012</v>
      </c>
      <c r="AA55" s="373" t="n">
        <f aca="false">SUM(AA47:AA53)</f>
        <v>-7.90486352498385E-012</v>
      </c>
      <c r="AB55" s="373" t="n">
        <f aca="false">SUM(AB47:AB53)</f>
        <v>-7.90486352498385E-012</v>
      </c>
      <c r="AC55" s="373" t="n">
        <f aca="false">SUM(AC47:AC53)</f>
        <v>-7.90486352498385E-012</v>
      </c>
      <c r="AD55" s="373" t="n">
        <f aca="false">SUM(AD47:AD53)</f>
        <v>-7.90486352498385E-012</v>
      </c>
      <c r="AE55" s="373" t="n">
        <f aca="false">SUM(AE47:AE53)</f>
        <v>0</v>
      </c>
      <c r="AF55" s="387" t="n">
        <f aca="false">SUM(E55:AE55)</f>
        <v>409662.281197192</v>
      </c>
      <c r="AG55" s="388"/>
      <c r="AH55" s="388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6"/>
      <c r="BP55" s="296"/>
      <c r="BQ55" s="296"/>
      <c r="BR55" s="296"/>
      <c r="BS55" s="296"/>
      <c r="BT55" s="296"/>
      <c r="BU55" s="296"/>
      <c r="BV55" s="296"/>
      <c r="BW55" s="296"/>
      <c r="BX55" s="296"/>
      <c r="BY55" s="296"/>
      <c r="BZ55" s="296"/>
      <c r="CA55" s="296"/>
      <c r="CB55" s="296"/>
      <c r="CC55" s="296"/>
      <c r="CD55" s="296"/>
      <c r="CE55" s="296"/>
      <c r="CF55" s="296"/>
      <c r="CG55" s="296"/>
      <c r="CH55" s="296"/>
      <c r="CI55" s="296"/>
      <c r="CJ55" s="296"/>
      <c r="CK55" s="296"/>
      <c r="CL55" s="296"/>
      <c r="CM55" s="296"/>
      <c r="CN55" s="296"/>
      <c r="CO55" s="296"/>
      <c r="CP55" s="296"/>
      <c r="CQ55" s="296"/>
      <c r="CR55" s="296"/>
      <c r="CS55" s="296"/>
      <c r="CT55" s="296"/>
      <c r="CU55" s="296"/>
      <c r="CV55" s="296"/>
      <c r="CW55" s="296"/>
      <c r="CX55" s="296"/>
      <c r="CY55" s="296"/>
      <c r="CZ55" s="296"/>
      <c r="DA55" s="296"/>
      <c r="DB55" s="296"/>
      <c r="DC55" s="296"/>
      <c r="DD55" s="296"/>
      <c r="DE55" s="296"/>
      <c r="DF55" s="296"/>
      <c r="DG55" s="296"/>
      <c r="DH55" s="296"/>
      <c r="DI55" s="296"/>
      <c r="DJ55" s="296"/>
      <c r="DK55" s="296"/>
      <c r="DL55" s="296"/>
      <c r="DM55" s="296"/>
      <c r="DN55" s="296"/>
      <c r="DO55" s="296"/>
      <c r="DP55" s="296"/>
      <c r="DQ55" s="296"/>
      <c r="DR55" s="296"/>
      <c r="DS55" s="296"/>
      <c r="DT55" s="296"/>
      <c r="DU55" s="296"/>
      <c r="DV55" s="296"/>
      <c r="DW55" s="296"/>
      <c r="DX55" s="296"/>
      <c r="DY55" s="296"/>
      <c r="DZ55" s="296"/>
      <c r="EA55" s="296"/>
      <c r="EB55" s="296"/>
      <c r="EC55" s="296"/>
      <c r="ED55" s="296"/>
      <c r="EE55" s="296"/>
      <c r="EF55" s="296"/>
      <c r="EG55" s="296"/>
      <c r="EH55" s="296"/>
      <c r="EI55" s="296"/>
      <c r="EJ55" s="296"/>
      <c r="EK55" s="296"/>
      <c r="EL55" s="296"/>
      <c r="EM55" s="296"/>
      <c r="EN55" s="296"/>
      <c r="EO55" s="296"/>
      <c r="EP55" s="296"/>
      <c r="EQ55" s="296"/>
      <c r="ER55" s="296"/>
      <c r="ES55" s="296"/>
      <c r="ET55" s="296"/>
      <c r="EU55" s="296"/>
      <c r="EV55" s="296"/>
      <c r="EW55" s="296"/>
      <c r="EX55" s="296"/>
      <c r="EY55" s="296"/>
      <c r="EZ55" s="296"/>
      <c r="FA55" s="296"/>
      <c r="FB55" s="296"/>
      <c r="FC55" s="296"/>
      <c r="FD55" s="296"/>
      <c r="FE55" s="296"/>
      <c r="FF55" s="296"/>
      <c r="FG55" s="296"/>
      <c r="FH55" s="296"/>
      <c r="FI55" s="296"/>
      <c r="FJ55" s="296"/>
      <c r="FK55" s="296"/>
      <c r="FL55" s="296"/>
      <c r="FM55" s="296"/>
      <c r="FN55" s="296"/>
      <c r="FO55" s="296"/>
      <c r="FP55" s="296"/>
      <c r="FQ55" s="296"/>
      <c r="FR55" s="296"/>
      <c r="FS55" s="296"/>
      <c r="FT55" s="296"/>
      <c r="FU55" s="296"/>
      <c r="FV55" s="296"/>
      <c r="FW55" s="296"/>
      <c r="FX55" s="296"/>
      <c r="FY55" s="296"/>
      <c r="FZ55" s="296"/>
      <c r="GA55" s="296"/>
      <c r="GB55" s="296"/>
      <c r="GC55" s="296"/>
      <c r="GD55" s="296"/>
      <c r="GE55" s="296"/>
      <c r="GF55" s="296"/>
      <c r="GG55" s="296"/>
      <c r="GH55" s="296"/>
      <c r="GI55" s="296"/>
      <c r="GJ55" s="296"/>
      <c r="GK55" s="296"/>
      <c r="GL55" s="296"/>
      <c r="GM55" s="296"/>
      <c r="GN55" s="296"/>
      <c r="GO55" s="296"/>
      <c r="GP55" s="296"/>
      <c r="GQ55" s="296"/>
      <c r="GR55" s="296"/>
      <c r="GS55" s="296"/>
      <c r="GT55" s="296"/>
      <c r="GU55" s="296"/>
      <c r="GV55" s="296"/>
      <c r="GW55" s="296"/>
      <c r="GX55" s="296"/>
      <c r="GY55" s="296"/>
      <c r="GZ55" s="296"/>
      <c r="HA55" s="296"/>
      <c r="HB55" s="296"/>
      <c r="HC55" s="296"/>
      <c r="HD55" s="296"/>
      <c r="HE55" s="296"/>
      <c r="HF55" s="296"/>
      <c r="HG55" s="296"/>
      <c r="HH55" s="296"/>
      <c r="HI55" s="296"/>
      <c r="HJ55" s="296"/>
      <c r="HK55" s="296"/>
      <c r="HL55" s="296"/>
      <c r="HM55" s="296"/>
      <c r="HN55" s="296"/>
      <c r="HO55" s="296"/>
      <c r="HP55" s="296"/>
      <c r="HQ55" s="296"/>
      <c r="HR55" s="296"/>
      <c r="HS55" s="296"/>
      <c r="HT55" s="296"/>
      <c r="HU55" s="296"/>
      <c r="HV55" s="296"/>
      <c r="HW55" s="296"/>
      <c r="HX55" s="296"/>
      <c r="HY55" s="296"/>
      <c r="HZ55" s="296"/>
      <c r="IA55" s="296"/>
      <c r="IB55" s="296"/>
      <c r="IC55" s="296"/>
      <c r="ID55" s="296"/>
      <c r="IE55" s="296"/>
      <c r="IF55" s="296"/>
      <c r="IG55" s="296"/>
      <c r="IH55" s="296"/>
      <c r="II55" s="296"/>
      <c r="IJ55" s="296"/>
      <c r="IK55" s="296"/>
      <c r="IL55" s="296"/>
      <c r="IM55" s="296"/>
      <c r="IN55" s="296"/>
      <c r="IO55" s="296"/>
      <c r="IP55" s="296"/>
      <c r="IQ55" s="296"/>
      <c r="IR55" s="296"/>
      <c r="IS55" s="296"/>
      <c r="IT55" s="296"/>
      <c r="IU55" s="296"/>
      <c r="IV55" s="296"/>
      <c r="IW55" s="296"/>
    </row>
    <row r="56" customFormat="false" ht="12.75" hidden="false" customHeight="false" outlineLevel="0" collapsed="false">
      <c r="A56" s="372"/>
      <c r="AF56" s="390"/>
    </row>
    <row r="57" customFormat="false" ht="12.75" hidden="false" customHeight="false" outlineLevel="0" collapsed="false">
      <c r="A57" s="366" t="s">
        <v>178</v>
      </c>
      <c r="E57" s="107" t="n">
        <f aca="false">+E47</f>
        <v>7400.19883062925</v>
      </c>
      <c r="F57" s="107" t="n">
        <f aca="false">+F47</f>
        <v>7696.9266537338</v>
      </c>
      <c r="G57" s="107" t="n">
        <f aca="false">+G47</f>
        <v>24850.7210388356</v>
      </c>
      <c r="H57" s="107" t="n">
        <f aca="false">+H47</f>
        <v>26470.2014722413</v>
      </c>
      <c r="I57" s="107" t="n">
        <f aca="false">+I47</f>
        <v>27172.3434902892</v>
      </c>
      <c r="J57" s="107" t="n">
        <f aca="false">+J47</f>
        <v>28433.5376273673</v>
      </c>
      <c r="K57" s="107" t="n">
        <f aca="false">+K47</f>
        <v>29259.6980034933</v>
      </c>
      <c r="L57" s="107" t="n">
        <f aca="false">+L47</f>
        <v>63589.0679467556</v>
      </c>
      <c r="M57" s="107" t="n">
        <f aca="false">+M47</f>
        <v>69645.5070101564</v>
      </c>
      <c r="N57" s="107" t="n">
        <f aca="false">+N47</f>
        <v>71674.908244283</v>
      </c>
      <c r="O57" s="107" t="n">
        <f aca="false">+O47</f>
        <v>73926.0452823217</v>
      </c>
      <c r="P57" s="107" t="n">
        <f aca="false">+P47</f>
        <v>77037.4196067006</v>
      </c>
      <c r="Q57" s="107" t="n">
        <f aca="false">+Q47</f>
        <v>78578.9079988346</v>
      </c>
      <c r="R57" s="107" t="n">
        <f aca="false">+R47</f>
        <v>80151.2261588113</v>
      </c>
      <c r="S57" s="107" t="n">
        <f aca="false">+S47</f>
        <v>81754.9906819876</v>
      </c>
      <c r="T57" s="107" t="n">
        <f aca="false">+T47</f>
        <v>0</v>
      </c>
      <c r="U57" s="107" t="n">
        <f aca="false">+U47</f>
        <v>0</v>
      </c>
      <c r="V57" s="107" t="n">
        <f aca="false">+V47</f>
        <v>0</v>
      </c>
      <c r="W57" s="107" t="n">
        <f aca="false">+W47</f>
        <v>0</v>
      </c>
      <c r="X57" s="107" t="n">
        <f aca="false">+X47</f>
        <v>0</v>
      </c>
      <c r="Y57" s="107" t="n">
        <f aca="false">+Y47</f>
        <v>0</v>
      </c>
      <c r="Z57" s="107" t="n">
        <f aca="false">+Z47</f>
        <v>0</v>
      </c>
      <c r="AA57" s="107" t="n">
        <f aca="false">+AA47</f>
        <v>0</v>
      </c>
      <c r="AB57" s="107" t="n">
        <f aca="false">+AB47</f>
        <v>0</v>
      </c>
      <c r="AC57" s="107" t="n">
        <f aca="false">+AC47</f>
        <v>0</v>
      </c>
      <c r="AD57" s="107" t="n">
        <f aca="false">+AD47</f>
        <v>0</v>
      </c>
      <c r="AE57" s="107" t="n">
        <f aca="false">+AE47</f>
        <v>0</v>
      </c>
      <c r="AF57" s="337" t="n">
        <f aca="false">SUM(E57:AE57)</f>
        <v>747641.700046441</v>
      </c>
    </row>
    <row r="58" customFormat="false" ht="12.75" hidden="false" customHeight="false" outlineLevel="0" collapsed="false">
      <c r="A58" s="366" t="s">
        <v>179</v>
      </c>
      <c r="D58" s="391"/>
      <c r="E58" s="392" t="n">
        <f aca="false">+E49</f>
        <v>-12115.9846151308</v>
      </c>
      <c r="F58" s="392" t="n">
        <f aca="false">+F49</f>
        <v>-11953.9426671253</v>
      </c>
      <c r="G58" s="392" t="n">
        <f aca="false">+G49</f>
        <v>-11274.6212978373</v>
      </c>
      <c r="H58" s="392" t="n">
        <f aca="false">+H49</f>
        <v>-10529.2316796274</v>
      </c>
      <c r="I58" s="392" t="n">
        <f aca="false">+I49</f>
        <v>-9711.34826236155</v>
      </c>
      <c r="J58" s="392" t="n">
        <f aca="false">+J49</f>
        <v>-8813.9205709952</v>
      </c>
      <c r="K58" s="392" t="n">
        <f aca="false">+K49</f>
        <v>-7829.2124277204</v>
      </c>
      <c r="L58" s="392" t="n">
        <f aca="false">+L49</f>
        <v>-6748.73526308623</v>
      </c>
      <c r="M58" s="392" t="n">
        <f aca="false">+M49</f>
        <v>-5563.17494120911</v>
      </c>
      <c r="N58" s="392" t="n">
        <f aca="false">+N49</f>
        <v>-4262.31146827742</v>
      </c>
      <c r="O58" s="392" t="n">
        <f aca="false">+O49</f>
        <v>-2834.93089220643</v>
      </c>
      <c r="P58" s="392" t="n">
        <f aca="false">+P49</f>
        <v>-1268.72863398393</v>
      </c>
      <c r="Q58" s="392" t="n">
        <f aca="false">+Q49</f>
        <v>1.48611434269696E-011</v>
      </c>
      <c r="R58" s="392" t="n">
        <f aca="false">+R49</f>
        <v>1.11458575702272E-011</v>
      </c>
      <c r="S58" s="392" t="n">
        <f aca="false">+S49</f>
        <v>1.48611434269696E-011</v>
      </c>
      <c r="T58" s="392" t="n">
        <f aca="false">+T49</f>
        <v>1.48611434269696E-011</v>
      </c>
      <c r="U58" s="392" t="n">
        <f aca="false">+U49</f>
        <v>-7.43057171348482E-012</v>
      </c>
      <c r="V58" s="392" t="n">
        <f aca="false">+V49</f>
        <v>-7.43057171348482E-012</v>
      </c>
      <c r="W58" s="392" t="n">
        <f aca="false">+W49</f>
        <v>-7.43057171348482E-012</v>
      </c>
      <c r="X58" s="392" t="n">
        <f aca="false">+X49</f>
        <v>-7.43057171348482E-012</v>
      </c>
      <c r="Y58" s="392" t="n">
        <f aca="false">+Y49</f>
        <v>-7.43057171348482E-012</v>
      </c>
      <c r="Z58" s="392" t="n">
        <f aca="false">+Z49</f>
        <v>-7.43057171348482E-012</v>
      </c>
      <c r="AA58" s="392" t="n">
        <f aca="false">+AA49</f>
        <v>-7.43057171348482E-012</v>
      </c>
      <c r="AB58" s="392" t="n">
        <f aca="false">+AB49</f>
        <v>-7.43057171348482E-012</v>
      </c>
      <c r="AC58" s="392" t="n">
        <f aca="false">+AC49</f>
        <v>-7.43057171348482E-012</v>
      </c>
      <c r="AD58" s="392" t="n">
        <f aca="false">+AD49</f>
        <v>-7.43057171348482E-012</v>
      </c>
      <c r="AE58" s="392" t="n">
        <f aca="false">+AE49</f>
        <v>-0</v>
      </c>
      <c r="AF58" s="337" t="n">
        <f aca="false">SUM(E58:AE58)</f>
        <v>-92906.1427195611</v>
      </c>
    </row>
    <row r="59" customFormat="false" ht="12.75" hidden="false" customHeight="false" outlineLevel="0" collapsed="false">
      <c r="A59" s="366" t="s">
        <v>180</v>
      </c>
      <c r="E59" s="107" t="n">
        <f aca="false">+E58*Assumpt!$L$14</f>
        <v>-773.360720114731</v>
      </c>
      <c r="F59" s="107" t="n">
        <f aca="false">+F58*Assumpt!$L$14</f>
        <v>-763.017617050553</v>
      </c>
      <c r="G59" s="107" t="n">
        <f aca="false">+G58*Assumpt!$L$14</f>
        <v>-719.656678585359</v>
      </c>
      <c r="H59" s="107" t="n">
        <f aca="false">+H58*Assumpt!$L$14</f>
        <v>-672.07861784856</v>
      </c>
      <c r="I59" s="107" t="n">
        <f aca="false">+I58*Assumpt!$L$14</f>
        <v>-619.873293342226</v>
      </c>
      <c r="J59" s="107" t="n">
        <f aca="false">+J58*Assumpt!$L$14</f>
        <v>-562.590674744374</v>
      </c>
      <c r="K59" s="107" t="n">
        <f aca="false">+K58*Assumpt!$L$14</f>
        <v>-499.736963471515</v>
      </c>
      <c r="L59" s="107" t="n">
        <f aca="false">+L58*Assumpt!$L$14</f>
        <v>-430.770335941674</v>
      </c>
      <c r="M59" s="107" t="n">
        <f aca="false">+M58*Assumpt!$L$14</f>
        <v>-355.096272843134</v>
      </c>
      <c r="N59" s="107" t="n">
        <f aca="false">+N58*Assumpt!$L$14</f>
        <v>-272.062434145367</v>
      </c>
      <c r="O59" s="107" t="n">
        <f aca="false">+O58*Assumpt!$L$14</f>
        <v>-180.953035672751</v>
      </c>
      <c r="P59" s="107" t="n">
        <f aca="false">+P58*Assumpt!$L$14</f>
        <v>-80.9826787649315</v>
      </c>
      <c r="Q59" s="107" t="n">
        <f aca="false">+Q58*Assumpt!$L$14</f>
        <v>9.48583622998062E-013</v>
      </c>
      <c r="R59" s="107" t="n">
        <f aca="false">+R58*Assumpt!$L$14</f>
        <v>7.11437717248547E-013</v>
      </c>
      <c r="S59" s="107" t="n">
        <f aca="false">+S58*Assumpt!$L$14</f>
        <v>9.48583622998062E-013</v>
      </c>
      <c r="T59" s="107" t="n">
        <f aca="false">+T58*Assumpt!$L$14</f>
        <v>9.48583622998062E-013</v>
      </c>
      <c r="U59" s="107" t="n">
        <f aca="false">+U58*Assumpt!$L$14</f>
        <v>-4.74291811499031E-013</v>
      </c>
      <c r="V59" s="107" t="n">
        <f aca="false">+V58*Assumpt!$L$14</f>
        <v>-4.74291811499031E-013</v>
      </c>
      <c r="W59" s="107" t="n">
        <f aca="false">+W58*Assumpt!$L$14</f>
        <v>-4.74291811499031E-013</v>
      </c>
      <c r="X59" s="107" t="n">
        <f aca="false">+X58*Assumpt!$L$14</f>
        <v>-4.74291811499031E-013</v>
      </c>
      <c r="Y59" s="107" t="n">
        <f aca="false">+Y58*Assumpt!$L$14</f>
        <v>-4.74291811499031E-013</v>
      </c>
      <c r="Z59" s="107" t="n">
        <f aca="false">+Z58*Assumpt!$L$14</f>
        <v>-4.74291811499031E-013</v>
      </c>
      <c r="AA59" s="107" t="n">
        <f aca="false">+AA58*Assumpt!$L$14</f>
        <v>-4.74291811499031E-013</v>
      </c>
      <c r="AB59" s="107" t="n">
        <f aca="false">+AB58*Assumpt!$L$14</f>
        <v>-4.74291811499031E-013</v>
      </c>
      <c r="AC59" s="107" t="n">
        <f aca="false">+AC58*Assumpt!$L$14</f>
        <v>-4.74291811499031E-013</v>
      </c>
      <c r="AD59" s="107" t="n">
        <f aca="false">+AD58*Assumpt!$L$14</f>
        <v>-4.74291811499031E-013</v>
      </c>
      <c r="AE59" s="107" t="n">
        <f aca="false">+AE58*Assumpt!$L$14</f>
        <v>-0</v>
      </c>
      <c r="AF59" s="337" t="n">
        <f aca="false">SUM(E59:AE59)</f>
        <v>-5930.17932252518</v>
      </c>
      <c r="AH59" s="107"/>
    </row>
    <row r="60" customFormat="false" ht="12.75" hidden="false" customHeight="false" outlineLevel="0" collapsed="false">
      <c r="A60" s="366" t="s">
        <v>181</v>
      </c>
      <c r="E60" s="107" t="n">
        <f aca="false">-'Depn&amp;Tax'!E$87</f>
        <v>-0</v>
      </c>
      <c r="F60" s="107" t="n">
        <f aca="false">-'Depn&amp;Tax'!F$87</f>
        <v>-20</v>
      </c>
      <c r="G60" s="107" t="n">
        <f aca="false">-'Depn&amp;Tax'!G$87</f>
        <v>-20</v>
      </c>
      <c r="H60" s="107" t="n">
        <f aca="false">-'Depn&amp;Tax'!H$87</f>
        <v>-20</v>
      </c>
      <c r="I60" s="107" t="n">
        <f aca="false">-'Depn&amp;Tax'!I$87</f>
        <v>-20</v>
      </c>
      <c r="J60" s="107" t="n">
        <f aca="false">-'Depn&amp;Tax'!J$87</f>
        <v>-20</v>
      </c>
      <c r="K60" s="107" t="n">
        <f aca="false">-'Depn&amp;Tax'!K$87</f>
        <v>-20</v>
      </c>
      <c r="L60" s="107" t="n">
        <f aca="false">-'Depn&amp;Tax'!L$87</f>
        <v>-20</v>
      </c>
      <c r="M60" s="107" t="n">
        <f aca="false">-'Depn&amp;Tax'!M$87</f>
        <v>-20</v>
      </c>
      <c r="N60" s="107" t="n">
        <f aca="false">-'Depn&amp;Tax'!N$87</f>
        <v>-20</v>
      </c>
      <c r="O60" s="107" t="n">
        <f aca="false">-'Depn&amp;Tax'!O$87</f>
        <v>-20</v>
      </c>
      <c r="P60" s="107" t="n">
        <f aca="false">-'Depn&amp;Tax'!P$87</f>
        <v>-20</v>
      </c>
      <c r="Q60" s="107" t="n">
        <f aca="false">-'Depn&amp;Tax'!Q$87</f>
        <v>-20</v>
      </c>
      <c r="R60" s="107" t="n">
        <f aca="false">-'Depn&amp;Tax'!R$87</f>
        <v>-20</v>
      </c>
      <c r="S60" s="107" t="n">
        <f aca="false">-'Depn&amp;Tax'!S$87</f>
        <v>-20</v>
      </c>
      <c r="T60" s="107" t="n">
        <f aca="false">-'Depn&amp;Tax'!T$87</f>
        <v>-0</v>
      </c>
      <c r="U60" s="107" t="n">
        <f aca="false">-'Depn&amp;Tax'!U$87</f>
        <v>-0</v>
      </c>
      <c r="V60" s="107" t="n">
        <f aca="false">-'Depn&amp;Tax'!V$87</f>
        <v>-0</v>
      </c>
      <c r="W60" s="107" t="n">
        <f aca="false">-'Depn&amp;Tax'!W$87</f>
        <v>-0</v>
      </c>
      <c r="X60" s="107" t="n">
        <f aca="false">-'Depn&amp;Tax'!X$87</f>
        <v>-0</v>
      </c>
      <c r="Y60" s="107" t="n">
        <f aca="false">-'Depn&amp;Tax'!Y$87</f>
        <v>-0</v>
      </c>
      <c r="Z60" s="107" t="n">
        <f aca="false">-'Depn&amp;Tax'!Z$87</f>
        <v>-0</v>
      </c>
      <c r="AA60" s="107" t="n">
        <f aca="false">-'Depn&amp;Tax'!AA$87</f>
        <v>-0</v>
      </c>
      <c r="AB60" s="107" t="n">
        <f aca="false">-'Depn&amp;Tax'!AB$87</f>
        <v>-0</v>
      </c>
      <c r="AC60" s="107" t="n">
        <f aca="false">-'Depn&amp;Tax'!AC$87</f>
        <v>-0</v>
      </c>
      <c r="AD60" s="107" t="n">
        <f aca="false">-'Depn&amp;Tax'!AD$87</f>
        <v>-0</v>
      </c>
      <c r="AE60" s="107" t="n">
        <f aca="false">-'Depn&amp;Tax'!AE$87</f>
        <v>-0</v>
      </c>
      <c r="AF60" s="337" t="n">
        <f aca="false">SUM(E60:AE60)</f>
        <v>-280</v>
      </c>
      <c r="AH60" s="107"/>
    </row>
    <row r="61" customFormat="false" ht="12.75" hidden="false" customHeight="false" outlineLevel="0" collapsed="false">
      <c r="A61" s="366" t="s">
        <v>185</v>
      </c>
      <c r="D61" s="391"/>
      <c r="E61" s="392" t="n">
        <f aca="false">-'Depn&amp;Tax'!E54</f>
        <v>-0</v>
      </c>
      <c r="F61" s="392" t="n">
        <f aca="false">-'Depn&amp;Tax'!F54</f>
        <v>-0</v>
      </c>
      <c r="G61" s="392" t="n">
        <f aca="false">-'Depn&amp;Tax'!G54</f>
        <v>-0</v>
      </c>
      <c r="H61" s="392" t="n">
        <f aca="false">-'Depn&amp;Tax'!H54</f>
        <v>-727.36738619081</v>
      </c>
      <c r="I61" s="392" t="n">
        <f aca="false">-'Depn&amp;Tax'!I54</f>
        <v>-1257.29733573479</v>
      </c>
      <c r="J61" s="392" t="n">
        <f aca="false">-'Depn&amp;Tax'!J54</f>
        <v>-1589.68300279115</v>
      </c>
      <c r="K61" s="392" t="n">
        <f aca="false">-'Depn&amp;Tax'!K54</f>
        <v>-1870.74133739219</v>
      </c>
      <c r="L61" s="392" t="n">
        <f aca="false">-'Depn&amp;Tax'!L54</f>
        <v>-14385.1267954123</v>
      </c>
      <c r="M61" s="392" t="n">
        <f aca="false">-'Depn&amp;Tax'!M54</f>
        <v>-16580.4288299252</v>
      </c>
      <c r="N61" s="392" t="n">
        <f aca="false">-'Depn&amp;Tax'!N54</f>
        <v>-17604.418393652</v>
      </c>
      <c r="O61" s="392" t="n">
        <f aca="false">-'Depn&amp;Tax'!O54</f>
        <v>-18735.3064974267</v>
      </c>
      <c r="P61" s="392" t="n">
        <f aca="false">-'Depn&amp;Tax'!P54</f>
        <v>-20168.5705792795</v>
      </c>
      <c r="Q61" s="392" t="n">
        <f aca="false">-'Depn&amp;Tax'!Q54</f>
        <v>-21035.9304907444</v>
      </c>
      <c r="R61" s="392" t="n">
        <f aca="false">-'Depn&amp;Tax'!R54</f>
        <v>-21507.6259387374</v>
      </c>
      <c r="S61" s="392" t="n">
        <f aca="false">-'Depn&amp;Tax'!S54</f>
        <v>-21988.7552956902</v>
      </c>
      <c r="T61" s="392" t="n">
        <f aca="false">-'Depn&amp;Tax'!T54</f>
        <v>-4.74291811499031E-012</v>
      </c>
      <c r="U61" s="392" t="n">
        <f aca="false">-'Depn&amp;Tax'!U54</f>
        <v>-0</v>
      </c>
      <c r="V61" s="392" t="n">
        <f aca="false">-'Depn&amp;Tax'!V54</f>
        <v>-0</v>
      </c>
      <c r="W61" s="392" t="n">
        <f aca="false">-'Depn&amp;Tax'!W54</f>
        <v>-0</v>
      </c>
      <c r="X61" s="392" t="n">
        <f aca="false">-'Depn&amp;Tax'!X54</f>
        <v>-0</v>
      </c>
      <c r="Y61" s="392" t="n">
        <f aca="false">-'Depn&amp;Tax'!Y54</f>
        <v>-0</v>
      </c>
      <c r="Z61" s="392" t="n">
        <f aca="false">-'Depn&amp;Tax'!Z54</f>
        <v>-0</v>
      </c>
      <c r="AA61" s="392" t="n">
        <f aca="false">-'Depn&amp;Tax'!AA54</f>
        <v>-0</v>
      </c>
      <c r="AB61" s="392" t="n">
        <f aca="false">-'Depn&amp;Tax'!AB54</f>
        <v>-0</v>
      </c>
      <c r="AC61" s="392" t="n">
        <f aca="false">-'Depn&amp;Tax'!AC54</f>
        <v>-0</v>
      </c>
      <c r="AD61" s="392" t="n">
        <f aca="false">-'Depn&amp;Tax'!AD54</f>
        <v>-0</v>
      </c>
      <c r="AE61" s="392" t="n">
        <f aca="false">-'Depn&amp;Tax'!AE54</f>
        <v>-0</v>
      </c>
      <c r="AF61" s="337" t="n">
        <f aca="false">SUM(E61:AE61)</f>
        <v>-157451.251882977</v>
      </c>
    </row>
    <row r="62" customFormat="false" ht="12.75" hidden="false" customHeight="false" outlineLevel="0" collapsed="false">
      <c r="A62" s="367" t="s">
        <v>186</v>
      </c>
      <c r="D62" s="391"/>
      <c r="E62" s="131" t="n">
        <f aca="false">-Debt!E52</f>
        <v>-0</v>
      </c>
      <c r="F62" s="131" t="n">
        <f aca="false">-Debt!F52</f>
        <v>-6984.86081139301</v>
      </c>
      <c r="G62" s="131" t="n">
        <f aca="false">-Debt!G52</f>
        <v>-7664.18218068106</v>
      </c>
      <c r="H62" s="131" t="n">
        <f aca="false">-Debt!H52</f>
        <v>-8409.57179889092</v>
      </c>
      <c r="I62" s="131" t="n">
        <f aca="false">-Debt!I52</f>
        <v>-9227.45521615681</v>
      </c>
      <c r="J62" s="131" t="n">
        <f aca="false">-Debt!J52</f>
        <v>-10124.8829075232</v>
      </c>
      <c r="K62" s="131" t="n">
        <f aca="false">-Debt!K52</f>
        <v>-11109.591050798</v>
      </c>
      <c r="L62" s="131" t="n">
        <f aca="false">-Debt!L52</f>
        <v>-12190.0682154321</v>
      </c>
      <c r="M62" s="131" t="n">
        <f aca="false">-Debt!M52</f>
        <v>-13375.6285373093</v>
      </c>
      <c r="N62" s="131" t="n">
        <f aca="false">-Debt!N52</f>
        <v>-14676.4920102409</v>
      </c>
      <c r="O62" s="131" t="n">
        <f aca="false">-Debt!O52</f>
        <v>-16103.8725863119</v>
      </c>
      <c r="P62" s="131" t="n">
        <f aca="false">-Debt!P52</f>
        <v>-17670.0748445344</v>
      </c>
      <c r="Q62" s="131" t="n">
        <f aca="false">-Debt!Q52</f>
        <v>-0</v>
      </c>
      <c r="R62" s="131" t="n">
        <f aca="false">-Debt!R52</f>
        <v>-0</v>
      </c>
      <c r="S62" s="131" t="n">
        <f aca="false">-Debt!S52</f>
        <v>-0</v>
      </c>
      <c r="T62" s="131" t="n">
        <f aca="false">-Debt!T52</f>
        <v>-0</v>
      </c>
      <c r="U62" s="131" t="n">
        <f aca="false">-Debt!U52</f>
        <v>-0</v>
      </c>
      <c r="V62" s="131" t="n">
        <f aca="false">-Debt!V52</f>
        <v>-0</v>
      </c>
      <c r="W62" s="131" t="n">
        <f aca="false">-Debt!W52</f>
        <v>-0</v>
      </c>
      <c r="X62" s="131" t="n">
        <f aca="false">-Debt!X52</f>
        <v>-0</v>
      </c>
      <c r="Y62" s="131" t="n">
        <f aca="false">-Debt!Y52</f>
        <v>-0</v>
      </c>
      <c r="Z62" s="131" t="n">
        <f aca="false">-Debt!Z52</f>
        <v>-0</v>
      </c>
      <c r="AA62" s="131" t="n">
        <f aca="false">-Debt!AA52</f>
        <v>-0</v>
      </c>
      <c r="AB62" s="131" t="n">
        <f aca="false">-Debt!AB52</f>
        <v>-0</v>
      </c>
      <c r="AC62" s="131" t="n">
        <f aca="false">-Debt!AC52</f>
        <v>-0</v>
      </c>
      <c r="AD62" s="131" t="n">
        <f aca="false">-Debt!AD52</f>
        <v>-0</v>
      </c>
      <c r="AE62" s="131" t="n">
        <f aca="false">-Debt!AE52</f>
        <v>-0</v>
      </c>
      <c r="AF62" s="368" t="n">
        <f aca="false">SUM(E62:AE62)</f>
        <v>-127536.680159272</v>
      </c>
    </row>
    <row r="63" customFormat="false" ht="12.75" hidden="false" customHeight="false" outlineLevel="0" collapsed="false">
      <c r="A63" s="367"/>
      <c r="D63" s="39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368"/>
    </row>
    <row r="64" customFormat="false" ht="12.75" hidden="false" customHeight="false" outlineLevel="0" collapsed="false">
      <c r="A64" s="385" t="s">
        <v>187</v>
      </c>
      <c r="B64" s="291"/>
      <c r="C64" s="291"/>
      <c r="D64" s="386"/>
      <c r="E64" s="373" t="n">
        <f aca="false">SUM(E57:E62)</f>
        <v>-5489.14650461628</v>
      </c>
      <c r="F64" s="373" t="n">
        <f aca="false">SUM(F57:F62)</f>
        <v>-12024.8944418351</v>
      </c>
      <c r="G64" s="373" t="n">
        <f aca="false">SUM(G57:G62)</f>
        <v>5172.26088173192</v>
      </c>
      <c r="H64" s="373" t="n">
        <f aca="false">SUM(H57:H62)</f>
        <v>6111.95198968353</v>
      </c>
      <c r="I64" s="373" t="n">
        <f aca="false">SUM(I57:I62)</f>
        <v>6336.36938269381</v>
      </c>
      <c r="J64" s="373" t="n">
        <f aca="false">SUM(J57:J62)</f>
        <v>7322.46047131347</v>
      </c>
      <c r="K64" s="373" t="n">
        <f aca="false">SUM(K57:K62)</f>
        <v>7930.41622411125</v>
      </c>
      <c r="L64" s="373" t="n">
        <f aca="false">SUM(L57:L62)</f>
        <v>29814.3673368833</v>
      </c>
      <c r="M64" s="373" t="n">
        <f aca="false">SUM(M57:M62)</f>
        <v>33751.1784288697</v>
      </c>
      <c r="N64" s="373" t="n">
        <f aca="false">SUM(N57:N62)</f>
        <v>34839.6239379672</v>
      </c>
      <c r="O64" s="373" t="n">
        <f aca="false">SUM(O57:O62)</f>
        <v>36050.9822707039</v>
      </c>
      <c r="P64" s="373" t="n">
        <f aca="false">SUM(P57:P62)</f>
        <v>37829.0628701378</v>
      </c>
      <c r="Q64" s="373" t="n">
        <f aca="false">SUM(Q57:Q62)</f>
        <v>57522.9775080903</v>
      </c>
      <c r="R64" s="373" t="n">
        <f aca="false">SUM(R57:R62)</f>
        <v>58623.600220074</v>
      </c>
      <c r="S64" s="373" t="n">
        <f aca="false">SUM(S57:S62)</f>
        <v>59746.2353862973</v>
      </c>
      <c r="T64" s="373" t="n">
        <f aca="false">SUM(T57:T62)</f>
        <v>1.10668089349774E-011</v>
      </c>
      <c r="U64" s="373" t="n">
        <f aca="false">SUM(U57:U62)</f>
        <v>-7.90486352498385E-012</v>
      </c>
      <c r="V64" s="373" t="n">
        <f aca="false">SUM(V57:V62)</f>
        <v>-7.90486352498385E-012</v>
      </c>
      <c r="W64" s="373" t="n">
        <f aca="false">SUM(W57:W62)</f>
        <v>-7.90486352498385E-012</v>
      </c>
      <c r="X64" s="373" t="n">
        <f aca="false">SUM(X57:X62)</f>
        <v>-7.90486352498385E-012</v>
      </c>
      <c r="Y64" s="373" t="n">
        <f aca="false">SUM(Y57:Y62)</f>
        <v>-7.90486352498385E-012</v>
      </c>
      <c r="Z64" s="373" t="n">
        <f aca="false">SUM(Z57:Z62)</f>
        <v>-7.90486352498385E-012</v>
      </c>
      <c r="AA64" s="373" t="n">
        <f aca="false">SUM(AA57:AA62)</f>
        <v>-7.90486352498385E-012</v>
      </c>
      <c r="AB64" s="373" t="n">
        <f aca="false">SUM(AB57:AB62)</f>
        <v>-7.90486352498385E-012</v>
      </c>
      <c r="AC64" s="373" t="n">
        <f aca="false">SUM(AC57:AC62)</f>
        <v>-7.90486352498385E-012</v>
      </c>
      <c r="AD64" s="373" t="n">
        <f aca="false">SUM(AD57:AD62)</f>
        <v>-7.90486352498385E-012</v>
      </c>
      <c r="AE64" s="373" t="n">
        <f aca="false">SUM(AE57:AE62)</f>
        <v>0</v>
      </c>
      <c r="AF64" s="387" t="n">
        <f aca="false">SUM(E64:AE64)</f>
        <v>363537.445962106</v>
      </c>
      <c r="AG64" s="388"/>
      <c r="AH64" s="388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6"/>
      <c r="BP64" s="296"/>
      <c r="BQ64" s="296"/>
      <c r="BR64" s="296"/>
      <c r="BS64" s="296"/>
      <c r="BT64" s="296"/>
      <c r="BU64" s="296"/>
      <c r="BV64" s="296"/>
      <c r="BW64" s="296"/>
      <c r="BX64" s="296"/>
      <c r="BY64" s="296"/>
      <c r="BZ64" s="296"/>
      <c r="CA64" s="296"/>
      <c r="CB64" s="296"/>
      <c r="CC64" s="296"/>
      <c r="CD64" s="296"/>
      <c r="CE64" s="296"/>
      <c r="CF64" s="296"/>
      <c r="CG64" s="296"/>
      <c r="CH64" s="296"/>
      <c r="CI64" s="296"/>
      <c r="CJ64" s="296"/>
      <c r="CK64" s="296"/>
      <c r="CL64" s="296"/>
      <c r="CM64" s="296"/>
      <c r="CN64" s="296"/>
      <c r="CO64" s="296"/>
      <c r="CP64" s="296"/>
      <c r="CQ64" s="296"/>
      <c r="CR64" s="296"/>
      <c r="CS64" s="296"/>
      <c r="CT64" s="296"/>
      <c r="CU64" s="296"/>
      <c r="CV64" s="296"/>
      <c r="CW64" s="296"/>
      <c r="CX64" s="296"/>
      <c r="CY64" s="296"/>
      <c r="CZ64" s="296"/>
      <c r="DA64" s="296"/>
      <c r="DB64" s="296"/>
      <c r="DC64" s="296"/>
      <c r="DD64" s="296"/>
      <c r="DE64" s="296"/>
      <c r="DF64" s="296"/>
      <c r="DG64" s="296"/>
      <c r="DH64" s="296"/>
      <c r="DI64" s="296"/>
      <c r="DJ64" s="296"/>
      <c r="DK64" s="296"/>
      <c r="DL64" s="296"/>
      <c r="DM64" s="296"/>
      <c r="DN64" s="296"/>
      <c r="DO64" s="296"/>
      <c r="DP64" s="296"/>
      <c r="DQ64" s="296"/>
      <c r="DR64" s="296"/>
      <c r="DS64" s="296"/>
      <c r="DT64" s="296"/>
      <c r="DU64" s="296"/>
      <c r="DV64" s="296"/>
      <c r="DW64" s="296"/>
      <c r="DX64" s="296"/>
      <c r="DY64" s="296"/>
      <c r="DZ64" s="296"/>
      <c r="EA64" s="296"/>
      <c r="EB64" s="296"/>
      <c r="EC64" s="296"/>
      <c r="ED64" s="296"/>
      <c r="EE64" s="296"/>
      <c r="EF64" s="296"/>
      <c r="EG64" s="296"/>
      <c r="EH64" s="296"/>
      <c r="EI64" s="296"/>
      <c r="EJ64" s="296"/>
      <c r="EK64" s="296"/>
      <c r="EL64" s="296"/>
      <c r="EM64" s="296"/>
      <c r="EN64" s="296"/>
      <c r="EO64" s="296"/>
      <c r="EP64" s="296"/>
      <c r="EQ64" s="296"/>
      <c r="ER64" s="296"/>
      <c r="ES64" s="296"/>
      <c r="ET64" s="296"/>
      <c r="EU64" s="296"/>
      <c r="EV64" s="296"/>
      <c r="EW64" s="296"/>
      <c r="EX64" s="296"/>
      <c r="EY64" s="296"/>
      <c r="EZ64" s="296"/>
      <c r="FA64" s="296"/>
      <c r="FB64" s="296"/>
      <c r="FC64" s="296"/>
      <c r="FD64" s="296"/>
      <c r="FE64" s="296"/>
      <c r="FF64" s="296"/>
      <c r="FG64" s="296"/>
      <c r="FH64" s="296"/>
      <c r="FI64" s="296"/>
      <c r="FJ64" s="296"/>
      <c r="FK64" s="296"/>
      <c r="FL64" s="296"/>
      <c r="FM64" s="296"/>
      <c r="FN64" s="296"/>
      <c r="FO64" s="296"/>
      <c r="FP64" s="296"/>
      <c r="FQ64" s="296"/>
      <c r="FR64" s="296"/>
      <c r="FS64" s="296"/>
      <c r="FT64" s="296"/>
      <c r="FU64" s="296"/>
      <c r="FV64" s="296"/>
      <c r="FW64" s="296"/>
      <c r="FX64" s="296"/>
      <c r="FY64" s="296"/>
      <c r="FZ64" s="296"/>
      <c r="GA64" s="296"/>
      <c r="GB64" s="296"/>
      <c r="GC64" s="296"/>
      <c r="GD64" s="296"/>
      <c r="GE64" s="296"/>
      <c r="GF64" s="296"/>
      <c r="GG64" s="296"/>
      <c r="GH64" s="296"/>
      <c r="GI64" s="296"/>
      <c r="GJ64" s="296"/>
      <c r="GK64" s="296"/>
      <c r="GL64" s="296"/>
      <c r="GM64" s="296"/>
      <c r="GN64" s="296"/>
      <c r="GO64" s="296"/>
      <c r="GP64" s="296"/>
      <c r="GQ64" s="296"/>
      <c r="GR64" s="296"/>
      <c r="GS64" s="296"/>
      <c r="GT64" s="296"/>
      <c r="GU64" s="296"/>
      <c r="GV64" s="296"/>
      <c r="GW64" s="296"/>
      <c r="GX64" s="296"/>
      <c r="GY64" s="296"/>
      <c r="GZ64" s="296"/>
      <c r="HA64" s="296"/>
      <c r="HB64" s="296"/>
      <c r="HC64" s="296"/>
      <c r="HD64" s="296"/>
      <c r="HE64" s="296"/>
      <c r="HF64" s="296"/>
      <c r="HG64" s="296"/>
      <c r="HH64" s="296"/>
      <c r="HI64" s="296"/>
      <c r="HJ64" s="296"/>
      <c r="HK64" s="296"/>
      <c r="HL64" s="296"/>
      <c r="HM64" s="296"/>
      <c r="HN64" s="296"/>
      <c r="HO64" s="296"/>
      <c r="HP64" s="296"/>
      <c r="HQ64" s="296"/>
      <c r="HR64" s="296"/>
      <c r="HS64" s="296"/>
      <c r="HT64" s="296"/>
      <c r="HU64" s="296"/>
      <c r="HV64" s="296"/>
      <c r="HW64" s="296"/>
      <c r="HX64" s="296"/>
      <c r="HY64" s="296"/>
      <c r="HZ64" s="296"/>
      <c r="IA64" s="296"/>
      <c r="IB64" s="296"/>
      <c r="IC64" s="296"/>
      <c r="ID64" s="296"/>
      <c r="IE64" s="296"/>
      <c r="IF64" s="296"/>
      <c r="IG64" s="296"/>
      <c r="IH64" s="296"/>
      <c r="II64" s="296"/>
      <c r="IJ64" s="296"/>
      <c r="IK64" s="296"/>
      <c r="IL64" s="296"/>
      <c r="IM64" s="296"/>
      <c r="IN64" s="296"/>
      <c r="IO64" s="296"/>
      <c r="IP64" s="296"/>
      <c r="IQ64" s="296"/>
      <c r="IR64" s="296"/>
      <c r="IS64" s="296"/>
      <c r="IT64" s="296"/>
      <c r="IU64" s="296"/>
      <c r="IV64" s="296"/>
      <c r="IW64" s="296"/>
    </row>
    <row r="65" customFormat="false" ht="12.75" hidden="false" customHeight="false" outlineLevel="0" collapsed="false">
      <c r="A65" s="393"/>
      <c r="B65" s="14"/>
      <c r="C65" s="14"/>
      <c r="D65" s="295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80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</row>
    <row r="66" customFormat="false" ht="12.7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</row>
    <row r="67" customFormat="false" ht="12.75" hidden="false" customHeight="false" outlineLevel="0" collapsed="false">
      <c r="A67" s="394" t="s">
        <v>188</v>
      </c>
      <c r="B67" s="395"/>
      <c r="C67" s="395"/>
      <c r="D67" s="396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395"/>
      <c r="R67" s="395"/>
      <c r="S67" s="395"/>
      <c r="T67" s="395"/>
      <c r="U67" s="395"/>
      <c r="V67" s="395"/>
      <c r="W67" s="395"/>
      <c r="X67" s="395"/>
      <c r="Y67" s="395"/>
      <c r="Z67" s="395"/>
      <c r="AA67" s="395"/>
      <c r="AB67" s="395"/>
      <c r="AC67" s="395"/>
      <c r="AD67" s="395"/>
      <c r="AE67" s="397"/>
      <c r="AF67" s="390"/>
    </row>
    <row r="68" customFormat="false" ht="12.75" hidden="false" customHeight="false" outlineLevel="0" collapsed="false">
      <c r="A68" s="366" t="s">
        <v>178</v>
      </c>
      <c r="B68" s="14"/>
      <c r="C68" s="14"/>
      <c r="D68" s="14"/>
      <c r="E68" s="398" t="n">
        <f aca="false">+E57</f>
        <v>7400.19883062925</v>
      </c>
      <c r="F68" s="398" t="n">
        <f aca="false">+F57</f>
        <v>7696.9266537338</v>
      </c>
      <c r="G68" s="398" t="n">
        <f aca="false">+G57</f>
        <v>24850.7210388356</v>
      </c>
      <c r="H68" s="398" t="n">
        <f aca="false">+H57</f>
        <v>26470.2014722413</v>
      </c>
      <c r="I68" s="398" t="n">
        <f aca="false">+I57</f>
        <v>27172.3434902892</v>
      </c>
      <c r="J68" s="398" t="n">
        <f aca="false">+J57</f>
        <v>28433.5376273673</v>
      </c>
      <c r="K68" s="398" t="n">
        <f aca="false">+K57</f>
        <v>29259.6980034933</v>
      </c>
      <c r="L68" s="398" t="n">
        <f aca="false">+L57</f>
        <v>63589.0679467556</v>
      </c>
      <c r="M68" s="398" t="n">
        <f aca="false">+M57</f>
        <v>69645.5070101564</v>
      </c>
      <c r="N68" s="398" t="n">
        <f aca="false">+N57</f>
        <v>71674.908244283</v>
      </c>
      <c r="O68" s="398" t="n">
        <f aca="false">+O57</f>
        <v>73926.0452823217</v>
      </c>
      <c r="P68" s="398" t="n">
        <f aca="false">+P57</f>
        <v>77037.4196067006</v>
      </c>
      <c r="Q68" s="398" t="n">
        <f aca="false">+Q57</f>
        <v>78578.9079988346</v>
      </c>
      <c r="R68" s="398" t="n">
        <f aca="false">+R57</f>
        <v>80151.2261588113</v>
      </c>
      <c r="S68" s="398" t="n">
        <f aca="false">+S57</f>
        <v>81754.9906819876</v>
      </c>
      <c r="T68" s="398" t="n">
        <f aca="false">+T57</f>
        <v>0</v>
      </c>
      <c r="U68" s="398" t="n">
        <f aca="false">+U57</f>
        <v>0</v>
      </c>
      <c r="V68" s="398" t="n">
        <f aca="false">+V57</f>
        <v>0</v>
      </c>
      <c r="W68" s="398" t="n">
        <f aca="false">+W57</f>
        <v>0</v>
      </c>
      <c r="X68" s="398" t="n">
        <f aca="false">+X57</f>
        <v>0</v>
      </c>
      <c r="Y68" s="398" t="n">
        <f aca="false">+Y57</f>
        <v>0</v>
      </c>
      <c r="Z68" s="398" t="n">
        <f aca="false">+Z57</f>
        <v>0</v>
      </c>
      <c r="AA68" s="398" t="n">
        <f aca="false">+AA57</f>
        <v>0</v>
      </c>
      <c r="AB68" s="398" t="n">
        <f aca="false">+AB57</f>
        <v>0</v>
      </c>
      <c r="AC68" s="398" t="n">
        <f aca="false">+AC57</f>
        <v>0</v>
      </c>
      <c r="AD68" s="398" t="n">
        <f aca="false">+AD57</f>
        <v>0</v>
      </c>
      <c r="AE68" s="399" t="n">
        <f aca="false">+AE57</f>
        <v>0</v>
      </c>
      <c r="AF68" s="337" t="n">
        <f aca="false">SUM(E68:AE68)</f>
        <v>747641.700046441</v>
      </c>
      <c r="AG68" s="344"/>
      <c r="AH68" s="344"/>
      <c r="AI68" s="344"/>
      <c r="AJ68" s="344"/>
      <c r="AK68" s="344"/>
      <c r="AL68" s="344"/>
      <c r="AM68" s="344"/>
      <c r="AN68" s="344"/>
      <c r="AO68" s="344"/>
      <c r="AP68" s="344"/>
      <c r="AQ68" s="344"/>
      <c r="AR68" s="344"/>
      <c r="AS68" s="344"/>
      <c r="AT68" s="344"/>
      <c r="AU68" s="344"/>
      <c r="AV68" s="344"/>
      <c r="AW68" s="344"/>
      <c r="AX68" s="344"/>
      <c r="AY68" s="344"/>
      <c r="AZ68" s="344"/>
      <c r="BA68" s="344"/>
      <c r="BB68" s="344"/>
      <c r="BC68" s="344"/>
      <c r="BD68" s="344"/>
      <c r="BE68" s="344"/>
      <c r="BF68" s="344"/>
      <c r="BG68" s="344"/>
      <c r="BH68" s="344"/>
      <c r="BI68" s="344"/>
      <c r="BJ68" s="344"/>
      <c r="BK68" s="344"/>
      <c r="BL68" s="344"/>
      <c r="BM68" s="344"/>
      <c r="BN68" s="344"/>
      <c r="BO68" s="344"/>
      <c r="BP68" s="344"/>
      <c r="BQ68" s="344"/>
      <c r="BR68" s="344"/>
      <c r="BS68" s="344"/>
      <c r="BT68" s="344"/>
      <c r="BU68" s="344"/>
      <c r="BV68" s="344"/>
      <c r="BW68" s="344"/>
      <c r="BX68" s="344"/>
      <c r="BY68" s="344"/>
      <c r="BZ68" s="344"/>
      <c r="CA68" s="344"/>
      <c r="CB68" s="344"/>
      <c r="CC68" s="344"/>
      <c r="CD68" s="344"/>
      <c r="CE68" s="344"/>
      <c r="CF68" s="344"/>
      <c r="CG68" s="344"/>
      <c r="CH68" s="344"/>
      <c r="CI68" s="344"/>
      <c r="CJ68" s="344"/>
      <c r="CK68" s="344"/>
      <c r="CL68" s="344"/>
      <c r="CM68" s="344"/>
      <c r="CN68" s="344"/>
      <c r="CO68" s="344"/>
      <c r="CP68" s="344"/>
      <c r="CQ68" s="344"/>
      <c r="CR68" s="344"/>
      <c r="CS68" s="344"/>
      <c r="CT68" s="344"/>
      <c r="CU68" s="344"/>
      <c r="CV68" s="344"/>
      <c r="CW68" s="344"/>
      <c r="CX68" s="344"/>
      <c r="CY68" s="344"/>
      <c r="CZ68" s="344"/>
      <c r="DA68" s="344"/>
      <c r="DB68" s="344"/>
      <c r="DC68" s="344"/>
      <c r="DD68" s="344"/>
      <c r="DE68" s="344"/>
      <c r="DF68" s="344"/>
      <c r="DG68" s="344"/>
      <c r="DH68" s="344"/>
      <c r="DI68" s="344"/>
      <c r="DJ68" s="344"/>
      <c r="DK68" s="344"/>
      <c r="DL68" s="344"/>
      <c r="DM68" s="344"/>
      <c r="DN68" s="344"/>
      <c r="DO68" s="344"/>
      <c r="DP68" s="344"/>
      <c r="DQ68" s="344"/>
      <c r="DR68" s="344"/>
      <c r="DS68" s="344"/>
      <c r="DT68" s="344"/>
      <c r="DU68" s="344"/>
      <c r="DV68" s="344"/>
      <c r="DW68" s="344"/>
      <c r="DX68" s="344"/>
      <c r="DY68" s="344"/>
      <c r="DZ68" s="344"/>
      <c r="EA68" s="344"/>
      <c r="EB68" s="344"/>
      <c r="EC68" s="344"/>
      <c r="ED68" s="344"/>
      <c r="EE68" s="344"/>
      <c r="EF68" s="344"/>
      <c r="EG68" s="344"/>
      <c r="EH68" s="344"/>
      <c r="EI68" s="344"/>
      <c r="EJ68" s="344"/>
      <c r="EK68" s="344"/>
      <c r="EL68" s="344"/>
      <c r="EM68" s="344"/>
      <c r="EN68" s="344"/>
      <c r="EO68" s="344"/>
      <c r="EP68" s="344"/>
      <c r="EQ68" s="344"/>
      <c r="ER68" s="344"/>
      <c r="ES68" s="344"/>
      <c r="ET68" s="344"/>
      <c r="EU68" s="344"/>
      <c r="EV68" s="344"/>
      <c r="EW68" s="344"/>
      <c r="EX68" s="344"/>
      <c r="EY68" s="344"/>
      <c r="EZ68" s="344"/>
      <c r="FA68" s="344"/>
      <c r="FB68" s="344"/>
      <c r="FC68" s="344"/>
      <c r="FD68" s="344"/>
      <c r="FE68" s="344"/>
      <c r="FF68" s="344"/>
      <c r="FG68" s="344"/>
      <c r="FH68" s="344"/>
      <c r="FI68" s="344"/>
      <c r="FJ68" s="344"/>
      <c r="FK68" s="344"/>
      <c r="FL68" s="344"/>
      <c r="FM68" s="344"/>
      <c r="FN68" s="344"/>
      <c r="FO68" s="344"/>
      <c r="FP68" s="344"/>
      <c r="FQ68" s="344"/>
      <c r="FR68" s="344"/>
      <c r="FS68" s="344"/>
      <c r="FT68" s="344"/>
      <c r="FU68" s="344"/>
      <c r="FV68" s="344"/>
      <c r="FW68" s="344"/>
      <c r="FX68" s="344"/>
      <c r="FY68" s="344"/>
      <c r="FZ68" s="344"/>
      <c r="GA68" s="344"/>
      <c r="GB68" s="344"/>
      <c r="GC68" s="344"/>
      <c r="GD68" s="344"/>
      <c r="GE68" s="344"/>
      <c r="GF68" s="344"/>
      <c r="GG68" s="344"/>
      <c r="GH68" s="344"/>
      <c r="GI68" s="344"/>
      <c r="GJ68" s="344"/>
      <c r="GK68" s="344"/>
      <c r="GL68" s="344"/>
      <c r="GM68" s="344"/>
      <c r="GN68" s="344"/>
      <c r="GO68" s="344"/>
      <c r="GP68" s="344"/>
      <c r="GQ68" s="344"/>
      <c r="GR68" s="344"/>
      <c r="GS68" s="344"/>
      <c r="GT68" s="344"/>
      <c r="GU68" s="344"/>
      <c r="GV68" s="344"/>
      <c r="GW68" s="344"/>
      <c r="GX68" s="344"/>
      <c r="GY68" s="344"/>
      <c r="GZ68" s="344"/>
      <c r="HA68" s="344"/>
      <c r="HB68" s="344"/>
      <c r="HC68" s="344"/>
      <c r="HD68" s="344"/>
      <c r="HE68" s="344"/>
      <c r="HF68" s="344"/>
      <c r="HG68" s="344"/>
      <c r="HH68" s="344"/>
      <c r="HI68" s="344"/>
      <c r="HJ68" s="344"/>
      <c r="HK68" s="344"/>
      <c r="HL68" s="344"/>
      <c r="HM68" s="344"/>
      <c r="HN68" s="344"/>
      <c r="HO68" s="344"/>
      <c r="HP68" s="344"/>
      <c r="HQ68" s="344"/>
      <c r="HR68" s="344"/>
      <c r="HS68" s="344"/>
      <c r="HT68" s="344"/>
      <c r="HU68" s="344"/>
      <c r="HV68" s="344"/>
      <c r="HW68" s="344"/>
      <c r="HX68" s="344"/>
      <c r="HY68" s="344"/>
      <c r="HZ68" s="344"/>
      <c r="IA68" s="344"/>
      <c r="IB68" s="344"/>
      <c r="IC68" s="344"/>
      <c r="ID68" s="344"/>
      <c r="IE68" s="344"/>
      <c r="IF68" s="344"/>
      <c r="IG68" s="344"/>
      <c r="IH68" s="344"/>
      <c r="II68" s="344"/>
      <c r="IJ68" s="344"/>
      <c r="IK68" s="344"/>
      <c r="IL68" s="344"/>
      <c r="IM68" s="344"/>
      <c r="IN68" s="344"/>
      <c r="IO68" s="344"/>
      <c r="IP68" s="344"/>
      <c r="IQ68" s="344"/>
      <c r="IR68" s="344"/>
      <c r="IS68" s="344"/>
      <c r="IT68" s="344"/>
      <c r="IU68" s="344"/>
      <c r="IV68" s="344"/>
      <c r="IW68" s="344"/>
    </row>
    <row r="69" customFormat="false" ht="12.75" hidden="false" customHeight="false" outlineLevel="0" collapsed="false">
      <c r="A69" s="367" t="s">
        <v>185</v>
      </c>
      <c r="B69" s="148"/>
      <c r="C69" s="148"/>
      <c r="D69" s="148"/>
      <c r="E69" s="400" t="n">
        <f aca="false">+E61</f>
        <v>-0</v>
      </c>
      <c r="F69" s="400" t="n">
        <f aca="false">+F61</f>
        <v>-0</v>
      </c>
      <c r="G69" s="400" t="n">
        <f aca="false">+G61</f>
        <v>-0</v>
      </c>
      <c r="H69" s="400" t="n">
        <f aca="false">+H61</f>
        <v>-727.36738619081</v>
      </c>
      <c r="I69" s="400" t="n">
        <f aca="false">+I61</f>
        <v>-1257.29733573479</v>
      </c>
      <c r="J69" s="400" t="n">
        <f aca="false">+J61</f>
        <v>-1589.68300279115</v>
      </c>
      <c r="K69" s="400" t="n">
        <f aca="false">+K61</f>
        <v>-1870.74133739219</v>
      </c>
      <c r="L69" s="400" t="n">
        <f aca="false">+L61</f>
        <v>-14385.1267954123</v>
      </c>
      <c r="M69" s="400" t="n">
        <f aca="false">+M61</f>
        <v>-16580.4288299252</v>
      </c>
      <c r="N69" s="400" t="n">
        <f aca="false">+N61</f>
        <v>-17604.418393652</v>
      </c>
      <c r="O69" s="400" t="n">
        <f aca="false">+O61</f>
        <v>-18735.3064974267</v>
      </c>
      <c r="P69" s="400" t="n">
        <f aca="false">+P61</f>
        <v>-20168.5705792795</v>
      </c>
      <c r="Q69" s="400" t="n">
        <f aca="false">+Q61</f>
        <v>-21035.9304907444</v>
      </c>
      <c r="R69" s="400" t="n">
        <f aca="false">+R61</f>
        <v>-21507.6259387374</v>
      </c>
      <c r="S69" s="400" t="n">
        <f aca="false">+S61</f>
        <v>-21988.7552956902</v>
      </c>
      <c r="T69" s="400" t="n">
        <f aca="false">+T61</f>
        <v>-4.74291811499031E-012</v>
      </c>
      <c r="U69" s="400" t="n">
        <f aca="false">+U61</f>
        <v>-0</v>
      </c>
      <c r="V69" s="400" t="n">
        <f aca="false">+V61</f>
        <v>-0</v>
      </c>
      <c r="W69" s="400" t="n">
        <f aca="false">+W61</f>
        <v>-0</v>
      </c>
      <c r="X69" s="400" t="n">
        <f aca="false">+X61</f>
        <v>-0</v>
      </c>
      <c r="Y69" s="400" t="n">
        <f aca="false">+Y61</f>
        <v>-0</v>
      </c>
      <c r="Z69" s="400" t="n">
        <f aca="false">+Z61</f>
        <v>-0</v>
      </c>
      <c r="AA69" s="400" t="n">
        <f aca="false">+AA61</f>
        <v>-0</v>
      </c>
      <c r="AB69" s="400" t="n">
        <f aca="false">+AB61</f>
        <v>-0</v>
      </c>
      <c r="AC69" s="400" t="n">
        <f aca="false">+AC61</f>
        <v>-0</v>
      </c>
      <c r="AD69" s="400" t="n">
        <f aca="false">+AD61</f>
        <v>-0</v>
      </c>
      <c r="AE69" s="401" t="n">
        <f aca="false">+AE61</f>
        <v>-0</v>
      </c>
      <c r="AF69" s="368" t="n">
        <f aca="false">SUM(E69:AE69)</f>
        <v>-157451.251882977</v>
      </c>
      <c r="AG69" s="344"/>
      <c r="AH69" s="344"/>
      <c r="AI69" s="344"/>
      <c r="AJ69" s="344"/>
      <c r="AK69" s="344"/>
      <c r="AL69" s="344"/>
      <c r="AM69" s="344"/>
      <c r="AN69" s="344"/>
      <c r="AO69" s="344"/>
      <c r="AP69" s="344"/>
      <c r="AQ69" s="344"/>
      <c r="AR69" s="344"/>
      <c r="AS69" s="344"/>
      <c r="AT69" s="344"/>
      <c r="AU69" s="344"/>
      <c r="AV69" s="344"/>
      <c r="AW69" s="344"/>
      <c r="AX69" s="344"/>
      <c r="AY69" s="344"/>
      <c r="AZ69" s="344"/>
      <c r="BA69" s="344"/>
      <c r="BB69" s="344"/>
      <c r="BC69" s="344"/>
      <c r="BD69" s="344"/>
      <c r="BE69" s="344"/>
      <c r="BF69" s="344"/>
      <c r="BG69" s="344"/>
      <c r="BH69" s="344"/>
      <c r="BI69" s="344"/>
      <c r="BJ69" s="344"/>
      <c r="BK69" s="344"/>
      <c r="BL69" s="344"/>
      <c r="BM69" s="344"/>
      <c r="BN69" s="344"/>
      <c r="BO69" s="344"/>
      <c r="BP69" s="344"/>
      <c r="BQ69" s="344"/>
      <c r="BR69" s="344"/>
      <c r="BS69" s="344"/>
      <c r="BT69" s="344"/>
      <c r="BU69" s="344"/>
      <c r="BV69" s="344"/>
      <c r="BW69" s="344"/>
      <c r="BX69" s="344"/>
      <c r="BY69" s="344"/>
      <c r="BZ69" s="344"/>
      <c r="CA69" s="344"/>
      <c r="CB69" s="344"/>
      <c r="CC69" s="344"/>
      <c r="CD69" s="344"/>
      <c r="CE69" s="344"/>
      <c r="CF69" s="344"/>
      <c r="CG69" s="344"/>
      <c r="CH69" s="344"/>
      <c r="CI69" s="344"/>
      <c r="CJ69" s="344"/>
      <c r="CK69" s="344"/>
      <c r="CL69" s="344"/>
      <c r="CM69" s="344"/>
      <c r="CN69" s="344"/>
      <c r="CO69" s="344"/>
      <c r="CP69" s="344"/>
      <c r="CQ69" s="344"/>
      <c r="CR69" s="344"/>
      <c r="CS69" s="344"/>
      <c r="CT69" s="344"/>
      <c r="CU69" s="344"/>
      <c r="CV69" s="344"/>
      <c r="CW69" s="344"/>
      <c r="CX69" s="344"/>
      <c r="CY69" s="344"/>
      <c r="CZ69" s="344"/>
      <c r="DA69" s="344"/>
      <c r="DB69" s="344"/>
      <c r="DC69" s="344"/>
      <c r="DD69" s="344"/>
      <c r="DE69" s="344"/>
      <c r="DF69" s="344"/>
      <c r="DG69" s="344"/>
      <c r="DH69" s="344"/>
      <c r="DI69" s="344"/>
      <c r="DJ69" s="344"/>
      <c r="DK69" s="344"/>
      <c r="DL69" s="344"/>
      <c r="DM69" s="344"/>
      <c r="DN69" s="344"/>
      <c r="DO69" s="344"/>
      <c r="DP69" s="344"/>
      <c r="DQ69" s="344"/>
      <c r="DR69" s="344"/>
      <c r="DS69" s="344"/>
      <c r="DT69" s="344"/>
      <c r="DU69" s="344"/>
      <c r="DV69" s="344"/>
      <c r="DW69" s="344"/>
      <c r="DX69" s="344"/>
      <c r="DY69" s="344"/>
      <c r="DZ69" s="344"/>
      <c r="EA69" s="344"/>
      <c r="EB69" s="344"/>
      <c r="EC69" s="344"/>
      <c r="ED69" s="344"/>
      <c r="EE69" s="344"/>
      <c r="EF69" s="344"/>
      <c r="EG69" s="344"/>
      <c r="EH69" s="344"/>
      <c r="EI69" s="344"/>
      <c r="EJ69" s="344"/>
      <c r="EK69" s="344"/>
      <c r="EL69" s="344"/>
      <c r="EM69" s="344"/>
      <c r="EN69" s="344"/>
      <c r="EO69" s="344"/>
      <c r="EP69" s="344"/>
      <c r="EQ69" s="344"/>
      <c r="ER69" s="344"/>
      <c r="ES69" s="344"/>
      <c r="ET69" s="344"/>
      <c r="EU69" s="344"/>
      <c r="EV69" s="344"/>
      <c r="EW69" s="344"/>
      <c r="EX69" s="344"/>
      <c r="EY69" s="344"/>
      <c r="EZ69" s="344"/>
      <c r="FA69" s="344"/>
      <c r="FB69" s="344"/>
      <c r="FC69" s="344"/>
      <c r="FD69" s="344"/>
      <c r="FE69" s="344"/>
      <c r="FF69" s="344"/>
      <c r="FG69" s="344"/>
      <c r="FH69" s="344"/>
      <c r="FI69" s="344"/>
      <c r="FJ69" s="344"/>
      <c r="FK69" s="344"/>
      <c r="FL69" s="344"/>
      <c r="FM69" s="344"/>
      <c r="FN69" s="344"/>
      <c r="FO69" s="344"/>
      <c r="FP69" s="344"/>
      <c r="FQ69" s="344"/>
      <c r="FR69" s="344"/>
      <c r="FS69" s="344"/>
      <c r="FT69" s="344"/>
      <c r="FU69" s="344"/>
      <c r="FV69" s="344"/>
      <c r="FW69" s="344"/>
      <c r="FX69" s="344"/>
      <c r="FY69" s="344"/>
      <c r="FZ69" s="344"/>
      <c r="GA69" s="344"/>
      <c r="GB69" s="344"/>
      <c r="GC69" s="344"/>
      <c r="GD69" s="344"/>
      <c r="GE69" s="344"/>
      <c r="GF69" s="344"/>
      <c r="GG69" s="344"/>
      <c r="GH69" s="344"/>
      <c r="GI69" s="344"/>
      <c r="GJ69" s="344"/>
      <c r="GK69" s="344"/>
      <c r="GL69" s="344"/>
      <c r="GM69" s="344"/>
      <c r="GN69" s="344"/>
      <c r="GO69" s="344"/>
      <c r="GP69" s="344"/>
      <c r="GQ69" s="344"/>
      <c r="GR69" s="344"/>
      <c r="GS69" s="344"/>
      <c r="GT69" s="344"/>
      <c r="GU69" s="344"/>
      <c r="GV69" s="344"/>
      <c r="GW69" s="344"/>
      <c r="GX69" s="344"/>
      <c r="GY69" s="344"/>
      <c r="GZ69" s="344"/>
      <c r="HA69" s="344"/>
      <c r="HB69" s="344"/>
      <c r="HC69" s="344"/>
      <c r="HD69" s="344"/>
      <c r="HE69" s="344"/>
      <c r="HF69" s="344"/>
      <c r="HG69" s="344"/>
      <c r="HH69" s="344"/>
      <c r="HI69" s="344"/>
      <c r="HJ69" s="344"/>
      <c r="HK69" s="344"/>
      <c r="HL69" s="344"/>
      <c r="HM69" s="344"/>
      <c r="HN69" s="344"/>
      <c r="HO69" s="344"/>
      <c r="HP69" s="344"/>
      <c r="HQ69" s="344"/>
      <c r="HR69" s="344"/>
      <c r="HS69" s="344"/>
      <c r="HT69" s="344"/>
      <c r="HU69" s="344"/>
      <c r="HV69" s="344"/>
      <c r="HW69" s="344"/>
      <c r="HX69" s="344"/>
      <c r="HY69" s="344"/>
      <c r="HZ69" s="344"/>
      <c r="IA69" s="344"/>
      <c r="IB69" s="344"/>
      <c r="IC69" s="344"/>
      <c r="ID69" s="344"/>
      <c r="IE69" s="344"/>
      <c r="IF69" s="344"/>
      <c r="IG69" s="344"/>
      <c r="IH69" s="344"/>
      <c r="II69" s="344"/>
      <c r="IJ69" s="344"/>
      <c r="IK69" s="344"/>
      <c r="IL69" s="344"/>
      <c r="IM69" s="344"/>
      <c r="IN69" s="344"/>
      <c r="IO69" s="344"/>
      <c r="IP69" s="344"/>
      <c r="IQ69" s="344"/>
      <c r="IR69" s="344"/>
      <c r="IS69" s="344"/>
      <c r="IT69" s="344"/>
      <c r="IU69" s="344"/>
      <c r="IV69" s="344"/>
      <c r="IW69" s="344"/>
    </row>
    <row r="70" customFormat="false" ht="12.75" hidden="false" customHeight="false" outlineLevel="0" collapsed="false">
      <c r="A70" s="366" t="s">
        <v>189</v>
      </c>
      <c r="B70" s="14"/>
      <c r="C70" s="14"/>
      <c r="D70" s="14"/>
      <c r="E70" s="398" t="n">
        <f aca="false">+E69+E68</f>
        <v>7400.19883062925</v>
      </c>
      <c r="F70" s="398" t="n">
        <f aca="false">+F69+F68</f>
        <v>7696.9266537338</v>
      </c>
      <c r="G70" s="398" t="n">
        <f aca="false">+G69+G68</f>
        <v>24850.7210388356</v>
      </c>
      <c r="H70" s="398" t="n">
        <f aca="false">+H69+H68</f>
        <v>25742.8340860504</v>
      </c>
      <c r="I70" s="398" t="n">
        <f aca="false">+I69+I68</f>
        <v>25915.0461545544</v>
      </c>
      <c r="J70" s="398" t="n">
        <f aca="false">+J69+J68</f>
        <v>26843.8546245762</v>
      </c>
      <c r="K70" s="398" t="n">
        <f aca="false">+K69+K68</f>
        <v>27388.9566661011</v>
      </c>
      <c r="L70" s="398" t="n">
        <f aca="false">+L69+L68</f>
        <v>49203.9411513434</v>
      </c>
      <c r="M70" s="398" t="n">
        <f aca="false">+M69+M68</f>
        <v>53065.0781802312</v>
      </c>
      <c r="N70" s="398" t="n">
        <f aca="false">+N69+N68</f>
        <v>54070.4898506309</v>
      </c>
      <c r="O70" s="398" t="n">
        <f aca="false">+O69+O68</f>
        <v>55190.738784895</v>
      </c>
      <c r="P70" s="398" t="n">
        <f aca="false">+P69+P68</f>
        <v>56868.8490274211</v>
      </c>
      <c r="Q70" s="398" t="n">
        <f aca="false">+Q69+Q68</f>
        <v>57542.9775080903</v>
      </c>
      <c r="R70" s="398" t="n">
        <f aca="false">+R69+R68</f>
        <v>58643.600220074</v>
      </c>
      <c r="S70" s="398" t="n">
        <f aca="false">+S69+S68</f>
        <v>59766.2353862973</v>
      </c>
      <c r="T70" s="398" t="n">
        <f aca="false">+T69+T68</f>
        <v>-4.74291811499031E-012</v>
      </c>
      <c r="U70" s="398" t="n">
        <f aca="false">+U69+U68</f>
        <v>0</v>
      </c>
      <c r="V70" s="398" t="n">
        <f aca="false">+V69+V68</f>
        <v>0</v>
      </c>
      <c r="W70" s="398" t="n">
        <f aca="false">+W69+W68</f>
        <v>0</v>
      </c>
      <c r="X70" s="398" t="n">
        <f aca="false">+X69+X68</f>
        <v>0</v>
      </c>
      <c r="Y70" s="398" t="n">
        <f aca="false">+Y69+Y68</f>
        <v>0</v>
      </c>
      <c r="Z70" s="398" t="n">
        <f aca="false">+Z69+Z68</f>
        <v>0</v>
      </c>
      <c r="AA70" s="398" t="n">
        <f aca="false">+AA69+AA68</f>
        <v>0</v>
      </c>
      <c r="AB70" s="398" t="n">
        <f aca="false">+AB69+AB68</f>
        <v>0</v>
      </c>
      <c r="AC70" s="398" t="n">
        <f aca="false">+AC69+AC68</f>
        <v>0</v>
      </c>
      <c r="AD70" s="398" t="n">
        <f aca="false">+AD69+AD68</f>
        <v>0</v>
      </c>
      <c r="AE70" s="399" t="n">
        <f aca="false">+AE69+AE68</f>
        <v>0</v>
      </c>
      <c r="AF70" s="337" t="n">
        <f aca="false">SUM(E70:AE70)</f>
        <v>590190.448163464</v>
      </c>
    </row>
    <row r="71" customFormat="false" ht="12.75" hidden="false" customHeight="false" outlineLevel="0" collapsed="false">
      <c r="A71" s="372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AE71" s="402"/>
      <c r="AF71" s="389"/>
    </row>
    <row r="72" customFormat="false" ht="12.75" hidden="false" customHeight="false" outlineLevel="0" collapsed="false">
      <c r="A72" s="366" t="s">
        <v>190</v>
      </c>
      <c r="B72" s="14"/>
      <c r="C72" s="14"/>
      <c r="D72" s="14"/>
      <c r="E72" s="398" t="n">
        <f aca="false">-E62-E58-E59</f>
        <v>12889.3453352455</v>
      </c>
      <c r="F72" s="398" t="n">
        <f aca="false">-F62-F58-F59</f>
        <v>19701.8210955689</v>
      </c>
      <c r="G72" s="398" t="n">
        <f aca="false">-G62-G58-G59</f>
        <v>19658.4601571037</v>
      </c>
      <c r="H72" s="398" t="n">
        <f aca="false">-H62-H58-H59</f>
        <v>19610.8820963669</v>
      </c>
      <c r="I72" s="398" t="n">
        <f aca="false">-I62-I58-I59</f>
        <v>19558.6767718606</v>
      </c>
      <c r="J72" s="398" t="n">
        <f aca="false">-J62-J58-J59</f>
        <v>19501.3941532627</v>
      </c>
      <c r="K72" s="398" t="n">
        <f aca="false">-K62-K58-K59</f>
        <v>19438.5404419899</v>
      </c>
      <c r="L72" s="398" t="n">
        <f aca="false">-L62-L58-L59</f>
        <v>19369.57381446</v>
      </c>
      <c r="M72" s="398" t="n">
        <f aca="false">-M62-M58-M59</f>
        <v>19293.8997513615</v>
      </c>
      <c r="N72" s="398" t="n">
        <f aca="false">-N62-N58-N59</f>
        <v>19210.8659126637</v>
      </c>
      <c r="O72" s="398" t="n">
        <f aca="false">-O62-O58-O59</f>
        <v>19119.7565141911</v>
      </c>
      <c r="P72" s="398" t="n">
        <f aca="false">-P62-P58-P59</f>
        <v>19019.7861572833</v>
      </c>
      <c r="Q72" s="398" t="n">
        <f aca="false">-Q62-Q58-Q59</f>
        <v>-1.58097270499677E-011</v>
      </c>
      <c r="R72" s="398" t="n">
        <f aca="false">-R62-R58-R59</f>
        <v>-1.18572952874758E-011</v>
      </c>
      <c r="S72" s="398" t="n">
        <f aca="false">-S62-S58-S59</f>
        <v>-1.58097270499677E-011</v>
      </c>
      <c r="T72" s="398" t="n">
        <f aca="false">-T62-T58-T59</f>
        <v>-1.58097270499677E-011</v>
      </c>
      <c r="U72" s="398" t="n">
        <f aca="false">-U62-U58-U59</f>
        <v>7.90486352498385E-012</v>
      </c>
      <c r="V72" s="398" t="n">
        <f aca="false">-V62-V58-V59</f>
        <v>7.90486352498385E-012</v>
      </c>
      <c r="W72" s="398" t="n">
        <f aca="false">-W62-W58-W59</f>
        <v>7.90486352498385E-012</v>
      </c>
      <c r="X72" s="398" t="n">
        <f aca="false">-X62-X58-X59</f>
        <v>7.90486352498385E-012</v>
      </c>
      <c r="Y72" s="398" t="n">
        <f aca="false">-Y62-Y58-Y59</f>
        <v>7.90486352498385E-012</v>
      </c>
      <c r="Z72" s="398" t="n">
        <f aca="false">-Z62-Z58-Z59</f>
        <v>7.90486352498385E-012</v>
      </c>
      <c r="AA72" s="398" t="n">
        <f aca="false">-AA62-AA58-AA59</f>
        <v>7.90486352498385E-012</v>
      </c>
      <c r="AB72" s="398" t="n">
        <f aca="false">-AB62-AB58-AB59</f>
        <v>7.90486352498385E-012</v>
      </c>
      <c r="AC72" s="398" t="n">
        <f aca="false">-AC62-AC58-AC59</f>
        <v>7.90486352498385E-012</v>
      </c>
      <c r="AD72" s="398" t="n">
        <f aca="false">-AD62-AD58-AD59</f>
        <v>7.90486352498385E-012</v>
      </c>
      <c r="AE72" s="399" t="n">
        <f aca="false">-AE62-AE58-AE59</f>
        <v>0</v>
      </c>
      <c r="AF72" s="337" t="n">
        <f aca="false">SUM(E72:AE72)</f>
        <v>226373.002201358</v>
      </c>
    </row>
    <row r="73" customFormat="false" ht="12.75" hidden="false" customHeight="false" outlineLevel="0" collapsed="false">
      <c r="A73" s="372"/>
      <c r="B73" s="14"/>
      <c r="C73" s="14"/>
      <c r="D73" s="14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  <c r="W73" s="398"/>
      <c r="X73" s="398"/>
      <c r="Y73" s="398"/>
      <c r="Z73" s="398"/>
      <c r="AA73" s="398"/>
      <c r="AB73" s="398"/>
      <c r="AC73" s="398"/>
      <c r="AD73" s="398"/>
      <c r="AE73" s="399"/>
      <c r="AF73" s="337"/>
    </row>
    <row r="74" customFormat="false" ht="12.75" hidden="false" customHeight="false" outlineLevel="0" collapsed="false">
      <c r="A74" s="308" t="s">
        <v>191</v>
      </c>
      <c r="B74" s="350"/>
      <c r="C74" s="350"/>
      <c r="D74" s="350"/>
      <c r="E74" s="403" t="n">
        <f aca="false">IF(E$72&lt;1,"N/A",+E68/E$72)</f>
        <v>0.574133025235473</v>
      </c>
      <c r="F74" s="403" t="n">
        <f aca="false">IF(F$72&lt;1,"N/A",+F68/F$72)</f>
        <v>0.390670822580198</v>
      </c>
      <c r="G74" s="403" t="n">
        <f aca="false">IF(G$72&lt;1,"N/A",+G68/G$72)</f>
        <v>1.26412347865688</v>
      </c>
      <c r="H74" s="403" t="n">
        <f aca="false">IF(H$72&lt;1,"N/A",+H68/H$72)</f>
        <v>1.34977107822932</v>
      </c>
      <c r="I74" s="403" t="n">
        <f aca="false">IF(I$72&lt;1,"N/A",+I68/I$72)</f>
        <v>1.38927309895435</v>
      </c>
      <c r="J74" s="403" t="n">
        <f aca="false">IF(J$72&lt;1,"N/A",+J68/J$72)</f>
        <v>1.45802589311853</v>
      </c>
      <c r="K74" s="403" t="n">
        <f aca="false">IF(K$72&lt;1,"N/A",+K68/K$72)</f>
        <v>1.50524151187238</v>
      </c>
      <c r="L74" s="403" t="n">
        <f aca="false">IF(L$72&lt;1,"N/A",+L68/L$72)</f>
        <v>3.28293583306847</v>
      </c>
      <c r="M74" s="403" t="n">
        <f aca="false">IF(M$72&lt;1,"N/A",+M68/M$72)</f>
        <v>3.60971643408906</v>
      </c>
      <c r="N74" s="403" t="n">
        <f aca="false">IF(N$72&lt;1,"N/A",+N68/N$72)</f>
        <v>3.73095666640592</v>
      </c>
      <c r="O74" s="403" t="n">
        <f aca="false">IF(O$72&lt;1,"N/A",+O68/O$72)</f>
        <v>3.86647420051882</v>
      </c>
      <c r="P74" s="403" t="n">
        <f aca="false">IF(P$72&lt;1,"N/A",+P68/P$72)</f>
        <v>4.05038305739313</v>
      </c>
      <c r="Q74" s="403" t="str">
        <f aca="false">IF(Q$72&lt;1,"N/A",+Q68/Q$72)</f>
        <v>N/A</v>
      </c>
      <c r="R74" s="403" t="str">
        <f aca="false">IF(R$72&lt;1,"N/A",+R68/R$72)</f>
        <v>N/A</v>
      </c>
      <c r="S74" s="403" t="str">
        <f aca="false">IF(S$72&lt;1,"N/A",+S68/S$72)</f>
        <v>N/A</v>
      </c>
      <c r="T74" s="403" t="str">
        <f aca="false">IF(T$72&lt;1,"N/A",+T68/T$72)</f>
        <v>N/A</v>
      </c>
      <c r="U74" s="403" t="str">
        <f aca="false">IF(U$72&lt;1,"N/A",+U68/U$72)</f>
        <v>N/A</v>
      </c>
      <c r="V74" s="403" t="str">
        <f aca="false">IF(V$72&lt;1,"N/A",+V68/V$72)</f>
        <v>N/A</v>
      </c>
      <c r="W74" s="403" t="str">
        <f aca="false">IF(W$72&lt;1,"N/A",+W68/W$72)</f>
        <v>N/A</v>
      </c>
      <c r="X74" s="403" t="str">
        <f aca="false">IF(X$72&lt;1,"N/A",+X68/X$72)</f>
        <v>N/A</v>
      </c>
      <c r="Y74" s="403" t="str">
        <f aca="false">IF(Y$72&lt;1,"N/A",+Y68/Y$72)</f>
        <v>N/A</v>
      </c>
      <c r="Z74" s="403" t="str">
        <f aca="false">IF(Z$72&lt;1,"N/A",+Z68/Z$72)</f>
        <v>N/A</v>
      </c>
      <c r="AA74" s="403" t="str">
        <f aca="false">IF(AA$72&lt;1,"N/A",+AA68/AA$72)</f>
        <v>N/A</v>
      </c>
      <c r="AB74" s="403" t="str">
        <f aca="false">IF(AB$72&lt;1,"N/A",+AB68/AB$72)</f>
        <v>N/A</v>
      </c>
      <c r="AC74" s="403" t="str">
        <f aca="false">IF(AC$72&lt;1,"N/A",+AC68/AC$72)</f>
        <v>N/A</v>
      </c>
      <c r="AD74" s="403" t="str">
        <f aca="false">IF(AD$72&lt;1,"N/A",+AD68/AD$72)</f>
        <v>N/A</v>
      </c>
      <c r="AE74" s="404" t="str">
        <f aca="false">IF(AE$72&lt;1,"N/A",+AE68/AE$72)</f>
        <v>N/A</v>
      </c>
      <c r="AF74" s="405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6"/>
      <c r="BP74" s="296"/>
      <c r="BQ74" s="296"/>
      <c r="BR74" s="296"/>
      <c r="BS74" s="296"/>
      <c r="BT74" s="296"/>
      <c r="BU74" s="296"/>
      <c r="BV74" s="296"/>
      <c r="BW74" s="296"/>
      <c r="BX74" s="296"/>
      <c r="BY74" s="296"/>
      <c r="BZ74" s="296"/>
      <c r="CA74" s="296"/>
      <c r="CB74" s="296"/>
      <c r="CC74" s="296"/>
      <c r="CD74" s="296"/>
      <c r="CE74" s="296"/>
      <c r="CF74" s="296"/>
      <c r="CG74" s="296"/>
      <c r="CH74" s="296"/>
      <c r="CI74" s="296"/>
      <c r="CJ74" s="296"/>
      <c r="CK74" s="296"/>
      <c r="CL74" s="296"/>
      <c r="CM74" s="296"/>
      <c r="CN74" s="296"/>
      <c r="CO74" s="296"/>
      <c r="CP74" s="296"/>
      <c r="CQ74" s="296"/>
      <c r="CR74" s="296"/>
      <c r="CS74" s="296"/>
      <c r="CT74" s="296"/>
      <c r="CU74" s="296"/>
      <c r="CV74" s="296"/>
      <c r="CW74" s="296"/>
      <c r="CX74" s="296"/>
      <c r="CY74" s="296"/>
      <c r="CZ74" s="296"/>
      <c r="DA74" s="296"/>
      <c r="DB74" s="296"/>
      <c r="DC74" s="296"/>
      <c r="DD74" s="296"/>
      <c r="DE74" s="296"/>
      <c r="DF74" s="296"/>
      <c r="DG74" s="296"/>
      <c r="DH74" s="296"/>
      <c r="DI74" s="296"/>
      <c r="DJ74" s="296"/>
      <c r="DK74" s="296"/>
      <c r="DL74" s="296"/>
      <c r="DM74" s="296"/>
      <c r="DN74" s="296"/>
      <c r="DO74" s="296"/>
      <c r="DP74" s="296"/>
      <c r="DQ74" s="296"/>
      <c r="DR74" s="296"/>
      <c r="DS74" s="296"/>
      <c r="DT74" s="296"/>
      <c r="DU74" s="296"/>
      <c r="DV74" s="296"/>
      <c r="DW74" s="296"/>
      <c r="DX74" s="296"/>
      <c r="DY74" s="296"/>
      <c r="DZ74" s="296"/>
      <c r="EA74" s="296"/>
      <c r="EB74" s="296"/>
      <c r="EC74" s="296"/>
      <c r="ED74" s="296"/>
      <c r="EE74" s="296"/>
      <c r="EF74" s="296"/>
      <c r="EG74" s="296"/>
      <c r="EH74" s="296"/>
      <c r="EI74" s="296"/>
      <c r="EJ74" s="296"/>
      <c r="EK74" s="296"/>
      <c r="EL74" s="296"/>
      <c r="EM74" s="296"/>
      <c r="EN74" s="296"/>
      <c r="EO74" s="296"/>
      <c r="EP74" s="296"/>
      <c r="EQ74" s="296"/>
      <c r="ER74" s="296"/>
      <c r="ES74" s="296"/>
      <c r="ET74" s="296"/>
      <c r="EU74" s="296"/>
      <c r="EV74" s="296"/>
      <c r="EW74" s="296"/>
      <c r="EX74" s="296"/>
      <c r="EY74" s="296"/>
      <c r="EZ74" s="296"/>
      <c r="FA74" s="296"/>
      <c r="FB74" s="296"/>
      <c r="FC74" s="296"/>
      <c r="FD74" s="296"/>
      <c r="FE74" s="296"/>
      <c r="FF74" s="296"/>
      <c r="FG74" s="296"/>
      <c r="FH74" s="296"/>
      <c r="FI74" s="296"/>
      <c r="FJ74" s="296"/>
      <c r="FK74" s="296"/>
      <c r="FL74" s="296"/>
      <c r="FM74" s="296"/>
      <c r="FN74" s="296"/>
      <c r="FO74" s="296"/>
      <c r="FP74" s="296"/>
      <c r="FQ74" s="296"/>
      <c r="FR74" s="296"/>
      <c r="FS74" s="296"/>
      <c r="FT74" s="296"/>
      <c r="FU74" s="296"/>
      <c r="FV74" s="296"/>
      <c r="FW74" s="296"/>
      <c r="FX74" s="296"/>
      <c r="FY74" s="296"/>
      <c r="FZ74" s="296"/>
      <c r="GA74" s="296"/>
      <c r="GB74" s="296"/>
      <c r="GC74" s="296"/>
      <c r="GD74" s="296"/>
      <c r="GE74" s="296"/>
      <c r="GF74" s="296"/>
      <c r="GG74" s="296"/>
      <c r="GH74" s="296"/>
      <c r="GI74" s="296"/>
      <c r="GJ74" s="296"/>
      <c r="GK74" s="296"/>
      <c r="GL74" s="296"/>
      <c r="GM74" s="296"/>
      <c r="GN74" s="296"/>
      <c r="GO74" s="296"/>
      <c r="GP74" s="296"/>
      <c r="GQ74" s="296"/>
      <c r="GR74" s="296"/>
      <c r="GS74" s="296"/>
      <c r="GT74" s="296"/>
      <c r="GU74" s="296"/>
      <c r="GV74" s="296"/>
      <c r="GW74" s="296"/>
      <c r="GX74" s="296"/>
      <c r="GY74" s="296"/>
      <c r="GZ74" s="296"/>
      <c r="HA74" s="296"/>
      <c r="HB74" s="296"/>
      <c r="HC74" s="296"/>
      <c r="HD74" s="296"/>
      <c r="HE74" s="296"/>
      <c r="HF74" s="296"/>
      <c r="HG74" s="296"/>
      <c r="HH74" s="296"/>
      <c r="HI74" s="296"/>
      <c r="HJ74" s="296"/>
      <c r="HK74" s="296"/>
      <c r="HL74" s="296"/>
      <c r="HM74" s="296"/>
      <c r="HN74" s="296"/>
      <c r="HO74" s="296"/>
      <c r="HP74" s="296"/>
      <c r="HQ74" s="296"/>
      <c r="HR74" s="296"/>
      <c r="HS74" s="296"/>
      <c r="HT74" s="296"/>
      <c r="HU74" s="296"/>
      <c r="HV74" s="296"/>
      <c r="HW74" s="296"/>
      <c r="HX74" s="296"/>
      <c r="HY74" s="296"/>
      <c r="HZ74" s="296"/>
      <c r="IA74" s="296"/>
      <c r="IB74" s="296"/>
      <c r="IC74" s="296"/>
      <c r="ID74" s="296"/>
      <c r="IE74" s="296"/>
      <c r="IF74" s="296"/>
      <c r="IG74" s="296"/>
      <c r="IH74" s="296"/>
      <c r="II74" s="296"/>
      <c r="IJ74" s="296"/>
      <c r="IK74" s="296"/>
      <c r="IL74" s="296"/>
      <c r="IM74" s="296"/>
      <c r="IN74" s="296"/>
      <c r="IO74" s="296"/>
      <c r="IP74" s="296"/>
      <c r="IQ74" s="296"/>
      <c r="IR74" s="296"/>
      <c r="IS74" s="296"/>
      <c r="IT74" s="296"/>
      <c r="IU74" s="296"/>
      <c r="IV74" s="296"/>
      <c r="IW74" s="296"/>
    </row>
    <row r="75" customFormat="false" ht="12.75" hidden="false" customHeight="false" outlineLevel="0" collapsed="false">
      <c r="A75" s="406" t="s">
        <v>192</v>
      </c>
      <c r="B75" s="407"/>
      <c r="C75" s="407"/>
      <c r="D75" s="407"/>
      <c r="E75" s="408" t="n">
        <f aca="false">IF(E$72&lt;1,"N/A",+E70/E$72)</f>
        <v>0.574133025235473</v>
      </c>
      <c r="F75" s="408" t="n">
        <f aca="false">IF(F$72&lt;1,"N/A",+F70/F$72)</f>
        <v>0.390670822580198</v>
      </c>
      <c r="G75" s="408" t="n">
        <f aca="false">IF(G$72&lt;1,"N/A",+G70/G$72)</f>
        <v>1.26412347865688</v>
      </c>
      <c r="H75" s="408" t="n">
        <f aca="false">IF(H$72&lt;1,"N/A",+H70/H$72)</f>
        <v>1.31268108999643</v>
      </c>
      <c r="I75" s="408" t="n">
        <f aca="false">IF(I$72&lt;1,"N/A",+I70/I$72)</f>
        <v>1.32498974531032</v>
      </c>
      <c r="J75" s="408" t="n">
        <f aca="false">IF(J$72&lt;1,"N/A",+J70/J$72)</f>
        <v>1.37650951586377</v>
      </c>
      <c r="K75" s="408" t="n">
        <f aca="false">IF(K$72&lt;1,"N/A",+K70/K$72)</f>
        <v>1.4090027359738</v>
      </c>
      <c r="L75" s="408" t="n">
        <f aca="false">IF(L$72&lt;1,"N/A",+L70/L$72)</f>
        <v>2.54026968392102</v>
      </c>
      <c r="M75" s="408" t="n">
        <f aca="false">IF(M$72&lt;1,"N/A",+M70/M$72)</f>
        <v>2.75035523476723</v>
      </c>
      <c r="N75" s="408" t="n">
        <f aca="false">IF(N$72&lt;1,"N/A",+N70/N$72)</f>
        <v>2.81457848367927</v>
      </c>
      <c r="O75" s="408" t="n">
        <f aca="false">IF(O$72&lt;1,"N/A",+O70/O$72)</f>
        <v>2.88658167502976</v>
      </c>
      <c r="P75" s="408" t="n">
        <f aca="false">IF(P$72&lt;1,"N/A",+P70/P$72)</f>
        <v>2.98998361796219</v>
      </c>
      <c r="Q75" s="408" t="str">
        <f aca="false">IF(Q$72&lt;1,"N/A",+Q70/Q$72)</f>
        <v>N/A</v>
      </c>
      <c r="R75" s="408" t="str">
        <f aca="false">IF(R$72&lt;1,"N/A",+R70/R$72)</f>
        <v>N/A</v>
      </c>
      <c r="S75" s="408" t="str">
        <f aca="false">IF(S$72&lt;1,"N/A",+S70/S$72)</f>
        <v>N/A</v>
      </c>
      <c r="T75" s="408" t="str">
        <f aca="false">IF(T$72&lt;1,"N/A",+T70/T$72)</f>
        <v>N/A</v>
      </c>
      <c r="U75" s="408" t="str">
        <f aca="false">IF(U$72&lt;1,"N/A",+U70/U$72)</f>
        <v>N/A</v>
      </c>
      <c r="V75" s="408" t="str">
        <f aca="false">IF(V$72&lt;1,"N/A",+V70/V$72)</f>
        <v>N/A</v>
      </c>
      <c r="W75" s="408" t="str">
        <f aca="false">IF(W$72&lt;1,"N/A",+W70/W$72)</f>
        <v>N/A</v>
      </c>
      <c r="X75" s="408" t="str">
        <f aca="false">IF(X$72&lt;1,"N/A",+X70/X$72)</f>
        <v>N/A</v>
      </c>
      <c r="Y75" s="408" t="str">
        <f aca="false">IF(Y$72&lt;1,"N/A",+Y70/Y$72)</f>
        <v>N/A</v>
      </c>
      <c r="Z75" s="408" t="str">
        <f aca="false">IF(Z$72&lt;1,"N/A",+Z70/Z$72)</f>
        <v>N/A</v>
      </c>
      <c r="AA75" s="408" t="str">
        <f aca="false">IF(AA$72&lt;1,"N/A",+AA70/AA$72)</f>
        <v>N/A</v>
      </c>
      <c r="AB75" s="408" t="str">
        <f aca="false">IF(AB$72&lt;1,"N/A",+AB70/AB$72)</f>
        <v>N/A</v>
      </c>
      <c r="AC75" s="408" t="str">
        <f aca="false">IF(AC$72&lt;1,"N/A",+AC70/AC$72)</f>
        <v>N/A</v>
      </c>
      <c r="AD75" s="408" t="str">
        <f aca="false">IF(AD$72&lt;1,"N/A",+AD70/AD$72)</f>
        <v>N/A</v>
      </c>
      <c r="AE75" s="409" t="str">
        <f aca="false">IF(AE$72&lt;1,"N/A",+AE70/AE$72)</f>
        <v>N/A</v>
      </c>
      <c r="AF75" s="410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6"/>
      <c r="BP75" s="296"/>
      <c r="BQ75" s="296"/>
      <c r="BR75" s="296"/>
      <c r="BS75" s="296"/>
      <c r="BT75" s="296"/>
      <c r="BU75" s="296"/>
      <c r="BV75" s="296"/>
      <c r="BW75" s="296"/>
      <c r="BX75" s="296"/>
      <c r="BY75" s="296"/>
      <c r="BZ75" s="296"/>
      <c r="CA75" s="296"/>
      <c r="CB75" s="296"/>
      <c r="CC75" s="296"/>
      <c r="CD75" s="296"/>
      <c r="CE75" s="296"/>
      <c r="CF75" s="296"/>
      <c r="CG75" s="296"/>
      <c r="CH75" s="296"/>
      <c r="CI75" s="296"/>
      <c r="CJ75" s="296"/>
      <c r="CK75" s="296"/>
      <c r="CL75" s="296"/>
      <c r="CM75" s="296"/>
      <c r="CN75" s="296"/>
      <c r="CO75" s="296"/>
      <c r="CP75" s="296"/>
      <c r="CQ75" s="296"/>
      <c r="CR75" s="296"/>
      <c r="CS75" s="296"/>
      <c r="CT75" s="296"/>
      <c r="CU75" s="296"/>
      <c r="CV75" s="296"/>
      <c r="CW75" s="296"/>
      <c r="CX75" s="296"/>
      <c r="CY75" s="296"/>
      <c r="CZ75" s="296"/>
      <c r="DA75" s="296"/>
      <c r="DB75" s="296"/>
      <c r="DC75" s="296"/>
      <c r="DD75" s="296"/>
      <c r="DE75" s="296"/>
      <c r="DF75" s="296"/>
      <c r="DG75" s="296"/>
      <c r="DH75" s="296"/>
      <c r="DI75" s="296"/>
      <c r="DJ75" s="296"/>
      <c r="DK75" s="296"/>
      <c r="DL75" s="296"/>
      <c r="DM75" s="296"/>
      <c r="DN75" s="296"/>
      <c r="DO75" s="296"/>
      <c r="DP75" s="296"/>
      <c r="DQ75" s="296"/>
      <c r="DR75" s="296"/>
      <c r="DS75" s="296"/>
      <c r="DT75" s="296"/>
      <c r="DU75" s="296"/>
      <c r="DV75" s="296"/>
      <c r="DW75" s="296"/>
      <c r="DX75" s="296"/>
      <c r="DY75" s="296"/>
      <c r="DZ75" s="296"/>
      <c r="EA75" s="296"/>
      <c r="EB75" s="296"/>
      <c r="EC75" s="296"/>
      <c r="ED75" s="296"/>
      <c r="EE75" s="296"/>
      <c r="EF75" s="296"/>
      <c r="EG75" s="296"/>
      <c r="EH75" s="296"/>
      <c r="EI75" s="296"/>
      <c r="EJ75" s="296"/>
      <c r="EK75" s="296"/>
      <c r="EL75" s="296"/>
      <c r="EM75" s="296"/>
      <c r="EN75" s="296"/>
      <c r="EO75" s="296"/>
      <c r="EP75" s="296"/>
      <c r="EQ75" s="296"/>
      <c r="ER75" s="296"/>
      <c r="ES75" s="296"/>
      <c r="ET75" s="296"/>
      <c r="EU75" s="296"/>
      <c r="EV75" s="296"/>
      <c r="EW75" s="296"/>
      <c r="EX75" s="296"/>
      <c r="EY75" s="296"/>
      <c r="EZ75" s="296"/>
      <c r="FA75" s="296"/>
      <c r="FB75" s="296"/>
      <c r="FC75" s="296"/>
      <c r="FD75" s="296"/>
      <c r="FE75" s="296"/>
      <c r="FF75" s="296"/>
      <c r="FG75" s="296"/>
      <c r="FH75" s="296"/>
      <c r="FI75" s="296"/>
      <c r="FJ75" s="296"/>
      <c r="FK75" s="296"/>
      <c r="FL75" s="296"/>
      <c r="FM75" s="296"/>
      <c r="FN75" s="296"/>
      <c r="FO75" s="296"/>
      <c r="FP75" s="296"/>
      <c r="FQ75" s="296"/>
      <c r="FR75" s="296"/>
      <c r="FS75" s="296"/>
      <c r="FT75" s="296"/>
      <c r="FU75" s="296"/>
      <c r="FV75" s="296"/>
      <c r="FW75" s="296"/>
      <c r="FX75" s="296"/>
      <c r="FY75" s="296"/>
      <c r="FZ75" s="296"/>
      <c r="GA75" s="296"/>
      <c r="GB75" s="296"/>
      <c r="GC75" s="296"/>
      <c r="GD75" s="296"/>
      <c r="GE75" s="296"/>
      <c r="GF75" s="296"/>
      <c r="GG75" s="296"/>
      <c r="GH75" s="296"/>
      <c r="GI75" s="296"/>
      <c r="GJ75" s="296"/>
      <c r="GK75" s="296"/>
      <c r="GL75" s="296"/>
      <c r="GM75" s="296"/>
      <c r="GN75" s="296"/>
      <c r="GO75" s="296"/>
      <c r="GP75" s="296"/>
      <c r="GQ75" s="296"/>
      <c r="GR75" s="296"/>
      <c r="GS75" s="296"/>
      <c r="GT75" s="296"/>
      <c r="GU75" s="296"/>
      <c r="GV75" s="296"/>
      <c r="GW75" s="296"/>
      <c r="GX75" s="296"/>
      <c r="GY75" s="296"/>
      <c r="GZ75" s="296"/>
      <c r="HA75" s="296"/>
      <c r="HB75" s="296"/>
      <c r="HC75" s="296"/>
      <c r="HD75" s="296"/>
      <c r="HE75" s="296"/>
      <c r="HF75" s="296"/>
      <c r="HG75" s="296"/>
      <c r="HH75" s="296"/>
      <c r="HI75" s="296"/>
      <c r="HJ75" s="296"/>
      <c r="HK75" s="296"/>
      <c r="HL75" s="296"/>
      <c r="HM75" s="296"/>
      <c r="HN75" s="296"/>
      <c r="HO75" s="296"/>
      <c r="HP75" s="296"/>
      <c r="HQ75" s="296"/>
      <c r="HR75" s="296"/>
      <c r="HS75" s="296"/>
      <c r="HT75" s="296"/>
      <c r="HU75" s="296"/>
      <c r="HV75" s="296"/>
      <c r="HW75" s="296"/>
      <c r="HX75" s="296"/>
      <c r="HY75" s="296"/>
      <c r="HZ75" s="296"/>
      <c r="IA75" s="296"/>
      <c r="IB75" s="296"/>
      <c r="IC75" s="296"/>
      <c r="ID75" s="296"/>
      <c r="IE75" s="296"/>
      <c r="IF75" s="296"/>
      <c r="IG75" s="296"/>
      <c r="IH75" s="296"/>
      <c r="II75" s="296"/>
      <c r="IJ75" s="296"/>
      <c r="IK75" s="296"/>
      <c r="IL75" s="296"/>
      <c r="IM75" s="296"/>
      <c r="IN75" s="296"/>
      <c r="IO75" s="296"/>
      <c r="IP75" s="296"/>
      <c r="IQ75" s="296"/>
      <c r="IR75" s="296"/>
      <c r="IS75" s="296"/>
      <c r="IT75" s="296"/>
      <c r="IU75" s="296"/>
      <c r="IV75" s="296"/>
      <c r="IW75" s="296"/>
    </row>
    <row r="76" customFormat="false" ht="12.75" hidden="false" customHeight="false" outlineLevel="0" collapsed="false">
      <c r="A76" s="395"/>
      <c r="B76" s="14"/>
      <c r="C76" s="14"/>
      <c r="D76" s="14"/>
      <c r="E76" s="411"/>
      <c r="F76" s="411"/>
      <c r="G76" s="411"/>
      <c r="H76" s="411"/>
      <c r="I76" s="411"/>
      <c r="J76" s="411"/>
      <c r="K76" s="411"/>
      <c r="L76" s="411"/>
      <c r="M76" s="411"/>
      <c r="N76" s="411"/>
      <c r="O76" s="411"/>
      <c r="P76" s="411"/>
      <c r="Q76" s="411"/>
      <c r="R76" s="411"/>
      <c r="S76" s="411"/>
      <c r="T76" s="411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E76" s="411"/>
      <c r="AF76" s="14"/>
    </row>
    <row r="77" customFormat="false" ht="23.25" hidden="false" customHeight="true" outlineLevel="0" collapsed="false">
      <c r="A77" s="412"/>
      <c r="B77" s="14"/>
      <c r="C77" s="14"/>
      <c r="D77" s="413" t="s">
        <v>193</v>
      </c>
      <c r="E77" s="413" t="s">
        <v>194</v>
      </c>
      <c r="F77" s="14"/>
      <c r="G77" s="277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AF77" s="14"/>
    </row>
    <row r="78" customFormat="false" ht="13.5" hidden="false" customHeight="false" outlineLevel="0" collapsed="false">
      <c r="A78" s="414" t="s">
        <v>195</v>
      </c>
      <c r="B78" s="415"/>
      <c r="C78" s="415"/>
      <c r="D78" s="416" t="n">
        <f aca="false">AVERAGE(E74:AE74)</f>
        <v>2.20597542501021</v>
      </c>
      <c r="E78" s="417" t="n">
        <f aca="false">AVERAGE(E75:AE75)</f>
        <v>1.80282325908136</v>
      </c>
      <c r="F78" s="14"/>
      <c r="G78" s="418"/>
      <c r="H78" s="14"/>
      <c r="I78" s="419"/>
      <c r="J78" s="419"/>
      <c r="K78" s="14"/>
      <c r="L78" s="14"/>
      <c r="M78" s="14"/>
      <c r="N78" s="14"/>
      <c r="O78" s="14"/>
      <c r="P78" s="14"/>
      <c r="Q78" s="14"/>
      <c r="R78" s="14"/>
      <c r="AF78" s="14"/>
    </row>
    <row r="79" customFormat="false" ht="12.75" hidden="false" customHeight="false" outlineLevel="0" collapsed="false">
      <c r="A79" s="420" t="s">
        <v>196</v>
      </c>
      <c r="B79" s="199"/>
      <c r="C79" s="199"/>
      <c r="D79" s="421" t="n">
        <f aca="false">MIN(E74:AE74)</f>
        <v>0.390670822580198</v>
      </c>
      <c r="E79" s="422" t="n">
        <f aca="false">MIN(E75:AE75)</f>
        <v>0.390670822580198</v>
      </c>
      <c r="F79" s="14"/>
      <c r="G79" s="418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  <c r="IW79" s="14"/>
    </row>
    <row r="80" customFormat="false" ht="12.75" hidden="false" customHeight="false" outlineLevel="0" collapsed="false">
      <c r="A80" s="14"/>
      <c r="B80" s="14"/>
      <c r="C80" s="14"/>
      <c r="D80" s="14"/>
      <c r="E80" s="14"/>
      <c r="F80" s="14"/>
      <c r="G80" s="307"/>
      <c r="H80" s="302"/>
      <c r="I80" s="302"/>
      <c r="J80" s="302"/>
      <c r="K80" s="302"/>
      <c r="L80" s="302"/>
      <c r="M80" s="302"/>
      <c r="N80" s="302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</row>
    <row r="81" customFormat="false" ht="12.75" hidden="false" customHeight="false" outlineLevel="0" collapsed="false">
      <c r="I81" s="14"/>
    </row>
    <row r="86" customFormat="false" ht="12.75" hidden="false" customHeight="false" outlineLevel="0" collapsed="false">
      <c r="A86" s="190"/>
      <c r="B86" s="423"/>
      <c r="C86" s="423"/>
      <c r="D86" s="423"/>
      <c r="E86" s="423"/>
      <c r="F86" s="424"/>
      <c r="G86" s="425"/>
      <c r="H86" s="265"/>
      <c r="I86" s="426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427"/>
      <c r="AG86" s="427"/>
      <c r="AH86" s="427"/>
      <c r="AI86" s="427"/>
      <c r="AJ86" s="427"/>
      <c r="AK86" s="427"/>
      <c r="AL86" s="427"/>
      <c r="AM86" s="427"/>
      <c r="AN86" s="427"/>
      <c r="AO86" s="427"/>
      <c r="AP86" s="427"/>
      <c r="AQ86" s="427"/>
      <c r="AR86" s="427"/>
      <c r="AS86" s="427"/>
      <c r="AT86" s="427"/>
      <c r="AU86" s="427"/>
      <c r="AV86" s="427"/>
      <c r="AW86" s="427"/>
      <c r="AX86" s="427"/>
      <c r="AY86" s="427"/>
      <c r="AZ86" s="427"/>
      <c r="BA86" s="427"/>
      <c r="BB86" s="427"/>
      <c r="BC86" s="427"/>
      <c r="BD86" s="427"/>
      <c r="BE86" s="427"/>
      <c r="BF86" s="427"/>
      <c r="BG86" s="427"/>
      <c r="BH86" s="427"/>
      <c r="BI86" s="427"/>
      <c r="BJ86" s="427"/>
      <c r="BK86" s="427"/>
      <c r="BL86" s="427"/>
      <c r="BM86" s="427"/>
      <c r="BN86" s="427"/>
      <c r="BO86" s="427"/>
      <c r="BP86" s="427"/>
      <c r="BQ86" s="427"/>
      <c r="BR86" s="427"/>
      <c r="BS86" s="427"/>
      <c r="BT86" s="427"/>
      <c r="BU86" s="427"/>
      <c r="BV86" s="427"/>
      <c r="BW86" s="427"/>
      <c r="BX86" s="427"/>
      <c r="BY86" s="427"/>
      <c r="BZ86" s="427"/>
      <c r="CA86" s="427"/>
      <c r="CB86" s="427"/>
      <c r="CC86" s="427"/>
      <c r="CD86" s="427"/>
      <c r="CE86" s="427"/>
      <c r="CF86" s="427"/>
      <c r="CG86" s="427"/>
      <c r="CH86" s="427"/>
      <c r="CI86" s="427"/>
      <c r="CJ86" s="427"/>
      <c r="CK86" s="427"/>
      <c r="CL86" s="427"/>
      <c r="CM86" s="427"/>
      <c r="CN86" s="427"/>
      <c r="CO86" s="427"/>
      <c r="CP86" s="427"/>
      <c r="CQ86" s="427"/>
      <c r="CR86" s="427"/>
      <c r="CS86" s="427"/>
      <c r="CT86" s="427"/>
      <c r="CU86" s="427"/>
      <c r="CV86" s="427"/>
      <c r="CW86" s="427"/>
      <c r="CX86" s="427"/>
      <c r="CY86" s="427"/>
      <c r="CZ86" s="427"/>
      <c r="DA86" s="427"/>
      <c r="DB86" s="427"/>
      <c r="DC86" s="427"/>
      <c r="DD86" s="427"/>
      <c r="DE86" s="427"/>
      <c r="DF86" s="427"/>
      <c r="DG86" s="427"/>
      <c r="DH86" s="427"/>
      <c r="DI86" s="427"/>
      <c r="DJ86" s="427"/>
      <c r="DK86" s="427"/>
      <c r="DL86" s="427"/>
      <c r="DM86" s="427"/>
      <c r="DN86" s="427"/>
      <c r="DO86" s="427"/>
      <c r="DP86" s="427"/>
      <c r="DQ86" s="427"/>
      <c r="DR86" s="427"/>
      <c r="DS86" s="427"/>
      <c r="DT86" s="427"/>
      <c r="DU86" s="427"/>
      <c r="DV86" s="427"/>
      <c r="DW86" s="427"/>
      <c r="DX86" s="427"/>
      <c r="DY86" s="427"/>
      <c r="DZ86" s="427"/>
      <c r="EA86" s="427"/>
      <c r="EB86" s="427"/>
      <c r="EC86" s="427"/>
      <c r="ED86" s="427"/>
      <c r="EE86" s="427"/>
      <c r="EF86" s="427"/>
      <c r="EG86" s="427"/>
      <c r="EH86" s="427"/>
      <c r="EI86" s="427"/>
      <c r="EJ86" s="427"/>
      <c r="EK86" s="427"/>
      <c r="EL86" s="427"/>
      <c r="EM86" s="427"/>
      <c r="EN86" s="427"/>
      <c r="EO86" s="427"/>
      <c r="EP86" s="427"/>
      <c r="EQ86" s="427"/>
      <c r="ER86" s="427"/>
      <c r="ES86" s="427"/>
      <c r="ET86" s="427"/>
      <c r="EU86" s="427"/>
      <c r="EV86" s="427"/>
      <c r="EW86" s="427"/>
      <c r="EX86" s="427"/>
      <c r="EY86" s="427"/>
      <c r="EZ86" s="427"/>
      <c r="FA86" s="427"/>
      <c r="FB86" s="427"/>
      <c r="FC86" s="427"/>
      <c r="FD86" s="427"/>
      <c r="FE86" s="427"/>
      <c r="FF86" s="427"/>
      <c r="FG86" s="427"/>
      <c r="FH86" s="427"/>
      <c r="FI86" s="427"/>
      <c r="FJ86" s="427"/>
      <c r="FK86" s="427"/>
      <c r="FL86" s="427"/>
      <c r="FM86" s="427"/>
      <c r="FN86" s="427"/>
      <c r="FO86" s="427"/>
      <c r="FP86" s="427"/>
      <c r="FQ86" s="427"/>
      <c r="FR86" s="427"/>
      <c r="FS86" s="427"/>
      <c r="FT86" s="427"/>
      <c r="FU86" s="427"/>
      <c r="FV86" s="427"/>
      <c r="FW86" s="427"/>
      <c r="FX86" s="427"/>
      <c r="FY86" s="427"/>
      <c r="FZ86" s="427"/>
      <c r="GA86" s="427"/>
      <c r="GB86" s="427"/>
      <c r="GC86" s="427"/>
      <c r="GD86" s="427"/>
      <c r="GE86" s="427"/>
      <c r="GF86" s="427"/>
      <c r="GG86" s="427"/>
      <c r="GH86" s="427"/>
      <c r="GI86" s="427"/>
      <c r="GJ86" s="427"/>
      <c r="GK86" s="427"/>
      <c r="GL86" s="427"/>
      <c r="GM86" s="427"/>
      <c r="GN86" s="427"/>
      <c r="GO86" s="427"/>
      <c r="GP86" s="427"/>
      <c r="GQ86" s="427"/>
      <c r="GR86" s="427"/>
      <c r="GS86" s="427"/>
      <c r="GT86" s="427"/>
      <c r="GU86" s="427"/>
      <c r="GV86" s="427"/>
      <c r="GW86" s="427"/>
      <c r="GX86" s="427"/>
      <c r="GY86" s="427"/>
      <c r="GZ86" s="427"/>
      <c r="HA86" s="427"/>
      <c r="HB86" s="427"/>
      <c r="HC86" s="427"/>
      <c r="HD86" s="427"/>
      <c r="HE86" s="427"/>
      <c r="HF86" s="427"/>
      <c r="HG86" s="427"/>
      <c r="HH86" s="427"/>
      <c r="HI86" s="427"/>
      <c r="HJ86" s="427"/>
      <c r="HK86" s="427"/>
      <c r="HL86" s="427"/>
      <c r="HM86" s="427"/>
      <c r="HN86" s="427"/>
      <c r="HO86" s="427"/>
      <c r="HP86" s="427"/>
      <c r="HQ86" s="427"/>
      <c r="HR86" s="427"/>
      <c r="HS86" s="427"/>
      <c r="HT86" s="427"/>
      <c r="HU86" s="427"/>
      <c r="HV86" s="427"/>
      <c r="HW86" s="427"/>
      <c r="HX86" s="427"/>
      <c r="HY86" s="427"/>
      <c r="HZ86" s="427"/>
      <c r="IA86" s="427"/>
      <c r="IB86" s="427"/>
      <c r="IC86" s="427"/>
      <c r="ID86" s="427"/>
      <c r="IE86" s="427"/>
      <c r="IF86" s="427"/>
      <c r="IG86" s="427"/>
      <c r="IH86" s="427"/>
      <c r="II86" s="427"/>
      <c r="IJ86" s="427"/>
      <c r="IK86" s="427"/>
      <c r="IL86" s="427"/>
      <c r="IM86" s="427"/>
      <c r="IN86" s="427"/>
      <c r="IO86" s="427"/>
      <c r="IP86" s="427"/>
      <c r="IQ86" s="427"/>
      <c r="IR86" s="427"/>
      <c r="IS86" s="427"/>
      <c r="IT86" s="427"/>
      <c r="IU86" s="427"/>
      <c r="IV86" s="427"/>
      <c r="IW86" s="427"/>
    </row>
    <row r="87" customFormat="false" ht="12.75" hidden="false" customHeight="false" outlineLevel="0" collapsed="false">
      <c r="A87" s="428"/>
      <c r="B87" s="428"/>
      <c r="C87" s="428"/>
      <c r="D87" s="428"/>
      <c r="E87" s="428"/>
      <c r="F87" s="428"/>
      <c r="G87" s="429"/>
      <c r="H87" s="429"/>
      <c r="I87" s="429"/>
      <c r="J87" s="429"/>
      <c r="K87" s="429"/>
      <c r="L87" s="429"/>
      <c r="M87" s="429"/>
      <c r="N87" s="429"/>
      <c r="O87" s="429"/>
      <c r="P87" s="429"/>
      <c r="Q87" s="429"/>
      <c r="R87" s="429"/>
      <c r="S87" s="429"/>
      <c r="T87" s="429"/>
      <c r="U87" s="429"/>
      <c r="V87" s="429"/>
      <c r="W87" s="429"/>
      <c r="X87" s="429"/>
      <c r="Y87" s="429"/>
      <c r="Z87" s="429"/>
      <c r="AA87" s="429"/>
      <c r="AB87" s="429"/>
      <c r="AC87" s="429"/>
      <c r="AD87" s="429"/>
      <c r="AE87" s="429"/>
    </row>
    <row r="88" customFormat="false" ht="12.75" hidden="false" customHeight="false" outlineLevel="0" collapsed="false">
      <c r="A88" s="14"/>
      <c r="B88" s="14"/>
      <c r="C88" s="14"/>
      <c r="D88" s="14"/>
      <c r="E88" s="14"/>
      <c r="F88" s="14"/>
      <c r="G88" s="430"/>
      <c r="H88" s="430"/>
      <c r="I88" s="430"/>
      <c r="J88" s="430"/>
      <c r="K88" s="430"/>
      <c r="L88" s="430"/>
      <c r="M88" s="430"/>
      <c r="N88" s="430"/>
      <c r="O88" s="430"/>
      <c r="P88" s="430"/>
      <c r="Q88" s="430"/>
      <c r="R88" s="430"/>
      <c r="S88" s="430"/>
      <c r="T88" s="430"/>
      <c r="U88" s="430"/>
      <c r="V88" s="430"/>
      <c r="W88" s="430"/>
      <c r="X88" s="430"/>
      <c r="Y88" s="430"/>
      <c r="Z88" s="430"/>
      <c r="AA88" s="430"/>
      <c r="AB88" s="430"/>
      <c r="AC88" s="430"/>
      <c r="AD88" s="430"/>
      <c r="AE88" s="430"/>
    </row>
    <row r="89" customFormat="false" ht="12.75" hidden="false" customHeight="false" outlineLevel="0" collapsed="false">
      <c r="A89" s="14"/>
      <c r="B89" s="14"/>
      <c r="C89" s="14"/>
      <c r="D89" s="14"/>
      <c r="E89" s="14"/>
      <c r="F89" s="14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0"/>
      <c r="R89" s="430"/>
      <c r="S89" s="430"/>
      <c r="T89" s="430"/>
      <c r="U89" s="430"/>
      <c r="V89" s="430"/>
      <c r="W89" s="430"/>
      <c r="X89" s="430"/>
      <c r="Y89" s="430"/>
      <c r="Z89" s="430"/>
      <c r="AA89" s="430"/>
      <c r="AB89" s="430"/>
      <c r="AC89" s="430"/>
      <c r="AD89" s="430"/>
      <c r="AE89" s="430"/>
    </row>
    <row r="90" customFormat="false" ht="12.75" hidden="false" customHeight="false" outlineLevel="0" collapsed="false">
      <c r="A90" s="14"/>
      <c r="B90" s="14"/>
      <c r="C90" s="14"/>
      <c r="D90" s="14"/>
      <c r="E90" s="14"/>
      <c r="F90" s="14"/>
      <c r="G90" s="430"/>
      <c r="H90" s="430"/>
      <c r="I90" s="430"/>
      <c r="J90" s="430"/>
      <c r="K90" s="430"/>
      <c r="L90" s="430"/>
      <c r="M90" s="430"/>
      <c r="N90" s="430"/>
      <c r="O90" s="430"/>
      <c r="P90" s="430"/>
      <c r="Q90" s="430"/>
      <c r="R90" s="430"/>
      <c r="S90" s="430"/>
      <c r="T90" s="430"/>
      <c r="U90" s="430"/>
      <c r="V90" s="430"/>
      <c r="W90" s="430"/>
      <c r="X90" s="430"/>
      <c r="Y90" s="430"/>
      <c r="Z90" s="430"/>
      <c r="AA90" s="430"/>
      <c r="AB90" s="430"/>
      <c r="AC90" s="430"/>
      <c r="AD90" s="430"/>
      <c r="AE90" s="430"/>
    </row>
    <row r="91" customFormat="false" ht="12.75" hidden="false" customHeight="false" outlineLevel="0" collapsed="false">
      <c r="A91" s="14"/>
      <c r="B91" s="14"/>
      <c r="C91" s="14"/>
      <c r="D91" s="14"/>
      <c r="E91" s="14"/>
      <c r="F91" s="14"/>
      <c r="G91" s="431"/>
      <c r="H91" s="431"/>
      <c r="I91" s="431"/>
      <c r="J91" s="431"/>
      <c r="K91" s="431"/>
      <c r="L91" s="431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  <c r="AA91" s="431"/>
      <c r="AB91" s="431"/>
      <c r="AC91" s="431"/>
      <c r="AD91" s="431"/>
      <c r="AE91" s="431"/>
    </row>
    <row r="92" customFormat="false" ht="12.75" hidden="false" customHeight="false" outlineLevel="0" collapsed="false">
      <c r="A92" s="14"/>
      <c r="B92" s="14"/>
      <c r="C92" s="14"/>
      <c r="D92" s="14"/>
      <c r="E92" s="14"/>
      <c r="F92" s="14"/>
      <c r="G92" s="430"/>
      <c r="H92" s="430"/>
      <c r="I92" s="430"/>
      <c r="J92" s="430"/>
      <c r="K92" s="430"/>
      <c r="L92" s="430"/>
      <c r="M92" s="430"/>
      <c r="N92" s="430"/>
      <c r="O92" s="430"/>
      <c r="P92" s="430"/>
      <c r="Q92" s="430"/>
      <c r="R92" s="430"/>
      <c r="S92" s="430"/>
      <c r="T92" s="430"/>
      <c r="U92" s="430"/>
      <c r="V92" s="430"/>
      <c r="W92" s="430"/>
      <c r="X92" s="430"/>
      <c r="Y92" s="430"/>
      <c r="Z92" s="430"/>
      <c r="AA92" s="430"/>
      <c r="AB92" s="430"/>
      <c r="AC92" s="430"/>
      <c r="AD92" s="430"/>
      <c r="AE92" s="430"/>
    </row>
    <row r="93" customFormat="false" ht="12.75" hidden="false" customHeight="false" outlineLevel="0" collapsed="false">
      <c r="A93" s="14"/>
      <c r="B93" s="14"/>
      <c r="C93" s="14"/>
      <c r="D93" s="14"/>
      <c r="E93" s="14"/>
      <c r="F93" s="14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0"/>
      <c r="S93" s="430"/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</row>
    <row r="94" customFormat="false" ht="12.75" hidden="false" customHeight="false" outlineLevel="0" collapsed="false">
      <c r="A94" s="14"/>
      <c r="B94" s="14"/>
      <c r="C94" s="14"/>
      <c r="D94" s="14"/>
      <c r="E94" s="14"/>
      <c r="F94" s="14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</row>
    <row r="95" customFormat="false" ht="12.75" hidden="false" customHeight="false" outlineLevel="0" collapsed="false">
      <c r="A95" s="14"/>
      <c r="B95" s="14"/>
      <c r="C95" s="14"/>
      <c r="D95" s="14"/>
      <c r="E95" s="14"/>
      <c r="F95" s="14"/>
      <c r="G95" s="430"/>
      <c r="H95" s="430"/>
      <c r="I95" s="430"/>
      <c r="J95" s="430"/>
      <c r="K95" s="430"/>
      <c r="L95" s="430"/>
      <c r="M95" s="430"/>
      <c r="N95" s="430"/>
      <c r="O95" s="430"/>
      <c r="P95" s="430"/>
      <c r="Q95" s="430"/>
      <c r="R95" s="430"/>
      <c r="S95" s="430"/>
      <c r="T95" s="430"/>
      <c r="U95" s="430"/>
      <c r="V95" s="430"/>
      <c r="W95" s="430"/>
      <c r="X95" s="430"/>
      <c r="Y95" s="430"/>
      <c r="Z95" s="430"/>
      <c r="AA95" s="430"/>
      <c r="AB95" s="430"/>
      <c r="AC95" s="430"/>
      <c r="AD95" s="430"/>
      <c r="AE95" s="430"/>
    </row>
    <row r="96" customFormat="false" ht="12.75" hidden="false" customHeight="false" outlineLevel="0" collapsed="false">
      <c r="A96" s="14"/>
      <c r="B96" s="14"/>
      <c r="C96" s="14"/>
      <c r="D96" s="14"/>
      <c r="E96" s="14"/>
      <c r="F96" s="122"/>
      <c r="G96" s="432"/>
      <c r="H96" s="432"/>
      <c r="I96" s="432"/>
      <c r="J96" s="432"/>
      <c r="K96" s="432"/>
      <c r="L96" s="432"/>
      <c r="M96" s="432"/>
      <c r="N96" s="432"/>
      <c r="O96" s="432"/>
      <c r="P96" s="432"/>
      <c r="Q96" s="432"/>
      <c r="R96" s="432"/>
      <c r="S96" s="432"/>
      <c r="T96" s="432"/>
      <c r="U96" s="432"/>
      <c r="V96" s="432"/>
      <c r="W96" s="432"/>
      <c r="X96" s="432"/>
      <c r="Y96" s="432"/>
      <c r="Z96" s="432"/>
      <c r="AA96" s="432"/>
      <c r="AB96" s="432"/>
      <c r="AC96" s="432"/>
      <c r="AD96" s="432"/>
      <c r="AE96" s="432"/>
    </row>
    <row r="97" customFormat="false" ht="12.75" hidden="false" customHeight="false" outlineLevel="0" collapsed="false">
      <c r="A97" s="190"/>
      <c r="B97" s="14"/>
      <c r="C97" s="14"/>
      <c r="D97" s="14"/>
      <c r="E97" s="14"/>
      <c r="F97" s="14"/>
      <c r="G97" s="430"/>
      <c r="H97" s="430"/>
      <c r="I97" s="430"/>
      <c r="J97" s="430"/>
      <c r="K97" s="430"/>
      <c r="L97" s="430"/>
      <c r="M97" s="430"/>
      <c r="N97" s="430"/>
      <c r="O97" s="430"/>
      <c r="P97" s="430"/>
      <c r="Q97" s="430"/>
      <c r="R97" s="430"/>
      <c r="S97" s="430"/>
      <c r="T97" s="430"/>
      <c r="U97" s="430"/>
      <c r="V97" s="430"/>
      <c r="W97" s="430"/>
      <c r="X97" s="430"/>
      <c r="Y97" s="430"/>
      <c r="Z97" s="430"/>
      <c r="AA97" s="430"/>
      <c r="AB97" s="430"/>
      <c r="AC97" s="430"/>
      <c r="AD97" s="430"/>
      <c r="AE97" s="430"/>
    </row>
    <row r="98" customFormat="false" ht="12.75" hidden="false" customHeight="false" outlineLevel="0" collapsed="false">
      <c r="A98" s="14"/>
      <c r="B98" s="14"/>
      <c r="C98" s="14"/>
      <c r="D98" s="14"/>
      <c r="E98" s="14"/>
      <c r="F98" s="14"/>
      <c r="G98" s="430"/>
      <c r="H98" s="430"/>
      <c r="I98" s="430"/>
      <c r="J98" s="430"/>
      <c r="K98" s="430"/>
      <c r="L98" s="430"/>
      <c r="M98" s="430"/>
      <c r="N98" s="430"/>
      <c r="O98" s="430"/>
      <c r="P98" s="430"/>
      <c r="Q98" s="430"/>
      <c r="R98" s="430"/>
      <c r="S98" s="430"/>
      <c r="T98" s="430"/>
      <c r="U98" s="430"/>
      <c r="V98" s="430"/>
      <c r="W98" s="430"/>
      <c r="X98" s="430"/>
      <c r="Y98" s="430"/>
      <c r="Z98" s="430"/>
      <c r="AA98" s="430"/>
      <c r="AB98" s="430"/>
      <c r="AC98" s="430"/>
      <c r="AD98" s="430"/>
      <c r="AE98" s="430"/>
    </row>
    <row r="99" customFormat="false" ht="12.75" hidden="false" customHeight="false" outlineLevel="0" collapsed="false">
      <c r="A99" s="14"/>
      <c r="B99" s="14"/>
      <c r="C99" s="14"/>
      <c r="D99" s="14"/>
      <c r="E99" s="14"/>
      <c r="F99" s="122"/>
      <c r="G99" s="430"/>
      <c r="H99" s="430"/>
      <c r="I99" s="430"/>
      <c r="J99" s="430"/>
      <c r="K99" s="430"/>
      <c r="L99" s="430"/>
      <c r="M99" s="430"/>
      <c r="N99" s="430"/>
      <c r="O99" s="430"/>
      <c r="P99" s="430"/>
      <c r="Q99" s="430"/>
      <c r="R99" s="430"/>
      <c r="S99" s="430"/>
      <c r="T99" s="430"/>
      <c r="U99" s="430"/>
      <c r="V99" s="430"/>
      <c r="W99" s="430"/>
      <c r="X99" s="430"/>
      <c r="Y99" s="430"/>
      <c r="Z99" s="430"/>
      <c r="AA99" s="430"/>
      <c r="AB99" s="430"/>
      <c r="AC99" s="430"/>
      <c r="AD99" s="430"/>
      <c r="AE99" s="430"/>
    </row>
    <row r="100" customFormat="false" ht="12.75" hidden="false" customHeight="false" outlineLevel="0" collapsed="false">
      <c r="A100" s="14"/>
      <c r="B100" s="14"/>
      <c r="C100" s="14"/>
      <c r="D100" s="14"/>
      <c r="E100" s="14"/>
      <c r="F100" s="122"/>
      <c r="G100" s="433"/>
      <c r="H100" s="433"/>
      <c r="I100" s="433"/>
      <c r="J100" s="433"/>
      <c r="K100" s="433"/>
      <c r="L100" s="433"/>
      <c r="M100" s="433"/>
      <c r="N100" s="433"/>
      <c r="O100" s="433"/>
      <c r="P100" s="433"/>
      <c r="Q100" s="433"/>
      <c r="R100" s="433"/>
      <c r="S100" s="433"/>
      <c r="T100" s="433"/>
      <c r="U100" s="433"/>
      <c r="V100" s="433"/>
      <c r="W100" s="433"/>
      <c r="X100" s="433"/>
      <c r="Y100" s="433"/>
      <c r="Z100" s="433"/>
      <c r="AA100" s="433"/>
      <c r="AB100" s="433"/>
      <c r="AC100" s="433"/>
      <c r="AD100" s="433"/>
      <c r="AE100" s="433"/>
    </row>
    <row r="101" customFormat="false" ht="12.75" hidden="false" customHeight="false" outlineLevel="0" collapsed="false">
      <c r="A101" s="265"/>
      <c r="B101" s="265"/>
      <c r="C101" s="265"/>
      <c r="D101" s="265"/>
      <c r="E101" s="265"/>
      <c r="F101" s="434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</row>
    <row r="102" customFormat="false" ht="12.75" hidden="false" customHeight="false" outlineLevel="0" collapsed="false">
      <c r="A102" s="435"/>
      <c r="B102" s="265"/>
      <c r="C102" s="265"/>
      <c r="D102" s="265"/>
      <c r="E102" s="265"/>
      <c r="F102" s="436"/>
      <c r="G102" s="437"/>
      <c r="H102" s="437"/>
      <c r="I102" s="437"/>
      <c r="J102" s="437"/>
      <c r="K102" s="437"/>
      <c r="L102" s="437"/>
      <c r="M102" s="437"/>
      <c r="N102" s="437"/>
      <c r="O102" s="437"/>
      <c r="P102" s="437"/>
      <c r="Q102" s="437"/>
      <c r="R102" s="437"/>
      <c r="S102" s="437"/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</row>
    <row r="103" customFormat="false" ht="15" hidden="false" customHeight="false" outlineLevel="0" collapsed="false">
      <c r="A103" s="435"/>
      <c r="B103" s="265"/>
      <c r="C103" s="265"/>
      <c r="D103" s="265"/>
      <c r="E103" s="265"/>
      <c r="F103" s="438"/>
      <c r="G103" s="437"/>
      <c r="H103" s="437"/>
      <c r="I103" s="437"/>
      <c r="J103" s="437"/>
      <c r="K103" s="437"/>
      <c r="L103" s="437"/>
      <c r="M103" s="437"/>
      <c r="N103" s="437"/>
      <c r="O103" s="437"/>
      <c r="P103" s="437"/>
      <c r="Q103" s="437"/>
      <c r="R103" s="437"/>
      <c r="S103" s="437"/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</row>
    <row r="104" customFormat="false" ht="12.75" hidden="false" customHeight="false" outlineLevel="0" collapsed="false">
      <c r="A104" s="435"/>
      <c r="B104" s="265"/>
      <c r="C104" s="265"/>
      <c r="D104" s="265"/>
      <c r="E104" s="265"/>
      <c r="F104" s="437"/>
      <c r="G104" s="437"/>
      <c r="H104" s="437"/>
      <c r="I104" s="437"/>
      <c r="J104" s="437"/>
      <c r="K104" s="437"/>
      <c r="L104" s="437"/>
      <c r="M104" s="437"/>
      <c r="N104" s="437"/>
      <c r="O104" s="437"/>
      <c r="P104" s="437"/>
      <c r="Q104" s="437"/>
      <c r="R104" s="437"/>
      <c r="S104" s="439"/>
      <c r="T104" s="439"/>
      <c r="U104" s="439"/>
      <c r="V104" s="439"/>
      <c r="W104" s="439"/>
      <c r="X104" s="439"/>
      <c r="Y104" s="439"/>
      <c r="Z104" s="439"/>
      <c r="AA104" s="439"/>
      <c r="AB104" s="439"/>
      <c r="AC104" s="439"/>
      <c r="AD104" s="439"/>
      <c r="AE104" s="439"/>
    </row>
    <row r="105" customFormat="false" ht="12.75" hidden="false" customHeight="false" outlineLevel="0" collapsed="false">
      <c r="A105" s="265"/>
      <c r="B105" s="265"/>
      <c r="C105" s="265"/>
      <c r="D105" s="265"/>
      <c r="E105" s="265"/>
      <c r="F105" s="111"/>
      <c r="G105" s="111"/>
      <c r="H105" s="437"/>
      <c r="I105" s="437"/>
      <c r="J105" s="437"/>
      <c r="K105" s="437"/>
      <c r="L105" s="437"/>
      <c r="M105" s="437"/>
      <c r="N105" s="437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</row>
    <row r="106" customFormat="false" ht="12.75" hidden="false" customHeight="false" outlineLevel="0" collapsed="false">
      <c r="A106" s="435"/>
      <c r="B106" s="265"/>
      <c r="C106" s="265"/>
      <c r="D106" s="265"/>
      <c r="E106" s="265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434"/>
      <c r="T106" s="434"/>
      <c r="U106" s="434"/>
      <c r="V106" s="434"/>
      <c r="W106" s="434"/>
      <c r="X106" s="434"/>
      <c r="Y106" s="434"/>
      <c r="Z106" s="434"/>
      <c r="AA106" s="434"/>
      <c r="AB106" s="434"/>
      <c r="AC106" s="434"/>
      <c r="AD106" s="434"/>
      <c r="AE106" s="434"/>
    </row>
    <row r="107" customFormat="false" ht="15" hidden="false" customHeight="false" outlineLevel="0" collapsed="false">
      <c r="A107" s="435"/>
      <c r="B107" s="265"/>
      <c r="C107" s="265"/>
      <c r="D107" s="265"/>
      <c r="E107" s="265"/>
      <c r="F107" s="440"/>
      <c r="G107" s="440"/>
      <c r="H107" s="440"/>
      <c r="I107" s="440"/>
      <c r="J107" s="440"/>
      <c r="K107" s="440"/>
      <c r="L107" s="440"/>
      <c r="M107" s="440"/>
      <c r="N107" s="440"/>
      <c r="O107" s="440"/>
      <c r="P107" s="440"/>
      <c r="Q107" s="440"/>
      <c r="R107" s="440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</row>
    <row r="108" customFormat="false" ht="12.75" hidden="false" customHeight="false" outlineLevel="0" collapsed="false">
      <c r="A108" s="435"/>
      <c r="B108" s="265"/>
      <c r="C108" s="265"/>
      <c r="D108" s="265"/>
      <c r="E108" s="265"/>
      <c r="F108" s="437"/>
      <c r="G108" s="437"/>
      <c r="H108" s="437"/>
      <c r="I108" s="437"/>
      <c r="J108" s="437"/>
      <c r="K108" s="437"/>
      <c r="L108" s="437"/>
      <c r="M108" s="437"/>
      <c r="N108" s="437"/>
      <c r="O108" s="437"/>
      <c r="P108" s="437"/>
      <c r="Q108" s="437"/>
      <c r="R108" s="437"/>
      <c r="S108" s="441"/>
      <c r="T108" s="441"/>
      <c r="U108" s="441"/>
      <c r="V108" s="441"/>
      <c r="W108" s="441"/>
      <c r="X108" s="441"/>
      <c r="Y108" s="441"/>
      <c r="Z108" s="441"/>
      <c r="AA108" s="441"/>
      <c r="AB108" s="441"/>
      <c r="AC108" s="441"/>
      <c r="AD108" s="441"/>
      <c r="AE108" s="441"/>
    </row>
    <row r="109" customFormat="false" ht="12.75" hidden="false" customHeight="false" outlineLevel="0" collapsed="false">
      <c r="A109" s="265"/>
      <c r="B109" s="265"/>
      <c r="C109" s="265"/>
      <c r="D109" s="265"/>
      <c r="E109" s="265"/>
      <c r="F109" s="111"/>
      <c r="G109" s="111"/>
      <c r="H109" s="437"/>
      <c r="I109" s="437"/>
      <c r="J109" s="437"/>
      <c r="K109" s="437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</row>
    <row r="110" customFormat="false" ht="12.75" hidden="false" customHeight="false" outlineLevel="0" collapsed="false">
      <c r="A110" s="435"/>
      <c r="B110" s="265"/>
      <c r="C110" s="265"/>
      <c r="D110" s="265"/>
      <c r="E110" s="265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</row>
    <row r="111" customFormat="false" ht="15" hidden="false" customHeight="false" outlineLevel="0" collapsed="false">
      <c r="A111" s="435"/>
      <c r="B111" s="265"/>
      <c r="C111" s="265"/>
      <c r="D111" s="265"/>
      <c r="E111" s="265"/>
      <c r="F111" s="440"/>
      <c r="G111" s="440"/>
      <c r="H111" s="440"/>
      <c r="I111" s="440"/>
      <c r="J111" s="440"/>
      <c r="K111" s="440"/>
      <c r="L111" s="440"/>
      <c r="M111" s="440"/>
      <c r="N111" s="440"/>
      <c r="O111" s="440"/>
      <c r="P111" s="440"/>
      <c r="Q111" s="440"/>
      <c r="R111" s="440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</row>
    <row r="112" customFormat="false" ht="15" hidden="false" customHeight="false" outlineLevel="0" collapsed="false">
      <c r="A112" s="435"/>
      <c r="B112" s="265"/>
      <c r="C112" s="265"/>
      <c r="D112" s="265"/>
      <c r="E112" s="265"/>
      <c r="F112" s="437"/>
      <c r="G112" s="437"/>
      <c r="H112" s="437"/>
      <c r="I112" s="437"/>
      <c r="J112" s="437"/>
      <c r="K112" s="437"/>
      <c r="L112" s="437"/>
      <c r="M112" s="437"/>
      <c r="N112" s="437"/>
      <c r="O112" s="437"/>
      <c r="P112" s="437"/>
      <c r="Q112" s="437"/>
      <c r="R112" s="437"/>
      <c r="S112" s="442"/>
      <c r="T112" s="442"/>
      <c r="U112" s="442"/>
      <c r="V112" s="442"/>
      <c r="W112" s="442"/>
      <c r="X112" s="442"/>
      <c r="Y112" s="442"/>
      <c r="Z112" s="442"/>
      <c r="AA112" s="442"/>
      <c r="AB112" s="442"/>
      <c r="AC112" s="442"/>
      <c r="AD112" s="442"/>
      <c r="AE112" s="442"/>
    </row>
    <row r="113" customFormat="false" ht="12.75" hidden="false" customHeight="false" outlineLevel="0" collapsed="false">
      <c r="A113" s="265"/>
      <c r="B113" s="265"/>
      <c r="C113" s="265"/>
      <c r="D113" s="265"/>
      <c r="E113" s="265"/>
      <c r="F113" s="111"/>
      <c r="G113" s="111"/>
      <c r="H113" s="437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</row>
    <row r="114" customFormat="false" ht="12.75" hidden="false" customHeight="false" outlineLevel="0" collapsed="false">
      <c r="A114" s="435"/>
      <c r="B114" s="265"/>
      <c r="C114" s="265"/>
      <c r="D114" s="265"/>
      <c r="E114" s="265"/>
      <c r="F114" s="111"/>
      <c r="G114" s="434"/>
      <c r="H114" s="434"/>
      <c r="I114" s="434"/>
      <c r="J114" s="434"/>
      <c r="K114" s="434"/>
      <c r="L114" s="434"/>
      <c r="M114" s="434"/>
      <c r="N114" s="434"/>
      <c r="O114" s="434"/>
      <c r="P114" s="434"/>
      <c r="Q114" s="434"/>
      <c r="R114" s="434"/>
      <c r="S114" s="434"/>
      <c r="T114" s="434"/>
      <c r="U114" s="434"/>
      <c r="V114" s="434"/>
      <c r="W114" s="434"/>
      <c r="X114" s="434"/>
      <c r="Y114" s="434"/>
      <c r="Z114" s="434"/>
      <c r="AA114" s="434"/>
      <c r="AB114" s="434"/>
      <c r="AC114" s="434"/>
      <c r="AD114" s="434"/>
      <c r="AE114" s="434"/>
    </row>
    <row r="115" customFormat="false" ht="15" hidden="false" customHeight="false" outlineLevel="0" collapsed="false">
      <c r="A115" s="435"/>
      <c r="B115" s="265"/>
      <c r="C115" s="265"/>
      <c r="D115" s="265"/>
      <c r="E115" s="265"/>
      <c r="F115" s="443"/>
      <c r="G115" s="443"/>
      <c r="H115" s="443"/>
      <c r="I115" s="443"/>
      <c r="J115" s="443"/>
      <c r="K115" s="443"/>
      <c r="L115" s="443"/>
      <c r="M115" s="443"/>
      <c r="N115" s="443"/>
      <c r="O115" s="443"/>
      <c r="P115" s="443"/>
      <c r="Q115" s="443"/>
      <c r="R115" s="443"/>
      <c r="S115" s="444"/>
      <c r="T115" s="444"/>
      <c r="U115" s="444"/>
      <c r="V115" s="444"/>
      <c r="W115" s="444"/>
      <c r="X115" s="444"/>
      <c r="Y115" s="444"/>
      <c r="Z115" s="444"/>
      <c r="AA115" s="444"/>
      <c r="AB115" s="444"/>
      <c r="AC115" s="444"/>
      <c r="AD115" s="444"/>
      <c r="AE115" s="444"/>
    </row>
    <row r="116" customFormat="false" ht="12.75" hidden="false" customHeight="false" outlineLevel="0" collapsed="false">
      <c r="A116" s="435"/>
      <c r="B116" s="265"/>
      <c r="C116" s="265"/>
      <c r="D116" s="265"/>
      <c r="E116" s="265"/>
      <c r="F116" s="437"/>
      <c r="G116" s="437"/>
      <c r="H116" s="437"/>
      <c r="I116" s="437"/>
      <c r="J116" s="437"/>
      <c r="K116" s="437"/>
      <c r="L116" s="437"/>
      <c r="M116" s="437"/>
      <c r="N116" s="437"/>
      <c r="O116" s="437"/>
      <c r="P116" s="437"/>
      <c r="Q116" s="437"/>
      <c r="R116" s="437"/>
      <c r="S116" s="434"/>
      <c r="T116" s="434"/>
      <c r="U116" s="434"/>
      <c r="V116" s="434"/>
      <c r="W116" s="434"/>
      <c r="X116" s="434"/>
      <c r="Y116" s="434"/>
      <c r="Z116" s="434"/>
      <c r="AA116" s="434"/>
      <c r="AB116" s="434"/>
      <c r="AC116" s="434"/>
      <c r="AD116" s="434"/>
      <c r="AE116" s="434"/>
    </row>
    <row r="117" customFormat="false" ht="12.75" hidden="false" customHeight="false" outlineLevel="0" collapsed="false">
      <c r="A117" s="435"/>
      <c r="B117" s="265"/>
      <c r="C117" s="265"/>
      <c r="D117" s="265"/>
      <c r="E117" s="265"/>
      <c r="F117" s="437"/>
      <c r="G117" s="107"/>
      <c r="H117" s="426"/>
      <c r="I117" s="426"/>
      <c r="J117" s="426"/>
      <c r="K117" s="426"/>
      <c r="L117" s="426"/>
      <c r="M117" s="426"/>
      <c r="N117" s="426"/>
      <c r="O117" s="426"/>
      <c r="P117" s="426"/>
      <c r="Q117" s="426"/>
      <c r="R117" s="426"/>
      <c r="S117" s="426"/>
      <c r="T117" s="426"/>
      <c r="U117" s="426"/>
      <c r="V117" s="426"/>
      <c r="W117" s="426"/>
      <c r="X117" s="426"/>
      <c r="Y117" s="426"/>
      <c r="Z117" s="426"/>
      <c r="AA117" s="426"/>
      <c r="AB117" s="426"/>
      <c r="AC117" s="426"/>
      <c r="AD117" s="426"/>
      <c r="AE117" s="426"/>
    </row>
    <row r="118" customFormat="false" ht="12.75" hidden="false" customHeight="false" outlineLevel="0" collapsed="false">
      <c r="A118" s="265"/>
      <c r="B118" s="265"/>
      <c r="C118" s="265"/>
      <c r="D118" s="265"/>
      <c r="E118" s="265"/>
      <c r="F118" s="44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</row>
    <row r="119" customFormat="false" ht="12.75" hidden="false" customHeight="false" outlineLevel="0" collapsed="false">
      <c r="A119" s="265"/>
      <c r="B119" s="265"/>
      <c r="C119" s="265"/>
      <c r="D119" s="265"/>
      <c r="E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</row>
    <row r="120" customFormat="false" ht="12.75" hidden="false" customHeight="false" outlineLevel="0" collapsed="false">
      <c r="A120" s="265"/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</row>
    <row r="121" customFormat="false" ht="12.75" hidden="false" customHeight="false" outlineLevel="0" collapsed="false">
      <c r="A121" s="265"/>
      <c r="B121" s="265"/>
      <c r="C121" s="265"/>
      <c r="D121" s="265"/>
      <c r="E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</row>
    <row r="122" customFormat="false" ht="12.75" hidden="false" customHeight="false" outlineLevel="0" collapsed="false">
      <c r="A122" s="265"/>
      <c r="B122" s="265"/>
      <c r="C122" s="265"/>
      <c r="D122" s="265"/>
      <c r="E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</row>
    <row r="123" customFormat="false" ht="12.75" hidden="false" customHeight="false" outlineLevel="0" collapsed="false">
      <c r="A123" s="265"/>
      <c r="B123" s="265"/>
      <c r="C123" s="265"/>
      <c r="D123" s="265"/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</row>
    <row r="124" customFormat="false" ht="12.75" hidden="false" customHeight="false" outlineLevel="0" collapsed="false">
      <c r="A124" s="265"/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</row>
    <row r="125" customFormat="false" ht="12.75" hidden="false" customHeight="false" outlineLevel="0" collapsed="false">
      <c r="A125" s="265"/>
      <c r="B125" s="265"/>
      <c r="C125" s="265"/>
      <c r="D125" s="265"/>
      <c r="E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</row>
    <row r="126" customFormat="false" ht="15.75" hidden="false" customHeight="false" outlineLevel="0" collapsed="false">
      <c r="A126" s="446"/>
      <c r="B126" s="265"/>
      <c r="C126" s="265"/>
      <c r="D126" s="265"/>
      <c r="E126" s="265"/>
      <c r="F126" s="265"/>
      <c r="G126" s="446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</row>
    <row r="127" customFormat="false" ht="12.75" hidden="false" customHeight="false" outlineLevel="0" collapsed="false">
      <c r="A127" s="265"/>
      <c r="B127" s="265"/>
      <c r="C127" s="265"/>
      <c r="D127" s="265"/>
      <c r="E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</row>
    <row r="128" customFormat="false" ht="12.75" hidden="false" customHeight="false" outlineLevel="0" collapsed="false">
      <c r="A128" s="265"/>
      <c r="B128" s="265"/>
      <c r="C128" s="265"/>
      <c r="D128" s="265"/>
      <c r="E128" s="265"/>
      <c r="F128" s="265"/>
      <c r="G128" s="268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</row>
    <row r="129" customFormat="false" ht="12.75" hidden="false" customHeight="false" outlineLevel="0" collapsed="false">
      <c r="A129" s="265"/>
      <c r="B129" s="265"/>
      <c r="C129" s="265"/>
      <c r="D129" s="265"/>
      <c r="E129" s="265"/>
      <c r="F129" s="265"/>
      <c r="G129" s="447"/>
      <c r="H129" s="448"/>
      <c r="I129" s="448"/>
      <c r="J129" s="448"/>
      <c r="K129" s="448"/>
      <c r="L129" s="448"/>
      <c r="M129" s="448"/>
      <c r="N129" s="448"/>
      <c r="O129" s="448"/>
      <c r="P129" s="448"/>
      <c r="Q129" s="448"/>
      <c r="R129" s="448"/>
      <c r="S129" s="449"/>
      <c r="T129" s="449"/>
      <c r="U129" s="449"/>
      <c r="V129" s="449"/>
      <c r="W129" s="449"/>
      <c r="X129" s="449"/>
      <c r="Y129" s="449"/>
      <c r="Z129" s="449"/>
      <c r="AA129" s="449"/>
      <c r="AB129" s="449"/>
      <c r="AC129" s="449"/>
      <c r="AD129" s="449"/>
      <c r="AE129" s="449"/>
    </row>
    <row r="130" customFormat="false" ht="12.75" hidden="false" customHeight="false" outlineLevel="0" collapsed="false">
      <c r="A130" s="265"/>
      <c r="B130" s="265"/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</row>
    <row r="131" customFormat="false" ht="12.75" hidden="false" customHeight="false" outlineLevel="0" collapsed="false">
      <c r="A131" s="265"/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</row>
    <row r="132" customFormat="false" ht="12.75" hidden="false" customHeight="false" outlineLevel="0" collapsed="false">
      <c r="A132" s="265"/>
      <c r="B132" s="265"/>
      <c r="C132" s="265"/>
      <c r="D132" s="265"/>
      <c r="E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</row>
    <row r="133" customFormat="false" ht="12.75" hidden="false" customHeight="false" outlineLevel="0" collapsed="false">
      <c r="A133" s="265"/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</row>
    <row r="134" customFormat="false" ht="12.75" hidden="false" customHeight="false" outlineLevel="0" collapsed="false">
      <c r="A134" s="265"/>
      <c r="B134" s="265"/>
      <c r="C134" s="265"/>
      <c r="D134" s="265"/>
      <c r="E134" s="265"/>
      <c r="F134" s="265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426"/>
      <c r="T134" s="426"/>
      <c r="U134" s="426"/>
      <c r="V134" s="426"/>
      <c r="W134" s="426"/>
      <c r="X134" s="426"/>
      <c r="Y134" s="426"/>
      <c r="Z134" s="426"/>
      <c r="AA134" s="426"/>
      <c r="AB134" s="426"/>
      <c r="AC134" s="426"/>
      <c r="AD134" s="426"/>
      <c r="AE134" s="426"/>
    </row>
    <row r="135" customFormat="false" ht="12.75" hidden="false" customHeight="false" outlineLevel="0" collapsed="false">
      <c r="A135" s="265"/>
      <c r="B135" s="265"/>
      <c r="C135" s="265"/>
      <c r="D135" s="265"/>
      <c r="E135" s="265"/>
      <c r="F135" s="265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426"/>
      <c r="T135" s="426"/>
      <c r="U135" s="426"/>
      <c r="V135" s="426"/>
      <c r="W135" s="426"/>
      <c r="X135" s="426"/>
      <c r="Y135" s="426"/>
      <c r="Z135" s="426"/>
      <c r="AA135" s="426"/>
      <c r="AB135" s="426"/>
      <c r="AC135" s="426"/>
      <c r="AD135" s="426"/>
      <c r="AE135" s="426"/>
    </row>
    <row r="136" customFormat="false" ht="12.75" hidden="false" customHeight="false" outlineLevel="0" collapsed="false">
      <c r="A136" s="265"/>
      <c r="B136" s="265"/>
      <c r="C136" s="265"/>
      <c r="D136" s="265"/>
      <c r="E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</row>
    <row r="137" customFormat="false" ht="12.75" hidden="false" customHeight="false" outlineLevel="0" collapsed="false">
      <c r="A137" s="265"/>
      <c r="B137" s="265"/>
      <c r="C137" s="265"/>
      <c r="D137" s="265"/>
      <c r="E137" s="265"/>
      <c r="F137" s="265"/>
      <c r="G137" s="426"/>
      <c r="H137" s="426"/>
      <c r="I137" s="426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6"/>
      <c r="AC137" s="426"/>
      <c r="AD137" s="426"/>
      <c r="AE137" s="426"/>
    </row>
    <row r="138" customFormat="false" ht="12.75" hidden="false" customHeight="false" outlineLevel="0" collapsed="false">
      <c r="A138" s="265"/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</row>
    <row r="139" customFormat="false" ht="12.75" hidden="false" customHeight="false" outlineLevel="0" collapsed="false">
      <c r="A139" s="435"/>
      <c r="B139" s="265"/>
      <c r="C139" s="265"/>
      <c r="D139" s="265"/>
      <c r="E139" s="265"/>
      <c r="F139" s="265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426"/>
      <c r="T139" s="426"/>
      <c r="U139" s="426"/>
      <c r="V139" s="426"/>
      <c r="W139" s="426"/>
      <c r="X139" s="426"/>
      <c r="Y139" s="426"/>
      <c r="Z139" s="426"/>
      <c r="AA139" s="426"/>
      <c r="AB139" s="426"/>
      <c r="AC139" s="426"/>
      <c r="AD139" s="426"/>
      <c r="AE139" s="426"/>
    </row>
    <row r="140" customFormat="false" ht="12.75" hidden="false" customHeight="false" outlineLevel="0" collapsed="false">
      <c r="A140" s="265"/>
      <c r="B140" s="265"/>
      <c r="C140" s="265"/>
      <c r="D140" s="265"/>
      <c r="E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</row>
    <row r="141" customFormat="false" ht="12.75" hidden="false" customHeight="false" outlineLevel="0" collapsed="false">
      <c r="A141" s="265"/>
      <c r="B141" s="265"/>
      <c r="C141" s="265"/>
      <c r="D141" s="265"/>
      <c r="E141" s="265"/>
      <c r="F141" s="265"/>
      <c r="G141" s="426"/>
      <c r="H141" s="426"/>
      <c r="I141" s="426"/>
      <c r="J141" s="426"/>
      <c r="K141" s="426"/>
      <c r="L141" s="426"/>
      <c r="M141" s="426"/>
      <c r="N141" s="426"/>
      <c r="O141" s="426"/>
      <c r="P141" s="426"/>
      <c r="Q141" s="426"/>
      <c r="R141" s="426"/>
      <c r="S141" s="426"/>
      <c r="T141" s="426"/>
      <c r="U141" s="426"/>
      <c r="V141" s="426"/>
      <c r="W141" s="426"/>
      <c r="X141" s="426"/>
      <c r="Y141" s="426"/>
      <c r="Z141" s="426"/>
      <c r="AA141" s="426"/>
      <c r="AB141" s="426"/>
      <c r="AC141" s="426"/>
      <c r="AD141" s="426"/>
      <c r="AE141" s="426"/>
    </row>
    <row r="142" customFormat="false" ht="12.75" hidden="false" customHeight="false" outlineLevel="0" collapsed="false">
      <c r="A142" s="265"/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</row>
    <row r="143" customFormat="false" ht="12.75" hidden="false" customHeight="false" outlineLevel="0" collapsed="false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O143" s="107"/>
      <c r="BP143" s="107"/>
      <c r="BQ143" s="107"/>
      <c r="BR143" s="107"/>
      <c r="BS143" s="107"/>
      <c r="BT143" s="107"/>
      <c r="BU143" s="107"/>
      <c r="BV143" s="107"/>
      <c r="BW143" s="107"/>
      <c r="BX143" s="107"/>
      <c r="BY143" s="107"/>
      <c r="BZ143" s="107"/>
      <c r="CA143" s="107"/>
      <c r="CB143" s="107"/>
      <c r="CC143" s="107"/>
      <c r="CD143" s="107"/>
      <c r="CE143" s="107"/>
      <c r="CF143" s="107"/>
      <c r="CG143" s="107"/>
      <c r="CH143" s="107"/>
      <c r="CI143" s="107"/>
      <c r="CJ143" s="107"/>
      <c r="CK143" s="107"/>
      <c r="CL143" s="107"/>
      <c r="CM143" s="107"/>
      <c r="CN143" s="107"/>
      <c r="CO143" s="107"/>
      <c r="CP143" s="107"/>
      <c r="CQ143" s="107"/>
      <c r="CR143" s="107"/>
      <c r="CS143" s="107"/>
      <c r="CT143" s="107"/>
      <c r="CU143" s="107"/>
      <c r="CV143" s="107"/>
      <c r="CW143" s="107"/>
      <c r="CX143" s="107"/>
      <c r="CY143" s="107"/>
      <c r="CZ143" s="107"/>
      <c r="DA143" s="107"/>
      <c r="DB143" s="107"/>
      <c r="DC143" s="107"/>
      <c r="DD143" s="107"/>
      <c r="DE143" s="107"/>
      <c r="DF143" s="107"/>
      <c r="DG143" s="107"/>
      <c r="DH143" s="107"/>
      <c r="DI143" s="107"/>
      <c r="DJ143" s="107"/>
      <c r="DK143" s="107"/>
      <c r="DL143" s="107"/>
      <c r="DM143" s="107"/>
      <c r="DN143" s="107"/>
      <c r="DO143" s="107"/>
      <c r="DP143" s="107"/>
      <c r="DQ143" s="107"/>
      <c r="DR143" s="107"/>
      <c r="DS143" s="107"/>
      <c r="DT143" s="107"/>
      <c r="DU143" s="107"/>
      <c r="DV143" s="107"/>
      <c r="DW143" s="107"/>
      <c r="DX143" s="107"/>
      <c r="DY143" s="107"/>
      <c r="DZ143" s="107"/>
      <c r="EA143" s="107"/>
      <c r="EB143" s="107"/>
      <c r="EC143" s="107"/>
      <c r="ED143" s="107"/>
      <c r="EE143" s="107"/>
      <c r="EF143" s="107"/>
      <c r="EG143" s="107"/>
      <c r="EH143" s="107"/>
      <c r="EI143" s="107"/>
      <c r="EJ143" s="107"/>
      <c r="EK143" s="107"/>
      <c r="EL143" s="107"/>
      <c r="EM143" s="107"/>
      <c r="EN143" s="107"/>
      <c r="EO143" s="107"/>
      <c r="EP143" s="107"/>
      <c r="EQ143" s="107"/>
      <c r="ER143" s="107"/>
      <c r="ES143" s="107"/>
      <c r="ET143" s="107"/>
      <c r="EU143" s="107"/>
      <c r="EV143" s="107"/>
      <c r="EW143" s="107"/>
      <c r="EX143" s="107"/>
      <c r="EY143" s="107"/>
      <c r="EZ143" s="107"/>
      <c r="FA143" s="107"/>
      <c r="FB143" s="107"/>
      <c r="FC143" s="107"/>
      <c r="FD143" s="107"/>
      <c r="FE143" s="107"/>
      <c r="FF143" s="107"/>
      <c r="FG143" s="107"/>
      <c r="FH143" s="107"/>
      <c r="FI143" s="107"/>
      <c r="FJ143" s="107"/>
      <c r="FK143" s="107"/>
      <c r="FL143" s="107"/>
      <c r="FM143" s="107"/>
      <c r="FN143" s="107"/>
      <c r="FO143" s="107"/>
      <c r="FP143" s="107"/>
      <c r="FQ143" s="107"/>
      <c r="FR143" s="107"/>
      <c r="FS143" s="107"/>
      <c r="FT143" s="107"/>
      <c r="FU143" s="107"/>
      <c r="FV143" s="107"/>
      <c r="FW143" s="107"/>
      <c r="FX143" s="107"/>
      <c r="FY143" s="107"/>
      <c r="FZ143" s="107"/>
      <c r="GA143" s="107"/>
      <c r="GB143" s="107"/>
      <c r="GC143" s="107"/>
      <c r="GD143" s="107"/>
      <c r="GE143" s="107"/>
      <c r="GF143" s="107"/>
      <c r="GG143" s="107"/>
      <c r="GH143" s="107"/>
      <c r="GI143" s="107"/>
      <c r="GJ143" s="107"/>
      <c r="GK143" s="107"/>
      <c r="GL143" s="107"/>
      <c r="GM143" s="107"/>
      <c r="GN143" s="107"/>
      <c r="GO143" s="107"/>
      <c r="GP143" s="107"/>
      <c r="GQ143" s="107"/>
      <c r="GR143" s="107"/>
      <c r="GS143" s="107"/>
      <c r="GT143" s="107"/>
      <c r="GU143" s="107"/>
      <c r="GV143" s="107"/>
      <c r="GW143" s="107"/>
      <c r="GX143" s="107"/>
      <c r="GY143" s="107"/>
      <c r="GZ143" s="107"/>
      <c r="HA143" s="107"/>
      <c r="HB143" s="107"/>
      <c r="HC143" s="107"/>
      <c r="HD143" s="107"/>
      <c r="HE143" s="107"/>
      <c r="HF143" s="107"/>
      <c r="HG143" s="107"/>
      <c r="HH143" s="107"/>
      <c r="HI143" s="107"/>
      <c r="HJ143" s="107"/>
      <c r="HK143" s="107"/>
      <c r="HL143" s="107"/>
      <c r="HM143" s="107"/>
      <c r="HN143" s="107"/>
      <c r="HO143" s="107"/>
      <c r="HP143" s="107"/>
      <c r="HQ143" s="107"/>
      <c r="HR143" s="107"/>
      <c r="HS143" s="107"/>
      <c r="HT143" s="107"/>
      <c r="HU143" s="107"/>
      <c r="HV143" s="107"/>
      <c r="HW143" s="107"/>
      <c r="HX143" s="107"/>
      <c r="HY143" s="107"/>
      <c r="HZ143" s="107"/>
      <c r="IA143" s="107"/>
      <c r="IB143" s="107"/>
      <c r="IC143" s="107"/>
      <c r="ID143" s="107"/>
      <c r="IE143" s="107"/>
      <c r="IF143" s="107"/>
      <c r="IG143" s="107"/>
      <c r="IH143" s="107"/>
      <c r="II143" s="107"/>
      <c r="IJ143" s="107"/>
      <c r="IK143" s="107"/>
      <c r="IL143" s="107"/>
      <c r="IM143" s="107"/>
      <c r="IN143" s="107"/>
      <c r="IO143" s="107"/>
      <c r="IP143" s="107"/>
      <c r="IQ143" s="107"/>
      <c r="IR143" s="107"/>
      <c r="IS143" s="107"/>
      <c r="IT143" s="107"/>
      <c r="IU143" s="107"/>
      <c r="IV143" s="107"/>
      <c r="IW143" s="107"/>
    </row>
    <row r="144" customFormat="false" ht="12.75" hidden="false" customHeight="false" outlineLevel="0" collapsed="false">
      <c r="A144" s="265"/>
      <c r="B144" s="265"/>
      <c r="C144" s="265"/>
      <c r="D144" s="265"/>
      <c r="E144" s="265"/>
      <c r="F144" s="265"/>
      <c r="G144" s="426"/>
      <c r="H144" s="426"/>
      <c r="I144" s="426"/>
      <c r="J144" s="426"/>
      <c r="K144" s="426"/>
      <c r="L144" s="426"/>
      <c r="M144" s="426"/>
      <c r="N144" s="426"/>
      <c r="O144" s="426"/>
      <c r="P144" s="426"/>
      <c r="Q144" s="426"/>
      <c r="R144" s="426"/>
      <c r="S144" s="426"/>
      <c r="T144" s="426"/>
      <c r="U144" s="426"/>
      <c r="V144" s="426"/>
      <c r="W144" s="426"/>
      <c r="X144" s="426"/>
      <c r="Y144" s="426"/>
      <c r="Z144" s="426"/>
      <c r="AA144" s="426"/>
      <c r="AB144" s="426"/>
      <c r="AC144" s="426"/>
      <c r="AD144" s="426"/>
      <c r="AE144" s="426"/>
    </row>
    <row r="145" customFormat="false" ht="12.75" hidden="false" customHeight="false" outlineLevel="0" collapsed="false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426"/>
      <c r="T145" s="426"/>
      <c r="U145" s="426"/>
      <c r="V145" s="426"/>
      <c r="W145" s="426"/>
      <c r="X145" s="426"/>
      <c r="Y145" s="426"/>
      <c r="Z145" s="426"/>
      <c r="AA145" s="426"/>
      <c r="AB145" s="426"/>
      <c r="AC145" s="426"/>
      <c r="AD145" s="426"/>
      <c r="AE145" s="426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O145" s="107"/>
      <c r="BP145" s="107"/>
      <c r="BQ145" s="107"/>
      <c r="BR145" s="107"/>
      <c r="BS145" s="107"/>
      <c r="BT145" s="107"/>
      <c r="BU145" s="107"/>
      <c r="BV145" s="107"/>
      <c r="BW145" s="107"/>
      <c r="BX145" s="107"/>
      <c r="BY145" s="107"/>
      <c r="BZ145" s="107"/>
      <c r="CA145" s="107"/>
      <c r="CB145" s="107"/>
      <c r="CC145" s="107"/>
      <c r="CD145" s="107"/>
      <c r="CE145" s="107"/>
      <c r="CF145" s="107"/>
      <c r="CG145" s="107"/>
      <c r="CH145" s="107"/>
      <c r="CI145" s="107"/>
      <c r="CJ145" s="107"/>
      <c r="CK145" s="107"/>
      <c r="CL145" s="107"/>
      <c r="CM145" s="107"/>
      <c r="CN145" s="107"/>
      <c r="CO145" s="107"/>
      <c r="CP145" s="107"/>
      <c r="CQ145" s="107"/>
      <c r="CR145" s="107"/>
      <c r="CS145" s="107"/>
      <c r="CT145" s="107"/>
      <c r="CU145" s="107"/>
      <c r="CV145" s="107"/>
      <c r="CW145" s="107"/>
      <c r="CX145" s="107"/>
      <c r="CY145" s="107"/>
      <c r="CZ145" s="107"/>
      <c r="DA145" s="107"/>
      <c r="DB145" s="107"/>
      <c r="DC145" s="107"/>
      <c r="DD145" s="107"/>
      <c r="DE145" s="107"/>
      <c r="DF145" s="107"/>
      <c r="DG145" s="107"/>
      <c r="DH145" s="107"/>
      <c r="DI145" s="107"/>
      <c r="DJ145" s="107"/>
      <c r="DK145" s="107"/>
      <c r="DL145" s="107"/>
      <c r="DM145" s="107"/>
      <c r="DN145" s="107"/>
      <c r="DO145" s="107"/>
      <c r="DP145" s="107"/>
      <c r="DQ145" s="107"/>
      <c r="DR145" s="107"/>
      <c r="DS145" s="107"/>
      <c r="DT145" s="107"/>
      <c r="DU145" s="107"/>
      <c r="DV145" s="107"/>
      <c r="DW145" s="107"/>
      <c r="DX145" s="107"/>
      <c r="DY145" s="107"/>
      <c r="DZ145" s="107"/>
      <c r="EA145" s="107"/>
      <c r="EB145" s="107"/>
      <c r="EC145" s="107"/>
      <c r="ED145" s="107"/>
      <c r="EE145" s="107"/>
      <c r="EF145" s="107"/>
      <c r="EG145" s="107"/>
      <c r="EH145" s="107"/>
      <c r="EI145" s="107"/>
      <c r="EJ145" s="107"/>
      <c r="EK145" s="107"/>
      <c r="EL145" s="107"/>
      <c r="EM145" s="107"/>
      <c r="EN145" s="107"/>
      <c r="EO145" s="107"/>
      <c r="EP145" s="107"/>
      <c r="EQ145" s="107"/>
      <c r="ER145" s="107"/>
      <c r="ES145" s="107"/>
      <c r="ET145" s="107"/>
      <c r="EU145" s="107"/>
      <c r="EV145" s="107"/>
      <c r="EW145" s="107"/>
      <c r="EX145" s="107"/>
      <c r="EY145" s="107"/>
      <c r="EZ145" s="107"/>
      <c r="FA145" s="107"/>
      <c r="FB145" s="107"/>
      <c r="FC145" s="107"/>
      <c r="FD145" s="107"/>
      <c r="FE145" s="107"/>
      <c r="FF145" s="107"/>
      <c r="FG145" s="107"/>
      <c r="FH145" s="107"/>
      <c r="FI145" s="107"/>
      <c r="FJ145" s="107"/>
      <c r="FK145" s="107"/>
      <c r="FL145" s="107"/>
      <c r="FM145" s="107"/>
      <c r="FN145" s="107"/>
      <c r="FO145" s="107"/>
      <c r="FP145" s="107"/>
      <c r="FQ145" s="107"/>
      <c r="FR145" s="107"/>
      <c r="FS145" s="107"/>
      <c r="FT145" s="107"/>
      <c r="FU145" s="107"/>
      <c r="FV145" s="107"/>
      <c r="FW145" s="107"/>
      <c r="FX145" s="107"/>
      <c r="FY145" s="107"/>
      <c r="FZ145" s="107"/>
      <c r="GA145" s="107"/>
      <c r="GB145" s="107"/>
      <c r="GC145" s="107"/>
      <c r="GD145" s="107"/>
      <c r="GE145" s="107"/>
      <c r="GF145" s="107"/>
      <c r="GG145" s="107"/>
      <c r="GH145" s="107"/>
      <c r="GI145" s="107"/>
      <c r="GJ145" s="107"/>
      <c r="GK145" s="107"/>
      <c r="GL145" s="107"/>
      <c r="GM145" s="107"/>
      <c r="GN145" s="107"/>
      <c r="GO145" s="107"/>
      <c r="GP145" s="107"/>
      <c r="GQ145" s="107"/>
      <c r="GR145" s="107"/>
      <c r="GS145" s="107"/>
      <c r="GT145" s="107"/>
      <c r="GU145" s="107"/>
      <c r="GV145" s="107"/>
      <c r="GW145" s="107"/>
      <c r="GX145" s="107"/>
      <c r="GY145" s="107"/>
      <c r="GZ145" s="107"/>
      <c r="HA145" s="107"/>
      <c r="HB145" s="107"/>
      <c r="HC145" s="107"/>
      <c r="HD145" s="107"/>
      <c r="HE145" s="107"/>
      <c r="HF145" s="107"/>
      <c r="HG145" s="107"/>
      <c r="HH145" s="107"/>
      <c r="HI145" s="107"/>
      <c r="HJ145" s="107"/>
      <c r="HK145" s="107"/>
      <c r="HL145" s="107"/>
      <c r="HM145" s="107"/>
      <c r="HN145" s="107"/>
      <c r="HO145" s="107"/>
      <c r="HP145" s="107"/>
      <c r="HQ145" s="107"/>
      <c r="HR145" s="107"/>
      <c r="HS145" s="107"/>
      <c r="HT145" s="107"/>
      <c r="HU145" s="107"/>
      <c r="HV145" s="107"/>
      <c r="HW145" s="107"/>
      <c r="HX145" s="107"/>
      <c r="HY145" s="107"/>
      <c r="HZ145" s="107"/>
      <c r="IA145" s="107"/>
      <c r="IB145" s="107"/>
      <c r="IC145" s="107"/>
      <c r="ID145" s="107"/>
      <c r="IE145" s="107"/>
      <c r="IF145" s="107"/>
      <c r="IG145" s="107"/>
      <c r="IH145" s="107"/>
      <c r="II145" s="107"/>
      <c r="IJ145" s="107"/>
      <c r="IK145" s="107"/>
      <c r="IL145" s="107"/>
      <c r="IM145" s="107"/>
      <c r="IN145" s="107"/>
      <c r="IO145" s="107"/>
      <c r="IP145" s="107"/>
      <c r="IQ145" s="107"/>
      <c r="IR145" s="107"/>
      <c r="IS145" s="107"/>
      <c r="IT145" s="107"/>
      <c r="IU145" s="107"/>
      <c r="IV145" s="107"/>
      <c r="IW145" s="107"/>
    </row>
    <row r="146" customFormat="false" ht="12.75" hidden="false" customHeight="false" outlineLevel="0" collapsed="false">
      <c r="A146" s="265"/>
      <c r="B146" s="265"/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</row>
    <row r="147" customFormat="false" ht="12.75" hidden="false" customHeight="false" outlineLevel="0" collapsed="false">
      <c r="A147" s="265"/>
      <c r="B147" s="265"/>
      <c r="C147" s="265"/>
      <c r="D147" s="265"/>
      <c r="E147" s="265"/>
      <c r="F147" s="265"/>
      <c r="G147" s="426"/>
      <c r="H147" s="426"/>
      <c r="I147" s="426"/>
      <c r="J147" s="426"/>
      <c r="K147" s="426"/>
      <c r="L147" s="426"/>
      <c r="M147" s="426"/>
      <c r="N147" s="426"/>
      <c r="O147" s="426"/>
      <c r="P147" s="426"/>
      <c r="Q147" s="426"/>
      <c r="R147" s="426"/>
      <c r="S147" s="426"/>
      <c r="T147" s="426"/>
      <c r="U147" s="426"/>
      <c r="V147" s="426"/>
      <c r="W147" s="426"/>
      <c r="X147" s="426"/>
      <c r="Y147" s="426"/>
      <c r="Z147" s="426"/>
      <c r="AA147" s="426"/>
      <c r="AB147" s="426"/>
      <c r="AC147" s="426"/>
      <c r="AD147" s="426"/>
      <c r="AE147" s="426"/>
    </row>
    <row r="148" customFormat="false" ht="12.75" hidden="false" customHeight="false" outlineLevel="0" collapsed="false">
      <c r="A148" s="265"/>
      <c r="B148" s="265"/>
      <c r="C148" s="265"/>
      <c r="D148" s="265"/>
      <c r="E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</row>
    <row r="149" customFormat="false" ht="12.75" hidden="false" customHeight="false" outlineLevel="0" collapsed="false">
      <c r="A149" s="265"/>
      <c r="B149" s="265"/>
      <c r="C149" s="265"/>
      <c r="D149" s="265"/>
      <c r="E149" s="265"/>
      <c r="F149" s="265"/>
      <c r="G149" s="426"/>
      <c r="H149" s="426"/>
      <c r="I149" s="426"/>
      <c r="J149" s="426"/>
      <c r="K149" s="426"/>
      <c r="L149" s="426"/>
      <c r="M149" s="426"/>
      <c r="N149" s="426"/>
      <c r="O149" s="426"/>
      <c r="P149" s="426"/>
      <c r="Q149" s="426"/>
      <c r="R149" s="426"/>
      <c r="S149" s="426"/>
      <c r="T149" s="426"/>
      <c r="U149" s="426"/>
      <c r="V149" s="426"/>
      <c r="W149" s="426"/>
      <c r="X149" s="426"/>
      <c r="Y149" s="426"/>
      <c r="Z149" s="426"/>
      <c r="AA149" s="426"/>
      <c r="AB149" s="426"/>
      <c r="AC149" s="426"/>
      <c r="AD149" s="426"/>
      <c r="AE149" s="426"/>
    </row>
    <row r="150" customFormat="false" ht="12.75" hidden="false" customHeight="false" outlineLevel="0" collapsed="false">
      <c r="A150" s="265"/>
      <c r="B150" s="265"/>
      <c r="C150" s="265"/>
      <c r="D150" s="265"/>
      <c r="E150" s="265"/>
      <c r="F150" s="265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426"/>
      <c r="T150" s="426"/>
      <c r="U150" s="426"/>
      <c r="V150" s="426"/>
      <c r="W150" s="426"/>
      <c r="X150" s="426"/>
      <c r="Y150" s="426"/>
      <c r="Z150" s="426"/>
      <c r="AA150" s="426"/>
      <c r="AB150" s="426"/>
      <c r="AC150" s="426"/>
      <c r="AD150" s="426"/>
      <c r="AE150" s="426"/>
    </row>
    <row r="151" customFormat="false" ht="12.75" hidden="false" customHeight="false" outlineLevel="0" collapsed="false">
      <c r="A151" s="265"/>
      <c r="B151" s="265"/>
      <c r="C151" s="265"/>
      <c r="D151" s="265"/>
      <c r="E151" s="265"/>
      <c r="F151" s="265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426"/>
      <c r="T151" s="426"/>
      <c r="U151" s="426"/>
      <c r="V151" s="426"/>
      <c r="W151" s="426"/>
      <c r="X151" s="426"/>
      <c r="Y151" s="426"/>
      <c r="Z151" s="426"/>
      <c r="AA151" s="426"/>
      <c r="AB151" s="426"/>
      <c r="AC151" s="426"/>
      <c r="AD151" s="426"/>
      <c r="AE151" s="426"/>
    </row>
    <row r="152" customFormat="false" ht="12.75" hidden="false" customHeight="false" outlineLevel="0" collapsed="false">
      <c r="A152" s="265"/>
      <c r="B152" s="265"/>
      <c r="C152" s="265"/>
      <c r="D152" s="265"/>
      <c r="E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</row>
    <row r="153" customFormat="false" ht="12.75" hidden="false" customHeight="false" outlineLevel="0" collapsed="false">
      <c r="A153" s="265"/>
      <c r="B153" s="265"/>
      <c r="C153" s="265"/>
      <c r="D153" s="265"/>
      <c r="E153" s="265"/>
      <c r="F153" s="265"/>
      <c r="G153" s="426"/>
      <c r="H153" s="426"/>
      <c r="I153" s="426"/>
      <c r="J153" s="426"/>
      <c r="K153" s="426"/>
      <c r="L153" s="426"/>
      <c r="M153" s="426"/>
      <c r="N153" s="426"/>
      <c r="O153" s="426"/>
      <c r="P153" s="426"/>
      <c r="Q153" s="426"/>
      <c r="R153" s="426"/>
      <c r="S153" s="426"/>
      <c r="T153" s="426"/>
      <c r="U153" s="426"/>
      <c r="V153" s="426"/>
      <c r="W153" s="426"/>
      <c r="X153" s="426"/>
      <c r="Y153" s="426"/>
      <c r="Z153" s="426"/>
      <c r="AA153" s="426"/>
      <c r="AB153" s="426"/>
      <c r="AC153" s="426"/>
      <c r="AD153" s="426"/>
      <c r="AE153" s="426"/>
    </row>
    <row r="154" customFormat="false" ht="12.75" hidden="false" customHeight="false" outlineLevel="0" collapsed="false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  <c r="EH154" s="107"/>
      <c r="EI154" s="107"/>
      <c r="EJ154" s="107"/>
      <c r="EK154" s="107"/>
      <c r="EL154" s="107"/>
      <c r="EM154" s="107"/>
      <c r="EN154" s="107"/>
      <c r="EO154" s="107"/>
      <c r="EP154" s="107"/>
      <c r="EQ154" s="107"/>
      <c r="ER154" s="107"/>
      <c r="ES154" s="107"/>
      <c r="ET154" s="107"/>
      <c r="EU154" s="107"/>
      <c r="EV154" s="107"/>
      <c r="EW154" s="107"/>
      <c r="EX154" s="107"/>
      <c r="EY154" s="107"/>
      <c r="EZ154" s="107"/>
      <c r="FA154" s="107"/>
      <c r="FB154" s="107"/>
      <c r="FC154" s="107"/>
      <c r="FD154" s="107"/>
      <c r="FE154" s="107"/>
      <c r="FF154" s="107"/>
      <c r="FG154" s="107"/>
      <c r="FH154" s="107"/>
      <c r="FI154" s="107"/>
      <c r="FJ154" s="107"/>
      <c r="FK154" s="107"/>
      <c r="FL154" s="107"/>
      <c r="FM154" s="107"/>
      <c r="FN154" s="107"/>
      <c r="FO154" s="107"/>
      <c r="FP154" s="107"/>
      <c r="FQ154" s="107"/>
      <c r="FR154" s="107"/>
      <c r="FS154" s="107"/>
      <c r="FT154" s="107"/>
      <c r="FU154" s="107"/>
      <c r="FV154" s="107"/>
      <c r="FW154" s="107"/>
      <c r="FX154" s="107"/>
      <c r="FY154" s="107"/>
      <c r="FZ154" s="107"/>
      <c r="GA154" s="107"/>
      <c r="GB154" s="107"/>
      <c r="GC154" s="107"/>
      <c r="GD154" s="107"/>
      <c r="GE154" s="107"/>
      <c r="GF154" s="107"/>
      <c r="GG154" s="107"/>
      <c r="GH154" s="107"/>
      <c r="GI154" s="107"/>
      <c r="GJ154" s="107"/>
      <c r="GK154" s="107"/>
      <c r="GL154" s="107"/>
      <c r="GM154" s="107"/>
      <c r="GN154" s="107"/>
      <c r="GO154" s="107"/>
      <c r="GP154" s="107"/>
      <c r="GQ154" s="107"/>
      <c r="GR154" s="107"/>
      <c r="GS154" s="107"/>
      <c r="GT154" s="107"/>
      <c r="GU154" s="107"/>
      <c r="GV154" s="107"/>
      <c r="GW154" s="107"/>
      <c r="GX154" s="107"/>
      <c r="GY154" s="107"/>
      <c r="GZ154" s="107"/>
      <c r="HA154" s="107"/>
      <c r="HB154" s="107"/>
      <c r="HC154" s="107"/>
      <c r="HD154" s="107"/>
      <c r="HE154" s="107"/>
      <c r="HF154" s="107"/>
      <c r="HG154" s="107"/>
      <c r="HH154" s="107"/>
      <c r="HI154" s="107"/>
      <c r="HJ154" s="107"/>
      <c r="HK154" s="107"/>
      <c r="HL154" s="107"/>
      <c r="HM154" s="107"/>
      <c r="HN154" s="107"/>
      <c r="HO154" s="107"/>
      <c r="HP154" s="107"/>
      <c r="HQ154" s="107"/>
      <c r="HR154" s="107"/>
      <c r="HS154" s="107"/>
      <c r="HT154" s="107"/>
      <c r="HU154" s="107"/>
      <c r="HV154" s="107"/>
      <c r="HW154" s="107"/>
      <c r="HX154" s="107"/>
      <c r="HY154" s="107"/>
      <c r="HZ154" s="107"/>
      <c r="IA154" s="107"/>
      <c r="IB154" s="107"/>
      <c r="IC154" s="107"/>
      <c r="ID154" s="107"/>
      <c r="IE154" s="107"/>
      <c r="IF154" s="107"/>
      <c r="IG154" s="107"/>
      <c r="IH154" s="107"/>
      <c r="II154" s="107"/>
      <c r="IJ154" s="107"/>
      <c r="IK154" s="107"/>
      <c r="IL154" s="107"/>
      <c r="IM154" s="107"/>
      <c r="IN154" s="107"/>
      <c r="IO154" s="107"/>
      <c r="IP154" s="107"/>
      <c r="IQ154" s="107"/>
      <c r="IR154" s="107"/>
      <c r="IS154" s="107"/>
      <c r="IT154" s="107"/>
      <c r="IU154" s="107"/>
      <c r="IV154" s="107"/>
      <c r="IW154" s="107"/>
    </row>
    <row r="155" customFormat="false" ht="12.75" hidden="false" customHeight="false" outlineLevel="0" collapsed="false">
      <c r="A155" s="265"/>
      <c r="B155" s="265"/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</row>
    <row r="156" customFormat="false" ht="12.75" hidden="false" customHeight="false" outlineLevel="0" collapsed="false">
      <c r="A156" s="425"/>
      <c r="B156" s="425"/>
      <c r="C156" s="425"/>
      <c r="D156" s="425"/>
      <c r="E156" s="425"/>
      <c r="F156" s="425"/>
      <c r="G156" s="450"/>
      <c r="H156" s="450"/>
      <c r="I156" s="450"/>
      <c r="J156" s="450"/>
      <c r="K156" s="450"/>
      <c r="L156" s="450"/>
      <c r="M156" s="450"/>
      <c r="N156" s="450"/>
      <c r="O156" s="450"/>
      <c r="P156" s="450"/>
      <c r="Q156" s="450"/>
      <c r="R156" s="450"/>
      <c r="S156" s="450"/>
      <c r="T156" s="450"/>
      <c r="U156" s="450"/>
      <c r="V156" s="450"/>
      <c r="W156" s="450"/>
      <c r="X156" s="450"/>
      <c r="Y156" s="450"/>
      <c r="Z156" s="450"/>
      <c r="AA156" s="450"/>
      <c r="AB156" s="450"/>
      <c r="AC156" s="450"/>
      <c r="AD156" s="450"/>
      <c r="AE156" s="450"/>
    </row>
    <row r="157" customFormat="false" ht="12.75" hidden="false" customHeight="false" outlineLevel="0" collapsed="false">
      <c r="A157" s="265"/>
      <c r="B157" s="265"/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</row>
    <row r="158" customFormat="false" ht="12.75" hidden="false" customHeight="false" outlineLevel="0" collapsed="false">
      <c r="A158" s="435"/>
      <c r="B158" s="265"/>
      <c r="C158" s="265"/>
      <c r="D158" s="265"/>
      <c r="E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</row>
    <row r="159" customFormat="false" ht="12.75" hidden="false" customHeight="false" outlineLevel="0" collapsed="false">
      <c r="A159" s="265"/>
      <c r="B159" s="265"/>
      <c r="C159" s="265"/>
      <c r="D159" s="265"/>
      <c r="E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</row>
    <row r="160" customFormat="false" ht="12.75" hidden="false" customHeight="false" outlineLevel="0" collapsed="false">
      <c r="A160" s="265"/>
      <c r="B160" s="265"/>
      <c r="C160" s="265"/>
      <c r="D160" s="265"/>
      <c r="E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</row>
    <row r="161" customFormat="false" ht="12.75" hidden="false" customHeight="false" outlineLevel="0" collapsed="false">
      <c r="A161" s="265"/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</row>
    <row r="162" customFormat="false" ht="15.75" hidden="false" customHeight="false" outlineLevel="0" collapsed="false">
      <c r="A162" s="446"/>
      <c r="B162" s="265"/>
      <c r="C162" s="265"/>
      <c r="D162" s="265"/>
      <c r="E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</row>
    <row r="163" customFormat="false" ht="15.75" hidden="false" customHeight="false" outlineLevel="0" collapsed="false">
      <c r="A163" s="446"/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</row>
    <row r="164" customFormat="false" ht="15.75" hidden="false" customHeight="false" outlineLevel="0" collapsed="false">
      <c r="A164" s="446"/>
      <c r="B164" s="265"/>
      <c r="C164" s="265"/>
      <c r="D164" s="265"/>
      <c r="E164" s="265"/>
      <c r="F164" s="265"/>
      <c r="G164" s="446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</row>
    <row r="165" customFormat="false" ht="12.75" hidden="false" customHeight="false" outlineLevel="0" collapsed="false">
      <c r="A165" s="265"/>
      <c r="B165" s="265"/>
      <c r="C165" s="265"/>
      <c r="D165" s="265"/>
      <c r="E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</row>
    <row r="166" customFormat="false" ht="12.75" hidden="false" customHeight="false" outlineLevel="0" collapsed="false">
      <c r="A166" s="265"/>
      <c r="B166" s="265"/>
      <c r="C166" s="265"/>
      <c r="D166" s="265"/>
      <c r="E166" s="265"/>
      <c r="F166" s="265"/>
      <c r="G166" s="268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</row>
    <row r="167" customFormat="false" ht="12.75" hidden="false" customHeight="false" outlineLevel="0" collapsed="false">
      <c r="A167" s="265"/>
      <c r="B167" s="265"/>
      <c r="C167" s="265"/>
      <c r="D167" s="265"/>
      <c r="E167" s="265"/>
      <c r="F167" s="265"/>
      <c r="G167" s="447"/>
      <c r="H167" s="448"/>
      <c r="I167" s="448"/>
      <c r="J167" s="448"/>
      <c r="K167" s="448"/>
      <c r="L167" s="448"/>
      <c r="M167" s="448"/>
      <c r="N167" s="448"/>
      <c r="O167" s="448"/>
      <c r="P167" s="448"/>
      <c r="Q167" s="448"/>
      <c r="R167" s="448"/>
      <c r="S167" s="451"/>
      <c r="T167" s="451"/>
      <c r="U167" s="451"/>
      <c r="V167" s="451"/>
      <c r="W167" s="451"/>
      <c r="X167" s="451"/>
      <c r="Y167" s="451"/>
      <c r="Z167" s="451"/>
      <c r="AA167" s="451"/>
      <c r="AB167" s="451"/>
      <c r="AC167" s="451"/>
      <c r="AD167" s="451"/>
      <c r="AE167" s="451"/>
    </row>
    <row r="168" customFormat="false" ht="12.75" hidden="false" customHeight="false" outlineLevel="0" collapsed="false">
      <c r="A168" s="265"/>
      <c r="B168" s="265"/>
      <c r="C168" s="265"/>
      <c r="D168" s="265"/>
      <c r="E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</row>
    <row r="169" customFormat="false" ht="12.75" hidden="false" customHeight="false" outlineLevel="0" collapsed="false">
      <c r="A169" s="265"/>
      <c r="B169" s="265"/>
      <c r="C169" s="265"/>
      <c r="D169" s="265"/>
      <c r="E169" s="265"/>
      <c r="F169" s="265"/>
      <c r="G169" s="265"/>
      <c r="H169" s="265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</row>
    <row r="170" customFormat="false" ht="12.75" hidden="false" customHeight="false" outlineLevel="0" collapsed="false">
      <c r="A170" s="265"/>
      <c r="B170" s="265"/>
      <c r="C170" s="265"/>
      <c r="D170" s="265"/>
      <c r="E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</row>
    <row r="171" customFormat="false" ht="12.75" hidden="false" customHeight="false" outlineLevel="0" collapsed="false">
      <c r="A171" s="265"/>
      <c r="B171" s="265"/>
      <c r="C171" s="265"/>
      <c r="D171" s="265"/>
      <c r="E171" s="265"/>
      <c r="F171" s="265"/>
      <c r="G171" s="265"/>
      <c r="H171" s="265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</row>
    <row r="172" customFormat="false" ht="12.75" hidden="false" customHeight="false" outlineLevel="0" collapsed="false">
      <c r="A172" s="265"/>
      <c r="B172" s="265"/>
      <c r="C172" s="265"/>
      <c r="D172" s="265"/>
      <c r="E172" s="265"/>
      <c r="F172" s="265"/>
      <c r="G172" s="274"/>
      <c r="H172" s="274"/>
      <c r="I172" s="274"/>
      <c r="J172" s="274"/>
      <c r="K172" s="274"/>
      <c r="L172" s="274"/>
      <c r="M172" s="274"/>
      <c r="N172" s="274"/>
      <c r="O172" s="274"/>
      <c r="P172" s="274"/>
      <c r="Q172" s="274"/>
      <c r="R172" s="274"/>
      <c r="S172" s="452"/>
      <c r="T172" s="452"/>
      <c r="U172" s="452"/>
      <c r="V172" s="452"/>
      <c r="W172" s="452"/>
      <c r="X172" s="452"/>
      <c r="Y172" s="452"/>
      <c r="Z172" s="452"/>
      <c r="AA172" s="452"/>
      <c r="AB172" s="452"/>
      <c r="AC172" s="452"/>
      <c r="AD172" s="452"/>
      <c r="AE172" s="452"/>
    </row>
    <row r="173" customFormat="false" ht="12.75" hidden="false" customHeight="false" outlineLevel="0" collapsed="false">
      <c r="A173" s="265"/>
      <c r="B173" s="265"/>
      <c r="C173" s="265"/>
      <c r="D173" s="265"/>
      <c r="E173" s="265"/>
      <c r="F173" s="265"/>
      <c r="G173" s="274"/>
      <c r="H173" s="274"/>
      <c r="I173" s="274"/>
      <c r="J173" s="274"/>
      <c r="K173" s="274"/>
      <c r="L173" s="274"/>
      <c r="M173" s="274"/>
      <c r="N173" s="274"/>
      <c r="O173" s="274"/>
      <c r="P173" s="274"/>
      <c r="Q173" s="274"/>
      <c r="R173" s="274"/>
      <c r="S173" s="452"/>
      <c r="T173" s="452"/>
      <c r="U173" s="452"/>
      <c r="V173" s="452"/>
      <c r="W173" s="452"/>
      <c r="X173" s="452"/>
      <c r="Y173" s="452"/>
      <c r="Z173" s="452"/>
      <c r="AA173" s="452"/>
      <c r="AB173" s="452"/>
      <c r="AC173" s="452"/>
      <c r="AD173" s="452"/>
      <c r="AE173" s="452"/>
    </row>
    <row r="174" customFormat="false" ht="12.75" hidden="false" customHeight="false" outlineLevel="0" collapsed="false">
      <c r="A174" s="265"/>
      <c r="B174" s="265"/>
      <c r="C174" s="265"/>
      <c r="D174" s="265"/>
      <c r="E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</row>
    <row r="175" customFormat="false" ht="12.75" hidden="false" customHeight="false" outlineLevel="0" collapsed="false">
      <c r="A175" s="265"/>
      <c r="B175" s="265"/>
      <c r="C175" s="265"/>
      <c r="D175" s="265"/>
      <c r="E175" s="265"/>
      <c r="F175" s="265"/>
      <c r="G175" s="452"/>
      <c r="H175" s="452"/>
      <c r="I175" s="452"/>
      <c r="J175" s="452"/>
      <c r="K175" s="452"/>
      <c r="L175" s="452"/>
      <c r="M175" s="452"/>
      <c r="N175" s="452"/>
      <c r="O175" s="452"/>
      <c r="P175" s="452"/>
      <c r="Q175" s="452"/>
      <c r="R175" s="452"/>
      <c r="S175" s="452"/>
      <c r="T175" s="452"/>
      <c r="U175" s="452"/>
      <c r="V175" s="452"/>
      <c r="W175" s="452"/>
      <c r="X175" s="452"/>
      <c r="Y175" s="452"/>
      <c r="Z175" s="452"/>
      <c r="AA175" s="452"/>
      <c r="AB175" s="452"/>
      <c r="AC175" s="452"/>
      <c r="AD175" s="452"/>
      <c r="AE175" s="452"/>
    </row>
    <row r="176" customFormat="false" ht="12.75" hidden="false" customHeight="false" outlineLevel="0" collapsed="false">
      <c r="A176" s="265"/>
      <c r="B176" s="265"/>
      <c r="C176" s="265"/>
      <c r="D176" s="265"/>
      <c r="E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</row>
    <row r="177" customFormat="false" ht="12.75" hidden="false" customHeight="false" outlineLevel="0" collapsed="false">
      <c r="A177" s="265"/>
      <c r="B177" s="265"/>
      <c r="C177" s="265"/>
      <c r="D177" s="265"/>
      <c r="E177" s="265"/>
      <c r="F177" s="265"/>
      <c r="G177" s="107"/>
      <c r="H177" s="107"/>
      <c r="I177" s="453"/>
      <c r="J177" s="107"/>
      <c r="K177" s="107"/>
      <c r="L177" s="107"/>
      <c r="M177" s="107"/>
      <c r="N177" s="107"/>
      <c r="O177" s="107"/>
      <c r="P177" s="107"/>
      <c r="Q177" s="107"/>
      <c r="R177" s="107"/>
      <c r="S177" s="426"/>
      <c r="T177" s="426"/>
      <c r="U177" s="426"/>
      <c r="V177" s="426"/>
      <c r="W177" s="426"/>
      <c r="X177" s="426"/>
      <c r="Y177" s="426"/>
      <c r="Z177" s="426"/>
      <c r="AA177" s="426"/>
      <c r="AB177" s="426"/>
      <c r="AC177" s="426"/>
      <c r="AD177" s="426"/>
      <c r="AE177" s="426"/>
    </row>
    <row r="178" customFormat="false" ht="12.75" hidden="false" customHeight="false" outlineLevel="0" collapsed="false">
      <c r="A178" s="265"/>
      <c r="B178" s="265"/>
      <c r="C178" s="265"/>
      <c r="D178" s="265"/>
      <c r="E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</row>
    <row r="179" customFormat="false" ht="12.75" hidden="false" customHeight="false" outlineLevel="0" collapsed="false">
      <c r="A179" s="265"/>
      <c r="B179" s="426"/>
      <c r="C179" s="426"/>
      <c r="D179" s="426"/>
      <c r="E179" s="426"/>
      <c r="F179" s="265"/>
      <c r="G179" s="452"/>
      <c r="H179" s="452"/>
      <c r="I179" s="452"/>
      <c r="J179" s="452"/>
      <c r="K179" s="452"/>
      <c r="L179" s="452"/>
      <c r="M179" s="452"/>
      <c r="N179" s="452"/>
      <c r="O179" s="452"/>
      <c r="P179" s="452"/>
      <c r="Q179" s="452"/>
      <c r="R179" s="452"/>
      <c r="S179" s="452"/>
      <c r="T179" s="452"/>
      <c r="U179" s="452"/>
      <c r="V179" s="452"/>
      <c r="W179" s="452"/>
      <c r="X179" s="452"/>
      <c r="Y179" s="452"/>
      <c r="Z179" s="452"/>
      <c r="AA179" s="452"/>
      <c r="AB179" s="452"/>
      <c r="AC179" s="452"/>
      <c r="AD179" s="452"/>
      <c r="AE179" s="452"/>
    </row>
    <row r="180" customFormat="false" ht="12.75" hidden="false" customHeight="false" outlineLevel="0" collapsed="false">
      <c r="A180" s="265"/>
      <c r="B180" s="265"/>
      <c r="C180" s="265"/>
      <c r="D180" s="265"/>
      <c r="E180" s="265"/>
      <c r="F180" s="265"/>
      <c r="G180" s="265"/>
      <c r="H180" s="265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</row>
    <row r="181" customFormat="false" ht="12.75" hidden="false" customHeight="false" outlineLevel="0" collapsed="false">
      <c r="A181" s="265"/>
      <c r="B181" s="265"/>
      <c r="C181" s="265"/>
      <c r="D181" s="265"/>
      <c r="E181" s="265"/>
      <c r="F181" s="265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426"/>
      <c r="T181" s="426"/>
      <c r="U181" s="426"/>
      <c r="V181" s="426"/>
      <c r="W181" s="426"/>
      <c r="X181" s="426"/>
      <c r="Y181" s="426"/>
      <c r="Z181" s="426"/>
      <c r="AA181" s="426"/>
      <c r="AB181" s="426"/>
      <c r="AC181" s="426"/>
      <c r="AD181" s="426"/>
      <c r="AE181" s="426"/>
    </row>
    <row r="182" customFormat="false" ht="12.75" hidden="false" customHeight="false" outlineLevel="0" collapsed="false">
      <c r="A182" s="265"/>
      <c r="B182" s="265"/>
      <c r="C182" s="265"/>
      <c r="D182" s="265"/>
      <c r="E182" s="265"/>
      <c r="F182" s="265"/>
      <c r="G182" s="452"/>
      <c r="H182" s="452"/>
      <c r="I182" s="452"/>
      <c r="J182" s="452"/>
      <c r="K182" s="452"/>
      <c r="L182" s="452"/>
      <c r="M182" s="452"/>
      <c r="N182" s="452"/>
      <c r="O182" s="452"/>
      <c r="P182" s="452"/>
      <c r="Q182" s="452"/>
      <c r="R182" s="452"/>
      <c r="S182" s="452"/>
      <c r="T182" s="452"/>
      <c r="U182" s="452"/>
      <c r="V182" s="452"/>
      <c r="W182" s="452"/>
      <c r="X182" s="452"/>
      <c r="Y182" s="452"/>
      <c r="Z182" s="452"/>
      <c r="AA182" s="452"/>
      <c r="AB182" s="452"/>
      <c r="AC182" s="452"/>
      <c r="AD182" s="452"/>
      <c r="AE182" s="452"/>
    </row>
    <row r="183" customFormat="false" ht="12.75" hidden="false" customHeight="false" outlineLevel="0" collapsed="false">
      <c r="A183" s="265"/>
      <c r="B183" s="265"/>
      <c r="C183" s="265"/>
      <c r="D183" s="265"/>
      <c r="E183" s="265"/>
      <c r="F183" s="265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426"/>
      <c r="T183" s="426"/>
      <c r="U183" s="426"/>
      <c r="V183" s="426"/>
      <c r="W183" s="426"/>
      <c r="X183" s="426"/>
      <c r="Y183" s="426"/>
      <c r="Z183" s="426"/>
      <c r="AA183" s="426"/>
      <c r="AB183" s="426"/>
      <c r="AC183" s="426"/>
      <c r="AD183" s="426"/>
      <c r="AE183" s="426"/>
    </row>
    <row r="184" customFormat="false" ht="12.75" hidden="false" customHeight="false" outlineLevel="0" collapsed="false">
      <c r="A184" s="265"/>
      <c r="B184" s="265"/>
      <c r="C184" s="265"/>
      <c r="D184" s="265"/>
      <c r="E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</row>
    <row r="185" customFormat="false" ht="12.75" hidden="false" customHeight="false" outlineLevel="0" collapsed="false">
      <c r="A185" s="265"/>
      <c r="B185" s="265"/>
      <c r="C185" s="265"/>
      <c r="D185" s="265"/>
      <c r="E185" s="265"/>
      <c r="F185" s="265"/>
      <c r="G185" s="452"/>
      <c r="H185" s="452"/>
      <c r="I185" s="452"/>
      <c r="J185" s="452"/>
      <c r="K185" s="452"/>
      <c r="L185" s="452"/>
      <c r="M185" s="452"/>
      <c r="N185" s="452"/>
      <c r="O185" s="452"/>
      <c r="P185" s="452"/>
      <c r="Q185" s="452"/>
      <c r="R185" s="452"/>
      <c r="S185" s="452"/>
      <c r="T185" s="452"/>
      <c r="U185" s="452"/>
      <c r="V185" s="452"/>
      <c r="W185" s="452"/>
      <c r="X185" s="452"/>
      <c r="Y185" s="452"/>
      <c r="Z185" s="452"/>
      <c r="AA185" s="452"/>
      <c r="AB185" s="452"/>
      <c r="AC185" s="452"/>
      <c r="AD185" s="452"/>
      <c r="AE185" s="452"/>
    </row>
    <row r="186" customFormat="false" ht="12.75" hidden="false" customHeight="false" outlineLevel="0" collapsed="false">
      <c r="A186" s="265"/>
      <c r="B186" s="265"/>
      <c r="C186" s="265"/>
      <c r="D186" s="265"/>
      <c r="E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</row>
    <row r="187" customFormat="false" ht="12.75" hidden="false" customHeight="false" outlineLevel="0" collapsed="false">
      <c r="A187" s="265"/>
      <c r="B187" s="265"/>
      <c r="C187" s="265"/>
      <c r="D187" s="265"/>
      <c r="E187" s="265"/>
      <c r="F187" s="265"/>
      <c r="G187" s="426"/>
      <c r="H187" s="426"/>
      <c r="I187" s="426"/>
      <c r="J187" s="426"/>
      <c r="K187" s="426"/>
      <c r="L187" s="426"/>
      <c r="M187" s="426"/>
      <c r="N187" s="426"/>
      <c r="O187" s="426"/>
      <c r="P187" s="426"/>
      <c r="Q187" s="426"/>
      <c r="R187" s="426"/>
      <c r="S187" s="426"/>
      <c r="T187" s="426"/>
      <c r="U187" s="426"/>
      <c r="V187" s="426"/>
      <c r="W187" s="426"/>
      <c r="X187" s="426"/>
      <c r="Y187" s="426"/>
      <c r="Z187" s="426"/>
      <c r="AA187" s="426"/>
      <c r="AB187" s="426"/>
      <c r="AC187" s="426"/>
      <c r="AD187" s="426"/>
      <c r="AE187" s="426"/>
    </row>
    <row r="188" customFormat="false" ht="12.75" hidden="false" customHeight="false" outlineLevel="0" collapsed="false">
      <c r="A188" s="265"/>
      <c r="B188" s="265"/>
      <c r="C188" s="265"/>
      <c r="D188" s="265"/>
      <c r="E188" s="265"/>
      <c r="F188" s="265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426"/>
      <c r="T188" s="426"/>
      <c r="U188" s="426"/>
      <c r="V188" s="426"/>
      <c r="W188" s="426"/>
      <c r="X188" s="426"/>
      <c r="Y188" s="426"/>
      <c r="Z188" s="426"/>
      <c r="AA188" s="426"/>
      <c r="AB188" s="426"/>
      <c r="AC188" s="426"/>
      <c r="AD188" s="426"/>
      <c r="AE188" s="426"/>
    </row>
    <row r="189" customFormat="false" ht="12.75" hidden="false" customHeight="false" outlineLevel="0" collapsed="false">
      <c r="A189" s="265"/>
      <c r="B189" s="265"/>
      <c r="C189" s="265"/>
      <c r="D189" s="265"/>
      <c r="E189" s="265"/>
      <c r="F189" s="265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426"/>
      <c r="T189" s="426"/>
      <c r="U189" s="426"/>
      <c r="V189" s="426"/>
      <c r="W189" s="426"/>
      <c r="X189" s="426"/>
      <c r="Y189" s="426"/>
      <c r="Z189" s="426"/>
      <c r="AA189" s="426"/>
      <c r="AB189" s="426"/>
      <c r="AC189" s="426"/>
      <c r="AD189" s="426"/>
      <c r="AE189" s="426"/>
    </row>
    <row r="190" customFormat="false" ht="12.75" hidden="false" customHeight="false" outlineLevel="0" collapsed="false">
      <c r="A190" s="265"/>
      <c r="B190" s="265"/>
      <c r="C190" s="265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</row>
    <row r="191" customFormat="false" ht="12.75" hidden="false" customHeight="false" outlineLevel="0" collapsed="false">
      <c r="A191" s="265"/>
      <c r="B191" s="265"/>
      <c r="C191" s="265"/>
      <c r="D191" s="265"/>
      <c r="E191" s="265"/>
      <c r="F191" s="265"/>
      <c r="G191" s="452"/>
      <c r="H191" s="452"/>
      <c r="I191" s="452"/>
      <c r="J191" s="452"/>
      <c r="K191" s="452"/>
      <c r="L191" s="452"/>
      <c r="M191" s="452"/>
      <c r="N191" s="452"/>
      <c r="O191" s="452"/>
      <c r="P191" s="452"/>
      <c r="Q191" s="452"/>
      <c r="R191" s="452"/>
      <c r="S191" s="452"/>
      <c r="T191" s="452"/>
      <c r="U191" s="452"/>
      <c r="V191" s="452"/>
      <c r="W191" s="452"/>
      <c r="X191" s="452"/>
      <c r="Y191" s="452"/>
      <c r="Z191" s="452"/>
      <c r="AA191" s="452"/>
      <c r="AB191" s="452"/>
      <c r="AC191" s="452"/>
      <c r="AD191" s="452"/>
      <c r="AE191" s="452"/>
    </row>
    <row r="192" customFormat="false" ht="12.75" hidden="false" customHeight="false" outlineLevel="0" collapsed="false">
      <c r="A192" s="265"/>
      <c r="B192" s="265"/>
      <c r="C192" s="265"/>
      <c r="D192" s="265"/>
      <c r="E192" s="265"/>
      <c r="F192" s="265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426"/>
      <c r="T192" s="426"/>
      <c r="U192" s="426"/>
      <c r="V192" s="426"/>
      <c r="W192" s="426"/>
      <c r="X192" s="426"/>
      <c r="Y192" s="426"/>
      <c r="Z192" s="426"/>
      <c r="AA192" s="426"/>
      <c r="AB192" s="426"/>
      <c r="AC192" s="426"/>
      <c r="AD192" s="426"/>
      <c r="AE192" s="426"/>
    </row>
    <row r="193" customFormat="false" ht="12.75" hidden="false" customHeight="false" outlineLevel="0" collapsed="false">
      <c r="A193" s="265"/>
      <c r="B193" s="265"/>
      <c r="C193" s="265"/>
      <c r="D193" s="265"/>
      <c r="E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</row>
    <row r="194" customFormat="false" ht="12.75" hidden="false" customHeight="false" outlineLevel="0" collapsed="false">
      <c r="A194" s="425"/>
      <c r="B194" s="425"/>
      <c r="C194" s="425"/>
      <c r="D194" s="425"/>
      <c r="E194" s="425"/>
      <c r="F194" s="425"/>
      <c r="G194" s="454"/>
      <c r="H194" s="454"/>
      <c r="I194" s="454"/>
      <c r="J194" s="454"/>
      <c r="K194" s="454"/>
      <c r="L194" s="454"/>
      <c r="M194" s="454"/>
      <c r="N194" s="454"/>
      <c r="O194" s="454"/>
      <c r="P194" s="454"/>
      <c r="Q194" s="454"/>
      <c r="R194" s="454"/>
      <c r="S194" s="454"/>
      <c r="T194" s="454"/>
      <c r="U194" s="454"/>
      <c r="V194" s="454"/>
      <c r="W194" s="454"/>
      <c r="X194" s="454"/>
      <c r="Y194" s="454"/>
      <c r="Z194" s="454"/>
      <c r="AA194" s="454"/>
      <c r="AB194" s="454"/>
      <c r="AC194" s="454"/>
      <c r="AD194" s="454"/>
      <c r="AE194" s="454"/>
    </row>
    <row r="195" customFormat="false" ht="12.75" hidden="false" customHeight="false" outlineLevel="0" collapsed="false">
      <c r="A195" s="265"/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</row>
    <row r="196" customFormat="false" ht="12.75" hidden="false" customHeight="false" outlineLevel="0" collapsed="false">
      <c r="A196" s="435"/>
      <c r="B196" s="265"/>
      <c r="C196" s="265"/>
      <c r="D196" s="265"/>
      <c r="E196" s="265"/>
      <c r="F196" s="265"/>
      <c r="G196" s="265"/>
      <c r="H196" s="265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</row>
    <row r="197" customFormat="false" ht="12.75" hidden="false" customHeight="false" outlineLevel="0" collapsed="false">
      <c r="A197" s="265"/>
      <c r="B197" s="265"/>
      <c r="C197" s="265"/>
      <c r="D197" s="265"/>
      <c r="E197" s="265"/>
      <c r="F197" s="265"/>
      <c r="G197" s="265"/>
      <c r="H197" s="265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</row>
    <row r="217" customFormat="false" ht="12.75" hidden="false" customHeight="false" outlineLevel="0" collapsed="false">
      <c r="A217" s="15"/>
      <c r="G217" s="455"/>
      <c r="H217" s="455"/>
      <c r="I217" s="455"/>
      <c r="J217" s="455"/>
      <c r="K217" s="455"/>
      <c r="L217" s="455"/>
      <c r="M217" s="455"/>
      <c r="N217" s="455"/>
      <c r="O217" s="455"/>
      <c r="P217" s="455"/>
      <c r="Q217" s="455"/>
      <c r="R217" s="455"/>
      <c r="S217" s="430"/>
      <c r="T217" s="430"/>
      <c r="U217" s="430"/>
      <c r="V217" s="430"/>
      <c r="W217" s="430"/>
      <c r="X217" s="430"/>
      <c r="Y217" s="430"/>
      <c r="Z217" s="430"/>
      <c r="AA217" s="430"/>
      <c r="AB217" s="430"/>
      <c r="AC217" s="430"/>
      <c r="AD217" s="430"/>
      <c r="AE217" s="430"/>
    </row>
    <row r="218" customFormat="false" ht="12.75" hidden="false" customHeight="false" outlineLevel="0" collapsed="false">
      <c r="G218" s="456"/>
      <c r="H218" s="456"/>
      <c r="I218" s="456"/>
      <c r="J218" s="456"/>
      <c r="K218" s="456"/>
      <c r="L218" s="456"/>
      <c r="M218" s="456"/>
      <c r="N218" s="456"/>
      <c r="O218" s="456"/>
      <c r="P218" s="456"/>
      <c r="Q218" s="456"/>
      <c r="R218" s="456"/>
      <c r="S218" s="457"/>
      <c r="T218" s="457"/>
      <c r="U218" s="457"/>
      <c r="V218" s="457"/>
      <c r="W218" s="457"/>
      <c r="X218" s="457"/>
      <c r="Y218" s="457"/>
      <c r="Z218" s="457"/>
      <c r="AA218" s="457"/>
      <c r="AB218" s="457"/>
      <c r="AC218" s="457"/>
      <c r="AD218" s="457"/>
      <c r="AE218" s="457"/>
    </row>
    <row r="219" customFormat="false" ht="12.75" hidden="false" customHeight="false" outlineLevel="0" collapsed="false">
      <c r="G219" s="455"/>
      <c r="H219" s="455"/>
      <c r="I219" s="455"/>
      <c r="J219" s="455"/>
      <c r="K219" s="455"/>
      <c r="L219" s="455"/>
      <c r="M219" s="455"/>
      <c r="N219" s="455"/>
      <c r="O219" s="455"/>
      <c r="P219" s="455"/>
      <c r="Q219" s="455"/>
      <c r="R219" s="455"/>
      <c r="S219" s="430"/>
      <c r="T219" s="430"/>
      <c r="U219" s="430"/>
      <c r="V219" s="430"/>
      <c r="W219" s="430"/>
      <c r="X219" s="430"/>
      <c r="Y219" s="430"/>
      <c r="Z219" s="430"/>
      <c r="AA219" s="430"/>
      <c r="AB219" s="430"/>
      <c r="AC219" s="430"/>
      <c r="AD219" s="430"/>
      <c r="AE219" s="430"/>
    </row>
    <row r="220" customFormat="false" ht="12.75" hidden="false" customHeight="false" outlineLevel="0" collapsed="false">
      <c r="G220" s="456"/>
      <c r="H220" s="456"/>
      <c r="I220" s="456"/>
      <c r="J220" s="456"/>
      <c r="K220" s="456"/>
      <c r="L220" s="456"/>
      <c r="M220" s="456"/>
      <c r="N220" s="456"/>
      <c r="O220" s="456"/>
      <c r="P220" s="456"/>
      <c r="Q220" s="456"/>
      <c r="R220" s="456"/>
      <c r="S220" s="457"/>
      <c r="T220" s="457"/>
      <c r="U220" s="457"/>
      <c r="V220" s="457"/>
      <c r="W220" s="457"/>
      <c r="X220" s="457"/>
      <c r="Y220" s="457"/>
      <c r="Z220" s="457"/>
      <c r="AA220" s="457"/>
      <c r="AB220" s="457"/>
      <c r="AC220" s="457"/>
      <c r="AD220" s="457"/>
      <c r="AE220" s="457"/>
    </row>
    <row r="221" customFormat="false" ht="12.75" hidden="false" customHeight="false" outlineLevel="0" collapsed="false">
      <c r="G221" s="456"/>
      <c r="H221" s="456"/>
      <c r="I221" s="456"/>
      <c r="J221" s="456"/>
      <c r="K221" s="456"/>
      <c r="L221" s="456"/>
      <c r="M221" s="456"/>
      <c r="N221" s="456"/>
      <c r="O221" s="456"/>
      <c r="P221" s="456"/>
      <c r="Q221" s="456"/>
      <c r="R221" s="456"/>
      <c r="S221" s="457"/>
      <c r="T221" s="457"/>
      <c r="U221" s="457"/>
      <c r="V221" s="457"/>
      <c r="W221" s="457"/>
      <c r="X221" s="457"/>
      <c r="Y221" s="457"/>
      <c r="Z221" s="457"/>
      <c r="AA221" s="457"/>
      <c r="AB221" s="457"/>
      <c r="AC221" s="457"/>
      <c r="AD221" s="457"/>
      <c r="AE221" s="457"/>
    </row>
    <row r="233" customFormat="false" ht="12.75" hidden="false" customHeight="false" outlineLevel="0" collapsed="false">
      <c r="A233" s="296"/>
    </row>
    <row r="234" customFormat="false" ht="12.75" hidden="false" customHeight="false" outlineLevel="0" collapsed="false">
      <c r="A234" s="296"/>
    </row>
    <row r="236" customFormat="false" ht="12.75" hidden="false" customHeight="false" outlineLevel="0" collapsed="false">
      <c r="A236" s="14"/>
      <c r="B236" s="14"/>
      <c r="C236" s="14"/>
      <c r="D236" s="14"/>
      <c r="E236" s="14"/>
      <c r="F236" s="122"/>
    </row>
    <row r="237" customFormat="false" ht="12.75" hidden="false" customHeight="false" outlineLevel="0" collapsed="false">
      <c r="F237" s="122"/>
    </row>
    <row r="238" customFormat="false" ht="12.75" hidden="false" customHeight="false" outlineLevel="0" collapsed="false">
      <c r="F238" s="458"/>
      <c r="G238" s="458"/>
      <c r="H238" s="458"/>
      <c r="I238" s="458"/>
      <c r="J238" s="458"/>
      <c r="K238" s="458"/>
      <c r="L238" s="458"/>
      <c r="M238" s="458"/>
      <c r="N238" s="458"/>
      <c r="O238" s="458"/>
      <c r="P238" s="458"/>
      <c r="Q238" s="458"/>
      <c r="R238" s="458"/>
      <c r="S238" s="458"/>
      <c r="T238" s="458"/>
      <c r="U238" s="458"/>
      <c r="V238" s="458"/>
      <c r="W238" s="458"/>
      <c r="X238" s="458"/>
      <c r="Y238" s="458"/>
      <c r="Z238" s="458"/>
      <c r="AA238" s="458"/>
      <c r="AB238" s="458"/>
      <c r="AC238" s="458"/>
      <c r="AD238" s="458"/>
      <c r="AE238" s="458"/>
    </row>
    <row r="239" customFormat="false" ht="12.75" hidden="false" customHeight="false" outlineLevel="0" collapsed="false"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</row>
    <row r="240" customFormat="false" ht="12.75" hidden="false" customHeight="false" outlineLevel="0" collapsed="false"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</row>
    <row r="241" customFormat="false" ht="12.75" hidden="false" customHeight="false" outlineLevel="0" collapsed="false">
      <c r="B241" s="344"/>
      <c r="C241" s="344"/>
      <c r="D241" s="344"/>
      <c r="E241" s="344"/>
      <c r="F241" s="459"/>
      <c r="G241" s="459"/>
      <c r="H241" s="459"/>
      <c r="I241" s="459"/>
      <c r="J241" s="459"/>
      <c r="K241" s="459"/>
      <c r="L241" s="459"/>
      <c r="M241" s="459"/>
      <c r="N241" s="459"/>
      <c r="O241" s="459"/>
      <c r="P241" s="459"/>
      <c r="Q241" s="459"/>
      <c r="R241" s="459"/>
      <c r="S241" s="400"/>
      <c r="T241" s="400"/>
      <c r="U241" s="400"/>
      <c r="V241" s="400"/>
      <c r="W241" s="400"/>
      <c r="X241" s="400"/>
      <c r="Y241" s="400"/>
      <c r="Z241" s="400"/>
      <c r="AA241" s="400"/>
      <c r="AB241" s="400"/>
      <c r="AC241" s="400"/>
      <c r="AD241" s="400"/>
      <c r="AE241" s="400"/>
      <c r="AF241" s="344"/>
      <c r="AG241" s="344"/>
      <c r="AH241" s="344"/>
      <c r="AI241" s="344"/>
      <c r="AJ241" s="344"/>
      <c r="AK241" s="344"/>
      <c r="AL241" s="344"/>
      <c r="AM241" s="344"/>
      <c r="AN241" s="344"/>
      <c r="AO241" s="344"/>
      <c r="AP241" s="344"/>
      <c r="AQ241" s="344"/>
      <c r="AR241" s="344"/>
      <c r="AS241" s="344"/>
      <c r="AT241" s="344"/>
      <c r="AU241" s="344"/>
      <c r="AV241" s="344"/>
      <c r="AW241" s="344"/>
      <c r="AX241" s="344"/>
      <c r="AY241" s="344"/>
      <c r="AZ241" s="344"/>
      <c r="BA241" s="344"/>
      <c r="BB241" s="344"/>
      <c r="BC241" s="344"/>
      <c r="BD241" s="344"/>
      <c r="BE241" s="344"/>
      <c r="BF241" s="344"/>
      <c r="BG241" s="344"/>
      <c r="BH241" s="344"/>
      <c r="BI241" s="344"/>
      <c r="BJ241" s="344"/>
      <c r="BK241" s="344"/>
      <c r="BL241" s="344"/>
      <c r="BM241" s="344"/>
      <c r="BN241" s="344"/>
      <c r="BO241" s="344"/>
      <c r="BP241" s="344"/>
      <c r="BQ241" s="344"/>
      <c r="BR241" s="344"/>
      <c r="BS241" s="344"/>
      <c r="BT241" s="344"/>
      <c r="BU241" s="344"/>
      <c r="BV241" s="344"/>
      <c r="BW241" s="344"/>
      <c r="BX241" s="344"/>
      <c r="BY241" s="344"/>
      <c r="BZ241" s="344"/>
      <c r="CA241" s="344"/>
      <c r="CB241" s="344"/>
      <c r="CC241" s="344"/>
      <c r="CD241" s="344"/>
      <c r="CE241" s="344"/>
      <c r="CF241" s="344"/>
      <c r="CG241" s="344"/>
      <c r="CH241" s="344"/>
      <c r="CI241" s="344"/>
      <c r="CJ241" s="344"/>
      <c r="CK241" s="344"/>
      <c r="CL241" s="344"/>
      <c r="CM241" s="344"/>
      <c r="CN241" s="344"/>
      <c r="CO241" s="344"/>
      <c r="CP241" s="344"/>
      <c r="CQ241" s="344"/>
      <c r="CR241" s="344"/>
      <c r="CS241" s="344"/>
      <c r="CT241" s="344"/>
      <c r="CU241" s="344"/>
      <c r="CV241" s="344"/>
      <c r="CW241" s="344"/>
      <c r="CX241" s="344"/>
      <c r="CY241" s="344"/>
      <c r="CZ241" s="344"/>
      <c r="DA241" s="344"/>
      <c r="DB241" s="344"/>
      <c r="DC241" s="344"/>
      <c r="DD241" s="344"/>
      <c r="DE241" s="344"/>
      <c r="DF241" s="344"/>
      <c r="DG241" s="344"/>
      <c r="DH241" s="344"/>
      <c r="DI241" s="344"/>
      <c r="DJ241" s="344"/>
      <c r="DK241" s="344"/>
      <c r="DL241" s="344"/>
      <c r="DM241" s="344"/>
      <c r="DN241" s="344"/>
      <c r="DO241" s="344"/>
      <c r="DP241" s="344"/>
      <c r="DQ241" s="344"/>
      <c r="DR241" s="344"/>
      <c r="DS241" s="344"/>
      <c r="DT241" s="344"/>
      <c r="DU241" s="344"/>
      <c r="DV241" s="344"/>
      <c r="DW241" s="344"/>
      <c r="DX241" s="344"/>
      <c r="DY241" s="344"/>
      <c r="DZ241" s="344"/>
      <c r="EA241" s="344"/>
      <c r="EB241" s="344"/>
      <c r="EC241" s="344"/>
      <c r="ED241" s="344"/>
      <c r="EE241" s="344"/>
      <c r="EF241" s="344"/>
      <c r="EG241" s="344"/>
      <c r="EH241" s="344"/>
      <c r="EI241" s="344"/>
      <c r="EJ241" s="344"/>
      <c r="EK241" s="344"/>
      <c r="EL241" s="344"/>
      <c r="EM241" s="344"/>
      <c r="EN241" s="344"/>
      <c r="EO241" s="344"/>
      <c r="EP241" s="344"/>
      <c r="EQ241" s="344"/>
      <c r="ER241" s="344"/>
      <c r="ES241" s="344"/>
      <c r="ET241" s="344"/>
      <c r="EU241" s="344"/>
      <c r="EV241" s="344"/>
      <c r="EW241" s="344"/>
      <c r="EX241" s="344"/>
      <c r="EY241" s="344"/>
      <c r="EZ241" s="344"/>
      <c r="FA241" s="344"/>
      <c r="FB241" s="344"/>
      <c r="FC241" s="344"/>
      <c r="FD241" s="344"/>
      <c r="FE241" s="344"/>
      <c r="FF241" s="344"/>
      <c r="FG241" s="344"/>
      <c r="FH241" s="344"/>
      <c r="FI241" s="344"/>
      <c r="FJ241" s="344"/>
      <c r="FK241" s="344"/>
      <c r="FL241" s="344"/>
      <c r="FM241" s="344"/>
      <c r="FN241" s="344"/>
      <c r="FO241" s="344"/>
      <c r="FP241" s="344"/>
      <c r="FQ241" s="344"/>
      <c r="FR241" s="344"/>
      <c r="FS241" s="344"/>
      <c r="FT241" s="344"/>
      <c r="FU241" s="344"/>
      <c r="FV241" s="344"/>
      <c r="FW241" s="344"/>
      <c r="FX241" s="344"/>
      <c r="FY241" s="344"/>
      <c r="FZ241" s="344"/>
      <c r="GA241" s="344"/>
      <c r="GB241" s="344"/>
      <c r="GC241" s="344"/>
      <c r="GD241" s="344"/>
      <c r="GE241" s="344"/>
      <c r="GF241" s="344"/>
      <c r="GG241" s="344"/>
      <c r="GH241" s="344"/>
      <c r="GI241" s="344"/>
      <c r="GJ241" s="344"/>
      <c r="GK241" s="344"/>
      <c r="GL241" s="344"/>
      <c r="GM241" s="344"/>
      <c r="GN241" s="344"/>
      <c r="GO241" s="344"/>
      <c r="GP241" s="344"/>
      <c r="GQ241" s="344"/>
      <c r="GR241" s="344"/>
      <c r="GS241" s="344"/>
      <c r="GT241" s="344"/>
      <c r="GU241" s="344"/>
      <c r="GV241" s="344"/>
      <c r="GW241" s="344"/>
      <c r="GX241" s="344"/>
      <c r="GY241" s="344"/>
      <c r="GZ241" s="344"/>
      <c r="HA241" s="344"/>
      <c r="HB241" s="344"/>
      <c r="HC241" s="344"/>
      <c r="HD241" s="344"/>
      <c r="HE241" s="344"/>
      <c r="HF241" s="344"/>
      <c r="HG241" s="344"/>
      <c r="HH241" s="344"/>
      <c r="HI241" s="344"/>
      <c r="HJ241" s="344"/>
      <c r="HK241" s="344"/>
      <c r="HL241" s="344"/>
      <c r="HM241" s="344"/>
      <c r="HN241" s="344"/>
      <c r="HO241" s="344"/>
      <c r="HP241" s="344"/>
      <c r="HQ241" s="344"/>
      <c r="HR241" s="344"/>
      <c r="HS241" s="344"/>
      <c r="HT241" s="344"/>
      <c r="HU241" s="344"/>
      <c r="HV241" s="344"/>
      <c r="HW241" s="344"/>
      <c r="HX241" s="344"/>
      <c r="HY241" s="344"/>
      <c r="HZ241" s="344"/>
      <c r="IA241" s="344"/>
      <c r="IB241" s="344"/>
      <c r="IC241" s="344"/>
      <c r="ID241" s="344"/>
      <c r="IE241" s="344"/>
      <c r="IF241" s="344"/>
      <c r="IG241" s="344"/>
      <c r="IH241" s="344"/>
      <c r="II241" s="344"/>
      <c r="IJ241" s="344"/>
      <c r="IK241" s="344"/>
      <c r="IL241" s="344"/>
      <c r="IM241" s="344"/>
      <c r="IN241" s="344"/>
      <c r="IO241" s="344"/>
      <c r="IP241" s="344"/>
      <c r="IQ241" s="344"/>
      <c r="IR241" s="344"/>
      <c r="IS241" s="344"/>
      <c r="IT241" s="344"/>
      <c r="IU241" s="344"/>
      <c r="IV241" s="344"/>
      <c r="IW241" s="344"/>
    </row>
    <row r="242" customFormat="false" ht="12.75" hidden="false" customHeight="false" outlineLevel="0" collapsed="false">
      <c r="F242" s="392"/>
      <c r="G242" s="392"/>
      <c r="H242" s="392"/>
      <c r="I242" s="392"/>
      <c r="J242" s="392"/>
      <c r="K242" s="392"/>
      <c r="L242" s="392"/>
      <c r="M242" s="392"/>
      <c r="N242" s="392"/>
      <c r="O242" s="392"/>
      <c r="P242" s="392"/>
      <c r="Q242" s="392"/>
      <c r="R242" s="392"/>
      <c r="S242" s="398"/>
      <c r="T242" s="398"/>
      <c r="U242" s="398"/>
      <c r="V242" s="398"/>
      <c r="W242" s="398"/>
      <c r="X242" s="398"/>
      <c r="Y242" s="398"/>
      <c r="Z242" s="398"/>
      <c r="AA242" s="398"/>
      <c r="AB242" s="398"/>
      <c r="AC242" s="398"/>
      <c r="AD242" s="398"/>
      <c r="AE242" s="398"/>
    </row>
    <row r="243" customFormat="false" ht="12.75" hidden="false" customHeight="false" outlineLevel="0" collapsed="false">
      <c r="F243" s="107"/>
    </row>
    <row r="244" customFormat="false" ht="12.75" hidden="false" customHeight="false" outlineLevel="0" collapsed="false">
      <c r="F244" s="107"/>
    </row>
    <row r="245" customFormat="false" ht="12.75" hidden="false" customHeight="false" outlineLevel="0" collapsed="false">
      <c r="F245" s="131"/>
      <c r="J245" s="460"/>
    </row>
    <row r="246" customFormat="false" ht="12.75" hidden="false" customHeight="false" outlineLevel="0" collapsed="false">
      <c r="F246" s="107"/>
    </row>
    <row r="247" customFormat="false" ht="12.75" hidden="false" customHeight="false" outlineLevel="0" collapsed="false">
      <c r="F247" s="392"/>
      <c r="G247" s="392"/>
      <c r="H247" s="392"/>
      <c r="I247" s="392"/>
      <c r="J247" s="392"/>
      <c r="K247" s="392"/>
      <c r="L247" s="392"/>
      <c r="M247" s="392"/>
      <c r="N247" s="392"/>
      <c r="O247" s="392"/>
      <c r="P247" s="392"/>
      <c r="Q247" s="392"/>
      <c r="R247" s="392"/>
      <c r="S247" s="398"/>
      <c r="T247" s="398"/>
      <c r="U247" s="398"/>
      <c r="V247" s="398"/>
      <c r="W247" s="398"/>
      <c r="X247" s="398"/>
      <c r="Y247" s="398"/>
      <c r="Z247" s="398"/>
      <c r="AA247" s="398"/>
      <c r="AB247" s="398"/>
      <c r="AC247" s="398"/>
      <c r="AD247" s="398"/>
      <c r="AE247" s="398"/>
    </row>
    <row r="249" customFormat="false" ht="12.75" hidden="false" customHeight="false" outlineLevel="0" collapsed="false">
      <c r="F249" s="392"/>
      <c r="G249" s="392"/>
      <c r="H249" s="392"/>
      <c r="I249" s="392"/>
      <c r="J249" s="392"/>
      <c r="K249" s="392"/>
      <c r="L249" s="392"/>
      <c r="M249" s="392"/>
      <c r="N249" s="392"/>
      <c r="O249" s="392"/>
      <c r="P249" s="392"/>
      <c r="Q249" s="392"/>
      <c r="R249" s="392"/>
      <c r="S249" s="398"/>
      <c r="T249" s="398"/>
      <c r="U249" s="398"/>
      <c r="V249" s="398"/>
      <c r="W249" s="398"/>
      <c r="X249" s="398"/>
      <c r="Y249" s="398"/>
      <c r="Z249" s="398"/>
      <c r="AA249" s="398"/>
      <c r="AB249" s="398"/>
      <c r="AC249" s="398"/>
      <c r="AD249" s="398"/>
      <c r="AE249" s="398"/>
    </row>
    <row r="250" customFormat="false" ht="12.75" hidden="false" customHeight="false" outlineLevel="0" collapsed="false">
      <c r="F250" s="461"/>
      <c r="G250" s="461"/>
      <c r="H250" s="461"/>
      <c r="I250" s="461"/>
      <c r="J250" s="461"/>
      <c r="K250" s="461"/>
      <c r="L250" s="461"/>
      <c r="M250" s="461"/>
      <c r="N250" s="461"/>
      <c r="O250" s="461"/>
      <c r="P250" s="461"/>
      <c r="Q250" s="461"/>
      <c r="R250" s="461"/>
      <c r="S250" s="461"/>
      <c r="T250" s="461"/>
      <c r="U250" s="461"/>
      <c r="V250" s="461"/>
      <c r="W250" s="461"/>
      <c r="X250" s="461"/>
      <c r="Y250" s="461"/>
      <c r="Z250" s="461"/>
      <c r="AA250" s="461"/>
      <c r="AB250" s="461"/>
      <c r="AC250" s="461"/>
      <c r="AD250" s="461"/>
      <c r="AE250" s="461"/>
    </row>
    <row r="251" customFormat="false" ht="12.75" hidden="false" customHeight="false" outlineLevel="0" collapsed="false"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</row>
    <row r="253" customFormat="false" ht="12.75" hidden="false" customHeight="false" outlineLevel="0" collapsed="false">
      <c r="F253" s="392"/>
      <c r="G253" s="392"/>
      <c r="H253" s="392"/>
      <c r="I253" s="392"/>
      <c r="J253" s="392"/>
      <c r="K253" s="392"/>
      <c r="L253" s="392"/>
      <c r="M253" s="392"/>
      <c r="N253" s="392"/>
      <c r="O253" s="392"/>
      <c r="P253" s="392"/>
      <c r="Q253" s="392"/>
      <c r="R253" s="392"/>
      <c r="S253" s="398"/>
      <c r="T253" s="398"/>
      <c r="U253" s="398"/>
      <c r="V253" s="398"/>
      <c r="W253" s="398"/>
      <c r="X253" s="398"/>
      <c r="Y253" s="398"/>
      <c r="Z253" s="398"/>
      <c r="AA253" s="398"/>
      <c r="AB253" s="398"/>
      <c r="AC253" s="398"/>
      <c r="AD253" s="398"/>
      <c r="AE253" s="398"/>
    </row>
    <row r="254" customFormat="false" ht="12.75" hidden="false" customHeight="false" outlineLevel="0" collapsed="false">
      <c r="F254" s="462"/>
      <c r="G254" s="463"/>
      <c r="H254" s="463"/>
      <c r="I254" s="463"/>
      <c r="J254" s="463"/>
      <c r="K254" s="463"/>
      <c r="L254" s="463"/>
      <c r="M254" s="463"/>
      <c r="N254" s="463"/>
      <c r="O254" s="463"/>
      <c r="P254" s="463"/>
      <c r="Q254" s="463"/>
      <c r="R254" s="463"/>
      <c r="S254" s="464"/>
      <c r="T254" s="464"/>
      <c r="U254" s="464"/>
      <c r="V254" s="464"/>
      <c r="W254" s="464"/>
      <c r="X254" s="464"/>
      <c r="Y254" s="464"/>
      <c r="Z254" s="464"/>
      <c r="AA254" s="464"/>
      <c r="AB254" s="464"/>
      <c r="AC254" s="464"/>
      <c r="AD254" s="464"/>
      <c r="AE254" s="464"/>
    </row>
    <row r="255" customFormat="false" ht="12.75" hidden="false" customHeight="false" outlineLevel="0" collapsed="false"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</row>
    <row r="256" customFormat="false" ht="12.75" hidden="false" customHeight="false" outlineLevel="0" collapsed="false">
      <c r="F256" s="107"/>
    </row>
    <row r="257" customFormat="false" ht="12.75" hidden="false" customHeight="false" outlineLevel="0" collapsed="false">
      <c r="F257" s="392"/>
      <c r="G257" s="392"/>
      <c r="H257" s="392"/>
      <c r="I257" s="392"/>
      <c r="J257" s="392"/>
      <c r="K257" s="392"/>
      <c r="L257" s="392"/>
      <c r="M257" s="392"/>
      <c r="N257" s="392"/>
      <c r="O257" s="392"/>
      <c r="P257" s="392"/>
      <c r="Q257" s="392"/>
      <c r="R257" s="392"/>
      <c r="S257" s="398"/>
      <c r="T257" s="398"/>
      <c r="U257" s="398"/>
      <c r="V257" s="398"/>
      <c r="W257" s="398"/>
      <c r="X257" s="398"/>
      <c r="Y257" s="398"/>
      <c r="Z257" s="398"/>
      <c r="AA257" s="398"/>
      <c r="AB257" s="398"/>
      <c r="AC257" s="398"/>
      <c r="AD257" s="398"/>
      <c r="AE257" s="398"/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0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30" activeCellId="0" sqref="B30"/>
    </sheetView>
  </sheetViews>
  <sheetFormatPr defaultColWidth="9.32421875" defaultRowHeight="12.75" customHeight="true" zeroHeight="false" outlineLevelRow="0" outlineLevelCol="1"/>
  <cols>
    <col collapsed="false" customWidth="true" hidden="false" outlineLevel="0" max="1" min="1" style="1" width="32.49"/>
    <col collapsed="false" customWidth="true" hidden="false" outlineLevel="0" max="16" min="2" style="1" width="10.82"/>
    <col collapsed="false" customWidth="true" hidden="false" outlineLevel="0" max="25" min="17" style="14" width="10.82"/>
    <col collapsed="false" customWidth="true" hidden="false" outlineLevel="0" max="28" min="26" style="1" width="10.82"/>
    <col collapsed="false" customWidth="true" hidden="false" outlineLevel="1" max="34" min="29" style="1" width="10.82"/>
    <col collapsed="false" customWidth="true" hidden="false" outlineLevel="0" max="35" min="35" style="1" width="11.49"/>
    <col collapsed="false" customWidth="false" hidden="false" outlineLevel="0" max="257" min="36" style="1" width="9.32"/>
  </cols>
  <sheetData>
    <row r="1" customFormat="false" ht="15.75" hidden="false" customHeight="false" outlineLevel="0" collapsed="false">
      <c r="A1" s="2" t="str">
        <f aca="false">+Assumpt!A1</f>
        <v>Panama Regas Terminal</v>
      </c>
      <c r="B1" s="4"/>
      <c r="G1" s="302"/>
    </row>
    <row r="2" customFormat="false" ht="15.75" hidden="false" customHeight="false" outlineLevel="0" collapsed="false">
      <c r="A2" s="6" t="str">
        <f aca="false">+Assumpt!A2</f>
        <v>Enron International</v>
      </c>
      <c r="B2" s="8"/>
      <c r="G2" s="302"/>
    </row>
    <row r="3" customFormat="false" ht="16.5" hidden="false" customHeight="false" outlineLevel="0" collapsed="false">
      <c r="A3" s="465" t="s">
        <v>197</v>
      </c>
      <c r="B3" s="12"/>
    </row>
    <row r="4" customFormat="false" ht="15.75" hidden="false" customHeight="false" outlineLevel="0" collapsed="false">
      <c r="A4" s="466"/>
      <c r="B4" s="466"/>
      <c r="D4" s="15"/>
    </row>
    <row r="5" customFormat="false" ht="15.75" hidden="false" customHeight="false" outlineLevel="0" collapsed="false">
      <c r="A5" s="466"/>
      <c r="B5" s="466"/>
      <c r="D5" s="15"/>
    </row>
    <row r="6" customFormat="false" ht="12.75" hidden="false" customHeight="false" outlineLevel="0" collapsed="false">
      <c r="A6" s="290" t="str">
        <f aca="false">+CF!A5</f>
        <v>Calendar Year</v>
      </c>
      <c r="B6" s="291"/>
      <c r="C6" s="467" t="str">
        <f aca="false">"BOY "&amp;E6</f>
        <v>BOY 2000</v>
      </c>
      <c r="D6" s="291"/>
      <c r="E6" s="291" t="n">
        <f aca="false">+F6-1</f>
        <v>2000</v>
      </c>
      <c r="F6" s="291" t="n">
        <f aca="false">+G6-1</f>
        <v>2001</v>
      </c>
      <c r="G6" s="291" t="n">
        <f aca="false">+H6-1</f>
        <v>2002</v>
      </c>
      <c r="H6" s="292" t="n">
        <f aca="false">+CF!E5</f>
        <v>2003</v>
      </c>
      <c r="I6" s="292" t="n">
        <f aca="false">+CF!F5</f>
        <v>2004</v>
      </c>
      <c r="J6" s="292" t="n">
        <f aca="false">+CF!G5</f>
        <v>2005</v>
      </c>
      <c r="K6" s="292" t="n">
        <f aca="false">+CF!H5</f>
        <v>2006</v>
      </c>
      <c r="L6" s="292" t="n">
        <f aca="false">+CF!I5</f>
        <v>2007</v>
      </c>
      <c r="M6" s="292" t="n">
        <f aca="false">+CF!J5</f>
        <v>2008</v>
      </c>
      <c r="N6" s="292" t="n">
        <f aca="false">+CF!K5</f>
        <v>2009</v>
      </c>
      <c r="O6" s="292" t="n">
        <f aca="false">+CF!L5</f>
        <v>2010</v>
      </c>
      <c r="P6" s="292" t="n">
        <f aca="false">+CF!M5</f>
        <v>2011</v>
      </c>
      <c r="Q6" s="292" t="n">
        <f aca="false">+CF!N5</f>
        <v>2012</v>
      </c>
      <c r="R6" s="292" t="n">
        <f aca="false">+CF!O5</f>
        <v>2013</v>
      </c>
      <c r="S6" s="292" t="n">
        <f aca="false">+CF!P5</f>
        <v>2014</v>
      </c>
      <c r="T6" s="292" t="n">
        <f aca="false">+CF!Q5</f>
        <v>2015</v>
      </c>
      <c r="U6" s="292" t="n">
        <f aca="false">+CF!R5</f>
        <v>2016</v>
      </c>
      <c r="V6" s="292" t="n">
        <f aca="false">+CF!S5</f>
        <v>2017</v>
      </c>
      <c r="W6" s="292" t="n">
        <f aca="false">+CF!T5</f>
        <v>2018</v>
      </c>
      <c r="X6" s="292" t="n">
        <f aca="false">+CF!U5</f>
        <v>2019</v>
      </c>
      <c r="Y6" s="292" t="n">
        <f aca="false">+CF!V5</f>
        <v>2020</v>
      </c>
      <c r="Z6" s="292" t="n">
        <f aca="false">+CF!W5</f>
        <v>2021</v>
      </c>
      <c r="AA6" s="292" t="n">
        <f aca="false">+CF!X5</f>
        <v>2022</v>
      </c>
      <c r="AB6" s="292" t="n">
        <f aca="false">+CF!Y5</f>
        <v>2023</v>
      </c>
      <c r="AC6" s="292" t="n">
        <f aca="false">+CF!Z5</f>
        <v>2024</v>
      </c>
      <c r="AD6" s="292" t="n">
        <f aca="false">+CF!AA5</f>
        <v>2025</v>
      </c>
      <c r="AE6" s="292" t="n">
        <f aca="false">+CF!AB5</f>
        <v>2026</v>
      </c>
      <c r="AF6" s="292" t="n">
        <f aca="false">+CF!AC5</f>
        <v>2027</v>
      </c>
      <c r="AG6" s="292" t="n">
        <f aca="false">+CF!AD5</f>
        <v>2028</v>
      </c>
      <c r="AH6" s="292" t="n">
        <f aca="false">+CF!AE5</f>
        <v>2029</v>
      </c>
      <c r="AI6" s="293" t="str">
        <f aca="false">+CF!AF5</f>
        <v>TOTALS</v>
      </c>
      <c r="AJ6" s="294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/>
      <c r="DR6" s="296"/>
      <c r="DS6" s="296"/>
      <c r="DT6" s="296"/>
      <c r="DU6" s="296"/>
      <c r="DV6" s="296"/>
      <c r="DW6" s="296"/>
      <c r="DX6" s="296"/>
      <c r="DY6" s="296"/>
      <c r="DZ6" s="296"/>
      <c r="EA6" s="296"/>
      <c r="EB6" s="296"/>
      <c r="EC6" s="296"/>
      <c r="ED6" s="296"/>
      <c r="EE6" s="296"/>
      <c r="EF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6"/>
      <c r="FF6" s="296"/>
      <c r="FG6" s="296"/>
      <c r="FH6" s="296"/>
      <c r="FI6" s="296"/>
      <c r="FJ6" s="296"/>
      <c r="FK6" s="296"/>
      <c r="FL6" s="296"/>
      <c r="FM6" s="296"/>
      <c r="FN6" s="296"/>
      <c r="FO6" s="296"/>
      <c r="FP6" s="296"/>
      <c r="FQ6" s="296"/>
      <c r="FR6" s="296"/>
      <c r="FS6" s="296"/>
      <c r="FT6" s="296"/>
      <c r="FU6" s="296"/>
      <c r="FV6" s="296"/>
      <c r="FW6" s="296"/>
      <c r="FX6" s="296"/>
      <c r="FY6" s="296"/>
      <c r="FZ6" s="296"/>
      <c r="GA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GP6" s="296"/>
      <c r="GQ6" s="296"/>
      <c r="GR6" s="296"/>
      <c r="GS6" s="296"/>
      <c r="GT6" s="296"/>
      <c r="GU6" s="296"/>
      <c r="GV6" s="296"/>
      <c r="GW6" s="296"/>
      <c r="GX6" s="296"/>
      <c r="GY6" s="296"/>
      <c r="GZ6" s="296"/>
      <c r="HA6" s="296"/>
      <c r="HB6" s="296"/>
      <c r="HC6" s="296"/>
      <c r="HD6" s="296"/>
      <c r="HE6" s="296"/>
      <c r="HF6" s="296"/>
      <c r="HG6" s="296"/>
      <c r="HH6" s="296"/>
      <c r="HI6" s="296"/>
      <c r="HJ6" s="296"/>
      <c r="HK6" s="296"/>
      <c r="HL6" s="296"/>
      <c r="HM6" s="296"/>
      <c r="HN6" s="296"/>
      <c r="HO6" s="296"/>
      <c r="HP6" s="296"/>
      <c r="HQ6" s="296"/>
      <c r="HR6" s="296"/>
      <c r="HS6" s="296"/>
      <c r="HT6" s="296"/>
      <c r="HU6" s="296"/>
      <c r="HV6" s="296"/>
      <c r="HW6" s="296"/>
      <c r="HX6" s="296"/>
      <c r="HY6" s="296"/>
      <c r="HZ6" s="296"/>
      <c r="IA6" s="296"/>
      <c r="IB6" s="296"/>
      <c r="IC6" s="296"/>
      <c r="ID6" s="296"/>
      <c r="IE6" s="296"/>
      <c r="IF6" s="296"/>
      <c r="IG6" s="296"/>
      <c r="IH6" s="296"/>
      <c r="II6" s="296"/>
      <c r="IJ6" s="296"/>
      <c r="IK6" s="296"/>
      <c r="IL6" s="296"/>
      <c r="IM6" s="296"/>
      <c r="IN6" s="296"/>
      <c r="IO6" s="296"/>
      <c r="IP6" s="296"/>
      <c r="IQ6" s="296"/>
      <c r="IR6" s="296"/>
      <c r="IS6" s="296"/>
      <c r="IT6" s="296"/>
      <c r="IU6" s="296"/>
      <c r="IV6" s="296"/>
      <c r="IW6" s="296"/>
    </row>
    <row r="7" customFormat="false" ht="12.75" hidden="false" customHeight="false" outlineLevel="0" collapsed="false">
      <c r="A7" s="297" t="str">
        <f aca="false">+CF!A6</f>
        <v>Months of Operation</v>
      </c>
      <c r="B7" s="298"/>
      <c r="C7" s="298"/>
      <c r="D7" s="298"/>
      <c r="E7" s="298"/>
      <c r="F7" s="299"/>
      <c r="G7" s="299"/>
      <c r="H7" s="299" t="n">
        <f aca="false">+CF!E6</f>
        <v>12</v>
      </c>
      <c r="I7" s="299" t="n">
        <f aca="false">+CF!F6</f>
        <v>12</v>
      </c>
      <c r="J7" s="299" t="n">
        <f aca="false">+CF!G6</f>
        <v>12</v>
      </c>
      <c r="K7" s="299" t="n">
        <f aca="false">+CF!H6</f>
        <v>12</v>
      </c>
      <c r="L7" s="299" t="n">
        <f aca="false">+CF!I6</f>
        <v>12</v>
      </c>
      <c r="M7" s="299" t="n">
        <f aca="false">+CF!J6</f>
        <v>12</v>
      </c>
      <c r="N7" s="299" t="n">
        <f aca="false">+CF!K6</f>
        <v>12</v>
      </c>
      <c r="O7" s="299" t="n">
        <f aca="false">+CF!L6</f>
        <v>12</v>
      </c>
      <c r="P7" s="299" t="n">
        <f aca="false">+CF!M6</f>
        <v>12</v>
      </c>
      <c r="Q7" s="299" t="n">
        <f aca="false">+CF!N6</f>
        <v>12</v>
      </c>
      <c r="R7" s="299" t="n">
        <f aca="false">+CF!O6</f>
        <v>12</v>
      </c>
      <c r="S7" s="299" t="n">
        <f aca="false">+CF!P6</f>
        <v>12</v>
      </c>
      <c r="T7" s="299" t="n">
        <f aca="false">+CF!Q6</f>
        <v>12</v>
      </c>
      <c r="U7" s="299" t="n">
        <f aca="false">+CF!R6</f>
        <v>12</v>
      </c>
      <c r="V7" s="299" t="n">
        <f aca="false">+CF!S6</f>
        <v>12</v>
      </c>
      <c r="W7" s="299" t="n">
        <f aca="false">+CF!T6</f>
        <v>0</v>
      </c>
      <c r="X7" s="299" t="n">
        <f aca="false">+CF!U6</f>
        <v>0</v>
      </c>
      <c r="Y7" s="299" t="n">
        <f aca="false">+CF!V6</f>
        <v>0</v>
      </c>
      <c r="Z7" s="299" t="n">
        <f aca="false">+CF!W6</f>
        <v>0</v>
      </c>
      <c r="AA7" s="299" t="n">
        <f aca="false">+CF!X6</f>
        <v>0</v>
      </c>
      <c r="AB7" s="299" t="n">
        <f aca="false">+CF!Y6</f>
        <v>0</v>
      </c>
      <c r="AC7" s="299" t="n">
        <f aca="false">+CF!Z6</f>
        <v>0</v>
      </c>
      <c r="AD7" s="299" t="n">
        <f aca="false">+CF!AA6</f>
        <v>0</v>
      </c>
      <c r="AE7" s="299" t="n">
        <f aca="false">+CF!AB6</f>
        <v>0</v>
      </c>
      <c r="AF7" s="299" t="n">
        <f aca="false">+CF!AC6</f>
        <v>0</v>
      </c>
      <c r="AG7" s="299" t="n">
        <f aca="false">+CF!AD6</f>
        <v>0</v>
      </c>
      <c r="AH7" s="299" t="n">
        <f aca="false">+CF!AE6</f>
        <v>0</v>
      </c>
      <c r="AI7" s="300" t="n">
        <f aca="false">+CF!AF6</f>
        <v>180</v>
      </c>
      <c r="AJ7" s="301"/>
      <c r="AK7" s="302"/>
      <c r="AL7" s="302"/>
      <c r="AM7" s="302"/>
      <c r="AN7" s="302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customFormat="false" ht="12.75" hidden="false" customHeight="false" outlineLevel="0" collapsed="false">
      <c r="A8" s="303" t="str">
        <f aca="false">+CF!A7</f>
        <v>Contract Year</v>
      </c>
      <c r="B8" s="304"/>
      <c r="C8" s="304"/>
      <c r="D8" s="304"/>
      <c r="E8" s="304"/>
      <c r="F8" s="304"/>
      <c r="G8" s="304"/>
      <c r="H8" s="305" t="n">
        <f aca="false">+CF!E7</f>
        <v>1</v>
      </c>
      <c r="I8" s="305" t="n">
        <f aca="false">+CF!F7</f>
        <v>2</v>
      </c>
      <c r="J8" s="305" t="n">
        <f aca="false">+CF!G7</f>
        <v>3</v>
      </c>
      <c r="K8" s="305" t="n">
        <f aca="false">+CF!H7</f>
        <v>4</v>
      </c>
      <c r="L8" s="305" t="n">
        <f aca="false">+CF!I7</f>
        <v>5</v>
      </c>
      <c r="M8" s="305" t="n">
        <f aca="false">+CF!J7</f>
        <v>6</v>
      </c>
      <c r="N8" s="305" t="n">
        <f aca="false">+CF!K7</f>
        <v>7</v>
      </c>
      <c r="O8" s="305" t="n">
        <f aca="false">+CF!L7</f>
        <v>8</v>
      </c>
      <c r="P8" s="305" t="n">
        <f aca="false">+CF!M7</f>
        <v>9</v>
      </c>
      <c r="Q8" s="305" t="n">
        <f aca="false">+CF!N7</f>
        <v>10</v>
      </c>
      <c r="R8" s="305" t="n">
        <f aca="false">+CF!O7</f>
        <v>11</v>
      </c>
      <c r="S8" s="305" t="n">
        <f aca="false">+CF!P7</f>
        <v>12</v>
      </c>
      <c r="T8" s="305" t="n">
        <f aca="false">+CF!Q7</f>
        <v>13</v>
      </c>
      <c r="U8" s="305" t="n">
        <f aca="false">+CF!R7</f>
        <v>14</v>
      </c>
      <c r="V8" s="305" t="n">
        <f aca="false">+CF!S7</f>
        <v>15</v>
      </c>
      <c r="W8" s="305" t="n">
        <f aca="false">+CF!T7</f>
        <v>15</v>
      </c>
      <c r="X8" s="305" t="n">
        <f aca="false">+CF!U7</f>
        <v>15</v>
      </c>
      <c r="Y8" s="305" t="n">
        <f aca="false">+CF!V7</f>
        <v>15</v>
      </c>
      <c r="Z8" s="305" t="n">
        <f aca="false">+CF!W7</f>
        <v>15</v>
      </c>
      <c r="AA8" s="305" t="n">
        <f aca="false">+CF!X7</f>
        <v>15</v>
      </c>
      <c r="AB8" s="305" t="n">
        <f aca="false">+CF!Y7</f>
        <v>15</v>
      </c>
      <c r="AC8" s="305" t="n">
        <f aca="false">+CF!Z7</f>
        <v>15</v>
      </c>
      <c r="AD8" s="305" t="n">
        <f aca="false">+CF!AA7</f>
        <v>15</v>
      </c>
      <c r="AE8" s="305" t="n">
        <f aca="false">+CF!AB7</f>
        <v>15</v>
      </c>
      <c r="AF8" s="305" t="n">
        <f aca="false">+CF!AC7</f>
        <v>15</v>
      </c>
      <c r="AG8" s="305" t="n">
        <f aca="false">+CF!AD7</f>
        <v>15</v>
      </c>
      <c r="AH8" s="305" t="n">
        <f aca="false">+CF!AE7</f>
        <v>15</v>
      </c>
      <c r="AI8" s="306" t="n">
        <f aca="false">+CF!AF7</f>
        <v>15</v>
      </c>
      <c r="AJ8" s="307"/>
      <c r="AK8" s="302"/>
      <c r="AL8" s="302"/>
      <c r="AM8" s="302"/>
      <c r="AN8" s="302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customFormat="false" ht="12.75" hidden="false" customHeight="false" outlineLevel="0" collapsed="false">
      <c r="A9" s="265"/>
      <c r="B9" s="265"/>
      <c r="C9" s="265"/>
      <c r="D9" s="265"/>
      <c r="E9" s="265"/>
      <c r="F9" s="265"/>
      <c r="G9" s="265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  <c r="AF9" s="468"/>
      <c r="AG9" s="468"/>
      <c r="AH9" s="468"/>
      <c r="AI9" s="469"/>
      <c r="AJ9" s="307"/>
      <c r="AK9" s="302"/>
      <c r="AL9" s="302"/>
      <c r="AM9" s="302"/>
      <c r="AN9" s="302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5"/>
      <c r="BL9" s="265"/>
      <c r="BM9" s="265"/>
      <c r="BN9" s="265"/>
      <c r="BO9" s="265"/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5"/>
      <c r="CC9" s="265"/>
      <c r="CD9" s="265"/>
      <c r="CE9" s="265"/>
      <c r="CF9" s="265"/>
      <c r="CG9" s="265"/>
      <c r="CH9" s="265"/>
      <c r="CI9" s="265"/>
      <c r="CJ9" s="265"/>
      <c r="CK9" s="265"/>
      <c r="CL9" s="265"/>
      <c r="CM9" s="265"/>
      <c r="CN9" s="265"/>
      <c r="CO9" s="265"/>
      <c r="CP9" s="265"/>
      <c r="CQ9" s="265"/>
      <c r="CR9" s="265"/>
      <c r="CS9" s="265"/>
      <c r="CT9" s="265"/>
      <c r="CU9" s="265"/>
      <c r="CV9" s="265"/>
      <c r="CW9" s="265"/>
      <c r="CX9" s="265"/>
      <c r="CY9" s="265"/>
      <c r="CZ9" s="265"/>
      <c r="DA9" s="265"/>
      <c r="DB9" s="265"/>
      <c r="DC9" s="265"/>
      <c r="DD9" s="265"/>
      <c r="DE9" s="265"/>
      <c r="DF9" s="265"/>
      <c r="DG9" s="265"/>
      <c r="DH9" s="265"/>
      <c r="DI9" s="265"/>
      <c r="DJ9" s="265"/>
      <c r="DK9" s="265"/>
      <c r="DL9" s="265"/>
      <c r="DM9" s="265"/>
      <c r="DN9" s="265"/>
      <c r="DO9" s="265"/>
      <c r="DP9" s="265"/>
      <c r="DQ9" s="265"/>
      <c r="DR9" s="265"/>
      <c r="DS9" s="265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5"/>
      <c r="FG9" s="265"/>
      <c r="FH9" s="265"/>
      <c r="FI9" s="265"/>
      <c r="FJ9" s="265"/>
      <c r="FK9" s="265"/>
      <c r="FL9" s="265"/>
      <c r="FM9" s="265"/>
      <c r="FN9" s="265"/>
      <c r="FO9" s="265"/>
      <c r="FP9" s="265"/>
      <c r="FQ9" s="265"/>
      <c r="FR9" s="265"/>
      <c r="FS9" s="265"/>
      <c r="FT9" s="265"/>
      <c r="FU9" s="265"/>
      <c r="FV9" s="265"/>
      <c r="FW9" s="265"/>
      <c r="FX9" s="265"/>
      <c r="FY9" s="265"/>
      <c r="FZ9" s="265"/>
      <c r="GA9" s="265"/>
      <c r="GB9" s="265"/>
      <c r="GC9" s="265"/>
      <c r="GD9" s="265"/>
      <c r="GE9" s="265"/>
      <c r="GF9" s="265"/>
      <c r="GG9" s="265"/>
      <c r="GH9" s="265"/>
      <c r="GI9" s="265"/>
      <c r="GJ9" s="265"/>
      <c r="GK9" s="265"/>
      <c r="GL9" s="265"/>
      <c r="GM9" s="265"/>
      <c r="GN9" s="265"/>
      <c r="GO9" s="265"/>
      <c r="GP9" s="265"/>
      <c r="GQ9" s="265"/>
      <c r="GR9" s="265"/>
      <c r="GS9" s="265"/>
      <c r="GT9" s="265"/>
      <c r="GU9" s="265"/>
      <c r="GV9" s="265"/>
      <c r="GW9" s="265"/>
      <c r="GX9" s="265"/>
      <c r="GY9" s="265"/>
      <c r="GZ9" s="265"/>
      <c r="HA9" s="265"/>
      <c r="HB9" s="265"/>
      <c r="HC9" s="265"/>
      <c r="HD9" s="265"/>
      <c r="HE9" s="265"/>
      <c r="HF9" s="265"/>
      <c r="HG9" s="265"/>
      <c r="HH9" s="265"/>
      <c r="HI9" s="265"/>
      <c r="HJ9" s="265"/>
      <c r="HK9" s="265"/>
      <c r="HL9" s="265"/>
      <c r="HM9" s="265"/>
      <c r="HN9" s="265"/>
      <c r="HO9" s="265"/>
      <c r="HP9" s="265"/>
      <c r="HQ9" s="265"/>
      <c r="HR9" s="265"/>
      <c r="HS9" s="265"/>
      <c r="HT9" s="265"/>
      <c r="HU9" s="265"/>
      <c r="HV9" s="265"/>
      <c r="HW9" s="265"/>
      <c r="HX9" s="265"/>
      <c r="HY9" s="265"/>
      <c r="HZ9" s="265"/>
      <c r="IA9" s="265"/>
      <c r="IB9" s="265"/>
      <c r="IC9" s="265"/>
      <c r="ID9" s="265"/>
      <c r="IE9" s="265"/>
      <c r="IF9" s="265"/>
      <c r="IG9" s="265"/>
      <c r="IH9" s="265"/>
      <c r="II9" s="265"/>
      <c r="IJ9" s="265"/>
      <c r="IK9" s="265"/>
      <c r="IL9" s="265"/>
      <c r="IM9" s="265"/>
      <c r="IN9" s="265"/>
      <c r="IO9" s="265"/>
      <c r="IP9" s="265"/>
      <c r="IQ9" s="265"/>
      <c r="IR9" s="265"/>
      <c r="IS9" s="265"/>
      <c r="IT9" s="265"/>
      <c r="IU9" s="265"/>
      <c r="IV9" s="265"/>
      <c r="IW9" s="265"/>
    </row>
    <row r="10" customFormat="false" ht="12.75" hidden="false" customHeight="false" outlineLevel="0" collapsed="false">
      <c r="A10" s="470" t="s">
        <v>198</v>
      </c>
      <c r="B10" s="471"/>
      <c r="C10" s="471" t="n">
        <f aca="false">+NPV(DR,E10:L10)</f>
        <v>-29355.7325510072</v>
      </c>
      <c r="D10" s="471"/>
      <c r="E10" s="472" t="n">
        <f aca="false">IF(E$6&lt;YEAR(startconst),0,-HLOOKUP(DATE(E$6,12,1),idctable,IDC!$AO$23))</f>
        <v>-12644.4381400597</v>
      </c>
      <c r="F10" s="472" t="n">
        <f aca="false">IF(F$6&lt;YEAR(startconst),0,-HLOOKUP(DATE(F$6,12,1),idctable,IDC!$AO$23))-SUM($E10:E10)</f>
        <v>-12644.4381400597</v>
      </c>
      <c r="G10" s="472" t="n">
        <f aca="false">IF(G$6&lt;YEAR(startconst),0,-HLOOKUP(DATE(G$6,12,1),idctable,IDC!$AO$23))-SUM($E10:F10)</f>
        <v>-12644.4381400597</v>
      </c>
      <c r="H10" s="472" t="n">
        <f aca="false">IF(H$6&lt;YEAR(startconst),0,-HLOOKUP(DATE(H$6,12,1),idctable,IDC!$AO$23))-SUM($E10:G10)</f>
        <v>0</v>
      </c>
      <c r="I10" s="472" t="n">
        <f aca="false">IF(I$6&lt;YEAR(startconst),0,-HLOOKUP(DATE(I$6,12,1),idctable,IDC!$AO$23))-SUM($E10:H10)</f>
        <v>0</v>
      </c>
      <c r="J10" s="472" t="n">
        <f aca="false">IF(J$6&lt;YEAR(startconst),0,-HLOOKUP(DATE(J$6,12,1),idctable,IDC!$AO$23))-SUM($E10:I10)</f>
        <v>0</v>
      </c>
      <c r="K10" s="472" t="n">
        <f aca="false">IF(K$6&lt;YEAR(startconst),0,-HLOOKUP(DATE(K$6,12,1),idctable,IDC!$AO$23))-SUM($E10:J10)</f>
        <v>0</v>
      </c>
      <c r="L10" s="472" t="n">
        <f aca="false">IF(L$6&lt;YEAR(startconst),0,-HLOOKUP(DATE(L$6,12,1),idctable,IDC!$AO$23))-SUM($E10:K10)</f>
        <v>0</v>
      </c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3" t="n">
        <f aca="false">+SUM(E10:AH10)</f>
        <v>-37933.3144201792</v>
      </c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customFormat="false" ht="12.75" hidden="false" customHeight="false" outlineLevel="0" collapsed="false">
      <c r="A11" s="474" t="s">
        <v>199</v>
      </c>
      <c r="B11" s="131"/>
      <c r="C11" s="346" t="n">
        <f aca="false">+NPV(DR,E11:AH11)</f>
        <v>52414.7579420988</v>
      </c>
      <c r="D11" s="131"/>
      <c r="E11" s="475" t="n">
        <v>0</v>
      </c>
      <c r="F11" s="475" t="n">
        <v>0</v>
      </c>
      <c r="G11" s="475" t="n">
        <v>0</v>
      </c>
      <c r="H11" s="131" t="n">
        <f aca="false">+CF!E64</f>
        <v>-5489.14650461628</v>
      </c>
      <c r="I11" s="131" t="n">
        <f aca="false">+CF!F64</f>
        <v>-12024.8944418351</v>
      </c>
      <c r="J11" s="131" t="n">
        <f aca="false">+CF!G64</f>
        <v>5172.26088173192</v>
      </c>
      <c r="K11" s="131" t="n">
        <f aca="false">+CF!H64</f>
        <v>6111.95198968353</v>
      </c>
      <c r="L11" s="131" t="n">
        <f aca="false">+CF!I64</f>
        <v>6336.36938269381</v>
      </c>
      <c r="M11" s="131" t="n">
        <f aca="false">+CF!J64</f>
        <v>7322.46047131347</v>
      </c>
      <c r="N11" s="131" t="n">
        <f aca="false">+CF!K64</f>
        <v>7930.41622411125</v>
      </c>
      <c r="O11" s="131" t="n">
        <f aca="false">+CF!L64</f>
        <v>29814.3673368833</v>
      </c>
      <c r="P11" s="131" t="n">
        <f aca="false">+CF!M64</f>
        <v>33751.1784288697</v>
      </c>
      <c r="Q11" s="131" t="n">
        <f aca="false">+CF!N64</f>
        <v>34839.6239379672</v>
      </c>
      <c r="R11" s="131" t="n">
        <f aca="false">+CF!O64</f>
        <v>36050.9822707039</v>
      </c>
      <c r="S11" s="131" t="n">
        <f aca="false">+CF!P64</f>
        <v>37829.0628701378</v>
      </c>
      <c r="T11" s="131" t="n">
        <f aca="false">+CF!Q64</f>
        <v>57522.9775080903</v>
      </c>
      <c r="U11" s="131" t="n">
        <f aca="false">+CF!R64</f>
        <v>58623.600220074</v>
      </c>
      <c r="V11" s="131" t="n">
        <f aca="false">+CF!S64</f>
        <v>59746.2353862973</v>
      </c>
      <c r="W11" s="131" t="n">
        <f aca="false">+CF!T64</f>
        <v>1.10668089349774E-011</v>
      </c>
      <c r="X11" s="131" t="n">
        <f aca="false">+CF!U64</f>
        <v>-7.90486352498385E-012</v>
      </c>
      <c r="Y11" s="131" t="n">
        <f aca="false">+CF!V64</f>
        <v>-7.90486352498385E-012</v>
      </c>
      <c r="Z11" s="131" t="n">
        <f aca="false">+CF!W64</f>
        <v>-7.90486352498385E-012</v>
      </c>
      <c r="AA11" s="131" t="n">
        <f aca="false">+CF!X64</f>
        <v>-7.90486352498385E-012</v>
      </c>
      <c r="AB11" s="131" t="n">
        <f aca="false">+CF!Y64</f>
        <v>-7.90486352498385E-012</v>
      </c>
      <c r="AC11" s="131" t="n">
        <f aca="false">+CF!Z64</f>
        <v>-7.90486352498385E-012</v>
      </c>
      <c r="AD11" s="131" t="n">
        <f aca="false">+CF!AA64</f>
        <v>-7.90486352498385E-012</v>
      </c>
      <c r="AE11" s="131" t="n">
        <f aca="false">+CF!AB64</f>
        <v>-7.90486352498385E-012</v>
      </c>
      <c r="AF11" s="131" t="n">
        <f aca="false">+CF!AC64</f>
        <v>-7.90486352498385E-012</v>
      </c>
      <c r="AG11" s="131" t="n">
        <f aca="false">+CF!AD64</f>
        <v>-7.90486352498385E-012</v>
      </c>
      <c r="AH11" s="131" t="n">
        <f aca="false">+CF!AE64</f>
        <v>0</v>
      </c>
      <c r="AI11" s="476" t="n">
        <f aca="false">+SUM(E11:AH11)</f>
        <v>363537.445962106</v>
      </c>
      <c r="AJ11" s="131"/>
      <c r="AK11" s="344"/>
      <c r="AL11" s="344"/>
      <c r="AM11" s="344"/>
      <c r="AN11" s="344"/>
      <c r="AO11" s="344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  <c r="IW11" s="131"/>
    </row>
    <row r="12" customFormat="false" ht="12.75" hidden="false" customHeight="false" outlineLevel="0" collapsed="false">
      <c r="A12" s="477" t="s">
        <v>200</v>
      </c>
      <c r="B12" s="107"/>
      <c r="C12" s="107" t="n">
        <f aca="false">+SUM(C10:C11)</f>
        <v>23059.0253910915</v>
      </c>
      <c r="D12" s="107"/>
      <c r="E12" s="107" t="n">
        <f aca="false">SUM(E10:E11)</f>
        <v>-12644.4381400597</v>
      </c>
      <c r="F12" s="107" t="n">
        <f aca="false">SUM(F10:F11)</f>
        <v>-12644.4381400597</v>
      </c>
      <c r="G12" s="107" t="n">
        <f aca="false">SUM(G10:G11)</f>
        <v>-12644.4381400597</v>
      </c>
      <c r="H12" s="107" t="n">
        <f aca="false">SUM(H10:H11)</f>
        <v>-5489.14650461628</v>
      </c>
      <c r="I12" s="107" t="n">
        <f aca="false">SUM(I10:I11)</f>
        <v>-12024.8944418351</v>
      </c>
      <c r="J12" s="107" t="n">
        <f aca="false">SUM(J10:J11)</f>
        <v>5172.26088173192</v>
      </c>
      <c r="K12" s="107" t="n">
        <f aca="false">SUM(K10:K11)</f>
        <v>6111.95198968353</v>
      </c>
      <c r="L12" s="107" t="n">
        <f aca="false">SUM(L10:L11)</f>
        <v>6336.36938269381</v>
      </c>
      <c r="M12" s="107" t="n">
        <f aca="false">SUM(M10:M11)</f>
        <v>7322.46047131347</v>
      </c>
      <c r="N12" s="107" t="n">
        <f aca="false">SUM(N10:N11)</f>
        <v>7930.41622411125</v>
      </c>
      <c r="O12" s="107" t="n">
        <f aca="false">SUM(O10:O11)</f>
        <v>29814.3673368833</v>
      </c>
      <c r="P12" s="107" t="n">
        <f aca="false">SUM(P10:P11)</f>
        <v>33751.1784288697</v>
      </c>
      <c r="Q12" s="107" t="n">
        <f aca="false">SUM(Q10:Q11)</f>
        <v>34839.6239379672</v>
      </c>
      <c r="R12" s="107" t="n">
        <f aca="false">SUM(R10:R11)</f>
        <v>36050.9822707039</v>
      </c>
      <c r="S12" s="107" t="n">
        <f aca="false">SUM(S10:S11)</f>
        <v>37829.0628701378</v>
      </c>
      <c r="T12" s="107" t="n">
        <f aca="false">SUM(T10:T11)</f>
        <v>57522.9775080903</v>
      </c>
      <c r="U12" s="107" t="n">
        <f aca="false">SUM(U10:U11)</f>
        <v>58623.600220074</v>
      </c>
      <c r="V12" s="107" t="n">
        <f aca="false">SUM(V10:V11)</f>
        <v>59746.2353862973</v>
      </c>
      <c r="W12" s="107" t="n">
        <f aca="false">SUM(W10:W11)</f>
        <v>1.10668089349774E-011</v>
      </c>
      <c r="X12" s="107" t="n">
        <f aca="false">SUM(X10:X11)</f>
        <v>-7.90486352498385E-012</v>
      </c>
      <c r="Y12" s="107" t="n">
        <f aca="false">SUM(Y10:Y11)</f>
        <v>-7.90486352498385E-012</v>
      </c>
      <c r="Z12" s="107" t="n">
        <f aca="false">SUM(Z10:Z11)</f>
        <v>-7.90486352498385E-012</v>
      </c>
      <c r="AA12" s="107" t="n">
        <f aca="false">SUM(AA10:AA11)</f>
        <v>-7.90486352498385E-012</v>
      </c>
      <c r="AB12" s="107" t="n">
        <f aca="false">SUM(AB10:AB11)</f>
        <v>-7.90486352498385E-012</v>
      </c>
      <c r="AC12" s="107" t="n">
        <f aca="false">SUM(AC10:AC11)</f>
        <v>-7.90486352498385E-012</v>
      </c>
      <c r="AD12" s="107" t="n">
        <f aca="false">SUM(AD10:AD11)</f>
        <v>-7.90486352498385E-012</v>
      </c>
      <c r="AE12" s="107" t="n">
        <f aca="false">SUM(AE10:AE11)</f>
        <v>-7.90486352498385E-012</v>
      </c>
      <c r="AF12" s="107" t="n">
        <f aca="false">SUM(AF10:AF11)</f>
        <v>-7.90486352498385E-012</v>
      </c>
      <c r="AG12" s="107" t="n">
        <f aca="false">SUM(AG10:AG11)</f>
        <v>-7.90486352498385E-012</v>
      </c>
      <c r="AH12" s="107" t="n">
        <f aca="false">SUM(AH10:AH11)</f>
        <v>0</v>
      </c>
      <c r="AI12" s="478" t="n">
        <f aca="false">+SUM(E12:AH12)</f>
        <v>325604.131541927</v>
      </c>
      <c r="AJ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07"/>
      <c r="IV12" s="107"/>
      <c r="IW12" s="107"/>
    </row>
    <row r="13" customFormat="false" ht="12.75" hidden="false" customHeight="false" outlineLevel="0" collapsed="false">
      <c r="A13" s="37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Z13" s="14"/>
      <c r="AA13" s="14"/>
      <c r="AB13" s="14"/>
      <c r="AC13" s="14"/>
      <c r="AD13" s="14"/>
      <c r="AE13" s="14"/>
      <c r="AF13" s="14"/>
      <c r="AG13" s="14"/>
      <c r="AH13" s="14"/>
      <c r="AI13" s="389"/>
      <c r="AJ13" s="14"/>
    </row>
    <row r="14" customFormat="false" ht="12.75" hidden="false" customHeight="false" outlineLevel="0" collapsed="false">
      <c r="A14" s="477" t="s">
        <v>201</v>
      </c>
      <c r="B14" s="107"/>
      <c r="C14" s="107"/>
      <c r="D14" s="107"/>
      <c r="E14" s="107" t="n">
        <f aca="false">+NPV(DR,$E12:E12)</f>
        <v>-11091.6124035612</v>
      </c>
      <c r="F14" s="107" t="n">
        <f aca="false">+NPV(DR,$E12:F12)</f>
        <v>-20821.0969680885</v>
      </c>
      <c r="G14" s="107" t="n">
        <f aca="false">+NPV(DR,$E12:G12)</f>
        <v>-29355.7325510072</v>
      </c>
      <c r="H14" s="107" t="n">
        <f aca="false">+NPV(DR,$E12:H12)</f>
        <v>-32605.747935986</v>
      </c>
      <c r="I14" s="107" t="n">
        <f aca="false">+NPV(DR,$E12:I12)</f>
        <v>-38851.1013013097</v>
      </c>
      <c r="J14" s="107" t="n">
        <f aca="false">+NPV(DR,$E12:J12)</f>
        <v>-36494.6888224802</v>
      </c>
      <c r="K14" s="107" t="n">
        <f aca="false">+NPV(DR,$E12:K12)</f>
        <v>-34052.124693892</v>
      </c>
      <c r="L14" s="107" t="n">
        <f aca="false">+NPV(DR,$E12:L12)</f>
        <v>-31830.8530319096</v>
      </c>
      <c r="M14" s="107" t="n">
        <f aca="false">+NPV(DR,$E12:M12)</f>
        <v>-29579.1382757642</v>
      </c>
      <c r="N14" s="107" t="n">
        <f aca="false">+NPV(DR,$E12:N12)</f>
        <v>-27439.957592402</v>
      </c>
      <c r="O14" s="107" t="n">
        <f aca="false">+NPV(DR,$E12:O12)</f>
        <v>-20385.3602030627</v>
      </c>
      <c r="P14" s="107" t="n">
        <f aca="false">+NPV(DR,$E12:P12)</f>
        <v>-13379.9959023891</v>
      </c>
      <c r="Q14" s="107" t="n">
        <f aca="false">+NPV(DR,$E12:Q12)</f>
        <v>-7036.76689047112</v>
      </c>
      <c r="R14" s="107" t="n">
        <f aca="false">+NPV(DR,$E12:R12)</f>
        <v>-1279.06488843105</v>
      </c>
      <c r="S14" s="107" t="n">
        <f aca="false">+NPV(DR,$E12:S12)</f>
        <v>4020.65373964829</v>
      </c>
      <c r="T14" s="107" t="n">
        <f aca="false">+NPV(DR,$E12:T12)</f>
        <v>11089.7474124788</v>
      </c>
      <c r="U14" s="107" t="n">
        <f aca="false">+NPV(DR,$E12:U12)</f>
        <v>17409.3535659577</v>
      </c>
      <c r="V14" s="107" t="n">
        <f aca="false">+NPV(DR,$E12:V12)</f>
        <v>23059.0253910915</v>
      </c>
      <c r="W14" s="107" t="n">
        <f aca="false">+NPV(DR,$E12:W12)</f>
        <v>23059.0253910915</v>
      </c>
      <c r="X14" s="107" t="n">
        <f aca="false">+NPV(DR,$E12:X12)</f>
        <v>23059.0253910915</v>
      </c>
      <c r="Y14" s="107" t="n">
        <f aca="false">+NPV(DR,$E12:Y12)</f>
        <v>23059.0253910915</v>
      </c>
      <c r="Z14" s="107" t="n">
        <f aca="false">+NPV(DR,$E12:Z12)</f>
        <v>23059.0253910915</v>
      </c>
      <c r="AA14" s="107" t="n">
        <f aca="false">+NPV(DR,$E12:AA12)</f>
        <v>23059.0253910915</v>
      </c>
      <c r="AB14" s="107" t="n">
        <f aca="false">+NPV(DR,$E12:AB12)</f>
        <v>23059.0253910915</v>
      </c>
      <c r="AC14" s="107" t="n">
        <f aca="false">+NPV(DR,$E12:AC12)</f>
        <v>23059.0253910915</v>
      </c>
      <c r="AD14" s="107" t="n">
        <f aca="false">+NPV(DR,$E12:AD12)</f>
        <v>23059.0253910915</v>
      </c>
      <c r="AE14" s="107" t="n">
        <f aca="false">+NPV(DR,$E12:AE12)</f>
        <v>23059.0253910915</v>
      </c>
      <c r="AF14" s="107" t="n">
        <f aca="false">+NPV(DR,$E12:AF12)</f>
        <v>23059.0253910915</v>
      </c>
      <c r="AG14" s="107" t="n">
        <f aca="false">+NPV(DR,$E12:AG12)</f>
        <v>23059.0253910915</v>
      </c>
      <c r="AH14" s="107" t="n">
        <f aca="false">+NPV(DR,$E12:AH12)</f>
        <v>23059.0253910915</v>
      </c>
      <c r="AI14" s="479" t="n">
        <f aca="false">+AH14</f>
        <v>23059.0253910915</v>
      </c>
      <c r="AJ14" s="14"/>
    </row>
    <row r="15" customFormat="false" ht="12.75" hidden="false" customHeight="false" outlineLevel="0" collapsed="false">
      <c r="A15" s="480" t="s">
        <v>202</v>
      </c>
      <c r="B15" s="481"/>
      <c r="C15" s="481"/>
      <c r="D15" s="481"/>
      <c r="E15" s="482" t="e">
        <f aca="false">IRR($E$12:E12)</f>
        <v>#N/A</v>
      </c>
      <c r="F15" s="482" t="e">
        <f aca="false">IRR($E$12:F12)</f>
        <v>#N/A</v>
      </c>
      <c r="G15" s="482" t="e">
        <f aca="false">IRR($E$12:G12)</f>
        <v>#N/A</v>
      </c>
      <c r="H15" s="482" t="e">
        <f aca="false">IRR($E$12:H12)</f>
        <v>#N/A</v>
      </c>
      <c r="I15" s="482" t="e">
        <f aca="false">IRR($E$12:I12)</f>
        <v>#N/A</v>
      </c>
      <c r="J15" s="482" t="e">
        <f aca="false">IRR($E$12:J12)</f>
        <v>#N/A</v>
      </c>
      <c r="K15" s="482" t="e">
        <f aca="false">IRR($E$12:K12)</f>
        <v>#N/A</v>
      </c>
      <c r="L15" s="482" t="e">
        <f aca="false">IRR($E$12:L12)</f>
        <v>#N/A</v>
      </c>
      <c r="M15" s="482" t="e">
        <f aca="false">IRR($E$12:M12)</f>
        <v>#N/A</v>
      </c>
      <c r="N15" s="482" t="n">
        <f aca="false">IRR($E$12:N12)</f>
        <v>-0.093123101578981</v>
      </c>
      <c r="O15" s="482" t="n">
        <f aca="false">IRR($E$12:O12)</f>
        <v>0.0185514241711084</v>
      </c>
      <c r="P15" s="482" t="n">
        <f aca="false">IRR($E$12:P12)</f>
        <v>0.0766290410332289</v>
      </c>
      <c r="Q15" s="482" t="n">
        <f aca="false">IRR($E$12:Q12)</f>
        <v>0.111791095732101</v>
      </c>
      <c r="R15" s="482" t="n">
        <f aca="false">IRR($E$12:R12)</f>
        <v>0.135508323772861</v>
      </c>
      <c r="S15" s="482" t="n">
        <f aca="false">IRR($E$12:S12)</f>
        <v>0.152635895607142</v>
      </c>
      <c r="T15" s="482" t="n">
        <f aca="false">IRR($E$12:T12)</f>
        <v>0.170509815723115</v>
      </c>
      <c r="U15" s="482" t="n">
        <f aca="false">IRR($E$12:U12)</f>
        <v>0.183050067666583</v>
      </c>
      <c r="V15" s="482" t="n">
        <f aca="false">IRR($E$12:V12)</f>
        <v>0.192198510817184</v>
      </c>
      <c r="W15" s="482" t="n">
        <f aca="false">IRR($E$12:W12)</f>
        <v>0.192198510817184</v>
      </c>
      <c r="X15" s="482" t="n">
        <f aca="false">IRR($E$12:X12)</f>
        <v>0.192198510817184</v>
      </c>
      <c r="Y15" s="482" t="n">
        <f aca="false">IRR($E$12:Y12)</f>
        <v>0.192198510817184</v>
      </c>
      <c r="Z15" s="482" t="n">
        <f aca="false">IRR($E$12:Z12)</f>
        <v>0.192198510817184</v>
      </c>
      <c r="AA15" s="482" t="n">
        <f aca="false">IRR($E$12:AA12)</f>
        <v>0.192198510817184</v>
      </c>
      <c r="AB15" s="482" t="n">
        <f aca="false">IRR($E$12:AB12)</f>
        <v>0.192198510817184</v>
      </c>
      <c r="AC15" s="482" t="n">
        <f aca="false">IRR($E$12:AC12)</f>
        <v>0.192198510817184</v>
      </c>
      <c r="AD15" s="482" t="n">
        <f aca="false">IRR($E$12:AD12)</f>
        <v>0.192198510817184</v>
      </c>
      <c r="AE15" s="482" t="n">
        <f aca="false">IRR($E$12:AE12)</f>
        <v>0.192198510817184</v>
      </c>
      <c r="AF15" s="482" t="n">
        <f aca="false">IRR($E$12:AF12)</f>
        <v>0.192198510817184</v>
      </c>
      <c r="AG15" s="482" t="n">
        <f aca="false">IRR($E$12:AG12)</f>
        <v>0.192198510817184</v>
      </c>
      <c r="AH15" s="482" t="n">
        <f aca="false">IRR($E$12:AH12)</f>
        <v>0.192198510817184</v>
      </c>
      <c r="AI15" s="483" t="n">
        <f aca="false">+AH15</f>
        <v>0.192198510817184</v>
      </c>
    </row>
    <row r="16" customFormat="false" ht="12.75" hidden="false" customHeight="false" outlineLevel="0" collapsed="false">
      <c r="A16" s="37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Z16" s="14"/>
      <c r="AA16" s="14"/>
      <c r="AB16" s="14"/>
      <c r="AC16" s="14"/>
      <c r="AD16" s="14"/>
      <c r="AE16" s="14"/>
      <c r="AF16" s="14"/>
      <c r="AG16" s="14"/>
    </row>
    <row r="17" customFormat="false" ht="12.75" hidden="false" customHeight="false" outlineLevel="0" collapsed="false">
      <c r="A17" s="484" t="str">
        <f aca="false">"Project NPV as of "&amp;C6</f>
        <v>Project NPV as of BOY 2000</v>
      </c>
      <c r="B17" s="485" t="n">
        <f aca="false">+AI14</f>
        <v>23059.0253910915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Z17" s="14"/>
      <c r="AA17" s="14"/>
      <c r="AB17" s="14"/>
      <c r="AC17" s="14"/>
      <c r="AD17" s="14"/>
      <c r="AE17" s="14"/>
      <c r="AF17" s="14"/>
      <c r="AG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486" t="s">
        <v>203</v>
      </c>
      <c r="B18" s="487" t="n">
        <f aca="false">+AI15</f>
        <v>0.192198510817184</v>
      </c>
      <c r="C18" s="14"/>
      <c r="D18" s="488"/>
      <c r="E18" s="488"/>
      <c r="F18" s="488"/>
      <c r="G18" s="488"/>
      <c r="I18" s="14"/>
      <c r="J18" s="14"/>
      <c r="K18" s="14"/>
      <c r="L18" s="14"/>
      <c r="M18" s="14"/>
      <c r="N18" s="14"/>
      <c r="O18" s="14"/>
      <c r="P18" s="14"/>
      <c r="Z18" s="14"/>
      <c r="AA18" s="14"/>
      <c r="AB18" s="14"/>
    </row>
    <row r="19" customFormat="false" ht="12.75" hidden="false" customHeight="false" outlineLevel="0" collapsed="false">
      <c r="A19" s="14"/>
      <c r="B19" s="14"/>
      <c r="C19" s="14"/>
      <c r="D19" s="107"/>
      <c r="E19" s="488"/>
      <c r="F19" s="488"/>
      <c r="G19" s="488"/>
      <c r="H19" s="14"/>
      <c r="I19" s="14"/>
      <c r="J19" s="14"/>
      <c r="K19" s="14"/>
      <c r="L19" s="14"/>
      <c r="M19" s="14"/>
      <c r="N19" s="14"/>
      <c r="O19" s="14"/>
      <c r="P19" s="14"/>
      <c r="Z19" s="14"/>
    </row>
    <row r="20" customFormat="false" ht="12.75" hidden="false" customHeight="false" outlineLevel="0" collapsed="false">
      <c r="A20" s="14"/>
      <c r="B20" s="14"/>
      <c r="C20" s="14"/>
      <c r="D20" s="107"/>
      <c r="E20" s="488"/>
      <c r="F20" s="488"/>
      <c r="G20" s="488"/>
      <c r="H20" s="14"/>
      <c r="I20" s="14"/>
      <c r="J20" s="14"/>
      <c r="K20" s="14"/>
      <c r="L20" s="14"/>
      <c r="M20" s="14"/>
      <c r="N20" s="14"/>
      <c r="O20" s="14"/>
      <c r="P20" s="14"/>
      <c r="Z20" s="14"/>
    </row>
    <row r="21" customFormat="false" ht="12.75" hidden="false" customHeight="false" outlineLevel="0" collapsed="false">
      <c r="A21" s="470" t="s">
        <v>198</v>
      </c>
      <c r="B21" s="471"/>
      <c r="C21" s="471" t="n">
        <f aca="false">+NPV(DR,E21:L21)</f>
        <v>-29355.7325510072</v>
      </c>
      <c r="D21" s="471"/>
      <c r="E21" s="472" t="n">
        <f aca="false">+E10</f>
        <v>-12644.4381400597</v>
      </c>
      <c r="F21" s="472" t="n">
        <f aca="false">+F10</f>
        <v>-12644.4381400597</v>
      </c>
      <c r="G21" s="472" t="n">
        <f aca="false">+G10</f>
        <v>-12644.4381400597</v>
      </c>
      <c r="H21" s="472" t="n">
        <f aca="false">+H10</f>
        <v>0</v>
      </c>
      <c r="I21" s="472" t="n">
        <f aca="false">+I10</f>
        <v>0</v>
      </c>
      <c r="J21" s="472" t="n">
        <f aca="false">+J10</f>
        <v>0</v>
      </c>
      <c r="K21" s="472" t="n">
        <f aca="false">+K10</f>
        <v>0</v>
      </c>
      <c r="L21" s="472" t="n">
        <f aca="false">+L10</f>
        <v>0</v>
      </c>
      <c r="M21" s="472" t="n">
        <f aca="false">+M10</f>
        <v>0</v>
      </c>
      <c r="N21" s="472" t="n">
        <f aca="false">+N10</f>
        <v>0</v>
      </c>
      <c r="O21" s="472" t="n">
        <f aca="false">+O10</f>
        <v>0</v>
      </c>
      <c r="P21" s="472" t="n">
        <f aca="false">+P10</f>
        <v>0</v>
      </c>
      <c r="Q21" s="472" t="n">
        <f aca="false">+Q10</f>
        <v>0</v>
      </c>
      <c r="R21" s="472" t="n">
        <f aca="false">+R10</f>
        <v>0</v>
      </c>
      <c r="S21" s="472" t="n">
        <f aca="false">+S10</f>
        <v>0</v>
      </c>
      <c r="T21" s="472" t="n">
        <f aca="false">+T10</f>
        <v>0</v>
      </c>
      <c r="U21" s="472" t="n">
        <f aca="false">+U10</f>
        <v>0</v>
      </c>
      <c r="V21" s="472" t="n">
        <f aca="false">+V10</f>
        <v>0</v>
      </c>
      <c r="W21" s="472" t="n">
        <f aca="false">+W10</f>
        <v>0</v>
      </c>
      <c r="X21" s="472" t="n">
        <f aca="false">+X10</f>
        <v>0</v>
      </c>
      <c r="Y21" s="472" t="n">
        <f aca="false">+Y10</f>
        <v>0</v>
      </c>
      <c r="Z21" s="472" t="n">
        <f aca="false">+Z10</f>
        <v>0</v>
      </c>
      <c r="AA21" s="472" t="n">
        <f aca="false">+AA10</f>
        <v>0</v>
      </c>
      <c r="AB21" s="472" t="n">
        <f aca="false">+AB10</f>
        <v>0</v>
      </c>
      <c r="AC21" s="472" t="n">
        <f aca="false">+AC10</f>
        <v>0</v>
      </c>
      <c r="AD21" s="472" t="n">
        <f aca="false">+AD10</f>
        <v>0</v>
      </c>
      <c r="AE21" s="472" t="n">
        <f aca="false">+AE10</f>
        <v>0</v>
      </c>
      <c r="AF21" s="472" t="n">
        <f aca="false">+AF10</f>
        <v>0</v>
      </c>
      <c r="AG21" s="472" t="n">
        <f aca="false">+AG10</f>
        <v>0</v>
      </c>
      <c r="AH21" s="472" t="n">
        <f aca="false">+AH10</f>
        <v>0</v>
      </c>
      <c r="AI21" s="473" t="n">
        <f aca="false">+SUM(E21:AH21)</f>
        <v>-37933.3144201792</v>
      </c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</row>
    <row r="22" customFormat="false" ht="12.75" hidden="false" customHeight="false" outlineLevel="0" collapsed="false">
      <c r="A22" s="477" t="s">
        <v>199</v>
      </c>
      <c r="B22" s="107"/>
      <c r="C22" s="489" t="n">
        <f aca="false">+NPV(DR,E22:AH22)</f>
        <v>52414.7579420988</v>
      </c>
      <c r="D22" s="107"/>
      <c r="E22" s="107" t="n">
        <f aca="false">+E11</f>
        <v>0</v>
      </c>
      <c r="F22" s="107" t="n">
        <f aca="false">+F11</f>
        <v>0</v>
      </c>
      <c r="G22" s="107" t="n">
        <f aca="false">+G11</f>
        <v>0</v>
      </c>
      <c r="H22" s="107" t="n">
        <f aca="false">+H11</f>
        <v>-5489.14650461628</v>
      </c>
      <c r="I22" s="107" t="n">
        <f aca="false">+I11</f>
        <v>-12024.8944418351</v>
      </c>
      <c r="J22" s="107" t="n">
        <f aca="false">+J11</f>
        <v>5172.26088173192</v>
      </c>
      <c r="K22" s="107" t="n">
        <f aca="false">+K11</f>
        <v>6111.95198968353</v>
      </c>
      <c r="L22" s="107" t="n">
        <f aca="false">+L11</f>
        <v>6336.36938269381</v>
      </c>
      <c r="M22" s="107" t="n">
        <f aca="false">+M11</f>
        <v>7322.46047131347</v>
      </c>
      <c r="N22" s="107" t="n">
        <f aca="false">+N11</f>
        <v>7930.41622411125</v>
      </c>
      <c r="O22" s="107" t="n">
        <f aca="false">+O11</f>
        <v>29814.3673368833</v>
      </c>
      <c r="P22" s="107" t="n">
        <f aca="false">+P11</f>
        <v>33751.1784288697</v>
      </c>
      <c r="Q22" s="107" t="n">
        <f aca="false">+Q11</f>
        <v>34839.6239379672</v>
      </c>
      <c r="R22" s="107" t="n">
        <f aca="false">+R11</f>
        <v>36050.9822707039</v>
      </c>
      <c r="S22" s="107" t="n">
        <f aca="false">+S11</f>
        <v>37829.0628701378</v>
      </c>
      <c r="T22" s="107" t="n">
        <f aca="false">+T11</f>
        <v>57522.9775080903</v>
      </c>
      <c r="U22" s="107" t="n">
        <f aca="false">+U11</f>
        <v>58623.600220074</v>
      </c>
      <c r="V22" s="107" t="n">
        <f aca="false">+V11</f>
        <v>59746.2353862973</v>
      </c>
      <c r="W22" s="107" t="n">
        <f aca="false">+W11</f>
        <v>1.10668089349774E-011</v>
      </c>
      <c r="X22" s="107" t="n">
        <f aca="false">+X11</f>
        <v>-7.90486352498385E-012</v>
      </c>
      <c r="Y22" s="107" t="n">
        <f aca="false">+Y11</f>
        <v>-7.90486352498385E-012</v>
      </c>
      <c r="Z22" s="107" t="n">
        <f aca="false">+Z11</f>
        <v>-7.90486352498385E-012</v>
      </c>
      <c r="AA22" s="107" t="n">
        <f aca="false">+AA11</f>
        <v>-7.90486352498385E-012</v>
      </c>
      <c r="AB22" s="107" t="n">
        <f aca="false">+AB11</f>
        <v>-7.90486352498385E-012</v>
      </c>
      <c r="AC22" s="107" t="n">
        <f aca="false">+AC11</f>
        <v>-7.90486352498385E-012</v>
      </c>
      <c r="AD22" s="107" t="n">
        <f aca="false">+AD11</f>
        <v>-7.90486352498385E-012</v>
      </c>
      <c r="AE22" s="107" t="n">
        <f aca="false">+AE11</f>
        <v>-7.90486352498385E-012</v>
      </c>
      <c r="AF22" s="107" t="n">
        <f aca="false">+AF11</f>
        <v>-7.90486352498385E-012</v>
      </c>
      <c r="AG22" s="107" t="n">
        <f aca="false">+AG11</f>
        <v>-7.90486352498385E-012</v>
      </c>
      <c r="AH22" s="107" t="n">
        <f aca="false">+AH11</f>
        <v>0</v>
      </c>
      <c r="AI22" s="478" t="n">
        <f aca="false">+SUM(E22:AH22)</f>
        <v>363537.445962106</v>
      </c>
      <c r="AJ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07"/>
      <c r="IN22" s="107"/>
      <c r="IO22" s="107"/>
      <c r="IP22" s="107"/>
      <c r="IQ22" s="107"/>
      <c r="IR22" s="107"/>
      <c r="IS22" s="107"/>
      <c r="IT22" s="107"/>
      <c r="IU22" s="107"/>
      <c r="IV22" s="107"/>
      <c r="IW22" s="107"/>
    </row>
    <row r="23" customFormat="false" ht="12.75" hidden="false" customHeight="false" outlineLevel="0" collapsed="false">
      <c r="A23" s="474" t="s">
        <v>204</v>
      </c>
      <c r="B23" s="131"/>
      <c r="C23" s="346" t="n">
        <f aca="false">+NPV(DR,E23:AH23)</f>
        <v>-6191.01266924012</v>
      </c>
      <c r="D23" s="131"/>
      <c r="E23" s="475" t="n">
        <v>0</v>
      </c>
      <c r="F23" s="475" t="n">
        <v>0</v>
      </c>
      <c r="G23" s="475" t="n">
        <v>0</v>
      </c>
      <c r="H23" s="131" t="n">
        <f aca="false">-'Depn&amp;Tax'!E80</f>
        <v>-0</v>
      </c>
      <c r="I23" s="131" t="n">
        <f aca="false">-'Depn&amp;Tax'!F80</f>
        <v>-0</v>
      </c>
      <c r="J23" s="131" t="n">
        <f aca="false">-'Depn&amp;Tax'!G80</f>
        <v>-517.226088173192</v>
      </c>
      <c r="K23" s="131" t="n">
        <f aca="false">-'Depn&amp;Tax'!H80</f>
        <v>-611.195198968353</v>
      </c>
      <c r="L23" s="131" t="n">
        <f aca="false">-'Depn&amp;Tax'!I80</f>
        <v>-633.636938269381</v>
      </c>
      <c r="M23" s="131" t="n">
        <f aca="false">-'Depn&amp;Tax'!J80</f>
        <v>-732.246047131347</v>
      </c>
      <c r="N23" s="131" t="n">
        <f aca="false">-'Depn&amp;Tax'!K80</f>
        <v>-793.041622411125</v>
      </c>
      <c r="O23" s="131" t="n">
        <f aca="false">-'Depn&amp;Tax'!L80</f>
        <v>-2981.43673368833</v>
      </c>
      <c r="P23" s="131" t="n">
        <f aca="false">-'Depn&amp;Tax'!M80</f>
        <v>-3375.11784288697</v>
      </c>
      <c r="Q23" s="131" t="n">
        <f aca="false">-'Depn&amp;Tax'!N80</f>
        <v>-3483.96239379672</v>
      </c>
      <c r="R23" s="131" t="n">
        <f aca="false">-'Depn&amp;Tax'!O80</f>
        <v>-3605.09822707039</v>
      </c>
      <c r="S23" s="131" t="n">
        <f aca="false">-'Depn&amp;Tax'!P80</f>
        <v>-3782.90628701378</v>
      </c>
      <c r="T23" s="131" t="n">
        <f aca="false">-'Depn&amp;Tax'!Q80</f>
        <v>-5752.29775080903</v>
      </c>
      <c r="U23" s="131" t="n">
        <f aca="false">-'Depn&amp;Tax'!R80</f>
        <v>-5862.3600220074</v>
      </c>
      <c r="V23" s="131" t="n">
        <f aca="false">-'Depn&amp;Tax'!S80</f>
        <v>-5974.62353862973</v>
      </c>
      <c r="W23" s="131" t="n">
        <f aca="false">-'Depn&amp;Tax'!T80</f>
        <v>-1.10668089349774E-012</v>
      </c>
      <c r="X23" s="131" t="n">
        <f aca="false">-'Depn&amp;Tax'!U80</f>
        <v>-0</v>
      </c>
      <c r="Y23" s="131" t="n">
        <f aca="false">-'Depn&amp;Tax'!V80</f>
        <v>-0</v>
      </c>
      <c r="Z23" s="131" t="n">
        <f aca="false">-'Depn&amp;Tax'!W80</f>
        <v>-0</v>
      </c>
      <c r="AA23" s="131" t="n">
        <f aca="false">-'Depn&amp;Tax'!X80</f>
        <v>-0</v>
      </c>
      <c r="AB23" s="131" t="n">
        <f aca="false">-'Depn&amp;Tax'!Y80</f>
        <v>-0</v>
      </c>
      <c r="AC23" s="131" t="n">
        <f aca="false">-'Depn&amp;Tax'!Z80</f>
        <v>-0</v>
      </c>
      <c r="AD23" s="131" t="n">
        <f aca="false">-'Depn&amp;Tax'!AA80</f>
        <v>-0</v>
      </c>
      <c r="AE23" s="131" t="n">
        <f aca="false">-'Depn&amp;Tax'!AB80</f>
        <v>-0</v>
      </c>
      <c r="AF23" s="131" t="n">
        <f aca="false">-'Depn&amp;Tax'!AC80</f>
        <v>-0</v>
      </c>
      <c r="AG23" s="131" t="n">
        <f aca="false">-'Depn&amp;Tax'!AD80</f>
        <v>-0</v>
      </c>
      <c r="AH23" s="131" t="n">
        <f aca="false">-'Depn&amp;Tax'!AE80</f>
        <v>-0</v>
      </c>
      <c r="AI23" s="476" t="n">
        <f aca="false">+SUM(E23:AH23)</f>
        <v>-38105.1486908558</v>
      </c>
      <c r="AJ23" s="131"/>
      <c r="AK23" s="344"/>
      <c r="AL23" s="344"/>
      <c r="AM23" s="344"/>
      <c r="AN23" s="344"/>
      <c r="AO23" s="344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1"/>
      <c r="FG23" s="131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1"/>
      <c r="FV23" s="131"/>
      <c r="FW23" s="131"/>
      <c r="FX23" s="131"/>
      <c r="FY23" s="131"/>
      <c r="FZ23" s="131"/>
      <c r="GA23" s="131"/>
      <c r="GB23" s="131"/>
      <c r="GC23" s="131"/>
      <c r="GD23" s="131"/>
      <c r="GE23" s="131"/>
      <c r="GF23" s="131"/>
      <c r="GG23" s="131"/>
      <c r="GH23" s="131"/>
      <c r="GI23" s="131"/>
      <c r="GJ23" s="131"/>
      <c r="GK23" s="131"/>
      <c r="GL23" s="131"/>
      <c r="GM23" s="131"/>
      <c r="GN23" s="131"/>
      <c r="GO23" s="131"/>
      <c r="GP23" s="131"/>
      <c r="GQ23" s="131"/>
      <c r="GR23" s="131"/>
      <c r="GS23" s="131"/>
      <c r="GT23" s="131"/>
      <c r="GU23" s="131"/>
      <c r="GV23" s="131"/>
      <c r="GW23" s="131"/>
      <c r="GX23" s="131"/>
      <c r="GY23" s="131"/>
      <c r="GZ23" s="131"/>
      <c r="HA23" s="131"/>
      <c r="HB23" s="131"/>
      <c r="HC23" s="131"/>
      <c r="HD23" s="131"/>
      <c r="HE23" s="131"/>
      <c r="HF23" s="131"/>
      <c r="HG23" s="131"/>
      <c r="HH23" s="131"/>
      <c r="HI23" s="131"/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131"/>
      <c r="HU23" s="131"/>
      <c r="HV23" s="131"/>
      <c r="HW23" s="131"/>
      <c r="HX23" s="131"/>
      <c r="HY23" s="131"/>
      <c r="HZ23" s="131"/>
      <c r="IA23" s="131"/>
      <c r="IB23" s="131"/>
      <c r="IC23" s="131"/>
      <c r="ID23" s="131"/>
      <c r="IE23" s="131"/>
      <c r="IF23" s="131"/>
      <c r="IG23" s="131"/>
      <c r="IH23" s="131"/>
      <c r="II23" s="131"/>
      <c r="IJ23" s="131"/>
      <c r="IK23" s="131"/>
      <c r="IL23" s="131"/>
      <c r="IM23" s="131"/>
      <c r="IN23" s="131"/>
      <c r="IO23" s="131"/>
      <c r="IP23" s="131"/>
      <c r="IQ23" s="131"/>
      <c r="IR23" s="131"/>
      <c r="IS23" s="131"/>
      <c r="IT23" s="131"/>
      <c r="IU23" s="131"/>
      <c r="IV23" s="131"/>
      <c r="IW23" s="131"/>
    </row>
    <row r="24" customFormat="false" ht="12.75" hidden="false" customHeight="false" outlineLevel="0" collapsed="false">
      <c r="A24" s="477" t="s">
        <v>200</v>
      </c>
      <c r="B24" s="107"/>
      <c r="C24" s="107" t="n">
        <f aca="false">SUM(C21:C23)</f>
        <v>16868.0127218514</v>
      </c>
      <c r="D24" s="107"/>
      <c r="E24" s="107" t="n">
        <f aca="false">SUM(E21:E23)</f>
        <v>-12644.4381400597</v>
      </c>
      <c r="F24" s="107" t="n">
        <f aca="false">SUM(F21:F23)</f>
        <v>-12644.4381400597</v>
      </c>
      <c r="G24" s="107" t="n">
        <f aca="false">SUM(G21:G23)</f>
        <v>-12644.4381400597</v>
      </c>
      <c r="H24" s="107" t="n">
        <f aca="false">SUM(H21:H23)</f>
        <v>-5489.14650461628</v>
      </c>
      <c r="I24" s="107" t="n">
        <f aca="false">SUM(I21:I23)</f>
        <v>-12024.8944418351</v>
      </c>
      <c r="J24" s="107" t="n">
        <f aca="false">SUM(J21:J23)</f>
        <v>4655.03479355873</v>
      </c>
      <c r="K24" s="107" t="n">
        <f aca="false">SUM(K21:K23)</f>
        <v>5500.75679071518</v>
      </c>
      <c r="L24" s="107" t="n">
        <f aca="false">SUM(L21:L23)</f>
        <v>5702.73244442443</v>
      </c>
      <c r="M24" s="107" t="n">
        <f aca="false">SUM(M21:M23)</f>
        <v>6590.21442418212</v>
      </c>
      <c r="N24" s="107" t="n">
        <f aca="false">SUM(N21:N23)</f>
        <v>7137.37460170013</v>
      </c>
      <c r="O24" s="107" t="n">
        <f aca="false">SUM(O21:O23)</f>
        <v>26832.930603195</v>
      </c>
      <c r="P24" s="107" t="n">
        <f aca="false">SUM(P21:P23)</f>
        <v>30376.0605859827</v>
      </c>
      <c r="Q24" s="107" t="n">
        <f aca="false">SUM(Q21:Q23)</f>
        <v>31355.6615441705</v>
      </c>
      <c r="R24" s="107" t="n">
        <f aca="false">SUM(R21:R23)</f>
        <v>32445.8840436335</v>
      </c>
      <c r="S24" s="107" t="n">
        <f aca="false">SUM(S21:S23)</f>
        <v>34046.156583124</v>
      </c>
      <c r="T24" s="107" t="n">
        <f aca="false">SUM(T21:T23)</f>
        <v>51770.6797572813</v>
      </c>
      <c r="U24" s="107" t="n">
        <f aca="false">SUM(U21:U23)</f>
        <v>52761.2401980666</v>
      </c>
      <c r="V24" s="107" t="n">
        <f aca="false">SUM(V21:V23)</f>
        <v>53771.6118476676</v>
      </c>
      <c r="W24" s="107" t="n">
        <f aca="false">SUM(W21:W23)</f>
        <v>9.96012804147966E-012</v>
      </c>
      <c r="X24" s="107" t="n">
        <f aca="false">SUM(X21:X23)</f>
        <v>-7.90486352498385E-012</v>
      </c>
      <c r="Y24" s="107" t="n">
        <f aca="false">SUM(Y21:Y23)</f>
        <v>-7.90486352498385E-012</v>
      </c>
      <c r="Z24" s="107" t="n">
        <f aca="false">SUM(Z21:Z23)</f>
        <v>-7.90486352498385E-012</v>
      </c>
      <c r="AA24" s="107" t="n">
        <f aca="false">SUM(AA21:AA23)</f>
        <v>-7.90486352498385E-012</v>
      </c>
      <c r="AB24" s="107" t="n">
        <f aca="false">SUM(AB21:AB23)</f>
        <v>-7.90486352498385E-012</v>
      </c>
      <c r="AC24" s="107" t="n">
        <f aca="false">SUM(AC21:AC23)</f>
        <v>-7.90486352498385E-012</v>
      </c>
      <c r="AD24" s="107" t="n">
        <f aca="false">SUM(AD21:AD23)</f>
        <v>-7.90486352498385E-012</v>
      </c>
      <c r="AE24" s="107" t="n">
        <f aca="false">SUM(AE21:AE23)</f>
        <v>-7.90486352498385E-012</v>
      </c>
      <c r="AF24" s="107" t="n">
        <f aca="false">SUM(AF21:AF23)</f>
        <v>-7.90486352498385E-012</v>
      </c>
      <c r="AG24" s="107" t="n">
        <f aca="false">SUM(AG21:AG23)</f>
        <v>-7.90486352498385E-012</v>
      </c>
      <c r="AH24" s="107" t="n">
        <f aca="false">SUM(AH21:AH23)</f>
        <v>0</v>
      </c>
      <c r="AI24" s="478" t="n">
        <f aca="false">+SUM(E24:AH24)</f>
        <v>287498.982851071</v>
      </c>
      <c r="AJ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  <c r="IW24" s="107"/>
    </row>
    <row r="25" customFormat="false" ht="12.75" hidden="false" customHeight="false" outlineLevel="0" collapsed="false">
      <c r="A25" s="37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Z25" s="14"/>
      <c r="AA25" s="14"/>
      <c r="AB25" s="14"/>
      <c r="AC25" s="14"/>
      <c r="AD25" s="14"/>
      <c r="AE25" s="14"/>
      <c r="AF25" s="14"/>
      <c r="AG25" s="14"/>
      <c r="AH25" s="14"/>
      <c r="AI25" s="389"/>
      <c r="AJ25" s="14"/>
    </row>
    <row r="26" customFormat="false" ht="12.75" hidden="false" customHeight="false" outlineLevel="0" collapsed="false">
      <c r="A26" s="477" t="s">
        <v>201</v>
      </c>
      <c r="B26" s="107"/>
      <c r="C26" s="107"/>
      <c r="D26" s="107"/>
      <c r="E26" s="107" t="n">
        <f aca="false">+NPV(DR,$E24:E24)</f>
        <v>-11091.6124035612</v>
      </c>
      <c r="F26" s="107" t="n">
        <f aca="false">+NPV(DR,$E24:F24)</f>
        <v>-20821.0969680885</v>
      </c>
      <c r="G26" s="107" t="n">
        <f aca="false">+NPV(DR,$E24:G24)</f>
        <v>-29355.7325510072</v>
      </c>
      <c r="H26" s="107" t="n">
        <f aca="false">+NPV(DR,$E24:H24)</f>
        <v>-32605.747935986</v>
      </c>
      <c r="I26" s="107" t="n">
        <f aca="false">+NPV(DR,$E24:I24)</f>
        <v>-38851.1013013097</v>
      </c>
      <c r="J26" s="107" t="n">
        <f aca="false">+NPV(DR,$E24:J24)</f>
        <v>-36730.3300703632</v>
      </c>
      <c r="K26" s="107" t="n">
        <f aca="false">+NPV(DR,$E24:K24)</f>
        <v>-34532.0223546338</v>
      </c>
      <c r="L26" s="107" t="n">
        <f aca="false">+NPV(DR,$E24:L24)</f>
        <v>-32532.8778588496</v>
      </c>
      <c r="M26" s="107" t="n">
        <f aca="false">+NPV(DR,$E24:M24)</f>
        <v>-30506.3345783188</v>
      </c>
      <c r="N26" s="107" t="n">
        <f aca="false">+NPV(DR,$E24:N24)</f>
        <v>-28581.0719632927</v>
      </c>
      <c r="O26" s="107" t="n">
        <f aca="false">+NPV(DR,$E24:O24)</f>
        <v>-22231.9343128874</v>
      </c>
      <c r="P26" s="107" t="n">
        <f aca="false">+NPV(DR,$E24:P24)</f>
        <v>-15927.1064422812</v>
      </c>
      <c r="Q26" s="107" t="n">
        <f aca="false">+NPV(DR,$E24:Q24)</f>
        <v>-10218.200331555</v>
      </c>
      <c r="R26" s="107" t="n">
        <f aca="false">+NPV(DR,$E24:R24)</f>
        <v>-5036.26852971892</v>
      </c>
      <c r="S26" s="107" t="n">
        <f aca="false">+NPV(DR,$E24:S24)</f>
        <v>-266.521764447512</v>
      </c>
      <c r="T26" s="107" t="n">
        <f aca="false">+NPV(DR,$E24:T24)</f>
        <v>6095.66254109996</v>
      </c>
      <c r="U26" s="107" t="n">
        <f aca="false">+NPV(DR,$E24:U24)</f>
        <v>11783.3080792309</v>
      </c>
      <c r="V26" s="107" t="n">
        <f aca="false">+NPV(DR,$E24:V24)</f>
        <v>16868.0127218514</v>
      </c>
      <c r="W26" s="107" t="n">
        <f aca="false">+NPV(DR,$E24:W24)</f>
        <v>16868.0127218514</v>
      </c>
      <c r="X26" s="107" t="n">
        <f aca="false">+NPV(DR,$E24:X24)</f>
        <v>16868.0127218514</v>
      </c>
      <c r="Y26" s="107" t="n">
        <f aca="false">+NPV(DR,$E24:Y24)</f>
        <v>16868.0127218514</v>
      </c>
      <c r="Z26" s="107" t="n">
        <f aca="false">+NPV(DR,$E24:Z24)</f>
        <v>16868.0127218514</v>
      </c>
      <c r="AA26" s="107" t="n">
        <f aca="false">+NPV(DR,$E24:AA24)</f>
        <v>16868.0127218514</v>
      </c>
      <c r="AB26" s="107" t="n">
        <f aca="false">+NPV(DR,$E24:AB24)</f>
        <v>16868.0127218514</v>
      </c>
      <c r="AC26" s="107" t="n">
        <f aca="false">+NPV(DR,$E24:AC24)</f>
        <v>16868.0127218514</v>
      </c>
      <c r="AD26" s="107" t="n">
        <f aca="false">+NPV(DR,$E24:AD24)</f>
        <v>16868.0127218514</v>
      </c>
      <c r="AE26" s="107" t="n">
        <f aca="false">+NPV(DR,$E24:AE24)</f>
        <v>16868.0127218514</v>
      </c>
      <c r="AF26" s="107" t="n">
        <f aca="false">+NPV(DR,$E24:AF24)</f>
        <v>16868.0127218514</v>
      </c>
      <c r="AG26" s="107" t="n">
        <f aca="false">+NPV(DR,$E24:AG24)</f>
        <v>16868.0127218514</v>
      </c>
      <c r="AH26" s="107" t="n">
        <f aca="false">+NPV(DR,$E24:AH24)</f>
        <v>16868.0127218514</v>
      </c>
      <c r="AI26" s="479" t="n">
        <f aca="false">+AH26</f>
        <v>16868.0127218514</v>
      </c>
      <c r="AJ26" s="14"/>
    </row>
    <row r="27" customFormat="false" ht="12.75" hidden="false" customHeight="false" outlineLevel="0" collapsed="false">
      <c r="A27" s="480" t="s">
        <v>202</v>
      </c>
      <c r="B27" s="481"/>
      <c r="C27" s="481"/>
      <c r="D27" s="481"/>
      <c r="E27" s="482" t="e">
        <f aca="false">IRR($E$24:E24)</f>
        <v>#N/A</v>
      </c>
      <c r="F27" s="482" t="e">
        <f aca="false">IRR($E$24:F24)</f>
        <v>#N/A</v>
      </c>
      <c r="G27" s="482" t="e">
        <f aca="false">IRR($E$24:G24)</f>
        <v>#N/A</v>
      </c>
      <c r="H27" s="482" t="e">
        <f aca="false">IRR($E$24:H24)</f>
        <v>#N/A</v>
      </c>
      <c r="I27" s="482" t="e">
        <f aca="false">IRR($E$24:I24)</f>
        <v>#N/A</v>
      </c>
      <c r="J27" s="482" t="e">
        <f aca="false">IRR($E$24:J24)</f>
        <v>#N/A</v>
      </c>
      <c r="K27" s="482" t="e">
        <f aca="false">IRR($E$24:K24)</f>
        <v>#N/A</v>
      </c>
      <c r="L27" s="482" t="e">
        <f aca="false">IRR($E$24:L24)</f>
        <v>#N/A</v>
      </c>
      <c r="M27" s="482" t="e">
        <f aca="false">IRR($E$24:M24)</f>
        <v>#N/A</v>
      </c>
      <c r="N27" s="482" t="e">
        <f aca="false">IRR($E$24:N24)</f>
        <v>#N/A</v>
      </c>
      <c r="O27" s="482" t="n">
        <f aca="false">IRR($E$24:O24)</f>
        <v>0.0026024025789518</v>
      </c>
      <c r="P27" s="482" t="n">
        <f aca="false">IRR($E$24:P24)</f>
        <v>0.0615088425467731</v>
      </c>
      <c r="Q27" s="482" t="n">
        <f aca="false">IRR($E$24:Q24)</f>
        <v>0.0972926658520809</v>
      </c>
      <c r="R27" s="482" t="n">
        <f aca="false">IRR($E$24:R24)</f>
        <v>0.121535678757268</v>
      </c>
      <c r="S27" s="482" t="n">
        <f aca="false">IRR($E$24:S24)</f>
        <v>0.13912466822777</v>
      </c>
      <c r="T27" s="482" t="n">
        <f aca="false">IRR($E$24:T24)</f>
        <v>0.157544049178485</v>
      </c>
      <c r="U27" s="482" t="n">
        <f aca="false">IRR($E$24:U24)</f>
        <v>0.170506526007347</v>
      </c>
      <c r="V27" s="482" t="n">
        <f aca="false">IRR($E$24:V24)</f>
        <v>0.180000243186976</v>
      </c>
      <c r="W27" s="482" t="n">
        <f aca="false">IRR($E$24:W24)</f>
        <v>0.180000243186976</v>
      </c>
      <c r="X27" s="482" t="n">
        <f aca="false">IRR($E$24:X24)</f>
        <v>0.180000243186976</v>
      </c>
      <c r="Y27" s="482" t="n">
        <f aca="false">IRR($E$24:Y24)</f>
        <v>0.180000243186976</v>
      </c>
      <c r="Z27" s="482" t="n">
        <f aca="false">IRR($E$24:Z24)</f>
        <v>0.180000243186976</v>
      </c>
      <c r="AA27" s="482" t="n">
        <f aca="false">IRR($E$24:AA24)</f>
        <v>0.180000243186976</v>
      </c>
      <c r="AB27" s="482" t="n">
        <f aca="false">IRR($E$24:AB24)</f>
        <v>0.180000243186976</v>
      </c>
      <c r="AC27" s="482" t="n">
        <f aca="false">IRR($E$24:AC24)</f>
        <v>0.180000243186976</v>
      </c>
      <c r="AD27" s="482" t="n">
        <f aca="false">IRR($E$24:AD24)</f>
        <v>0.180000243186976</v>
      </c>
      <c r="AE27" s="482" t="n">
        <f aca="false">IRR($E$24:AE24)</f>
        <v>0.180000243186976</v>
      </c>
      <c r="AF27" s="482" t="n">
        <f aca="false">IRR($E$24:AF24)</f>
        <v>0.180000243186976</v>
      </c>
      <c r="AG27" s="482" t="n">
        <f aca="false">IRR($E$24:AG24)</f>
        <v>0.180000243186976</v>
      </c>
      <c r="AH27" s="482" t="n">
        <f aca="false">IRR($E$24:AH24)</f>
        <v>0.180000243186976</v>
      </c>
      <c r="AI27" s="483" t="n">
        <f aca="false">+AH27</f>
        <v>0.180000243186976</v>
      </c>
    </row>
    <row r="28" customFormat="false" ht="12.75" hidden="false" customHeight="false" outlineLevel="0" collapsed="false">
      <c r="A28" s="372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Z28" s="14"/>
      <c r="AA28" s="14"/>
      <c r="AB28" s="14"/>
      <c r="AC28" s="14"/>
      <c r="AD28" s="14"/>
      <c r="AE28" s="14"/>
      <c r="AF28" s="14"/>
      <c r="AG28" s="14"/>
    </row>
    <row r="29" customFormat="false" ht="12.75" hidden="false" customHeight="false" outlineLevel="0" collapsed="false">
      <c r="A29" s="484" t="str">
        <f aca="false">"Enron NPV as of "&amp;C16</f>
        <v>Enron NPV as of </v>
      </c>
      <c r="B29" s="485" t="n">
        <f aca="false">+AI26</f>
        <v>16868.0127218514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Z29" s="14"/>
      <c r="AA29" s="14"/>
      <c r="AB29" s="14"/>
      <c r="AC29" s="14"/>
      <c r="AD29" s="14"/>
      <c r="AE29" s="14"/>
      <c r="AF29" s="14"/>
      <c r="AG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486" t="s">
        <v>205</v>
      </c>
      <c r="B30" s="487" t="n">
        <f aca="false">+AI27</f>
        <v>0.180000243186976</v>
      </c>
      <c r="C30" s="14"/>
      <c r="D30" s="488"/>
      <c r="E30" s="488"/>
      <c r="F30" s="488"/>
      <c r="G30" s="488"/>
      <c r="I30" s="14"/>
      <c r="J30" s="14"/>
      <c r="K30" s="14"/>
      <c r="L30" s="14"/>
      <c r="M30" s="14"/>
      <c r="N30" s="14"/>
      <c r="O30" s="14"/>
      <c r="P30" s="14"/>
      <c r="Z30" s="14"/>
      <c r="AA30" s="14"/>
      <c r="AB30" s="14"/>
    </row>
    <row r="31" customFormat="false" ht="12.75" hidden="false" customHeight="false" outlineLevel="0" collapsed="false">
      <c r="A31" s="14"/>
      <c r="B31" s="14"/>
      <c r="C31" s="14"/>
      <c r="D31" s="107"/>
      <c r="E31" s="488"/>
      <c r="F31" s="488"/>
      <c r="G31" s="488"/>
      <c r="H31" s="14"/>
      <c r="I31" s="14"/>
      <c r="J31" s="14"/>
      <c r="K31" s="14"/>
      <c r="L31" s="14"/>
      <c r="M31" s="14"/>
      <c r="N31" s="14"/>
      <c r="O31" s="14"/>
      <c r="P31" s="14"/>
      <c r="Z31" s="14"/>
    </row>
    <row r="32" customFormat="false" ht="15" hidden="false" customHeight="false" outlineLevel="0" collapsed="false">
      <c r="A32" s="14"/>
      <c r="B32" s="14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  <c r="AC32" s="400"/>
      <c r="AD32" s="400"/>
      <c r="AE32" s="400"/>
      <c r="AF32" s="400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4.25" hidden="false" customHeight="false" outlineLevel="0" collapsed="false">
      <c r="A33" s="190"/>
      <c r="B33" s="14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98"/>
      <c r="AF33" s="398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4.25" hidden="false" customHeight="false" outlineLevel="0" collapsed="false">
      <c r="A34" s="190"/>
      <c r="B34" s="14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  <c r="AC34" s="490"/>
      <c r="AD34" s="490"/>
      <c r="AE34" s="490"/>
      <c r="AF34" s="490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90"/>
      <c r="B35" s="14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90"/>
      <c r="B36" s="14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5" hidden="false" customHeight="false" outlineLevel="0" collapsed="false">
      <c r="A37" s="190"/>
      <c r="B37" s="14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90"/>
      <c r="B38" s="14"/>
      <c r="C38" s="398"/>
      <c r="D38" s="398"/>
      <c r="E38" s="398"/>
      <c r="F38" s="398"/>
      <c r="G38" s="398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98"/>
      <c r="AC38" s="398"/>
      <c r="AD38" s="398"/>
      <c r="AE38" s="398"/>
      <c r="AF38" s="398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90"/>
      <c r="B39" s="14"/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90"/>
      <c r="B40" s="14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90"/>
      <c r="B43" s="14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398"/>
      <c r="D44" s="398"/>
      <c r="E44" s="398"/>
      <c r="F44" s="398"/>
      <c r="G44" s="398"/>
      <c r="H44" s="398"/>
      <c r="I44" s="398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492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398"/>
      <c r="C46" s="14"/>
      <c r="D46" s="14"/>
      <c r="E46" s="14"/>
      <c r="F46" s="14"/>
      <c r="G46" s="274"/>
      <c r="H46" s="14"/>
      <c r="I46" s="14"/>
      <c r="J46" s="14"/>
      <c r="K46" s="14"/>
      <c r="L46" s="14"/>
      <c r="M46" s="14"/>
      <c r="N46" s="14"/>
      <c r="O46" s="14"/>
      <c r="P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398"/>
      <c r="C47" s="14"/>
      <c r="D47" s="14"/>
      <c r="E47" s="14"/>
      <c r="F47" s="14"/>
      <c r="G47" s="148"/>
      <c r="H47" s="14"/>
      <c r="I47" s="14"/>
      <c r="J47" s="14"/>
      <c r="K47" s="14"/>
      <c r="L47" s="14"/>
      <c r="M47" s="14"/>
      <c r="N47" s="14"/>
      <c r="O47" s="14"/>
      <c r="P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295"/>
      <c r="B48" s="398"/>
      <c r="C48" s="14"/>
      <c r="D48" s="14"/>
      <c r="E48" s="14"/>
      <c r="F48" s="14"/>
      <c r="G48" s="493"/>
      <c r="H48" s="14"/>
      <c r="I48" s="14"/>
      <c r="J48" s="14"/>
      <c r="K48" s="14"/>
      <c r="L48" s="14"/>
      <c r="M48" s="14"/>
      <c r="N48" s="14"/>
      <c r="O48" s="14"/>
      <c r="P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398"/>
      <c r="Y49" s="398"/>
      <c r="Z49" s="398"/>
      <c r="AA49" s="398"/>
      <c r="AB49" s="398"/>
      <c r="AC49" s="398"/>
      <c r="AD49" s="398"/>
      <c r="AE49" s="398"/>
      <c r="AF49" s="398"/>
      <c r="AG49" s="398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90"/>
      <c r="B50" s="14"/>
      <c r="C50" s="491"/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491"/>
      <c r="U50" s="491"/>
      <c r="V50" s="491"/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90"/>
      <c r="B51" s="14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398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90"/>
      <c r="B52" s="14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494"/>
      <c r="D53" s="494"/>
      <c r="E53" s="494"/>
      <c r="F53" s="494"/>
      <c r="G53" s="494"/>
      <c r="H53" s="494"/>
      <c r="I53" s="494"/>
      <c r="J53" s="494"/>
      <c r="K53" s="494"/>
      <c r="L53" s="494"/>
      <c r="M53" s="494"/>
      <c r="N53" s="494"/>
      <c r="O53" s="494"/>
      <c r="P53" s="494"/>
      <c r="Q53" s="494"/>
      <c r="R53" s="494"/>
      <c r="S53" s="494"/>
      <c r="T53" s="494"/>
      <c r="U53" s="494"/>
      <c r="V53" s="494"/>
      <c r="W53" s="494"/>
      <c r="X53" s="494"/>
      <c r="Y53" s="494"/>
      <c r="Z53" s="494"/>
      <c r="AA53" s="494"/>
      <c r="AB53" s="494"/>
      <c r="AC53" s="494"/>
      <c r="AD53" s="494"/>
      <c r="AE53" s="494"/>
      <c r="AF53" s="494"/>
      <c r="AG53" s="49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491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1"/>
      <c r="U54" s="491"/>
      <c r="V54" s="491"/>
      <c r="W54" s="491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A55" s="190"/>
      <c r="B55" s="14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12.75" hidden="false" customHeight="false" outlineLevel="0" collapsed="false">
      <c r="A56" s="14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12.75" hidden="false" customHeight="false" outlineLevel="0" collapsed="false">
      <c r="A57" s="190"/>
      <c r="B57" s="14"/>
      <c r="C57" s="398"/>
      <c r="D57" s="398"/>
      <c r="E57" s="398"/>
      <c r="F57" s="398"/>
      <c r="G57" s="398"/>
      <c r="H57" s="398"/>
      <c r="I57" s="398"/>
      <c r="J57" s="398"/>
      <c r="K57" s="398"/>
      <c r="L57" s="398"/>
      <c r="M57" s="398"/>
      <c r="N57" s="398"/>
      <c r="O57" s="398"/>
      <c r="P57" s="398"/>
      <c r="Q57" s="398"/>
      <c r="R57" s="398"/>
      <c r="S57" s="398"/>
      <c r="T57" s="398"/>
      <c r="U57" s="398"/>
      <c r="V57" s="398"/>
      <c r="W57" s="398"/>
      <c r="X57" s="398"/>
      <c r="Y57" s="398"/>
      <c r="Z57" s="398"/>
      <c r="AA57" s="398"/>
      <c r="AB57" s="398"/>
      <c r="AC57" s="398"/>
      <c r="AD57" s="398"/>
      <c r="AE57" s="398"/>
      <c r="AF57" s="398"/>
      <c r="AG57" s="46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12.75" hidden="false" customHeight="false" outlineLevel="0" collapsed="false">
      <c r="A58" s="190"/>
      <c r="B58" s="14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</row>
    <row r="59" customFormat="false" ht="15" hidden="false" customHeight="false" outlineLevel="0" collapsed="false">
      <c r="A59" s="190"/>
      <c r="B59" s="14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</row>
    <row r="60" customFormat="false" ht="12.75" hidden="false" customHeight="false" outlineLevel="0" collapsed="false">
      <c r="A60" s="190"/>
      <c r="B60" s="14"/>
      <c r="C60" s="398"/>
      <c r="D60" s="398"/>
      <c r="E60" s="398"/>
      <c r="F60" s="398"/>
      <c r="G60" s="398"/>
      <c r="H60" s="398"/>
      <c r="I60" s="398"/>
      <c r="J60" s="398"/>
      <c r="K60" s="398"/>
      <c r="L60" s="398"/>
      <c r="M60" s="398"/>
      <c r="N60" s="398"/>
      <c r="O60" s="398"/>
      <c r="P60" s="398"/>
      <c r="Q60" s="398"/>
      <c r="R60" s="398"/>
      <c r="S60" s="398"/>
      <c r="T60" s="398"/>
      <c r="U60" s="398"/>
      <c r="V60" s="398"/>
      <c r="W60" s="398"/>
      <c r="X60" s="398"/>
      <c r="Y60" s="398"/>
      <c r="Z60" s="398"/>
      <c r="AA60" s="398"/>
      <c r="AB60" s="398"/>
      <c r="AC60" s="398"/>
      <c r="AD60" s="398"/>
      <c r="AE60" s="398"/>
      <c r="AF60" s="398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</row>
    <row r="61" customFormat="false" ht="12.75" hidden="false" customHeight="false" outlineLevel="0" collapsed="false">
      <c r="A61" s="190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  <row r="62" customFormat="false" ht="12.75" hidden="false" customHeight="false" outlineLevel="0" collapsed="false">
      <c r="A62" s="190"/>
      <c r="B62" s="14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</row>
    <row r="63" customFormat="false" ht="12.75" hidden="false" customHeight="false" outlineLevel="0" collapsed="false">
      <c r="A63" s="14"/>
      <c r="B63" s="14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</row>
    <row r="64" customFormat="false" ht="12.75" hidden="false" customHeight="false" outlineLevel="0" collapsed="false">
      <c r="A64" s="14"/>
      <c r="B64" s="14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</row>
    <row r="65" customFormat="false" ht="12.75" hidden="false" customHeight="false" outlineLevel="0" collapsed="false">
      <c r="A65" s="14"/>
      <c r="B65" s="14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</row>
    <row r="66" customFormat="false" ht="12.75" hidden="false" customHeight="false" outlineLevel="0" collapsed="false">
      <c r="A66" s="190"/>
      <c r="B66" s="14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</row>
    <row r="67" customFormat="false" ht="12.7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</row>
    <row r="68" customFormat="false" ht="12.75" hidden="false" customHeight="false" outlineLevel="0" collapsed="false">
      <c r="A68" s="190"/>
      <c r="B68" s="122"/>
      <c r="C68" s="492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</row>
    <row r="69" customFormat="false" ht="12.75" hidden="false" customHeight="false" outlineLevel="0" collapsed="false">
      <c r="A69" s="190"/>
      <c r="B69" s="398"/>
      <c r="C69" s="107"/>
      <c r="D69" s="39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</row>
    <row r="70" customFormat="false" ht="12.7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</row>
    <row r="71" customFormat="false" ht="12.75" hidden="false" customHeight="false" outlineLevel="0" collapsed="false">
      <c r="A71" s="29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</row>
    <row r="72" customFormat="false" ht="12.75" hidden="false" customHeight="false" outlineLevel="0" collapsed="false">
      <c r="A72" s="14"/>
      <c r="B72" s="14"/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  <c r="AA72" s="398"/>
      <c r="AB72" s="398"/>
      <c r="AC72" s="398"/>
      <c r="AD72" s="398"/>
      <c r="AE72" s="398"/>
      <c r="AF72" s="398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</row>
    <row r="73" customFormat="false" ht="12.75" hidden="false" customHeight="false" outlineLevel="0" collapsed="false">
      <c r="A73" s="14"/>
      <c r="B73" s="14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</row>
    <row r="74" customFormat="false" ht="12.7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</row>
    <row r="75" customFormat="false" ht="12.75" hidden="false" customHeight="false" outlineLevel="0" collapsed="false">
      <c r="A75" s="14"/>
      <c r="B75" s="14"/>
      <c r="C75" s="398"/>
      <c r="D75" s="398"/>
      <c r="E75" s="398"/>
      <c r="F75" s="398"/>
      <c r="G75" s="398"/>
      <c r="H75" s="398"/>
      <c r="I75" s="398"/>
      <c r="J75" s="398"/>
      <c r="K75" s="398"/>
      <c r="L75" s="398"/>
      <c r="M75" s="398"/>
      <c r="N75" s="398"/>
      <c r="O75" s="398"/>
      <c r="P75" s="398"/>
      <c r="Q75" s="398"/>
      <c r="R75" s="398"/>
      <c r="S75" s="398"/>
      <c r="T75" s="398"/>
      <c r="U75" s="398"/>
      <c r="V75" s="398"/>
      <c r="W75" s="398"/>
      <c r="X75" s="398"/>
      <c r="Y75" s="398"/>
      <c r="Z75" s="398"/>
      <c r="AA75" s="398"/>
      <c r="AB75" s="398"/>
      <c r="AC75" s="398"/>
      <c r="AD75" s="398"/>
      <c r="AE75" s="398"/>
      <c r="AF75" s="398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</row>
    <row r="76" customFormat="false" ht="12.7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</row>
    <row r="77" customFormat="false" ht="12.75" hidden="false" customHeight="false" outlineLevel="0" collapsed="false">
      <c r="A77" s="14"/>
      <c r="B77" s="14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</row>
    <row r="78" customFormat="false" ht="12.75" hidden="false" customHeight="false" outlineLevel="0" collapsed="false">
      <c r="A78" s="190"/>
      <c r="B78" s="14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</row>
    <row r="79" customFormat="false" ht="12.75" hidden="false" customHeight="false" outlineLevel="0" collapsed="false">
      <c r="A79" s="14"/>
      <c r="B79" s="14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</row>
    <row r="80" customFormat="false" ht="12.7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</row>
    <row r="81" customFormat="false" ht="12.75" hidden="false" customHeight="false" outlineLevel="0" collapsed="false">
      <c r="A81" s="14"/>
      <c r="B81" s="14"/>
      <c r="C81" s="398"/>
      <c r="D81" s="398"/>
      <c r="E81" s="398"/>
      <c r="F81" s="398"/>
      <c r="G81" s="398"/>
      <c r="H81" s="398"/>
      <c r="I81" s="398"/>
      <c r="J81" s="398"/>
      <c r="K81" s="398"/>
      <c r="L81" s="398"/>
      <c r="M81" s="398"/>
      <c r="N81" s="398"/>
      <c r="O81" s="398"/>
      <c r="P81" s="398"/>
      <c r="Q81" s="398"/>
      <c r="R81" s="398"/>
      <c r="S81" s="398"/>
      <c r="T81" s="398"/>
      <c r="U81" s="398"/>
      <c r="V81" s="398"/>
      <c r="W81" s="398"/>
      <c r="X81" s="398"/>
      <c r="Y81" s="398"/>
      <c r="Z81" s="398"/>
      <c r="AA81" s="398"/>
      <c r="AB81" s="398"/>
      <c r="AC81" s="398"/>
      <c r="AD81" s="398"/>
      <c r="AE81" s="398"/>
      <c r="AF81" s="398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</row>
    <row r="82" customFormat="false" ht="12.75" hidden="false" customHeight="false" outlineLevel="0" collapsed="false">
      <c r="A82" s="14"/>
      <c r="B82" s="14"/>
      <c r="C82" s="400"/>
      <c r="D82" s="400"/>
      <c r="E82" s="400"/>
      <c r="F82" s="400"/>
      <c r="G82" s="400"/>
      <c r="H82" s="400"/>
      <c r="I82" s="400"/>
      <c r="J82" s="400"/>
      <c r="K82" s="400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0"/>
      <c r="AA82" s="400"/>
      <c r="AB82" s="400"/>
      <c r="AC82" s="400"/>
      <c r="AD82" s="400"/>
      <c r="AE82" s="400"/>
      <c r="AF82" s="400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</row>
    <row r="83" customFormat="false" ht="12.75" hidden="false" customHeight="false" outlineLevel="0" collapsed="false">
      <c r="A83" s="14"/>
      <c r="B83" s="14"/>
      <c r="C83" s="398"/>
      <c r="D83" s="398"/>
      <c r="E83" s="398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8"/>
      <c r="AC83" s="398"/>
      <c r="AD83" s="398"/>
      <c r="AE83" s="398"/>
      <c r="AF83" s="398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</row>
    <row r="84" customFormat="false" ht="12.7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</row>
    <row r="85" customFormat="false" ht="12.7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</row>
    <row r="86" customFormat="false" ht="12.7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</row>
    <row r="87" customFormat="false" ht="12.75" hidden="false" customHeight="fals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</row>
    <row r="88" customFormat="false" ht="12.7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</row>
    <row r="89" customFormat="false" ht="12.75" hidden="false" customHeight="fals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</row>
    <row r="90" customFormat="false" ht="12.75" hidden="false" customHeight="fals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</row>
    <row r="91" customFormat="false" ht="12.75" hidden="false" customHeight="fals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</row>
    <row r="92" customFormat="false" ht="12.75" hidden="false" customHeight="fals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</row>
    <row r="93" customFormat="false" ht="12.75" hidden="false" customHeight="fals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</row>
    <row r="94" customFormat="false" ht="12.75" hidden="false" customHeight="fals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</row>
    <row r="95" customFormat="false" ht="12.75" hidden="false" customHeight="fals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</row>
    <row r="96" customFormat="false" ht="12.75" hidden="false" customHeight="fals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Z96" s="14"/>
      <c r="AA96" s="14"/>
    </row>
    <row r="97" customFormat="false" ht="12.75" hidden="false" customHeight="fals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Z97" s="14"/>
      <c r="AA97" s="14"/>
    </row>
    <row r="98" customFormat="false" ht="12.75" hidden="false" customHeight="fals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Z98" s="14"/>
      <c r="AA98" s="14"/>
    </row>
    <row r="99" customFormat="false" ht="12.75" hidden="false" customHeight="fals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Z99" s="14"/>
      <c r="AA99" s="14"/>
    </row>
    <row r="100" customFormat="false" ht="12.7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Z100" s="14"/>
      <c r="AA100" s="14"/>
    </row>
    <row r="101" customFormat="false" ht="12.75" hidden="false" customHeight="fals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Z101" s="14"/>
      <c r="AA101" s="14"/>
    </row>
    <row r="102" customFormat="false" ht="12.7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Z102" s="14"/>
      <c r="AA102" s="14"/>
    </row>
    <row r="103" customFormat="false" ht="12.75" hidden="false" customHeight="fals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Z103" s="14"/>
      <c r="AA103" s="14"/>
    </row>
    <row r="104" customFormat="false" ht="12.7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Z104" s="14"/>
      <c r="AA104" s="14"/>
    </row>
    <row r="105" customFormat="false" ht="12.75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Z105" s="14"/>
      <c r="AA105" s="14"/>
    </row>
    <row r="106" customFormat="false" ht="12.75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Z106" s="14"/>
      <c r="AA106" s="14"/>
    </row>
    <row r="107" customFormat="false" ht="12.75" hidden="false" customHeight="fals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Z107" s="14"/>
      <c r="AA107" s="14"/>
    </row>
    <row r="108" customFormat="false" ht="12.75" hidden="false" customHeight="fals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Z108" s="14"/>
      <c r="AA108" s="14"/>
    </row>
    <row r="109" customFormat="false" ht="12.75" hidden="false" customHeight="fals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Z109" s="14"/>
      <c r="AA109" s="14"/>
    </row>
    <row r="110" customFormat="false" ht="12.75" hidden="false" customHeight="fals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Z110" s="14"/>
      <c r="AA110" s="14"/>
    </row>
    <row r="111" customFormat="false" ht="12.75" hidden="false" customHeight="fals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Z111" s="14"/>
      <c r="AA111" s="14"/>
    </row>
    <row r="112" customFormat="false" ht="12.75" hidden="false" customHeight="fals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Z112" s="14"/>
      <c r="AA112" s="14"/>
    </row>
    <row r="113" customFormat="false" ht="12.75" hidden="false" customHeight="fals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Z113" s="14"/>
      <c r="AA113" s="14"/>
    </row>
    <row r="114" customFormat="false" ht="12.75" hidden="false" customHeight="fals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Z114" s="14"/>
      <c r="AA114" s="14"/>
    </row>
    <row r="115" customFormat="false" ht="12.75" hidden="false" customHeight="fals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Z115" s="14"/>
      <c r="AA115" s="14"/>
    </row>
    <row r="116" customFormat="false" ht="12.75" hidden="false" customHeight="fals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Z116" s="14"/>
      <c r="AA116" s="14"/>
    </row>
    <row r="117" customFormat="false" ht="12.75" hidden="false" customHeight="fals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Z117" s="14"/>
      <c r="AA117" s="14"/>
    </row>
    <row r="118" customFormat="false" ht="12.75" hidden="false" customHeight="fals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Z118" s="14"/>
      <c r="AA118" s="14"/>
    </row>
    <row r="119" customFormat="false" ht="12.75" hidden="false" customHeight="fals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Z119" s="14"/>
      <c r="AA119" s="14"/>
    </row>
    <row r="120" customFormat="false" ht="12.75" hidden="false" customHeight="fals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Z120" s="14"/>
      <c r="AA120" s="14"/>
    </row>
    <row r="121" customFormat="false" ht="12.75" hidden="false" customHeight="fals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Z121" s="14"/>
      <c r="AA121" s="14"/>
    </row>
    <row r="122" customFormat="false" ht="12.75" hidden="false" customHeight="fals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Z122" s="14"/>
      <c r="AA122" s="14"/>
    </row>
    <row r="123" customFormat="false" ht="12.75" hidden="false" customHeight="fals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Z123" s="14"/>
      <c r="AA123" s="14"/>
    </row>
    <row r="124" customFormat="false" ht="12.75" hidden="false" customHeight="fals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Z124" s="14"/>
      <c r="AA124" s="14"/>
    </row>
    <row r="125" customFormat="false" ht="12.75" hidden="false" customHeight="fals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Z125" s="14"/>
      <c r="AA125" s="14"/>
    </row>
    <row r="126" customFormat="false" ht="12.75" hidden="false" customHeight="fals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Z126" s="14"/>
      <c r="AA126" s="14"/>
    </row>
    <row r="127" customFormat="false" ht="12.75" hidden="false" customHeight="fals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Z127" s="14"/>
      <c r="AA127" s="14"/>
    </row>
    <row r="128" customFormat="false" ht="12.75" hidden="false" customHeight="fals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Z128" s="14"/>
      <c r="AA128" s="14"/>
    </row>
    <row r="129" customFormat="false" ht="12.75" hidden="false" customHeight="fals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Z129" s="14"/>
      <c r="AA129" s="14"/>
    </row>
    <row r="130" customFormat="false" ht="12.75" hidden="false" customHeight="fals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Z130" s="14"/>
      <c r="AA130" s="14"/>
    </row>
    <row r="131" customFormat="false" ht="12.75" hidden="false" customHeight="fals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Z131" s="14"/>
      <c r="AA131" s="14"/>
    </row>
    <row r="132" customFormat="false" ht="12.75" hidden="false" customHeight="fals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Z132" s="14"/>
      <c r="AA132" s="14"/>
    </row>
    <row r="133" customFormat="false" ht="12.75" hidden="false" customHeight="fals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Z133" s="14"/>
      <c r="AA133" s="14"/>
    </row>
    <row r="134" customFormat="false" ht="12.75" hidden="false" customHeight="fals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Z134" s="14"/>
      <c r="AA134" s="14"/>
    </row>
    <row r="135" customFormat="false" ht="12.75" hidden="false" customHeight="fals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Z135" s="14"/>
      <c r="AA135" s="14"/>
    </row>
    <row r="136" customFormat="false" ht="12.75" hidden="false" customHeight="fals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Z136" s="14"/>
      <c r="AA136" s="14"/>
    </row>
    <row r="137" customFormat="false" ht="12.75" hidden="false" customHeight="fals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Z137" s="14"/>
      <c r="AA137" s="14"/>
    </row>
    <row r="138" customFormat="false" ht="12.75" hidden="false" customHeight="fals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Z138" s="14"/>
      <c r="AA138" s="14"/>
    </row>
    <row r="139" customFormat="false" ht="12.75" hidden="false" customHeight="fals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Z139" s="14"/>
      <c r="AA139" s="14"/>
    </row>
    <row r="140" customFormat="false" ht="12.75" hidden="false" customHeight="fals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Z140" s="14"/>
      <c r="AA140" s="14"/>
    </row>
    <row r="141" customFormat="false" ht="12.75" hidden="false" customHeight="fals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Z141" s="14"/>
      <c r="AA141" s="14"/>
    </row>
    <row r="142" customFormat="false" ht="12.75" hidden="false" customHeight="fals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Z142" s="14"/>
      <c r="AA142" s="14"/>
    </row>
    <row r="143" customFormat="false" ht="12.75" hidden="false" customHeight="false" outlineLevel="0" collapsed="fals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Z143" s="14"/>
      <c r="AA143" s="14"/>
    </row>
    <row r="144" customFormat="false" ht="12.75" hidden="false" customHeight="false" outlineLevel="0" collapsed="fals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Z144" s="14"/>
      <c r="AA144" s="14"/>
    </row>
    <row r="145" customFormat="false" ht="12.75" hidden="false" customHeight="false" outlineLevel="0" collapsed="fals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Z145" s="14"/>
      <c r="AA145" s="14"/>
    </row>
    <row r="146" customFormat="false" ht="12.75" hidden="false" customHeight="false" outlineLevel="0" collapsed="fals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Z146" s="14"/>
      <c r="AA146" s="14"/>
    </row>
    <row r="147" customFormat="false" ht="12.75" hidden="false" customHeight="false" outlineLevel="0" collapsed="fals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Z147" s="14"/>
      <c r="AA147" s="14"/>
    </row>
    <row r="148" customFormat="false" ht="12.75" hidden="false" customHeight="false" outlineLevel="0" collapsed="fals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Z148" s="14"/>
      <c r="AA148" s="14"/>
    </row>
    <row r="149" customFormat="false" ht="12.75" hidden="false" customHeight="false" outlineLevel="0" collapsed="fals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Z149" s="14"/>
      <c r="AA149" s="14"/>
    </row>
    <row r="150" customFormat="false" ht="12.75" hidden="false" customHeight="false" outlineLevel="0" collapsed="fals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Z150" s="14"/>
      <c r="AA150" s="14"/>
    </row>
    <row r="151" customFormat="false" ht="12.75" hidden="false" customHeight="false" outlineLevel="0" collapsed="fals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Z151" s="14"/>
      <c r="AA151" s="14"/>
    </row>
    <row r="152" customFormat="false" ht="12.75" hidden="false" customHeight="false" outlineLevel="0" collapsed="fals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Z152" s="14"/>
      <c r="AA152" s="14"/>
    </row>
    <row r="153" customFormat="false" ht="12.75" hidden="false" customHeight="false" outlineLevel="0" collapsed="fals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Z153" s="14"/>
      <c r="AA153" s="14"/>
    </row>
    <row r="154" customFormat="false" ht="12.75" hidden="false" customHeight="false" outlineLevel="0" collapsed="fals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Z154" s="14"/>
      <c r="AA154" s="14"/>
    </row>
    <row r="155" customFormat="false" ht="12.75" hidden="false" customHeight="false" outlineLevel="0" collapsed="fals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Z155" s="14"/>
      <c r="AA155" s="14"/>
    </row>
    <row r="156" customFormat="false" ht="12.75" hidden="false" customHeight="false" outlineLevel="0" collapsed="false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Z156" s="14"/>
      <c r="AA156" s="14"/>
    </row>
    <row r="157" customFormat="false" ht="12.75" hidden="fals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Z157" s="14"/>
      <c r="AA157" s="14"/>
    </row>
    <row r="158" customFormat="false" ht="12.75" hidden="fals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Z158" s="14"/>
      <c r="AA158" s="14"/>
    </row>
    <row r="159" customFormat="false" ht="12.75" hidden="fals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Z159" s="14"/>
      <c r="AA159" s="14"/>
    </row>
    <row r="160" customFormat="false" ht="12.75" hidden="fals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Z160" s="14"/>
      <c r="AA160" s="14"/>
    </row>
    <row r="161" customFormat="false" ht="12.75" hidden="fals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Z161" s="14"/>
      <c r="AA161" s="14"/>
    </row>
    <row r="162" customFormat="false" ht="12.75" hidden="fals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Z162" s="14"/>
      <c r="AA162" s="14"/>
    </row>
    <row r="163" customFormat="false" ht="12.75" hidden="fals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Z163" s="14"/>
      <c r="AA163" s="14"/>
    </row>
    <row r="164" customFormat="false" ht="12.75" hidden="fals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Z164" s="14"/>
      <c r="AA164" s="14"/>
    </row>
    <row r="165" customFormat="false" ht="12.75" hidden="fals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Z165" s="14"/>
      <c r="AA165" s="14"/>
    </row>
    <row r="166" customFormat="false" ht="12.75" hidden="fals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Z166" s="14"/>
      <c r="AA166" s="14"/>
    </row>
    <row r="167" customFormat="false" ht="12.75" hidden="fals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Z167" s="14"/>
      <c r="AA167" s="14"/>
    </row>
    <row r="168" customFormat="false" ht="12.75" hidden="fals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Z168" s="14"/>
      <c r="AA168" s="14"/>
    </row>
    <row r="169" customFormat="false" ht="12.75" hidden="fals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Z169" s="14"/>
      <c r="AA169" s="14"/>
    </row>
    <row r="170" customFormat="false" ht="12.75" hidden="fals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Z170" s="14"/>
      <c r="AA170" s="14"/>
    </row>
    <row r="171" customFormat="false" ht="12.75" hidden="fals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Z171" s="14"/>
      <c r="AA171" s="14"/>
    </row>
    <row r="172" customFormat="false" ht="12.75" hidden="fals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Z172" s="14"/>
      <c r="AA172" s="14"/>
    </row>
    <row r="173" customFormat="false" ht="12.75" hidden="fals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Z173" s="14"/>
      <c r="AA173" s="14"/>
    </row>
    <row r="174" customFormat="false" ht="12.75" hidden="fals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Z174" s="14"/>
      <c r="AA174" s="14"/>
    </row>
    <row r="175" customFormat="false" ht="12.75" hidden="fals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Z175" s="14"/>
      <c r="AA175" s="14"/>
    </row>
    <row r="176" customFormat="false" ht="12.75" hidden="fals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Z176" s="14"/>
      <c r="AA176" s="14"/>
    </row>
    <row r="177" customFormat="false" ht="12.75" hidden="fals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Z177" s="14"/>
      <c r="AA177" s="14"/>
    </row>
    <row r="178" customFormat="false" ht="12.75" hidden="fals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Z178" s="14"/>
      <c r="AA178" s="14"/>
    </row>
    <row r="179" customFormat="false" ht="12.75" hidden="fals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Z179" s="14"/>
      <c r="AA179" s="14"/>
    </row>
    <row r="180" customFormat="false" ht="12.75" hidden="fals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Z180" s="14"/>
      <c r="AA180" s="14"/>
    </row>
    <row r="181" customFormat="false" ht="12.75" hidden="fals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Z181" s="14"/>
      <c r="AA181" s="14"/>
    </row>
    <row r="182" customFormat="false" ht="12.75" hidden="fals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Z182" s="14"/>
      <c r="AA182" s="14"/>
    </row>
    <row r="183" customFormat="false" ht="12.75" hidden="fals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Z183" s="14"/>
      <c r="AA183" s="14"/>
    </row>
    <row r="184" customFormat="false" ht="12.75" hidden="fals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Z184" s="14"/>
      <c r="AA184" s="14"/>
    </row>
    <row r="185" customFormat="false" ht="12.75" hidden="fals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Z185" s="14"/>
      <c r="AA185" s="14"/>
    </row>
    <row r="186" customFormat="false" ht="12.75" hidden="fals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Z186" s="14"/>
      <c r="AA186" s="14"/>
    </row>
    <row r="187" customFormat="false" ht="12.75" hidden="fals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Z187" s="14"/>
      <c r="AA187" s="14"/>
    </row>
    <row r="188" customFormat="false" ht="12.75" hidden="fals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Z188" s="14"/>
      <c r="AA188" s="14"/>
    </row>
    <row r="189" customFormat="false" ht="12.75" hidden="fals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Z189" s="14"/>
      <c r="AA189" s="14"/>
    </row>
    <row r="190" customFormat="false" ht="12.75" hidden="fals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Z190" s="14"/>
      <c r="AA190" s="14"/>
    </row>
    <row r="191" customFormat="false" ht="12.75" hidden="fals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Z191" s="14"/>
      <c r="AA191" s="14"/>
    </row>
    <row r="192" customFormat="false" ht="12.75" hidden="fals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Z192" s="14"/>
      <c r="AA192" s="14"/>
    </row>
    <row r="193" customFormat="false" ht="12.75" hidden="fals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Z193" s="14"/>
      <c r="AA193" s="14"/>
    </row>
    <row r="194" customFormat="false" ht="12.75" hidden="fals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Z194" s="14"/>
      <c r="AA194" s="14"/>
    </row>
    <row r="195" customFormat="false" ht="12.75" hidden="fals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Z195" s="14"/>
      <c r="AA195" s="14"/>
    </row>
    <row r="196" customFormat="false" ht="12.75" hidden="fals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Z196" s="14"/>
      <c r="AA196" s="14"/>
    </row>
    <row r="197" customFormat="false" ht="12.75" hidden="fals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Z197" s="14"/>
      <c r="AA197" s="14"/>
    </row>
    <row r="198" customFormat="false" ht="12.75" hidden="fals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Z198" s="14"/>
      <c r="AA198" s="14"/>
    </row>
    <row r="199" customFormat="false" ht="12.75" hidden="fals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Z199" s="14"/>
      <c r="AA199" s="14"/>
    </row>
    <row r="200" customFormat="false" ht="12.75" hidden="fals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Z200" s="14"/>
      <c r="AA200" s="14"/>
    </row>
    <row r="201" customFormat="false" ht="12.75" hidden="false" customHeight="false" outlineLevel="0" collapsed="false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Z201" s="14"/>
      <c r="AA201" s="14"/>
    </row>
    <row r="202" customFormat="false" ht="12.75" hidden="false" customHeight="false" outlineLevel="0" collapsed="false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Z202" s="14"/>
      <c r="AA202" s="14"/>
    </row>
    <row r="203" customFormat="false" ht="12.75" hidden="false" customHeight="false" outlineLevel="0" collapsed="false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Z203" s="14"/>
      <c r="AA203" s="14"/>
    </row>
    <row r="204" customFormat="false" ht="12.75" hidden="false" customHeight="false" outlineLevel="0" collapsed="false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Z204" s="14"/>
      <c r="AA204" s="14"/>
    </row>
    <row r="205" customFormat="false" ht="12.75" hidden="false" customHeight="false" outlineLevel="0" collapsed="false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Z205" s="14"/>
      <c r="AA205" s="14"/>
    </row>
    <row r="206" customFormat="false" ht="12.75" hidden="false" customHeight="false" outlineLevel="0" collapsed="false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Z206" s="14"/>
      <c r="AA206" s="14"/>
    </row>
    <row r="207" customFormat="false" ht="12.75" hidden="false" customHeight="false" outlineLevel="0" collapsed="false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Z207" s="14"/>
      <c r="AA207" s="14"/>
    </row>
    <row r="208" customFormat="false" ht="12.75" hidden="false" customHeight="false" outlineLevel="0" collapsed="false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Z208" s="14"/>
      <c r="AA208" s="14"/>
    </row>
    <row r="209" customFormat="false" ht="12.75" hidden="false" customHeight="false" outlineLevel="0" collapsed="false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Z209" s="14"/>
      <c r="AA209" s="14"/>
    </row>
    <row r="210" customFormat="false" ht="12.75" hidden="false" customHeight="false" outlineLevel="0" collapsed="false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Z210" s="14"/>
      <c r="AA210" s="14"/>
    </row>
    <row r="211" customFormat="false" ht="12.75" hidden="false" customHeight="false" outlineLevel="0" collapsed="false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Z211" s="14"/>
      <c r="AA211" s="14"/>
    </row>
    <row r="212" customFormat="false" ht="12.75" hidden="false" customHeight="false" outlineLevel="0" collapsed="false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Z212" s="14"/>
      <c r="AA212" s="14"/>
    </row>
    <row r="213" customFormat="false" ht="12.75" hidden="false" customHeight="false" outlineLevel="0" collapsed="false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Z213" s="14"/>
      <c r="AA213" s="14"/>
    </row>
    <row r="214" customFormat="false" ht="12.75" hidden="false" customHeight="false" outlineLevel="0" collapsed="false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Z214" s="14"/>
      <c r="AA214" s="14"/>
    </row>
    <row r="215" customFormat="false" ht="12.75" hidden="false" customHeight="false" outlineLevel="0" collapsed="false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Z215" s="14"/>
      <c r="AA215" s="14"/>
    </row>
    <row r="216" customFormat="false" ht="12.75" hidden="false" customHeight="false" outlineLevel="0" collapsed="false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Z216" s="14"/>
      <c r="AA216" s="14"/>
    </row>
    <row r="217" customFormat="false" ht="12.75" hidden="false" customHeight="false" outlineLevel="0" collapsed="false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Z217" s="14"/>
      <c r="AA217" s="14"/>
    </row>
    <row r="218" customFormat="false" ht="12.75" hidden="false" customHeight="false" outlineLevel="0" collapsed="false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Z218" s="14"/>
      <c r="AA218" s="14"/>
    </row>
    <row r="219" customFormat="false" ht="12.75" hidden="false" customHeight="false" outlineLevel="0" collapsed="false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Z219" s="14"/>
      <c r="AA219" s="14"/>
    </row>
    <row r="220" customFormat="false" ht="12.75" hidden="false" customHeight="false" outlineLevel="0" collapsed="false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Z220" s="14"/>
      <c r="AA220" s="14"/>
    </row>
    <row r="221" customFormat="false" ht="12.75" hidden="false" customHeight="false" outlineLevel="0" collapsed="false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Z221" s="14"/>
      <c r="AA221" s="14"/>
    </row>
    <row r="222" customFormat="false" ht="12.75" hidden="false" customHeight="false" outlineLevel="0" collapsed="false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Z222" s="14"/>
      <c r="AA222" s="14"/>
    </row>
    <row r="223" customFormat="false" ht="12.75" hidden="false" customHeight="false" outlineLevel="0" collapsed="false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Z223" s="14"/>
      <c r="AA223" s="14"/>
    </row>
    <row r="224" customFormat="false" ht="12.75" hidden="false" customHeight="false" outlineLevel="0" collapsed="false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Z224" s="14"/>
      <c r="AA224" s="14"/>
    </row>
    <row r="225" customFormat="false" ht="12.75" hidden="false" customHeight="false" outlineLevel="0" collapsed="false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Z225" s="14"/>
      <c r="AA225" s="14"/>
    </row>
    <row r="226" customFormat="false" ht="12.75" hidden="false" customHeight="false" outlineLevel="0" collapsed="false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Z226" s="14"/>
      <c r="AA226" s="14"/>
    </row>
    <row r="227" customFormat="false" ht="12.75" hidden="false" customHeight="false" outlineLevel="0" collapsed="false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Z227" s="14"/>
      <c r="AA227" s="14"/>
    </row>
    <row r="228" customFormat="false" ht="12.75" hidden="false" customHeight="false" outlineLevel="0" collapsed="false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Z228" s="14"/>
      <c r="AA228" s="14"/>
    </row>
    <row r="229" customFormat="false" ht="12.75" hidden="false" customHeight="false" outlineLevel="0" collapsed="false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Z229" s="14"/>
      <c r="AA229" s="14"/>
    </row>
    <row r="230" customFormat="false" ht="12.75" hidden="false" customHeight="false" outlineLevel="0" collapsed="false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Z230" s="14"/>
      <c r="AA230" s="14"/>
    </row>
    <row r="231" customFormat="false" ht="12.75" hidden="false" customHeight="false" outlineLevel="0" collapsed="false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Z231" s="14"/>
      <c r="AA231" s="14"/>
    </row>
    <row r="232" customFormat="false" ht="12.75" hidden="false" customHeight="false" outlineLevel="0" collapsed="false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Z232" s="14"/>
      <c r="AA232" s="14"/>
    </row>
    <row r="233" customFormat="false" ht="12.75" hidden="false" customHeight="false" outlineLevel="0" collapsed="false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Z233" s="14"/>
      <c r="AA233" s="14"/>
    </row>
    <row r="234" customFormat="false" ht="12.75" hidden="false" customHeight="false" outlineLevel="0" collapsed="false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Z234" s="14"/>
      <c r="AA234" s="14"/>
    </row>
    <row r="235" customFormat="false" ht="12.75" hidden="false" customHeight="false" outlineLevel="0" collapsed="false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Z235" s="14"/>
      <c r="AA235" s="14"/>
    </row>
    <row r="236" customFormat="false" ht="12.75" hidden="false" customHeight="false" outlineLevel="0" collapsed="false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Z236" s="14"/>
      <c r="AA236" s="14"/>
    </row>
    <row r="237" customFormat="false" ht="12.75" hidden="false" customHeight="false" outlineLevel="0" collapsed="false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Z237" s="14"/>
      <c r="AA237" s="14"/>
    </row>
    <row r="238" customFormat="false" ht="12.75" hidden="false" customHeight="false" outlineLevel="0" collapsed="false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Z238" s="14"/>
      <c r="AA238" s="14"/>
    </row>
    <row r="239" customFormat="false" ht="12.75" hidden="false" customHeight="false" outlineLevel="0" collapsed="false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Z239" s="14"/>
      <c r="AA239" s="14"/>
    </row>
    <row r="240" customFormat="false" ht="12.75" hidden="false" customHeight="false" outlineLevel="0" collapsed="false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Z240" s="14"/>
      <c r="AA240" s="14"/>
    </row>
    <row r="241" customFormat="false" ht="12.75" hidden="false" customHeight="false" outlineLevel="0" collapsed="false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Z241" s="14"/>
      <c r="AA241" s="14"/>
    </row>
    <row r="242" customFormat="false" ht="12.75" hidden="false" customHeight="false" outlineLevel="0" collapsed="false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Z242" s="14"/>
      <c r="AA242" s="14"/>
    </row>
    <row r="243" customFormat="false" ht="12.75" hidden="false" customHeight="false" outlineLevel="0" collapsed="false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Z243" s="14"/>
      <c r="AA243" s="14"/>
    </row>
    <row r="244" customFormat="false" ht="12.75" hidden="false" customHeight="false" outlineLevel="0" collapsed="false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Z244" s="14"/>
      <c r="AA244" s="14"/>
    </row>
    <row r="245" customFormat="false" ht="12.75" hidden="false" customHeight="false" outlineLevel="0" collapsed="false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Z245" s="14"/>
      <c r="AA245" s="14"/>
    </row>
    <row r="246" customFormat="false" ht="12.75" hidden="false" customHeight="false" outlineLevel="0" collapsed="false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Z246" s="14"/>
      <c r="AA246" s="14"/>
    </row>
    <row r="247" customFormat="false" ht="12.75" hidden="false" customHeight="false" outlineLevel="0" collapsed="false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Z247" s="14"/>
      <c r="AA247" s="14"/>
    </row>
    <row r="248" customFormat="false" ht="12.75" hidden="false" customHeight="false" outlineLevel="0" collapsed="false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Z248" s="14"/>
      <c r="AA248" s="14"/>
    </row>
    <row r="249" customFormat="false" ht="12.75" hidden="false" customHeight="false" outlineLevel="0" collapsed="false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Z249" s="14"/>
      <c r="AA249" s="14"/>
    </row>
    <row r="250" customFormat="false" ht="12.75" hidden="false" customHeight="false" outlineLevel="0" collapsed="false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Z250" s="14"/>
      <c r="AA250" s="14"/>
    </row>
    <row r="251" customFormat="false" ht="12.75" hidden="false" customHeight="false" outlineLevel="0" collapsed="false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Z251" s="14"/>
      <c r="AA251" s="14"/>
    </row>
    <row r="252" customFormat="false" ht="12.75" hidden="false" customHeight="false" outlineLevel="0" collapsed="false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Z252" s="14"/>
      <c r="AA252" s="14"/>
    </row>
    <row r="253" customFormat="false" ht="12.75" hidden="false" customHeight="false" outlineLevel="0" collapsed="false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Z253" s="14"/>
      <c r="AA253" s="14"/>
    </row>
    <row r="254" customFormat="false" ht="12.75" hidden="false" customHeight="false" outlineLevel="0" collapsed="false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Z254" s="14"/>
      <c r="AA254" s="14"/>
    </row>
    <row r="255" customFormat="false" ht="12.75" hidden="false" customHeight="false" outlineLevel="0" collapsed="false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Z255" s="14"/>
      <c r="AA255" s="14"/>
    </row>
    <row r="256" customFormat="false" ht="12.75" hidden="false" customHeight="false" outlineLevel="0" collapsed="false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Z256" s="14"/>
      <c r="AA256" s="14"/>
    </row>
    <row r="257" customFormat="false" ht="12.75" hidden="false" customHeight="false" outlineLevel="0" collapsed="false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Z257" s="14"/>
      <c r="AA257" s="14"/>
    </row>
    <row r="258" customFormat="false" ht="12.75" hidden="false" customHeight="false" outlineLevel="0" collapsed="false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Z258" s="14"/>
      <c r="AA258" s="14"/>
    </row>
    <row r="259" customFormat="false" ht="12.75" hidden="false" customHeight="false" outlineLevel="0" collapsed="false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Z259" s="14"/>
      <c r="AA259" s="14"/>
    </row>
    <row r="260" customFormat="false" ht="12.75" hidden="false" customHeight="false" outlineLevel="0" collapsed="false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Z260" s="14"/>
      <c r="AA260" s="14"/>
    </row>
    <row r="261" customFormat="false" ht="12.75" hidden="false" customHeight="false" outlineLevel="0" collapsed="false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Z261" s="14"/>
      <c r="AA261" s="14"/>
    </row>
    <row r="262" customFormat="false" ht="12.75" hidden="false" customHeight="false" outlineLevel="0" collapsed="false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Z262" s="14"/>
      <c r="AA262" s="14"/>
    </row>
    <row r="263" customFormat="false" ht="12.75" hidden="false" customHeight="false" outlineLevel="0" collapsed="false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Z263" s="14"/>
      <c r="AA263" s="14"/>
    </row>
    <row r="264" customFormat="false" ht="12.75" hidden="false" customHeight="false" outlineLevel="0" collapsed="false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Z264" s="14"/>
      <c r="AA264" s="14"/>
    </row>
    <row r="265" customFormat="false" ht="12.75" hidden="false" customHeight="false" outlineLevel="0" collapsed="false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Z265" s="14"/>
      <c r="AA265" s="14"/>
    </row>
    <row r="266" customFormat="false" ht="12.75" hidden="false" customHeight="false" outlineLevel="0" collapsed="false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Z266" s="14"/>
      <c r="AA266" s="14"/>
    </row>
    <row r="267" customFormat="false" ht="12.75" hidden="false" customHeight="false" outlineLevel="0" collapsed="false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Z267" s="14"/>
      <c r="AA267" s="14"/>
    </row>
    <row r="268" customFormat="false" ht="12.75" hidden="false" customHeight="false" outlineLevel="0" collapsed="false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Z268" s="14"/>
      <c r="AA268" s="14"/>
    </row>
    <row r="269" customFormat="false" ht="12.75" hidden="false" customHeight="false" outlineLevel="0" collapsed="false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Z269" s="14"/>
      <c r="AA269" s="14"/>
    </row>
    <row r="270" customFormat="false" ht="12.75" hidden="false" customHeight="false" outlineLevel="0" collapsed="false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Z270" s="14"/>
      <c r="AA270" s="14"/>
    </row>
    <row r="271" customFormat="false" ht="12.75" hidden="false" customHeight="false" outlineLevel="0" collapsed="false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Z271" s="14"/>
      <c r="AA271" s="14"/>
    </row>
    <row r="272" customFormat="false" ht="12.75" hidden="false" customHeight="false" outlineLevel="0" collapsed="false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Z272" s="14"/>
      <c r="AA272" s="14"/>
    </row>
    <row r="273" customFormat="false" ht="12.75" hidden="false" customHeight="false" outlineLevel="0" collapsed="false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Z273" s="14"/>
      <c r="AA273" s="14"/>
    </row>
    <row r="274" customFormat="false" ht="12.75" hidden="false" customHeight="false" outlineLevel="0" collapsed="false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Z274" s="14"/>
      <c r="AA274" s="14"/>
    </row>
    <row r="275" customFormat="false" ht="12.75" hidden="false" customHeight="false" outlineLevel="0" collapsed="false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Z275" s="14"/>
      <c r="AA275" s="14"/>
    </row>
    <row r="276" customFormat="false" ht="12.75" hidden="false" customHeight="false" outlineLevel="0" collapsed="false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Z276" s="14"/>
      <c r="AA276" s="14"/>
    </row>
    <row r="277" customFormat="false" ht="12.75" hidden="false" customHeight="false" outlineLevel="0" collapsed="false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Z277" s="14"/>
      <c r="AA277" s="14"/>
    </row>
    <row r="278" customFormat="false" ht="12.75" hidden="false" customHeight="false" outlineLevel="0" collapsed="false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Z278" s="14"/>
      <c r="AA278" s="14"/>
    </row>
    <row r="279" customFormat="false" ht="12.75" hidden="false" customHeight="false" outlineLevel="0" collapsed="false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Z279" s="14"/>
      <c r="AA279" s="14"/>
    </row>
    <row r="280" customFormat="false" ht="12.75" hidden="false" customHeight="false" outlineLevel="0" collapsed="false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Z280" s="14"/>
      <c r="AA280" s="14"/>
    </row>
    <row r="281" customFormat="false" ht="12.75" hidden="false" customHeight="false" outlineLevel="0" collapsed="false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Z281" s="14"/>
      <c r="AA281" s="14"/>
    </row>
    <row r="282" customFormat="false" ht="12.75" hidden="false" customHeight="false" outlineLevel="0" collapsed="false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Z282" s="14"/>
      <c r="AA282" s="14"/>
    </row>
    <row r="283" customFormat="false" ht="12.75" hidden="false" customHeight="false" outlineLevel="0" collapsed="false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Z283" s="14"/>
      <c r="AA283" s="14"/>
    </row>
    <row r="284" customFormat="false" ht="12.75" hidden="false" customHeight="false" outlineLevel="0" collapsed="false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Z284" s="14"/>
      <c r="AA284" s="14"/>
    </row>
    <row r="285" customFormat="false" ht="12.75" hidden="false" customHeight="false" outlineLevel="0" collapsed="false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Z285" s="14"/>
      <c r="AA285" s="14"/>
    </row>
    <row r="286" customFormat="false" ht="12.75" hidden="false" customHeight="false" outlineLevel="0" collapsed="false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Z286" s="14"/>
      <c r="AA286" s="14"/>
    </row>
    <row r="287" customFormat="false" ht="12.75" hidden="false" customHeight="false" outlineLevel="0" collapsed="false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Z287" s="14"/>
      <c r="AA287" s="14"/>
    </row>
    <row r="288" customFormat="false" ht="12.75" hidden="false" customHeight="false" outlineLevel="0" collapsed="false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Z288" s="14"/>
      <c r="AA288" s="14"/>
    </row>
    <row r="289" customFormat="false" ht="12.75" hidden="false" customHeight="false" outlineLevel="0" collapsed="false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Z289" s="14"/>
      <c r="AA289" s="14"/>
    </row>
    <row r="290" customFormat="false" ht="12.75" hidden="false" customHeight="false" outlineLevel="0" collapsed="false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Z290" s="14"/>
      <c r="AA290" s="14"/>
    </row>
    <row r="291" customFormat="false" ht="12.75" hidden="false" customHeight="false" outlineLevel="0" collapsed="false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Z291" s="14"/>
      <c r="AA291" s="14"/>
    </row>
    <row r="292" customFormat="false" ht="12.75" hidden="false" customHeight="false" outlineLevel="0" collapsed="false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Z292" s="14"/>
      <c r="AA292" s="14"/>
    </row>
    <row r="293" customFormat="false" ht="12.75" hidden="false" customHeight="false" outlineLevel="0" collapsed="false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Z293" s="14"/>
      <c r="AA293" s="14"/>
    </row>
    <row r="294" customFormat="false" ht="12.75" hidden="false" customHeight="false" outlineLevel="0" collapsed="false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Z294" s="14"/>
      <c r="AA294" s="14"/>
    </row>
    <row r="295" customFormat="false" ht="12.75" hidden="false" customHeight="false" outlineLevel="0" collapsed="false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Z295" s="14"/>
      <c r="AA295" s="14"/>
    </row>
    <row r="296" customFormat="false" ht="12.75" hidden="false" customHeight="false" outlineLevel="0" collapsed="false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Z296" s="14"/>
      <c r="AA296" s="14"/>
    </row>
    <row r="297" customFormat="false" ht="12.75" hidden="false" customHeight="false" outlineLevel="0" collapsed="false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Z297" s="14"/>
      <c r="AA297" s="14"/>
    </row>
    <row r="298" customFormat="false" ht="12.75" hidden="false" customHeight="false" outlineLevel="0" collapsed="false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Z298" s="14"/>
      <c r="AA298" s="14"/>
    </row>
    <row r="299" customFormat="false" ht="12.75" hidden="false" customHeight="false" outlineLevel="0" collapsed="false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Z299" s="14"/>
      <c r="AA299" s="14"/>
    </row>
    <row r="300" customFormat="false" ht="12.75" hidden="false" customHeight="false" outlineLevel="0" collapsed="false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Z300" s="14"/>
      <c r="AA300" s="14"/>
    </row>
    <row r="301" customFormat="false" ht="12.75" hidden="false" customHeight="false" outlineLevel="0" collapsed="false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Z301" s="14"/>
      <c r="AA301" s="14"/>
    </row>
    <row r="302" customFormat="false" ht="12.75" hidden="false" customHeight="false" outlineLevel="0" collapsed="false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Z302" s="14"/>
      <c r="AA302" s="14"/>
    </row>
    <row r="303" customFormat="false" ht="12.75" hidden="false" customHeight="false" outlineLevel="0" collapsed="false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Z303" s="14"/>
      <c r="AA303" s="14"/>
    </row>
    <row r="304" customFormat="false" ht="12.75" hidden="false" customHeight="false" outlineLevel="0" collapsed="false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Z304" s="14"/>
      <c r="AA304" s="14"/>
    </row>
    <row r="305" customFormat="false" ht="12.75" hidden="false" customHeight="false" outlineLevel="0" collapsed="false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Z305" s="14"/>
      <c r="AA305" s="14"/>
    </row>
    <row r="306" customFormat="false" ht="12.75" hidden="false" customHeight="false" outlineLevel="0" collapsed="false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Z306" s="14"/>
      <c r="AA306" s="14"/>
    </row>
    <row r="307" customFormat="false" ht="12.75" hidden="false" customHeight="false" outlineLevel="0" collapsed="false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Z307" s="14"/>
      <c r="AA307" s="14"/>
    </row>
    <row r="308" customFormat="false" ht="12.75" hidden="false" customHeight="false" outlineLevel="0" collapsed="false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Z308" s="14"/>
      <c r="AA308" s="14"/>
    </row>
    <row r="309" customFormat="false" ht="12.75" hidden="false" customHeight="false" outlineLevel="0" collapsed="false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Z309" s="14"/>
      <c r="AA309" s="14"/>
    </row>
    <row r="310" customFormat="false" ht="12.75" hidden="false" customHeight="false" outlineLevel="0" collapsed="false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Z310" s="14"/>
      <c r="AA310" s="14"/>
    </row>
    <row r="311" customFormat="false" ht="12.75" hidden="false" customHeight="false" outlineLevel="0" collapsed="false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Z311" s="14"/>
      <c r="AA311" s="14"/>
    </row>
    <row r="312" customFormat="false" ht="12.75" hidden="false" customHeight="false" outlineLevel="0" collapsed="false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Z312" s="14"/>
      <c r="AA312" s="14"/>
    </row>
    <row r="313" customFormat="false" ht="12.75" hidden="false" customHeight="false" outlineLevel="0" collapsed="false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Z313" s="14"/>
      <c r="AA313" s="14"/>
    </row>
    <row r="314" customFormat="false" ht="12.75" hidden="false" customHeight="false" outlineLevel="0" collapsed="false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Z314" s="14"/>
      <c r="AA314" s="14"/>
    </row>
    <row r="315" customFormat="false" ht="12.75" hidden="false" customHeight="false" outlineLevel="0" collapsed="false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Z315" s="14"/>
      <c r="AA315" s="14"/>
    </row>
    <row r="316" customFormat="false" ht="12.75" hidden="false" customHeight="false" outlineLevel="0" collapsed="false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Z316" s="14"/>
      <c r="AA316" s="14"/>
    </row>
    <row r="317" customFormat="false" ht="12.75" hidden="false" customHeight="false" outlineLevel="0" collapsed="false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Z317" s="14"/>
      <c r="AA317" s="14"/>
    </row>
    <row r="318" customFormat="false" ht="12.75" hidden="false" customHeight="false" outlineLevel="0" collapsed="false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Z318" s="14"/>
      <c r="AA318" s="14"/>
    </row>
    <row r="319" customFormat="false" ht="12.75" hidden="false" customHeight="false" outlineLevel="0" collapsed="false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Z319" s="14"/>
      <c r="AA319" s="14"/>
    </row>
    <row r="320" customFormat="false" ht="12.75" hidden="false" customHeight="false" outlineLevel="0" collapsed="false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Z320" s="14"/>
      <c r="AA320" s="14"/>
    </row>
    <row r="321" customFormat="false" ht="12.75" hidden="false" customHeight="false" outlineLevel="0" collapsed="false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Z321" s="14"/>
      <c r="AA321" s="14"/>
    </row>
    <row r="322" customFormat="false" ht="12.75" hidden="false" customHeight="false" outlineLevel="0" collapsed="false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Z322" s="14"/>
      <c r="AA322" s="14"/>
    </row>
    <row r="323" customFormat="false" ht="12.75" hidden="false" customHeight="false" outlineLevel="0" collapsed="false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Z323" s="14"/>
      <c r="AA323" s="14"/>
    </row>
    <row r="324" customFormat="false" ht="12.75" hidden="false" customHeight="false" outlineLevel="0" collapsed="false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Z324" s="14"/>
      <c r="AA324" s="14"/>
    </row>
    <row r="325" customFormat="false" ht="12.75" hidden="false" customHeight="false" outlineLevel="0" collapsed="false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Z325" s="14"/>
      <c r="AA325" s="14"/>
    </row>
    <row r="326" customFormat="false" ht="12.75" hidden="false" customHeight="false" outlineLevel="0" collapsed="false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Z326" s="14"/>
      <c r="AA326" s="14"/>
    </row>
    <row r="327" customFormat="false" ht="12.75" hidden="false" customHeight="false" outlineLevel="0" collapsed="false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Z327" s="14"/>
      <c r="AA327" s="14"/>
    </row>
    <row r="328" customFormat="false" ht="12.75" hidden="false" customHeight="false" outlineLevel="0" collapsed="false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Z328" s="14"/>
      <c r="AA328" s="14"/>
    </row>
    <row r="329" customFormat="false" ht="12.75" hidden="false" customHeight="false" outlineLevel="0" collapsed="false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Z329" s="14"/>
      <c r="AA329" s="14"/>
    </row>
    <row r="330" customFormat="false" ht="12.75" hidden="false" customHeight="false" outlineLevel="0" collapsed="false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Z330" s="14"/>
      <c r="AA330" s="14"/>
    </row>
    <row r="331" customFormat="false" ht="12.75" hidden="false" customHeight="false" outlineLevel="0" collapsed="false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Z331" s="14"/>
      <c r="AA331" s="14"/>
    </row>
    <row r="332" customFormat="false" ht="12.75" hidden="false" customHeight="false" outlineLevel="0" collapsed="false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Z332" s="14"/>
      <c r="AA332" s="14"/>
    </row>
    <row r="333" customFormat="false" ht="12.75" hidden="false" customHeight="false" outlineLevel="0" collapsed="false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Z333" s="14"/>
      <c r="AA333" s="14"/>
    </row>
    <row r="334" customFormat="false" ht="12.75" hidden="false" customHeight="false" outlineLevel="0" collapsed="false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Z334" s="14"/>
      <c r="AA334" s="14"/>
    </row>
    <row r="335" customFormat="false" ht="12.75" hidden="false" customHeight="false" outlineLevel="0" collapsed="false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Z335" s="14"/>
      <c r="AA335" s="14"/>
    </row>
    <row r="336" customFormat="false" ht="12.75" hidden="false" customHeight="false" outlineLevel="0" collapsed="false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Z336" s="14"/>
      <c r="AA336" s="14"/>
    </row>
    <row r="337" customFormat="false" ht="12.75" hidden="false" customHeight="false" outlineLevel="0" collapsed="false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Z337" s="14"/>
      <c r="AA337" s="14"/>
    </row>
    <row r="338" customFormat="false" ht="12.75" hidden="false" customHeight="false" outlineLevel="0" collapsed="false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Z338" s="14"/>
      <c r="AA338" s="14"/>
    </row>
    <row r="339" customFormat="false" ht="12.75" hidden="false" customHeight="false" outlineLevel="0" collapsed="false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Z339" s="14"/>
      <c r="AA339" s="14"/>
    </row>
    <row r="340" customFormat="false" ht="12.75" hidden="false" customHeight="false" outlineLevel="0" collapsed="false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Z340" s="14"/>
      <c r="AA340" s="14"/>
    </row>
    <row r="341" customFormat="false" ht="12.75" hidden="false" customHeight="false" outlineLevel="0" collapsed="false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Z341" s="14"/>
      <c r="AA341" s="14"/>
    </row>
    <row r="342" customFormat="false" ht="12.75" hidden="false" customHeight="false" outlineLevel="0" collapsed="false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Z342" s="14"/>
      <c r="AA342" s="14"/>
    </row>
    <row r="343" customFormat="false" ht="12.75" hidden="false" customHeight="false" outlineLevel="0" collapsed="false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Z343" s="14"/>
      <c r="AA343" s="14"/>
    </row>
    <row r="344" customFormat="false" ht="12.75" hidden="false" customHeight="false" outlineLevel="0" collapsed="false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Z344" s="14"/>
      <c r="AA344" s="14"/>
    </row>
    <row r="345" customFormat="false" ht="12.75" hidden="false" customHeight="false" outlineLevel="0" collapsed="false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Z345" s="14"/>
      <c r="AA345" s="14"/>
    </row>
    <row r="346" customFormat="false" ht="12.75" hidden="false" customHeight="false" outlineLevel="0" collapsed="false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Z346" s="14"/>
      <c r="AA346" s="14"/>
    </row>
    <row r="347" customFormat="false" ht="12.75" hidden="false" customHeight="false" outlineLevel="0" collapsed="false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Z347" s="14"/>
      <c r="AA347" s="14"/>
    </row>
    <row r="348" customFormat="false" ht="12.75" hidden="false" customHeight="false" outlineLevel="0" collapsed="false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Z348" s="14"/>
      <c r="AA348" s="14"/>
    </row>
    <row r="349" customFormat="false" ht="12.75" hidden="false" customHeight="false" outlineLevel="0" collapsed="false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Z349" s="14"/>
      <c r="AA349" s="14"/>
    </row>
    <row r="350" customFormat="false" ht="12.75" hidden="false" customHeight="false" outlineLevel="0" collapsed="false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Z350" s="14"/>
      <c r="AA350" s="14"/>
    </row>
    <row r="351" customFormat="false" ht="12.75" hidden="false" customHeight="false" outlineLevel="0" collapsed="false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Z351" s="14"/>
      <c r="AA351" s="14"/>
    </row>
    <row r="352" customFormat="false" ht="12.75" hidden="false" customHeight="false" outlineLevel="0" collapsed="false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Z352" s="14"/>
      <c r="AA352" s="14"/>
    </row>
    <row r="353" customFormat="false" ht="12.75" hidden="false" customHeight="false" outlineLevel="0" collapsed="false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Z353" s="14"/>
      <c r="AA353" s="14"/>
    </row>
    <row r="354" customFormat="false" ht="12.75" hidden="false" customHeight="false" outlineLevel="0" collapsed="false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Z354" s="14"/>
      <c r="AA354" s="14"/>
    </row>
    <row r="355" customFormat="false" ht="12.75" hidden="false" customHeight="false" outlineLevel="0" collapsed="false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Z355" s="14"/>
      <c r="AA355" s="14"/>
    </row>
    <row r="356" customFormat="false" ht="12.75" hidden="false" customHeight="false" outlineLevel="0" collapsed="false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Z356" s="14"/>
      <c r="AA356" s="14"/>
    </row>
    <row r="357" customFormat="false" ht="12.75" hidden="false" customHeight="false" outlineLevel="0" collapsed="false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Z357" s="14"/>
      <c r="AA357" s="14"/>
    </row>
    <row r="358" customFormat="false" ht="12.75" hidden="false" customHeight="false" outlineLevel="0" collapsed="false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Z358" s="14"/>
      <c r="AA358" s="14"/>
    </row>
    <row r="359" customFormat="false" ht="12.75" hidden="false" customHeight="false" outlineLevel="0" collapsed="false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Z359" s="14"/>
      <c r="AA359" s="14"/>
    </row>
    <row r="360" customFormat="false" ht="12.75" hidden="false" customHeight="false" outlineLevel="0" collapsed="false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Z360" s="14"/>
      <c r="AA360" s="14"/>
    </row>
    <row r="361" customFormat="false" ht="12.75" hidden="false" customHeight="false" outlineLevel="0" collapsed="false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Z361" s="14"/>
      <c r="AA361" s="14"/>
    </row>
    <row r="362" customFormat="false" ht="12.75" hidden="false" customHeight="false" outlineLevel="0" collapsed="false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Z362" s="14"/>
      <c r="AA362" s="14"/>
    </row>
    <row r="363" customFormat="false" ht="12.75" hidden="false" customHeight="false" outlineLevel="0" collapsed="false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Z363" s="14"/>
      <c r="AA363" s="14"/>
    </row>
    <row r="364" customFormat="false" ht="12.75" hidden="false" customHeight="false" outlineLevel="0" collapsed="false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Z364" s="14"/>
      <c r="AA364" s="14"/>
    </row>
    <row r="365" customFormat="false" ht="12.75" hidden="false" customHeight="false" outlineLevel="0" collapsed="false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Z365" s="14"/>
      <c r="AA365" s="14"/>
    </row>
    <row r="366" customFormat="false" ht="12.75" hidden="false" customHeight="false" outlineLevel="0" collapsed="false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Z366" s="14"/>
      <c r="AA366" s="14"/>
    </row>
    <row r="367" customFormat="false" ht="12.75" hidden="false" customHeight="false" outlineLevel="0" collapsed="false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Z367" s="14"/>
      <c r="AA367" s="14"/>
    </row>
    <row r="368" customFormat="false" ht="12.75" hidden="false" customHeight="false" outlineLevel="0" collapsed="false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Z368" s="14"/>
      <c r="AA368" s="14"/>
    </row>
    <row r="369" customFormat="false" ht="12.75" hidden="false" customHeight="false" outlineLevel="0" collapsed="false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Z369" s="14"/>
      <c r="AA369" s="14"/>
    </row>
    <row r="370" customFormat="false" ht="12.75" hidden="false" customHeight="false" outlineLevel="0" collapsed="false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Z370" s="14"/>
      <c r="AA370" s="14"/>
    </row>
    <row r="371" customFormat="false" ht="12.75" hidden="false" customHeight="false" outlineLevel="0" collapsed="false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Z371" s="14"/>
      <c r="AA371" s="14"/>
    </row>
    <row r="372" customFormat="false" ht="12.75" hidden="false" customHeight="false" outlineLevel="0" collapsed="false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Z372" s="14"/>
      <c r="AA372" s="14"/>
    </row>
    <row r="373" customFormat="false" ht="12.75" hidden="false" customHeight="false" outlineLevel="0" collapsed="false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Z373" s="14"/>
      <c r="AA373" s="14"/>
    </row>
    <row r="374" customFormat="false" ht="12.75" hidden="false" customHeight="false" outlineLevel="0" collapsed="false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Z374" s="14"/>
      <c r="AA374" s="14"/>
    </row>
    <row r="375" customFormat="false" ht="12.75" hidden="false" customHeight="false" outlineLevel="0" collapsed="false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Z375" s="14"/>
      <c r="AA375" s="14"/>
    </row>
    <row r="376" customFormat="false" ht="12.75" hidden="false" customHeight="false" outlineLevel="0" collapsed="false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Z376" s="14"/>
      <c r="AA376" s="14"/>
    </row>
    <row r="377" customFormat="false" ht="12.75" hidden="false" customHeight="false" outlineLevel="0" collapsed="false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Z377" s="14"/>
      <c r="AA377" s="14"/>
    </row>
    <row r="378" customFormat="false" ht="12.75" hidden="false" customHeight="false" outlineLevel="0" collapsed="false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Z378" s="14"/>
      <c r="AA378" s="14"/>
    </row>
    <row r="379" customFormat="false" ht="12.75" hidden="false" customHeight="false" outlineLevel="0" collapsed="false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Z379" s="14"/>
      <c r="AA379" s="14"/>
    </row>
    <row r="380" customFormat="false" ht="12.75" hidden="false" customHeight="false" outlineLevel="0" collapsed="false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Z380" s="14"/>
      <c r="AA380" s="14"/>
    </row>
    <row r="381" customFormat="false" ht="12.75" hidden="false" customHeight="false" outlineLevel="0" collapsed="false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Z381" s="14"/>
      <c r="AA381" s="14"/>
    </row>
    <row r="382" customFormat="false" ht="12.75" hidden="false" customHeight="false" outlineLevel="0" collapsed="false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Z382" s="14"/>
      <c r="AA382" s="14"/>
    </row>
    <row r="383" customFormat="false" ht="12.75" hidden="false" customHeight="false" outlineLevel="0" collapsed="false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Z383" s="14"/>
      <c r="AA383" s="14"/>
    </row>
    <row r="384" customFormat="false" ht="12.75" hidden="false" customHeight="false" outlineLevel="0" collapsed="false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Z384" s="14"/>
      <c r="AA384" s="14"/>
    </row>
    <row r="385" customFormat="false" ht="12.75" hidden="false" customHeight="false" outlineLevel="0" collapsed="false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Z385" s="14"/>
      <c r="AA385" s="14"/>
    </row>
    <row r="386" customFormat="false" ht="12.75" hidden="false" customHeight="false" outlineLevel="0" collapsed="false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Z386" s="14"/>
      <c r="AA386" s="14"/>
    </row>
    <row r="387" customFormat="false" ht="12.75" hidden="false" customHeight="false" outlineLevel="0" collapsed="false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Z387" s="14"/>
      <c r="AA387" s="14"/>
    </row>
    <row r="388" customFormat="false" ht="12.75" hidden="false" customHeight="false" outlineLevel="0" collapsed="false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Z388" s="14"/>
      <c r="AA388" s="14"/>
    </row>
    <row r="389" customFormat="false" ht="12.75" hidden="false" customHeight="false" outlineLevel="0" collapsed="false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Z389" s="14"/>
      <c r="AA389" s="14"/>
    </row>
    <row r="390" customFormat="false" ht="12.75" hidden="false" customHeight="false" outlineLevel="0" collapsed="false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Z390" s="14"/>
      <c r="AA390" s="14"/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1"/>
  <cols>
    <col collapsed="false" customWidth="true" hidden="false" outlineLevel="0" max="1" min="1" style="1" width="12.99"/>
    <col collapsed="false" customWidth="true" hidden="false" outlineLevel="0" max="2" min="2" style="1" width="11.32"/>
    <col collapsed="false" customWidth="true" hidden="false" outlineLevel="0" max="4" min="3" style="1" width="11.49"/>
    <col collapsed="false" customWidth="true" hidden="false" outlineLevel="0" max="8" min="5" style="1" width="14.32"/>
    <col collapsed="false" customWidth="true" hidden="false" outlineLevel="0" max="16" min="9" style="1" width="13.15"/>
    <col collapsed="false" customWidth="true" hidden="false" outlineLevel="0" max="19" min="17" style="14" width="13.15"/>
    <col collapsed="false" customWidth="true" hidden="false" outlineLevel="0" max="25" min="20" style="14" width="9.15"/>
    <col collapsed="false" customWidth="true" hidden="true" outlineLevel="1" max="31" min="26" style="14" width="9.15"/>
    <col collapsed="false" customWidth="true" hidden="false" outlineLevel="0" max="32" min="32" style="1" width="12.99"/>
    <col collapsed="false" customWidth="true" hidden="false" outlineLevel="0" max="36" min="33" style="1" width="18.65"/>
    <col collapsed="false" customWidth="true" hidden="false" outlineLevel="0" max="39" min="37" style="1" width="8.99"/>
    <col collapsed="false" customWidth="true" hidden="false" outlineLevel="0" max="40" min="40" style="1" width="11.82"/>
    <col collapsed="false" customWidth="true" hidden="false" outlineLevel="0" max="41" min="41" style="1" width="8.99"/>
    <col collapsed="false" customWidth="true" hidden="false" outlineLevel="0" max="42" min="42" style="1" width="14.32"/>
    <col collapsed="false" customWidth="true" hidden="false" outlineLevel="0" max="43" min="43" style="1" width="10.65"/>
    <col collapsed="false" customWidth="true" hidden="false" outlineLevel="0" max="44" min="44" style="1" width="9.99"/>
    <col collapsed="false" customWidth="true" hidden="false" outlineLevel="0" max="50" min="45" style="1" width="9.49"/>
    <col collapsed="false" customWidth="true" hidden="false" outlineLevel="0" max="55" min="51" style="1" width="8.82"/>
    <col collapsed="false" customWidth="true" hidden="false" outlineLevel="0" max="56" min="56" style="1" width="9.49"/>
    <col collapsed="false" customWidth="true" hidden="false" outlineLevel="0" max="57" min="57" style="1" width="15.65"/>
    <col collapsed="false" customWidth="false" hidden="false" outlineLevel="0" max="60" min="58" style="1" width="9.32"/>
    <col collapsed="false" customWidth="true" hidden="false" outlineLevel="0" max="61" min="61" style="1" width="20.49"/>
    <col collapsed="false" customWidth="false" hidden="false" outlineLevel="0" max="257" min="62" style="1" width="9.32"/>
  </cols>
  <sheetData>
    <row r="1" customFormat="false" ht="15.75" hidden="false" customHeight="false" outlineLevel="0" collapsed="false">
      <c r="A1" s="2" t="str">
        <f aca="false">Assumpt!A1</f>
        <v>Panama Regas Terminal</v>
      </c>
      <c r="B1" s="3"/>
      <c r="C1" s="3"/>
      <c r="D1" s="4"/>
      <c r="AF1" s="14"/>
      <c r="AG1" s="14"/>
      <c r="AH1" s="14"/>
      <c r="AI1" s="14"/>
      <c r="AJ1" s="14"/>
      <c r="AK1" s="14"/>
      <c r="AL1" s="14"/>
      <c r="AM1" s="2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6"/>
      <c r="BE1" s="14"/>
    </row>
    <row r="2" customFormat="false" ht="15.75" hidden="false" customHeight="false" outlineLevel="0" collapsed="false">
      <c r="A2" s="6" t="str">
        <f aca="false">Assumpt!A2</f>
        <v>Enron International</v>
      </c>
      <c r="B2" s="7"/>
      <c r="C2" s="7"/>
      <c r="D2" s="8"/>
      <c r="O2" s="497"/>
      <c r="P2" s="497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14"/>
      <c r="AG2" s="14"/>
      <c r="AH2" s="14"/>
      <c r="AI2" s="14"/>
      <c r="AJ2" s="14"/>
      <c r="AK2" s="14"/>
      <c r="AL2" s="14"/>
      <c r="AM2" s="499"/>
      <c r="AN2" s="495"/>
      <c r="AO2" s="495"/>
      <c r="AP2" s="495"/>
      <c r="AQ2" s="495"/>
      <c r="AR2" s="495"/>
      <c r="AS2" s="495"/>
      <c r="AT2" s="495"/>
      <c r="AU2" s="495"/>
      <c r="AV2" s="495"/>
      <c r="AW2" s="495"/>
      <c r="AX2" s="495"/>
      <c r="AY2" s="495"/>
      <c r="AZ2" s="495"/>
      <c r="BA2" s="495"/>
      <c r="BB2" s="495"/>
      <c r="BC2" s="495"/>
      <c r="BD2" s="14"/>
      <c r="BE2" s="14"/>
    </row>
    <row r="3" customFormat="false" ht="18.75" hidden="false" customHeight="false" outlineLevel="0" collapsed="false">
      <c r="A3" s="10" t="s">
        <v>206</v>
      </c>
      <c r="B3" s="11"/>
      <c r="C3" s="11"/>
      <c r="D3" s="12"/>
      <c r="F3" s="492"/>
      <c r="G3" s="14"/>
      <c r="I3" s="14"/>
      <c r="J3" s="14"/>
      <c r="K3" s="14"/>
      <c r="M3" s="14"/>
      <c r="N3" s="14"/>
      <c r="O3" s="14"/>
      <c r="P3" s="498"/>
      <c r="Q3" s="498" t="n">
        <f aca="false">+Assumpt!Y12</f>
        <v>0</v>
      </c>
      <c r="R3" s="498" t="n">
        <f aca="false">+Assumpt!Z12</f>
        <v>0</v>
      </c>
      <c r="S3" s="498" t="n">
        <f aca="false">+Assumpt!AA12</f>
        <v>0</v>
      </c>
      <c r="T3" s="498" t="n">
        <f aca="false">+Assumpt!AB13</f>
        <v>0</v>
      </c>
      <c r="U3" s="498" t="str">
        <f aca="false">+Assumpt!AC13</f>
        <v>Factor</v>
      </c>
      <c r="V3" s="498" t="n">
        <f aca="false">+Assumpt!AD13</f>
        <v>0</v>
      </c>
      <c r="W3" s="498" t="n">
        <f aca="false">+Assumpt!AE13</f>
        <v>0</v>
      </c>
      <c r="X3" s="498" t="n">
        <f aca="false">+Assumpt!AF13</f>
        <v>0</v>
      </c>
      <c r="Y3" s="498" t="n">
        <f aca="false">+Assumpt!AG13</f>
        <v>0</v>
      </c>
      <c r="Z3" s="498" t="n">
        <f aca="false">+Assumpt!AH13</f>
        <v>0</v>
      </c>
      <c r="AA3" s="498" t="n">
        <f aca="false">+Assumpt!AI13</f>
        <v>0</v>
      </c>
      <c r="AB3" s="498" t="n">
        <f aca="false">+Assumpt!AJ13</f>
        <v>0</v>
      </c>
      <c r="AC3" s="498" t="n">
        <f aca="false">+Assumpt!AK13</f>
        <v>0</v>
      </c>
      <c r="AD3" s="498" t="n">
        <f aca="false">+Assumpt!AL13</f>
        <v>0</v>
      </c>
      <c r="AE3" s="498" t="n">
        <f aca="false">+Assumpt!AM13</f>
        <v>0</v>
      </c>
      <c r="AF3" s="14"/>
      <c r="AG3" s="14"/>
      <c r="AH3" s="14"/>
      <c r="AI3" s="14"/>
      <c r="AJ3" s="14"/>
      <c r="AK3" s="14"/>
      <c r="AL3" s="14"/>
      <c r="AM3" s="14"/>
      <c r="AN3" s="495"/>
      <c r="AO3" s="495"/>
      <c r="AP3" s="495"/>
      <c r="AQ3" s="495"/>
      <c r="AR3" s="495"/>
      <c r="AS3" s="495"/>
      <c r="AT3" s="495"/>
      <c r="AU3" s="495"/>
      <c r="AV3" s="495"/>
      <c r="AW3" s="495"/>
      <c r="AX3" s="495"/>
      <c r="AY3" s="495"/>
      <c r="AZ3" s="495"/>
      <c r="BA3" s="495"/>
      <c r="BB3" s="495"/>
      <c r="BC3" s="495"/>
      <c r="BD3" s="14"/>
      <c r="BE3" s="14"/>
      <c r="BF3" s="500"/>
    </row>
    <row r="4" customFormat="false" ht="18" hidden="false" customHeight="false" outlineLevel="0" collapsed="false">
      <c r="E4" s="14"/>
      <c r="F4" s="14"/>
      <c r="G4" s="274"/>
      <c r="I4" s="14"/>
      <c r="J4" s="14"/>
      <c r="K4" s="274"/>
      <c r="L4" s="501"/>
      <c r="M4" s="14"/>
      <c r="N4" s="14"/>
      <c r="O4" s="274"/>
      <c r="P4" s="498"/>
      <c r="Q4" s="502" t="n">
        <f aca="false">+Assumpt!L53</f>
        <v>0</v>
      </c>
      <c r="R4" s="502" t="n">
        <f aca="false">+Assumpt!M39</f>
        <v>0</v>
      </c>
      <c r="S4" s="502" t="str">
        <f aca="false">+Assumpt!N56</f>
        <v>Total Soft Costs</v>
      </c>
      <c r="T4" s="502" t="n">
        <f aca="false">+Assumpt!O56</f>
        <v>0</v>
      </c>
      <c r="U4" s="502" t="n">
        <f aca="false">+Assumpt!P56</f>
        <v>0</v>
      </c>
      <c r="V4" s="502" t="n">
        <f aca="false">+Assumpt!R56</f>
        <v>0</v>
      </c>
      <c r="W4" s="502" t="n">
        <f aca="false">+Assumpt!S56</f>
        <v>32008.8145542689</v>
      </c>
      <c r="X4" s="502" t="n">
        <f aca="false">+Assumpt!T39</f>
        <v>0</v>
      </c>
      <c r="Y4" s="502" t="n">
        <f aca="false">+Assumpt!U39</f>
        <v>0</v>
      </c>
      <c r="Z4" s="502" t="n">
        <f aca="false">+Assumpt!V39</f>
        <v>0</v>
      </c>
      <c r="AA4" s="502" t="n">
        <f aca="false">+Assumpt!W39</f>
        <v>0</v>
      </c>
      <c r="AB4" s="502" t="n">
        <f aca="false">+Assumpt!X39</f>
        <v>0</v>
      </c>
      <c r="AC4" s="502" t="n">
        <f aca="false">+Assumpt!Y39</f>
        <v>0</v>
      </c>
      <c r="AD4" s="502" t="n">
        <f aca="false">+Assumpt!Z39</f>
        <v>0</v>
      </c>
      <c r="AE4" s="502" t="n">
        <f aca="false">+Assumpt!AA39</f>
        <v>0</v>
      </c>
      <c r="AF4" s="14"/>
      <c r="AG4" s="14"/>
      <c r="AH4" s="14"/>
      <c r="AI4" s="14"/>
      <c r="AJ4" s="14"/>
      <c r="AK4" s="14"/>
      <c r="AL4" s="14"/>
      <c r="AM4" s="14"/>
      <c r="AN4" s="503"/>
      <c r="AO4" s="277"/>
      <c r="AP4" s="277"/>
      <c r="AQ4" s="504"/>
      <c r="AR4" s="504"/>
      <c r="AS4" s="504"/>
      <c r="AT4" s="504"/>
      <c r="AU4" s="504"/>
      <c r="AV4" s="504"/>
      <c r="AW4" s="504"/>
      <c r="AX4" s="504"/>
      <c r="AY4" s="504"/>
      <c r="AZ4" s="504"/>
      <c r="BA4" s="504"/>
      <c r="BB4" s="504"/>
      <c r="BC4" s="504"/>
      <c r="BD4" s="14"/>
      <c r="BE4" s="14"/>
      <c r="BF4" s="500"/>
    </row>
    <row r="5" customFormat="false" ht="12.75" hidden="false" customHeight="false" outlineLevel="0" collapsed="false">
      <c r="A5" s="290" t="str">
        <f aca="false">+CF!A5</f>
        <v>Calendar Year</v>
      </c>
      <c r="B5" s="291"/>
      <c r="C5" s="291"/>
      <c r="D5" s="291"/>
      <c r="E5" s="292" t="n">
        <f aca="false">+CF!E5</f>
        <v>2003</v>
      </c>
      <c r="F5" s="292" t="n">
        <f aca="false">+CF!F5</f>
        <v>2004</v>
      </c>
      <c r="G5" s="292" t="n">
        <f aca="false">+CF!G5</f>
        <v>2005</v>
      </c>
      <c r="H5" s="292" t="n">
        <f aca="false">+CF!H5</f>
        <v>2006</v>
      </c>
      <c r="I5" s="292" t="n">
        <f aca="false">+CF!I5</f>
        <v>2007</v>
      </c>
      <c r="J5" s="292" t="n">
        <f aca="false">+CF!J5</f>
        <v>2008</v>
      </c>
      <c r="K5" s="292" t="n">
        <f aca="false">+CF!K5</f>
        <v>2009</v>
      </c>
      <c r="L5" s="292" t="n">
        <f aca="false">+CF!L5</f>
        <v>2010</v>
      </c>
      <c r="M5" s="292" t="n">
        <f aca="false">+CF!M5</f>
        <v>2011</v>
      </c>
      <c r="N5" s="292" t="n">
        <f aca="false">+CF!N5</f>
        <v>2012</v>
      </c>
      <c r="O5" s="292" t="n">
        <f aca="false">+CF!O5</f>
        <v>2013</v>
      </c>
      <c r="P5" s="292" t="n">
        <f aca="false">+CF!P5</f>
        <v>2014</v>
      </c>
      <c r="Q5" s="292" t="n">
        <f aca="false">+CF!Q5</f>
        <v>2015</v>
      </c>
      <c r="R5" s="292" t="n">
        <f aca="false">+CF!R5</f>
        <v>2016</v>
      </c>
      <c r="S5" s="292" t="n">
        <f aca="false">+CF!S5</f>
        <v>2017</v>
      </c>
      <c r="T5" s="292" t="n">
        <f aca="false">+CF!T5</f>
        <v>2018</v>
      </c>
      <c r="U5" s="292" t="n">
        <f aca="false">+CF!U5</f>
        <v>2019</v>
      </c>
      <c r="V5" s="292" t="n">
        <f aca="false">+CF!V5</f>
        <v>2020</v>
      </c>
      <c r="W5" s="292" t="n">
        <f aca="false">+CF!W5</f>
        <v>2021</v>
      </c>
      <c r="X5" s="292" t="n">
        <f aca="false">+CF!X5</f>
        <v>2022</v>
      </c>
      <c r="Y5" s="292" t="n">
        <f aca="false">+CF!Y5</f>
        <v>2023</v>
      </c>
      <c r="Z5" s="292" t="n">
        <f aca="false">+CF!Z5</f>
        <v>2024</v>
      </c>
      <c r="AA5" s="292" t="n">
        <f aca="false">+CF!AA5</f>
        <v>2025</v>
      </c>
      <c r="AB5" s="292" t="n">
        <f aca="false">+CF!AB5</f>
        <v>2026</v>
      </c>
      <c r="AC5" s="292" t="n">
        <f aca="false">+CF!AC5</f>
        <v>2027</v>
      </c>
      <c r="AD5" s="292" t="n">
        <f aca="false">+CF!AD5</f>
        <v>2028</v>
      </c>
      <c r="AE5" s="292" t="n">
        <f aca="false">+CF!AE5</f>
        <v>2029</v>
      </c>
      <c r="AF5" s="293" t="s">
        <v>157</v>
      </c>
      <c r="AG5" s="294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  <c r="HR5" s="296"/>
      <c r="HS5" s="296"/>
      <c r="HT5" s="296"/>
      <c r="HU5" s="296"/>
      <c r="HV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  <c r="IK5" s="296"/>
      <c r="IL5" s="296"/>
      <c r="IM5" s="296"/>
      <c r="IN5" s="296"/>
      <c r="IO5" s="296"/>
      <c r="IP5" s="296"/>
      <c r="IQ5" s="296"/>
      <c r="IR5" s="296"/>
      <c r="IS5" s="296"/>
      <c r="IT5" s="296"/>
      <c r="IU5" s="296"/>
      <c r="IV5" s="296"/>
      <c r="IW5" s="296"/>
    </row>
    <row r="6" customFormat="false" ht="12.75" hidden="false" customHeight="false" outlineLevel="0" collapsed="false">
      <c r="A6" s="297" t="str">
        <f aca="false">+CF!A6</f>
        <v>Months of Operation</v>
      </c>
      <c r="B6" s="298"/>
      <c r="C6" s="298"/>
      <c r="D6" s="298"/>
      <c r="E6" s="299" t="n">
        <f aca="false">+CF!E6</f>
        <v>12</v>
      </c>
      <c r="F6" s="299" t="n">
        <f aca="false">+CF!F6</f>
        <v>12</v>
      </c>
      <c r="G6" s="299" t="n">
        <f aca="false">+CF!G6</f>
        <v>12</v>
      </c>
      <c r="H6" s="299" t="n">
        <f aca="false">+CF!H6</f>
        <v>12</v>
      </c>
      <c r="I6" s="299" t="n">
        <f aca="false">+CF!I6</f>
        <v>12</v>
      </c>
      <c r="J6" s="299" t="n">
        <f aca="false">+CF!J6</f>
        <v>12</v>
      </c>
      <c r="K6" s="299" t="n">
        <f aca="false">+CF!K6</f>
        <v>12</v>
      </c>
      <c r="L6" s="299" t="n">
        <f aca="false">+CF!L6</f>
        <v>12</v>
      </c>
      <c r="M6" s="299" t="n">
        <f aca="false">+CF!M6</f>
        <v>12</v>
      </c>
      <c r="N6" s="299" t="n">
        <f aca="false">+CF!N6</f>
        <v>12</v>
      </c>
      <c r="O6" s="299" t="n">
        <f aca="false">+CF!O6</f>
        <v>12</v>
      </c>
      <c r="P6" s="299" t="n">
        <f aca="false">+CF!P6</f>
        <v>12</v>
      </c>
      <c r="Q6" s="299" t="n">
        <v>9</v>
      </c>
      <c r="R6" s="299" t="n">
        <f aca="false">+CF!R6</f>
        <v>12</v>
      </c>
      <c r="S6" s="299" t="n">
        <f aca="false">+CF!S6</f>
        <v>12</v>
      </c>
      <c r="T6" s="299" t="n">
        <f aca="false">+CF!T6</f>
        <v>0</v>
      </c>
      <c r="U6" s="299" t="n">
        <f aca="false">+CF!U6</f>
        <v>0</v>
      </c>
      <c r="V6" s="299" t="n">
        <f aca="false">+CF!V6</f>
        <v>0</v>
      </c>
      <c r="W6" s="299" t="n">
        <f aca="false">+CF!W6</f>
        <v>0</v>
      </c>
      <c r="X6" s="299" t="n">
        <f aca="false">+CF!X6</f>
        <v>0</v>
      </c>
      <c r="Y6" s="299" t="n">
        <f aca="false">+CF!Y6</f>
        <v>0</v>
      </c>
      <c r="Z6" s="299" t="n">
        <f aca="false">+CF!Z6</f>
        <v>0</v>
      </c>
      <c r="AA6" s="299" t="n">
        <f aca="false">+CF!AA6</f>
        <v>0</v>
      </c>
      <c r="AB6" s="299" t="n">
        <f aca="false">+CF!AB6</f>
        <v>0</v>
      </c>
      <c r="AC6" s="299" t="n">
        <f aca="false">+CF!AC6</f>
        <v>0</v>
      </c>
      <c r="AD6" s="299" t="n">
        <f aca="false">+CF!AD6</f>
        <v>0</v>
      </c>
      <c r="AE6" s="299" t="n">
        <f aca="false">+CF!AE6</f>
        <v>0</v>
      </c>
      <c r="AF6" s="300"/>
      <c r="AG6" s="301"/>
      <c r="AH6" s="302"/>
      <c r="AI6" s="302"/>
      <c r="AJ6" s="302"/>
      <c r="AK6" s="302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customFormat="false" ht="12.75" hidden="false" customHeight="false" outlineLevel="0" collapsed="false">
      <c r="A7" s="303" t="s">
        <v>159</v>
      </c>
      <c r="B7" s="304"/>
      <c r="C7" s="304"/>
      <c r="D7" s="304"/>
      <c r="E7" s="305" t="n">
        <f aca="false">+CF!E7</f>
        <v>1</v>
      </c>
      <c r="F7" s="305" t="n">
        <f aca="false">+CF!F7</f>
        <v>2</v>
      </c>
      <c r="G7" s="305" t="n">
        <f aca="false">+CF!G7</f>
        <v>3</v>
      </c>
      <c r="H7" s="305" t="n">
        <f aca="false">+CF!H7</f>
        <v>4</v>
      </c>
      <c r="I7" s="305" t="n">
        <f aca="false">+CF!I7</f>
        <v>5</v>
      </c>
      <c r="J7" s="305" t="n">
        <f aca="false">+CF!J7</f>
        <v>6</v>
      </c>
      <c r="K7" s="305" t="n">
        <f aca="false">+CF!K7</f>
        <v>7</v>
      </c>
      <c r="L7" s="305" t="n">
        <f aca="false">+CF!L7</f>
        <v>8</v>
      </c>
      <c r="M7" s="305" t="n">
        <f aca="false">+CF!M7</f>
        <v>9</v>
      </c>
      <c r="N7" s="305" t="n">
        <f aca="false">+CF!N7</f>
        <v>10</v>
      </c>
      <c r="O7" s="305" t="n">
        <f aca="false">+CF!O7</f>
        <v>11</v>
      </c>
      <c r="P7" s="305" t="n">
        <f aca="false">+CF!P7</f>
        <v>12</v>
      </c>
      <c r="Q7" s="305" t="n">
        <f aca="false">+CF!Q7</f>
        <v>13</v>
      </c>
      <c r="R7" s="305" t="n">
        <f aca="false">+CF!R7</f>
        <v>14</v>
      </c>
      <c r="S7" s="305" t="n">
        <f aca="false">+CF!S7</f>
        <v>15</v>
      </c>
      <c r="T7" s="305" t="n">
        <f aca="false">+CF!T7</f>
        <v>15</v>
      </c>
      <c r="U7" s="305" t="n">
        <f aca="false">+CF!U7</f>
        <v>15</v>
      </c>
      <c r="V7" s="305" t="n">
        <f aca="false">+CF!V7</f>
        <v>15</v>
      </c>
      <c r="W7" s="305" t="n">
        <f aca="false">+CF!W7</f>
        <v>15</v>
      </c>
      <c r="X7" s="305" t="n">
        <f aca="false">+CF!X7</f>
        <v>15</v>
      </c>
      <c r="Y7" s="305" t="n">
        <f aca="false">+CF!Y7</f>
        <v>15</v>
      </c>
      <c r="Z7" s="305" t="n">
        <f aca="false">+CF!Z7</f>
        <v>15</v>
      </c>
      <c r="AA7" s="305" t="n">
        <f aca="false">+CF!AA7</f>
        <v>15</v>
      </c>
      <c r="AB7" s="305" t="n">
        <f aca="false">+CF!AB7</f>
        <v>15</v>
      </c>
      <c r="AC7" s="305" t="n">
        <f aca="false">+CF!AC7</f>
        <v>15</v>
      </c>
      <c r="AD7" s="305" t="n">
        <f aca="false">+CF!AD7</f>
        <v>15</v>
      </c>
      <c r="AE7" s="305" t="n">
        <f aca="false">+CF!AE7</f>
        <v>15</v>
      </c>
      <c r="AF7" s="306"/>
      <c r="AG7" s="307"/>
      <c r="AH7" s="302"/>
      <c r="AI7" s="302"/>
      <c r="AJ7" s="302"/>
      <c r="AK7" s="302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customFormat="false" ht="12.75" hidden="false" customHeight="false" outlineLevel="0" collapsed="false">
      <c r="A8" s="505" t="s">
        <v>207</v>
      </c>
      <c r="B8" s="298"/>
      <c r="C8" s="298"/>
      <c r="D8" s="298"/>
      <c r="E8" s="506" t="n">
        <f aca="false">+IF(E6&gt;6,1,0)</f>
        <v>1</v>
      </c>
      <c r="F8" s="506" t="n">
        <f aca="false">+E9+1</f>
        <v>3</v>
      </c>
      <c r="G8" s="506" t="n">
        <f aca="false">+F9+1</f>
        <v>5</v>
      </c>
      <c r="H8" s="506" t="n">
        <f aca="false">+G9+1</f>
        <v>7</v>
      </c>
      <c r="I8" s="506" t="n">
        <f aca="false">+H9+1</f>
        <v>9</v>
      </c>
      <c r="J8" s="506" t="n">
        <f aca="false">+I9+1</f>
        <v>11</v>
      </c>
      <c r="K8" s="506" t="n">
        <f aca="false">+J9+1</f>
        <v>13</v>
      </c>
      <c r="L8" s="506" t="n">
        <f aca="false">+K9+1</f>
        <v>15</v>
      </c>
      <c r="M8" s="506" t="n">
        <f aca="false">+L9+1</f>
        <v>17</v>
      </c>
      <c r="N8" s="506" t="n">
        <f aca="false">+M9+1</f>
        <v>19</v>
      </c>
      <c r="O8" s="506" t="n">
        <f aca="false">+N9+1</f>
        <v>21</v>
      </c>
      <c r="P8" s="506" t="n">
        <f aca="false">+O9+1</f>
        <v>23</v>
      </c>
      <c r="Q8" s="506" t="n">
        <f aca="false">+P9+1</f>
        <v>25</v>
      </c>
      <c r="R8" s="506" t="n">
        <f aca="false">+Q9+1</f>
        <v>27</v>
      </c>
      <c r="S8" s="506" t="n">
        <f aca="false">+R9+1</f>
        <v>29</v>
      </c>
      <c r="T8" s="506" t="n">
        <f aca="false">+S9+1</f>
        <v>31</v>
      </c>
      <c r="U8" s="506" t="n">
        <f aca="false">+T9+1</f>
        <v>33</v>
      </c>
      <c r="V8" s="506" t="n">
        <f aca="false">+U9+1</f>
        <v>35</v>
      </c>
      <c r="W8" s="506" t="n">
        <f aca="false">+V9+1</f>
        <v>37</v>
      </c>
      <c r="X8" s="506" t="n">
        <f aca="false">+W9+1</f>
        <v>39</v>
      </c>
      <c r="Y8" s="506" t="n">
        <f aca="false">+X9+1</f>
        <v>41</v>
      </c>
      <c r="Z8" s="506" t="n">
        <f aca="false">+Y9+1</f>
        <v>43</v>
      </c>
      <c r="AA8" s="506" t="n">
        <f aca="false">+Z9+1</f>
        <v>45</v>
      </c>
      <c r="AB8" s="506" t="n">
        <f aca="false">+AA9+1</f>
        <v>47</v>
      </c>
      <c r="AC8" s="506" t="n">
        <f aca="false">+AB9+1</f>
        <v>49</v>
      </c>
      <c r="AD8" s="506" t="n">
        <f aca="false">+AC9+1</f>
        <v>51</v>
      </c>
      <c r="AE8" s="506" t="n">
        <f aca="false">+AD9+1</f>
        <v>53</v>
      </c>
      <c r="AF8" s="507"/>
      <c r="AG8" s="307"/>
      <c r="AH8" s="302"/>
      <c r="AI8" s="302"/>
      <c r="AJ8" s="302"/>
      <c r="AK8" s="302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</row>
    <row r="9" customFormat="false" ht="12.75" hidden="false" customHeight="false" outlineLevel="0" collapsed="false">
      <c r="A9" s="303"/>
      <c r="B9" s="304"/>
      <c r="C9" s="304"/>
      <c r="D9" s="304"/>
      <c r="E9" s="508" t="n">
        <f aca="false">+E8+1</f>
        <v>2</v>
      </c>
      <c r="F9" s="508" t="n">
        <f aca="false">+F8+1</f>
        <v>4</v>
      </c>
      <c r="G9" s="508" t="n">
        <f aca="false">+G8+1</f>
        <v>6</v>
      </c>
      <c r="H9" s="508" t="n">
        <f aca="false">+H8+1</f>
        <v>8</v>
      </c>
      <c r="I9" s="508" t="n">
        <f aca="false">+I8+1</f>
        <v>10</v>
      </c>
      <c r="J9" s="508" t="n">
        <f aca="false">+J8+1</f>
        <v>12</v>
      </c>
      <c r="K9" s="508" t="n">
        <f aca="false">+K8+1</f>
        <v>14</v>
      </c>
      <c r="L9" s="508" t="n">
        <f aca="false">+L8+1</f>
        <v>16</v>
      </c>
      <c r="M9" s="508" t="n">
        <f aca="false">+M8+1</f>
        <v>18</v>
      </c>
      <c r="N9" s="508" t="n">
        <f aca="false">+N8+1</f>
        <v>20</v>
      </c>
      <c r="O9" s="508" t="n">
        <f aca="false">+O8+1</f>
        <v>22</v>
      </c>
      <c r="P9" s="508" t="n">
        <f aca="false">+P8+1</f>
        <v>24</v>
      </c>
      <c r="Q9" s="508" t="n">
        <f aca="false">+Q8+1</f>
        <v>26</v>
      </c>
      <c r="R9" s="508" t="n">
        <f aca="false">+R8+1</f>
        <v>28</v>
      </c>
      <c r="S9" s="508" t="n">
        <f aca="false">+S8+1</f>
        <v>30</v>
      </c>
      <c r="T9" s="508" t="n">
        <f aca="false">+T8+1</f>
        <v>32</v>
      </c>
      <c r="U9" s="508" t="n">
        <f aca="false">+U8+1</f>
        <v>34</v>
      </c>
      <c r="V9" s="508" t="n">
        <f aca="false">+V8+1</f>
        <v>36</v>
      </c>
      <c r="W9" s="508" t="n">
        <f aca="false">+W8+1</f>
        <v>38</v>
      </c>
      <c r="X9" s="508" t="n">
        <f aca="false">+X8+1</f>
        <v>40</v>
      </c>
      <c r="Y9" s="508" t="n">
        <f aca="false">+Y8+1</f>
        <v>42</v>
      </c>
      <c r="Z9" s="508" t="n">
        <f aca="false">+Z8+1</f>
        <v>44</v>
      </c>
      <c r="AA9" s="508" t="n">
        <f aca="false">+AA8+1</f>
        <v>46</v>
      </c>
      <c r="AB9" s="508" t="n">
        <f aca="false">+AB8+1</f>
        <v>48</v>
      </c>
      <c r="AC9" s="508" t="n">
        <f aca="false">+AC8+1</f>
        <v>50</v>
      </c>
      <c r="AD9" s="508" t="n">
        <f aca="false">+AD8+1</f>
        <v>52</v>
      </c>
      <c r="AE9" s="508" t="n">
        <f aca="false">+AE8+1</f>
        <v>54</v>
      </c>
      <c r="AF9" s="306"/>
      <c r="AG9" s="307"/>
      <c r="AH9" s="302"/>
      <c r="AI9" s="302"/>
      <c r="AJ9" s="302"/>
      <c r="AK9" s="302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</row>
    <row r="10" customFormat="false" ht="12.75" hidden="false" customHeight="false" outlineLevel="0" collapsed="false">
      <c r="A10" s="14"/>
      <c r="B10" s="14"/>
      <c r="C10" s="14"/>
      <c r="D10" s="14"/>
      <c r="E10" s="14"/>
      <c r="F10" s="14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5" hidden="false" customHeight="false" outlineLevel="0" collapsed="false">
      <c r="A11" s="394" t="str">
        <f aca="false">+Assumpt!$G$36</f>
        <v>Tranche 1: </v>
      </c>
      <c r="B11" s="395"/>
      <c r="C11" s="395"/>
      <c r="D11" s="395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09"/>
      <c r="AC11" s="509"/>
      <c r="AD11" s="509"/>
      <c r="AE11" s="510"/>
      <c r="AF11" s="390"/>
      <c r="AG11" s="398"/>
      <c r="AH11" s="398"/>
      <c r="AI11" s="14"/>
      <c r="AJ11" s="14"/>
      <c r="AK11" s="14"/>
      <c r="AL11" s="14"/>
      <c r="AM11" s="14"/>
      <c r="AN11" s="14"/>
      <c r="AO11" s="14"/>
      <c r="AP11" s="14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511"/>
      <c r="BF11" s="512"/>
      <c r="BG11" s="512"/>
      <c r="BH11" s="512"/>
      <c r="BI11" s="513"/>
      <c r="BJ11" s="512"/>
      <c r="BK11" s="512"/>
    </row>
    <row r="12" customFormat="false" ht="15" hidden="false" customHeight="false" outlineLevel="0" collapsed="false">
      <c r="A12" s="394" t="s">
        <v>208</v>
      </c>
      <c r="B12" s="395"/>
      <c r="C12" s="395"/>
      <c r="D12" s="395"/>
      <c r="E12" s="514" t="n">
        <f aca="false">+tranche1amt</f>
        <v>127536.680159271</v>
      </c>
      <c r="F12" s="514" t="n">
        <f aca="false">+E20</f>
        <v>127536.680159271</v>
      </c>
      <c r="G12" s="514" t="n">
        <f aca="false">+F20</f>
        <v>120551.819347878</v>
      </c>
      <c r="H12" s="514" t="n">
        <f aca="false">+G20</f>
        <v>112887.637167197</v>
      </c>
      <c r="I12" s="514" t="n">
        <f aca="false">+H20</f>
        <v>104478.065368306</v>
      </c>
      <c r="J12" s="514" t="n">
        <f aca="false">+I20</f>
        <v>95250.6101521497</v>
      </c>
      <c r="K12" s="514" t="n">
        <f aca="false">+J20</f>
        <v>85125.7272446265</v>
      </c>
      <c r="L12" s="514" t="n">
        <f aca="false">+K20</f>
        <v>74016.1361938286</v>
      </c>
      <c r="M12" s="514" t="n">
        <f aca="false">+L20</f>
        <v>61826.0679783964</v>
      </c>
      <c r="N12" s="514" t="n">
        <f aca="false">+M20</f>
        <v>48450.4394410872</v>
      </c>
      <c r="O12" s="514" t="n">
        <f aca="false">+N20</f>
        <v>33773.9474308462</v>
      </c>
      <c r="P12" s="514" t="n">
        <f aca="false">+O20</f>
        <v>17670.0748445343</v>
      </c>
      <c r="Q12" s="514" t="n">
        <f aca="false">+P20</f>
        <v>-1.56433088704944E-010</v>
      </c>
      <c r="R12" s="514" t="n">
        <f aca="false">+Q20</f>
        <v>-1.56433088704944E-010</v>
      </c>
      <c r="S12" s="514" t="n">
        <f aca="false">+R20</f>
        <v>-1.56433088704944E-010</v>
      </c>
      <c r="T12" s="514" t="n">
        <f aca="false">+S20</f>
        <v>-1.56433088704944E-010</v>
      </c>
      <c r="U12" s="514" t="n">
        <f aca="false">+T20</f>
        <v>-1.56433088704944E-010</v>
      </c>
      <c r="V12" s="514" t="n">
        <f aca="false">+U20</f>
        <v>-1.56433088704944E-010</v>
      </c>
      <c r="W12" s="514" t="n">
        <f aca="false">+V20</f>
        <v>-1.56433088704944E-010</v>
      </c>
      <c r="X12" s="514" t="n">
        <f aca="false">+W20</f>
        <v>-1.56433088704944E-010</v>
      </c>
      <c r="Y12" s="514" t="n">
        <f aca="false">+X20</f>
        <v>-1.56433088704944E-010</v>
      </c>
      <c r="Z12" s="514" t="n">
        <f aca="false">+Y20</f>
        <v>-1.56433088704944E-010</v>
      </c>
      <c r="AA12" s="514" t="n">
        <f aca="false">+Z20</f>
        <v>-1.56433088704944E-010</v>
      </c>
      <c r="AB12" s="514" t="n">
        <f aca="false">+AA20</f>
        <v>-1.56433088704944E-010</v>
      </c>
      <c r="AC12" s="514" t="n">
        <f aca="false">+AB20</f>
        <v>-1.56433088704944E-010</v>
      </c>
      <c r="AD12" s="514" t="n">
        <f aca="false">+AC20</f>
        <v>-1.56433088704944E-010</v>
      </c>
      <c r="AE12" s="515" t="n">
        <f aca="false">+AD20</f>
        <v>-1.56433088704944E-010</v>
      </c>
      <c r="AF12" s="389"/>
      <c r="AG12" s="14"/>
      <c r="AH12" s="14"/>
      <c r="AI12" s="14"/>
      <c r="AJ12" s="14"/>
      <c r="AK12" s="14"/>
      <c r="AL12" s="14"/>
      <c r="AM12" s="14"/>
      <c r="AN12" s="14"/>
      <c r="AO12" s="85"/>
      <c r="AP12" s="85"/>
      <c r="AQ12" s="358"/>
      <c r="AR12" s="358"/>
      <c r="AS12" s="358"/>
      <c r="AT12" s="358"/>
      <c r="AU12" s="358"/>
      <c r="AV12" s="358"/>
      <c r="AW12" s="358"/>
      <c r="AX12" s="358"/>
      <c r="AY12" s="358"/>
      <c r="AZ12" s="358"/>
      <c r="BA12" s="358"/>
      <c r="BB12" s="358"/>
      <c r="BC12" s="358"/>
      <c r="BD12" s="358"/>
      <c r="BE12" s="511"/>
      <c r="BF12" s="512"/>
      <c r="BG12" s="512"/>
      <c r="BH12" s="512"/>
      <c r="BI12" s="513"/>
      <c r="BJ12" s="512"/>
      <c r="BK12" s="512"/>
    </row>
    <row r="13" customFormat="false" ht="15" hidden="false" customHeight="false" outlineLevel="0" collapsed="false">
      <c r="A13" s="372" t="s">
        <v>209</v>
      </c>
      <c r="B13" s="14"/>
      <c r="C13" s="14"/>
      <c r="D13" s="14"/>
      <c r="E13" s="107" t="n">
        <f aca="false">+tranche1amt*E21</f>
        <v>0</v>
      </c>
      <c r="F13" s="107" t="n">
        <f aca="false">+tranche1amt*F21</f>
        <v>3411.40943169378</v>
      </c>
      <c r="G13" s="107" t="n">
        <f aca="false">+tranche1amt*G21</f>
        <v>3743.19032023495</v>
      </c>
      <c r="H13" s="107" t="n">
        <f aca="false">+tranche1amt*H21</f>
        <v>4107.2389738173</v>
      </c>
      <c r="I13" s="107" t="n">
        <f aca="false">+tranche1amt*I21</f>
        <v>4506.69363426462</v>
      </c>
      <c r="J13" s="107" t="n">
        <f aca="false">+tranche1amt*J21</f>
        <v>4944.99775703207</v>
      </c>
      <c r="K13" s="107" t="n">
        <f aca="false">+tranche1amt*K21</f>
        <v>5425.92969513942</v>
      </c>
      <c r="L13" s="107" t="n">
        <f aca="false">+tranche1amt*L21</f>
        <v>5953.63527005232</v>
      </c>
      <c r="M13" s="107" t="n">
        <f aca="false">+tranche1amt*M21</f>
        <v>6532.66351028535</v>
      </c>
      <c r="N13" s="107" t="n">
        <f aca="false">+tranche1amt*N21</f>
        <v>7168.00586580754</v>
      </c>
      <c r="O13" s="107" t="n">
        <f aca="false">+tranche1amt*O21</f>
        <v>7865.13923629399</v>
      </c>
      <c r="P13" s="107" t="n">
        <f aca="false">+tranche1amt*P21</f>
        <v>8630.07318414381</v>
      </c>
      <c r="Q13" s="107" t="n">
        <f aca="false">+tranche1amt*Q21</f>
        <v>0</v>
      </c>
      <c r="R13" s="107" t="n">
        <f aca="false">+tranche1amt*R21</f>
        <v>0</v>
      </c>
      <c r="S13" s="107" t="n">
        <f aca="false">+tranche1amt*S21</f>
        <v>0</v>
      </c>
      <c r="T13" s="107" t="n">
        <f aca="false">+tranche1amt*T21</f>
        <v>0</v>
      </c>
      <c r="U13" s="107" t="n">
        <f aca="false">+tranche1amt*U21</f>
        <v>0</v>
      </c>
      <c r="V13" s="107" t="n">
        <f aca="false">+tranche1amt*V21</f>
        <v>0</v>
      </c>
      <c r="W13" s="107" t="n">
        <f aca="false">+tranche1amt*W21</f>
        <v>0</v>
      </c>
      <c r="X13" s="107" t="n">
        <f aca="false">+tranche1amt*X21</f>
        <v>0</v>
      </c>
      <c r="Y13" s="107" t="n">
        <f aca="false">+tranche1amt*Y21</f>
        <v>0</v>
      </c>
      <c r="Z13" s="107" t="n">
        <f aca="false">+tranche1amt*Z21</f>
        <v>0</v>
      </c>
      <c r="AA13" s="107" t="n">
        <f aca="false">+tranche1amt*AA21</f>
        <v>0</v>
      </c>
      <c r="AB13" s="107" t="n">
        <f aca="false">+tranche1amt*AB21</f>
        <v>0</v>
      </c>
      <c r="AC13" s="107" t="n">
        <f aca="false">+tranche1amt*AC21</f>
        <v>0</v>
      </c>
      <c r="AD13" s="107" t="n">
        <f aca="false">+tranche1amt*AD21</f>
        <v>0</v>
      </c>
      <c r="AE13" s="107" t="n">
        <f aca="false">+tranche1amt*AE21</f>
        <v>0</v>
      </c>
      <c r="AF13" s="389"/>
      <c r="AG13" s="398"/>
      <c r="AH13" s="14"/>
      <c r="AI13" s="14"/>
      <c r="AJ13" s="14"/>
      <c r="AK13" s="14"/>
      <c r="AL13" s="14"/>
      <c r="AM13" s="14"/>
      <c r="AN13" s="295"/>
      <c r="AO13" s="14"/>
      <c r="AP13" s="107"/>
      <c r="AQ13" s="353"/>
      <c r="AR13" s="353"/>
      <c r="AS13" s="353"/>
      <c r="AT13" s="353"/>
      <c r="AU13" s="353"/>
      <c r="AV13" s="353"/>
      <c r="AW13" s="353"/>
      <c r="AX13" s="353"/>
      <c r="AY13" s="353"/>
      <c r="AZ13" s="353"/>
      <c r="BA13" s="353"/>
      <c r="BB13" s="353"/>
      <c r="BC13" s="353"/>
      <c r="BD13" s="353"/>
      <c r="BE13" s="511"/>
      <c r="BF13" s="512"/>
      <c r="BG13" s="512"/>
      <c r="BH13" s="512"/>
      <c r="BI13" s="513"/>
      <c r="BJ13" s="512"/>
      <c r="BK13" s="512"/>
    </row>
    <row r="14" customFormat="false" ht="15" hidden="false" customHeight="false" outlineLevel="0" collapsed="false">
      <c r="A14" s="372" t="s">
        <v>210</v>
      </c>
      <c r="B14" s="14"/>
      <c r="C14" s="516"/>
      <c r="D14" s="516"/>
      <c r="E14" s="107" t="n">
        <f aca="false">+E12*tranche1cost*(E$6-6)/12</f>
        <v>6057.9923075654</v>
      </c>
      <c r="F14" s="107" t="n">
        <f aca="false">+F12*tranche1cost*MIN(6,E6)/12</f>
        <v>6057.9923075654</v>
      </c>
      <c r="G14" s="107" t="n">
        <f aca="false">+G12*tranche1cost*MIN(6,F6)/12</f>
        <v>5726.21141902423</v>
      </c>
      <c r="H14" s="107" t="n">
        <f aca="false">+H12*tranche1cost*MIN(6,G6)/12</f>
        <v>5362.16276544188</v>
      </c>
      <c r="I14" s="107" t="n">
        <f aca="false">+I12*tranche1cost*MIN(6,H6)/12</f>
        <v>4962.70810499456</v>
      </c>
      <c r="J14" s="107" t="n">
        <f aca="false">+J12*tranche1cost*MIN(6,I6)/12</f>
        <v>4524.40398222711</v>
      </c>
      <c r="K14" s="107" t="n">
        <f aca="false">+K12*tranche1cost*MIN(6,J6)/12</f>
        <v>4043.47204411976</v>
      </c>
      <c r="L14" s="107" t="n">
        <f aca="false">+L12*tranche1cost*MIN(6,K6)/12</f>
        <v>3515.76646920686</v>
      </c>
      <c r="M14" s="107" t="n">
        <f aca="false">+M12*tranche1cost*MIN(6,L6)/12</f>
        <v>2936.73822897383</v>
      </c>
      <c r="N14" s="107" t="n">
        <f aca="false">+N12*tranche1cost*MIN(6,M6)/12</f>
        <v>2301.39587345164</v>
      </c>
      <c r="O14" s="107" t="n">
        <f aca="false">+O12*tranche1cost*MIN(6,N6)/12</f>
        <v>1604.2625029652</v>
      </c>
      <c r="P14" s="107" t="n">
        <f aca="false">+P12*tranche1cost*MIN(6,O6)/12</f>
        <v>839.328555115379</v>
      </c>
      <c r="Q14" s="107" t="n">
        <f aca="false">+Q12*tranche1cost*MIN(6,P6)/12</f>
        <v>-7.43057171348482E-012</v>
      </c>
      <c r="R14" s="107" t="n">
        <f aca="false">+R12*tranche1cost*MIN(6,Q6)/12</f>
        <v>-7.43057171348482E-012</v>
      </c>
      <c r="S14" s="107" t="n">
        <f aca="false">+S12*tranche1cost*MIN(6,R6)/12</f>
        <v>-7.43057171348482E-012</v>
      </c>
      <c r="T14" s="107" t="n">
        <f aca="false">+T12*tranche1cost*MIN(6,S6)/12</f>
        <v>-7.43057171348482E-012</v>
      </c>
      <c r="U14" s="107" t="n">
        <f aca="false">+U12*tranche1cost*MIN(6,T6)/12</f>
        <v>-0</v>
      </c>
      <c r="V14" s="107" t="n">
        <f aca="false">+V12*tranche1cost*MIN(6,U6)/12</f>
        <v>-0</v>
      </c>
      <c r="W14" s="107" t="n">
        <f aca="false">+W12*tranche1cost*MIN(6,V6)/12</f>
        <v>-0</v>
      </c>
      <c r="X14" s="107" t="n">
        <f aca="false">+X12*tranche1cost*MIN(6,W6)/12</f>
        <v>-0</v>
      </c>
      <c r="Y14" s="107" t="n">
        <f aca="false">+Y12*tranche1cost*MIN(6,X6)/12</f>
        <v>-0</v>
      </c>
      <c r="Z14" s="107" t="n">
        <f aca="false">+Z12*tranche1cost*MIN(6,Y6)/12</f>
        <v>-0</v>
      </c>
      <c r="AA14" s="107" t="n">
        <f aca="false">+AA12*tranche1cost*MIN(6,Z6)/12</f>
        <v>-0</v>
      </c>
      <c r="AB14" s="107" t="n">
        <f aca="false">+AB12*tranche1cost*MIN(6,AA6)/12</f>
        <v>-0</v>
      </c>
      <c r="AC14" s="107" t="n">
        <f aca="false">+AC12*tranche1cost*MIN(6,AB6)/12</f>
        <v>-0</v>
      </c>
      <c r="AD14" s="107" t="n">
        <f aca="false">+AD12*tranche1cost*MIN(6,AC6)/12</f>
        <v>-0</v>
      </c>
      <c r="AE14" s="517" t="n">
        <f aca="false">+AE12*tranche1cost*MIN(6,AD6)/12</f>
        <v>-0</v>
      </c>
      <c r="AF14" s="389"/>
      <c r="AG14" s="398"/>
      <c r="AH14" s="398"/>
      <c r="AI14" s="14"/>
      <c r="AJ14" s="14"/>
      <c r="AK14" s="14"/>
      <c r="AL14" s="14"/>
      <c r="AM14" s="14"/>
      <c r="AN14" s="14"/>
      <c r="AO14" s="14"/>
      <c r="AP14" s="14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511"/>
      <c r="BF14" s="512"/>
      <c r="BG14" s="512"/>
      <c r="BH14" s="512"/>
      <c r="BI14" s="513"/>
      <c r="BJ14" s="512"/>
      <c r="BK14" s="512"/>
    </row>
    <row r="15" customFormat="false" ht="15" hidden="false" customHeight="false" outlineLevel="0" collapsed="false">
      <c r="A15" s="359" t="s">
        <v>211</v>
      </c>
      <c r="B15" s="85"/>
      <c r="C15" s="85"/>
      <c r="D15" s="85"/>
      <c r="E15" s="518" t="n">
        <f aca="false">+E13+E14</f>
        <v>6057.9923075654</v>
      </c>
      <c r="F15" s="518" t="n">
        <f aca="false">+F13+F14</f>
        <v>9469.40173925918</v>
      </c>
      <c r="G15" s="518" t="n">
        <f aca="false">+G13+G14</f>
        <v>9469.40173925918</v>
      </c>
      <c r="H15" s="518" t="n">
        <f aca="false">+H13+H14</f>
        <v>9469.40173925918</v>
      </c>
      <c r="I15" s="518" t="n">
        <f aca="false">+I13+I14</f>
        <v>9469.40173925918</v>
      </c>
      <c r="J15" s="518" t="n">
        <f aca="false">+J13+J14</f>
        <v>9469.40173925918</v>
      </c>
      <c r="K15" s="518" t="n">
        <f aca="false">+K13+K14</f>
        <v>9469.40173925918</v>
      </c>
      <c r="L15" s="518" t="n">
        <f aca="false">+L13+L14</f>
        <v>9469.40173925918</v>
      </c>
      <c r="M15" s="518" t="n">
        <f aca="false">+M13+M14</f>
        <v>9469.40173925918</v>
      </c>
      <c r="N15" s="518" t="n">
        <f aca="false">+N13+N14</f>
        <v>9469.40173925918</v>
      </c>
      <c r="O15" s="518" t="n">
        <f aca="false">+O13+O14</f>
        <v>9469.40173925918</v>
      </c>
      <c r="P15" s="518" t="n">
        <f aca="false">+P13+P14</f>
        <v>9469.40173925919</v>
      </c>
      <c r="Q15" s="518" t="n">
        <f aca="false">+Q13+Q14</f>
        <v>-7.43057171348482E-012</v>
      </c>
      <c r="R15" s="518" t="n">
        <f aca="false">+R13+R14</f>
        <v>-7.43057171348482E-012</v>
      </c>
      <c r="S15" s="518" t="n">
        <f aca="false">+S13+S14</f>
        <v>-7.43057171348482E-012</v>
      </c>
      <c r="T15" s="518" t="n">
        <f aca="false">+T13+T14</f>
        <v>-7.43057171348482E-012</v>
      </c>
      <c r="U15" s="518" t="n">
        <f aca="false">+U13+U14</f>
        <v>0</v>
      </c>
      <c r="V15" s="518" t="n">
        <f aca="false">+V13+V14</f>
        <v>0</v>
      </c>
      <c r="W15" s="518" t="n">
        <f aca="false">+W13+W14</f>
        <v>0</v>
      </c>
      <c r="X15" s="518" t="n">
        <f aca="false">+X13+X14</f>
        <v>0</v>
      </c>
      <c r="Y15" s="518" t="n">
        <f aca="false">+Y13+Y14</f>
        <v>0</v>
      </c>
      <c r="Z15" s="518" t="n">
        <f aca="false">+Z13+Z14</f>
        <v>0</v>
      </c>
      <c r="AA15" s="518" t="n">
        <f aca="false">+AA13+AA14</f>
        <v>0</v>
      </c>
      <c r="AB15" s="518" t="n">
        <f aca="false">+AB13+AB14</f>
        <v>0</v>
      </c>
      <c r="AC15" s="518" t="n">
        <f aca="false">+AC13+AC14</f>
        <v>0</v>
      </c>
      <c r="AD15" s="518" t="n">
        <f aca="false">+AD13+AD14</f>
        <v>0</v>
      </c>
      <c r="AE15" s="519" t="n">
        <f aca="false">+AE13+AE14</f>
        <v>0</v>
      </c>
      <c r="AF15" s="389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511"/>
      <c r="BF15" s="511"/>
      <c r="BG15" s="512"/>
      <c r="BH15" s="512"/>
      <c r="BI15" s="513"/>
      <c r="BJ15" s="512"/>
      <c r="BK15" s="512"/>
    </row>
    <row r="16" customFormat="false" ht="15" hidden="false" customHeight="false" outlineLevel="0" collapsed="false">
      <c r="A16" s="375" t="s">
        <v>212</v>
      </c>
      <c r="B16" s="14"/>
      <c r="C16" s="14"/>
      <c r="D16" s="14"/>
      <c r="E16" s="353" t="n">
        <f aca="false">E12-E13</f>
        <v>127536.680159271</v>
      </c>
      <c r="F16" s="353" t="n">
        <f aca="false">F12-F13</f>
        <v>124125.270727578</v>
      </c>
      <c r="G16" s="353" t="n">
        <f aca="false">G12-G13</f>
        <v>116808.629027644</v>
      </c>
      <c r="H16" s="353" t="n">
        <f aca="false">H12-H13</f>
        <v>108780.39819338</v>
      </c>
      <c r="I16" s="353" t="n">
        <f aca="false">I12-I13</f>
        <v>99971.3717340419</v>
      </c>
      <c r="J16" s="353" t="n">
        <f aca="false">J12-J13</f>
        <v>90305.6123951176</v>
      </c>
      <c r="K16" s="353" t="n">
        <f aca="false">K12-K13</f>
        <v>79699.7975494871</v>
      </c>
      <c r="L16" s="353" t="n">
        <f aca="false">L12-L13</f>
        <v>68062.5009237762</v>
      </c>
      <c r="M16" s="353" t="n">
        <f aca="false">M12-M13</f>
        <v>55293.4044681111</v>
      </c>
      <c r="N16" s="353" t="n">
        <f aca="false">N12-N13</f>
        <v>41282.4335752796</v>
      </c>
      <c r="O16" s="353" t="n">
        <f aca="false">O12-O13</f>
        <v>25908.8081945522</v>
      </c>
      <c r="P16" s="353" t="n">
        <f aca="false">P12-P13</f>
        <v>9040.00166039048</v>
      </c>
      <c r="Q16" s="353" t="n">
        <f aca="false">Q12-Q13</f>
        <v>-1.56433088704944E-010</v>
      </c>
      <c r="R16" s="353" t="n">
        <f aca="false">R12-R13</f>
        <v>-1.56433088704944E-010</v>
      </c>
      <c r="S16" s="353" t="n">
        <f aca="false">S12-S13</f>
        <v>-1.56433088704944E-010</v>
      </c>
      <c r="T16" s="353" t="n">
        <f aca="false">T12-T13</f>
        <v>-1.56433088704944E-010</v>
      </c>
      <c r="U16" s="353" t="n">
        <f aca="false">U12-U13</f>
        <v>-1.56433088704944E-010</v>
      </c>
      <c r="V16" s="353" t="n">
        <f aca="false">V12-V13</f>
        <v>-1.56433088704944E-010</v>
      </c>
      <c r="W16" s="353" t="n">
        <f aca="false">W12-W13</f>
        <v>-1.56433088704944E-010</v>
      </c>
      <c r="X16" s="353" t="n">
        <f aca="false">X12-X13</f>
        <v>-1.56433088704944E-010</v>
      </c>
      <c r="Y16" s="353" t="n">
        <f aca="false">Y12-Y13</f>
        <v>-1.56433088704944E-010</v>
      </c>
      <c r="Z16" s="353" t="n">
        <f aca="false">Z12-Z13</f>
        <v>-1.56433088704944E-010</v>
      </c>
      <c r="AA16" s="353" t="n">
        <f aca="false">AA12-AA13</f>
        <v>-1.56433088704944E-010</v>
      </c>
      <c r="AB16" s="353" t="n">
        <f aca="false">AB12-AB13</f>
        <v>-1.56433088704944E-010</v>
      </c>
      <c r="AC16" s="353" t="n">
        <f aca="false">AC12-AC13</f>
        <v>-1.56433088704944E-010</v>
      </c>
      <c r="AD16" s="353" t="n">
        <f aca="false">AD12-AD13</f>
        <v>-1.56433088704944E-010</v>
      </c>
      <c r="AE16" s="520" t="n">
        <f aca="false">MAX(AE12-AE13,0)</f>
        <v>0</v>
      </c>
      <c r="AF16" s="389"/>
      <c r="AG16" s="398"/>
      <c r="AH16" s="14"/>
      <c r="AI16" s="14"/>
      <c r="AJ16" s="14"/>
      <c r="AK16" s="14"/>
      <c r="AL16" s="14"/>
      <c r="AM16" s="14"/>
      <c r="AN16" s="14"/>
      <c r="AO16" s="85"/>
      <c r="AP16" s="85"/>
      <c r="AQ16" s="358"/>
      <c r="AR16" s="358"/>
      <c r="AS16" s="358"/>
      <c r="AT16" s="358"/>
      <c r="AU16" s="358"/>
      <c r="AV16" s="358"/>
      <c r="AW16" s="358"/>
      <c r="AX16" s="358"/>
      <c r="AY16" s="358"/>
      <c r="AZ16" s="358"/>
      <c r="BA16" s="358"/>
      <c r="BB16" s="358"/>
      <c r="BC16" s="358"/>
      <c r="BD16" s="358"/>
      <c r="BE16" s="511"/>
      <c r="BF16" s="511"/>
      <c r="BG16" s="512"/>
      <c r="BH16" s="512"/>
      <c r="BI16" s="513"/>
      <c r="BJ16" s="512"/>
      <c r="BK16" s="512"/>
    </row>
    <row r="17" customFormat="false" ht="15" hidden="false" customHeight="false" outlineLevel="0" collapsed="false">
      <c r="A17" s="372" t="s">
        <v>213</v>
      </c>
      <c r="B17" s="14"/>
      <c r="C17" s="14"/>
      <c r="D17" s="14"/>
      <c r="E17" s="107" t="n">
        <f aca="false">+tranche1amt*E22</f>
        <v>0</v>
      </c>
      <c r="F17" s="107" t="n">
        <f aca="false">+tranche1amt*F22</f>
        <v>3573.45137969923</v>
      </c>
      <c r="G17" s="107" t="n">
        <f aca="false">+tranche1amt*G22</f>
        <v>3920.99186044611</v>
      </c>
      <c r="H17" s="107" t="n">
        <f aca="false">+tranche1amt*H22</f>
        <v>4302.33282507362</v>
      </c>
      <c r="I17" s="107" t="n">
        <f aca="false">+tranche1amt*I22</f>
        <v>4720.76158189219</v>
      </c>
      <c r="J17" s="107" t="n">
        <f aca="false">+tranche1amt*J22</f>
        <v>5179.88515049109</v>
      </c>
      <c r="K17" s="107" t="n">
        <f aca="false">+tranche1amt*K22</f>
        <v>5683.66135565854</v>
      </c>
      <c r="L17" s="107" t="n">
        <f aca="false">+tranche1amt*L22</f>
        <v>6236.43294537981</v>
      </c>
      <c r="M17" s="107" t="n">
        <f aca="false">+tranche1amt*M22</f>
        <v>6842.96502702391</v>
      </c>
      <c r="N17" s="107" t="n">
        <f aca="false">+tranche1amt*N22</f>
        <v>7508.4861444334</v>
      </c>
      <c r="O17" s="107" t="n">
        <f aca="false">+tranche1amt*O22</f>
        <v>8238.73335001795</v>
      </c>
      <c r="P17" s="107" t="n">
        <f aca="false">+tranche1amt*P22</f>
        <v>9040.00166039064</v>
      </c>
      <c r="Q17" s="107" t="n">
        <f aca="false">+tranche1amt*Q22</f>
        <v>0</v>
      </c>
      <c r="R17" s="107" t="n">
        <f aca="false">+tranche1amt*R22</f>
        <v>0</v>
      </c>
      <c r="S17" s="107" t="n">
        <f aca="false">+tranche1amt*S22</f>
        <v>0</v>
      </c>
      <c r="T17" s="107" t="n">
        <f aca="false">+tranche1amt*T22</f>
        <v>0</v>
      </c>
      <c r="U17" s="107" t="n">
        <f aca="false">+tranche1amt*U22</f>
        <v>0</v>
      </c>
      <c r="V17" s="107" t="n">
        <f aca="false">+tranche1amt*V22</f>
        <v>0</v>
      </c>
      <c r="W17" s="107" t="n">
        <f aca="false">+tranche1amt*W22</f>
        <v>0</v>
      </c>
      <c r="X17" s="107" t="n">
        <f aca="false">+tranche1amt*X22</f>
        <v>0</v>
      </c>
      <c r="Y17" s="107" t="n">
        <f aca="false">+tranche1amt*Y22</f>
        <v>0</v>
      </c>
      <c r="Z17" s="107" t="n">
        <f aca="false">+tranche1amt*Z22</f>
        <v>0</v>
      </c>
      <c r="AA17" s="107" t="n">
        <f aca="false">+tranche1amt*AA22</f>
        <v>0</v>
      </c>
      <c r="AB17" s="107" t="n">
        <f aca="false">+tranche1amt*AB22</f>
        <v>0</v>
      </c>
      <c r="AC17" s="107" t="n">
        <f aca="false">+tranche1amt*AC22</f>
        <v>0</v>
      </c>
      <c r="AD17" s="107" t="n">
        <f aca="false">+tranche1amt*AD22</f>
        <v>0</v>
      </c>
      <c r="AE17" s="107" t="n">
        <f aca="false">+tranche1amt*AE22</f>
        <v>0</v>
      </c>
      <c r="AF17" s="389"/>
      <c r="AG17" s="398"/>
      <c r="AH17" s="398"/>
      <c r="AI17" s="14"/>
      <c r="AJ17" s="14"/>
      <c r="AK17" s="14"/>
      <c r="AL17" s="14"/>
      <c r="AM17" s="14"/>
      <c r="AN17" s="295"/>
      <c r="AO17" s="14"/>
      <c r="AP17" s="14"/>
      <c r="AQ17" s="353"/>
      <c r="AR17" s="353"/>
      <c r="AS17" s="353"/>
      <c r="AT17" s="353"/>
      <c r="AU17" s="353"/>
      <c r="AV17" s="353"/>
      <c r="AW17" s="353"/>
      <c r="AX17" s="353"/>
      <c r="AY17" s="353"/>
      <c r="AZ17" s="353"/>
      <c r="BA17" s="353"/>
      <c r="BB17" s="353"/>
      <c r="BC17" s="353"/>
      <c r="BD17" s="353"/>
      <c r="BE17" s="511"/>
      <c r="BF17" s="511"/>
      <c r="BG17" s="512"/>
      <c r="BH17" s="512"/>
      <c r="BI17" s="513"/>
      <c r="BJ17" s="512"/>
      <c r="BK17" s="512"/>
    </row>
    <row r="18" customFormat="false" ht="15" hidden="false" customHeight="false" outlineLevel="0" collapsed="false">
      <c r="A18" s="372" t="s">
        <v>214</v>
      </c>
      <c r="B18" s="14"/>
      <c r="C18" s="14"/>
      <c r="D18" s="14"/>
      <c r="E18" s="107" t="n">
        <f aca="false">+E16*tranche1cost*MIN(6,E6)/12</f>
        <v>6057.9923075654</v>
      </c>
      <c r="F18" s="107" t="n">
        <f aca="false">+F16*tranche1cost*(E$6-6)/12</f>
        <v>5895.95035955994</v>
      </c>
      <c r="G18" s="107" t="n">
        <f aca="false">+G16*tranche1cost*(F$6-6)/12</f>
        <v>5548.40987881307</v>
      </c>
      <c r="H18" s="107" t="n">
        <f aca="false">+H16*tranche1cost*(G$6-6)/12</f>
        <v>5167.06891418556</v>
      </c>
      <c r="I18" s="107" t="n">
        <f aca="false">+I16*tranche1cost*(H$6-6)/12</f>
        <v>4748.64015736699</v>
      </c>
      <c r="J18" s="107" t="n">
        <f aca="false">+J16*tranche1cost*(I$6-6)/12</f>
        <v>4289.51658876809</v>
      </c>
      <c r="K18" s="107" t="n">
        <f aca="false">+K16*tranche1cost*(J$6-6)/12</f>
        <v>3785.74038360064</v>
      </c>
      <c r="L18" s="107" t="n">
        <f aca="false">+L16*tranche1cost*(K$6-6)/12</f>
        <v>3232.96879387937</v>
      </c>
      <c r="M18" s="107" t="n">
        <f aca="false">+M16*tranche1cost*(L$6-6)/12</f>
        <v>2626.43671223528</v>
      </c>
      <c r="N18" s="107" t="n">
        <f aca="false">+N16*tranche1cost*(M$6-6)/12</f>
        <v>1960.91559482578</v>
      </c>
      <c r="O18" s="107" t="n">
        <f aca="false">+O16*tranche1cost*(N$6-6)/12</f>
        <v>1230.66838924123</v>
      </c>
      <c r="P18" s="107" t="n">
        <f aca="false">+P16*tranche1cost*(O$6-6)/12</f>
        <v>429.400078868548</v>
      </c>
      <c r="Q18" s="107" t="n">
        <f aca="false">+Q16*tranche1cost*(P$6-6)/12</f>
        <v>-7.43057171348482E-012</v>
      </c>
      <c r="R18" s="107" t="n">
        <f aca="false">+R16*tranche1cost*(Q$6-6)/12</f>
        <v>-3.71528585674241E-012</v>
      </c>
      <c r="S18" s="107" t="n">
        <f aca="false">+S16*tranche1cost*(R$6-6)/12</f>
        <v>-7.43057171348482E-012</v>
      </c>
      <c r="T18" s="107" t="n">
        <f aca="false">+T16*tranche1cost*(S$6-6)/12</f>
        <v>-7.43057171348482E-012</v>
      </c>
      <c r="U18" s="107" t="n">
        <f aca="false">+U16*tranche1cost*(T$6-6)/12</f>
        <v>7.43057171348482E-012</v>
      </c>
      <c r="V18" s="107" t="n">
        <f aca="false">+V16*tranche1cost*(U$6-6)/12</f>
        <v>7.43057171348482E-012</v>
      </c>
      <c r="W18" s="107" t="n">
        <f aca="false">+W16*tranche1cost*(V$6-6)/12</f>
        <v>7.43057171348482E-012</v>
      </c>
      <c r="X18" s="107" t="n">
        <f aca="false">+X16*tranche1cost*(W$6-6)/12</f>
        <v>7.43057171348482E-012</v>
      </c>
      <c r="Y18" s="107" t="n">
        <f aca="false">+Y16*tranche1cost*(X$6-6)/12</f>
        <v>7.43057171348482E-012</v>
      </c>
      <c r="Z18" s="107" t="n">
        <f aca="false">+Z16*tranche1cost*(Y$6-6)/12</f>
        <v>7.43057171348482E-012</v>
      </c>
      <c r="AA18" s="107" t="n">
        <f aca="false">+AA16*tranche1cost*(Z$6-6)/12</f>
        <v>7.43057171348482E-012</v>
      </c>
      <c r="AB18" s="107" t="n">
        <f aca="false">+AB16*tranche1cost*(AA$6-6)/12</f>
        <v>7.43057171348482E-012</v>
      </c>
      <c r="AC18" s="107" t="n">
        <f aca="false">+AC16*tranche1cost*(AB$6-6)/12</f>
        <v>7.43057171348482E-012</v>
      </c>
      <c r="AD18" s="107" t="n">
        <f aca="false">+AD16*tranche1cost*(AC$6-6)/12</f>
        <v>7.43057171348482E-012</v>
      </c>
      <c r="AE18" s="517" t="n">
        <f aca="false">+AE16*tranche1cost*(AD$6-6)/12</f>
        <v>-0</v>
      </c>
      <c r="AF18" s="389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511"/>
      <c r="BF18" s="511"/>
      <c r="BG18" s="512"/>
      <c r="BH18" s="512"/>
      <c r="BI18" s="513"/>
      <c r="BJ18" s="512"/>
      <c r="BK18" s="512"/>
    </row>
    <row r="19" customFormat="false" ht="15" hidden="false" customHeight="false" outlineLevel="0" collapsed="false">
      <c r="A19" s="359" t="s">
        <v>215</v>
      </c>
      <c r="B19" s="85"/>
      <c r="C19" s="85"/>
      <c r="D19" s="85"/>
      <c r="E19" s="358" t="n">
        <f aca="false">+E17+E18</f>
        <v>6057.9923075654</v>
      </c>
      <c r="F19" s="358" t="n">
        <f aca="false">+F17+F18</f>
        <v>9469.40173925917</v>
      </c>
      <c r="G19" s="358" t="n">
        <f aca="false">+G17+G18</f>
        <v>9469.40173925918</v>
      </c>
      <c r="H19" s="358" t="n">
        <f aca="false">+H17+H18</f>
        <v>9469.40173925918</v>
      </c>
      <c r="I19" s="358" t="n">
        <f aca="false">+I17+I18</f>
        <v>9469.40173925918</v>
      </c>
      <c r="J19" s="358" t="n">
        <f aca="false">+J17+J18</f>
        <v>9469.40173925918</v>
      </c>
      <c r="K19" s="358" t="n">
        <f aca="false">+K17+K18</f>
        <v>9469.40173925918</v>
      </c>
      <c r="L19" s="358" t="n">
        <f aca="false">+L17+L18</f>
        <v>9469.40173925918</v>
      </c>
      <c r="M19" s="358" t="n">
        <f aca="false">+M17+M18</f>
        <v>9469.40173925918</v>
      </c>
      <c r="N19" s="358" t="n">
        <f aca="false">+N17+N18</f>
        <v>9469.40173925918</v>
      </c>
      <c r="O19" s="358" t="n">
        <f aca="false">+O17+O18</f>
        <v>9469.40173925919</v>
      </c>
      <c r="P19" s="358" t="n">
        <f aca="false">+P17+P18</f>
        <v>9469.40173925919</v>
      </c>
      <c r="Q19" s="358" t="n">
        <f aca="false">+Q17+Q18</f>
        <v>-7.43057171348482E-012</v>
      </c>
      <c r="R19" s="358" t="n">
        <f aca="false">+R17+R18</f>
        <v>-3.71528585674241E-012</v>
      </c>
      <c r="S19" s="358" t="n">
        <f aca="false">+S17+S18</f>
        <v>-7.43057171348482E-012</v>
      </c>
      <c r="T19" s="358" t="n">
        <f aca="false">+T17+T18</f>
        <v>-7.43057171348482E-012</v>
      </c>
      <c r="U19" s="358" t="n">
        <f aca="false">+U17+U18</f>
        <v>7.43057171348482E-012</v>
      </c>
      <c r="V19" s="358" t="n">
        <f aca="false">+V17+V18</f>
        <v>7.43057171348482E-012</v>
      </c>
      <c r="W19" s="358" t="n">
        <f aca="false">+W17+W18</f>
        <v>7.43057171348482E-012</v>
      </c>
      <c r="X19" s="358" t="n">
        <f aca="false">+X17+X18</f>
        <v>7.43057171348482E-012</v>
      </c>
      <c r="Y19" s="358" t="n">
        <f aca="false">+Y17+Y18</f>
        <v>7.43057171348482E-012</v>
      </c>
      <c r="Z19" s="358" t="n">
        <f aca="false">+Z17+Z18</f>
        <v>7.43057171348482E-012</v>
      </c>
      <c r="AA19" s="358" t="n">
        <f aca="false">+AA17+AA18</f>
        <v>7.43057171348482E-012</v>
      </c>
      <c r="AB19" s="358" t="n">
        <f aca="false">+AB17+AB18</f>
        <v>7.43057171348482E-012</v>
      </c>
      <c r="AC19" s="358" t="n">
        <f aca="false">+AC17+AC18</f>
        <v>7.43057171348482E-012</v>
      </c>
      <c r="AD19" s="358" t="n">
        <f aca="false">+AD17+AD18</f>
        <v>7.43057171348482E-012</v>
      </c>
      <c r="AE19" s="521" t="n">
        <f aca="false">+AE17+AE18</f>
        <v>0</v>
      </c>
      <c r="AF19" s="389"/>
      <c r="AG19" s="398"/>
      <c r="AH19" s="14"/>
      <c r="AI19" s="14"/>
      <c r="AJ19" s="14"/>
      <c r="AK19" s="14"/>
      <c r="AL19" s="14"/>
      <c r="AM19" s="14"/>
      <c r="AN19" s="14"/>
      <c r="AO19" s="14"/>
      <c r="AP19" s="14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511"/>
      <c r="BF19" s="511"/>
      <c r="BG19" s="512"/>
      <c r="BH19" s="512"/>
      <c r="BI19" s="513"/>
      <c r="BJ19" s="512"/>
      <c r="BK19" s="512"/>
    </row>
    <row r="20" customFormat="false" ht="15" hidden="false" customHeight="false" outlineLevel="0" collapsed="false">
      <c r="A20" s="522" t="s">
        <v>216</v>
      </c>
      <c r="B20" s="199"/>
      <c r="C20" s="481"/>
      <c r="D20" s="481"/>
      <c r="E20" s="523" t="n">
        <f aca="false">E16-E17</f>
        <v>127536.680159271</v>
      </c>
      <c r="F20" s="523" t="n">
        <f aca="false">F16-F17</f>
        <v>120551.819347878</v>
      </c>
      <c r="G20" s="523" t="n">
        <f aca="false">G16-G17</f>
        <v>112887.637167197</v>
      </c>
      <c r="H20" s="523" t="n">
        <f aca="false">H16-H17</f>
        <v>104478.065368306</v>
      </c>
      <c r="I20" s="523" t="n">
        <f aca="false">I16-I17</f>
        <v>95250.6101521497</v>
      </c>
      <c r="J20" s="523" t="n">
        <f aca="false">J16-J17</f>
        <v>85125.7272446265</v>
      </c>
      <c r="K20" s="523" t="n">
        <f aca="false">K16-K17</f>
        <v>74016.1361938286</v>
      </c>
      <c r="L20" s="523" t="n">
        <f aca="false">L16-L17</f>
        <v>61826.0679783964</v>
      </c>
      <c r="M20" s="523" t="n">
        <f aca="false">M16-M17</f>
        <v>48450.4394410872</v>
      </c>
      <c r="N20" s="523" t="n">
        <f aca="false">N16-N17</f>
        <v>33773.9474308462</v>
      </c>
      <c r="O20" s="523" t="n">
        <f aca="false">O16-O17</f>
        <v>17670.0748445343</v>
      </c>
      <c r="P20" s="523" t="n">
        <f aca="false">P16-P17</f>
        <v>-1.56433088704944E-010</v>
      </c>
      <c r="Q20" s="523" t="n">
        <f aca="false">Q16-Q17</f>
        <v>-1.56433088704944E-010</v>
      </c>
      <c r="R20" s="523" t="n">
        <f aca="false">R16-R17</f>
        <v>-1.56433088704944E-010</v>
      </c>
      <c r="S20" s="523" t="n">
        <f aca="false">S16-S17</f>
        <v>-1.56433088704944E-010</v>
      </c>
      <c r="T20" s="523" t="n">
        <f aca="false">T16-T17</f>
        <v>-1.56433088704944E-010</v>
      </c>
      <c r="U20" s="523" t="n">
        <f aca="false">U16-U17</f>
        <v>-1.56433088704944E-010</v>
      </c>
      <c r="V20" s="523" t="n">
        <f aca="false">V16-V17</f>
        <v>-1.56433088704944E-010</v>
      </c>
      <c r="W20" s="523" t="n">
        <f aca="false">W16-W17</f>
        <v>-1.56433088704944E-010</v>
      </c>
      <c r="X20" s="523" t="n">
        <f aca="false">X16-X17</f>
        <v>-1.56433088704944E-010</v>
      </c>
      <c r="Y20" s="523" t="n">
        <f aca="false">Y16-Y17</f>
        <v>-1.56433088704944E-010</v>
      </c>
      <c r="Z20" s="523" t="n">
        <f aca="false">Z16-Z17</f>
        <v>-1.56433088704944E-010</v>
      </c>
      <c r="AA20" s="523" t="n">
        <f aca="false">AA16-AA17</f>
        <v>-1.56433088704944E-010</v>
      </c>
      <c r="AB20" s="523" t="n">
        <f aca="false">AB16-AB17</f>
        <v>-1.56433088704944E-010</v>
      </c>
      <c r="AC20" s="523" t="n">
        <f aca="false">AC16-AC17</f>
        <v>-1.56433088704944E-010</v>
      </c>
      <c r="AD20" s="523" t="n">
        <f aca="false">AD16-AD17</f>
        <v>-1.56433088704944E-010</v>
      </c>
      <c r="AE20" s="523" t="n">
        <f aca="false">AE16-AE17</f>
        <v>0</v>
      </c>
      <c r="AF20" s="389"/>
      <c r="AG20" s="398"/>
      <c r="AH20" s="398"/>
      <c r="AI20" s="14"/>
      <c r="AJ20" s="14"/>
      <c r="AK20" s="14"/>
      <c r="AL20" s="14"/>
      <c r="AM20" s="14"/>
      <c r="AN20" s="14"/>
      <c r="AO20" s="85"/>
      <c r="AP20" s="85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8"/>
      <c r="BD20" s="358"/>
      <c r="BE20" s="511"/>
      <c r="BF20" s="511"/>
      <c r="BG20" s="512"/>
      <c r="BH20" s="512"/>
      <c r="BI20" s="513"/>
      <c r="BJ20" s="512"/>
      <c r="BK20" s="512"/>
    </row>
    <row r="21" customFormat="false" ht="15" hidden="false" customHeight="false" outlineLevel="0" collapsed="false">
      <c r="A21" s="524" t="s">
        <v>217</v>
      </c>
      <c r="B21" s="525"/>
      <c r="C21" s="525"/>
      <c r="D21" s="525"/>
      <c r="E21" s="526" t="n">
        <f aca="false">+IF(OR(E$8&lt;=tranche1grace,E$8&gt;tranche1reppd+tranche1grace),0,IF(tranche1amort=1,1/tranche1reppd,-PPMT(tranche1cost/2,MAX(0,E$8-tranche1grace),tranche1reppd,1)))</f>
        <v>0</v>
      </c>
      <c r="F21" s="526" t="n">
        <f aca="false">+IF(OR(F$8&lt;=tranche1grace,F$8&gt;tranche1reppd+tranche1grace),0,IF(tranche1amort=1,1/tranche1reppd,-PPMT(tranche1cost/2,MAX(0,F$8-tranche1grace),tranche1reppd,1)))</f>
        <v>0.0267484572080245</v>
      </c>
      <c r="G21" s="526" t="n">
        <f aca="false">+IF(OR(G$8&lt;=tranche1grace,G$8&gt;tranche1reppd+tranche1grace),0,IF(tranche1amort=1,1/tranche1reppd,-PPMT(tranche1cost/2,MAX(0,G$8-tranche1grace),tranche1reppd,1)))</f>
        <v>0.0293499118493624</v>
      </c>
      <c r="H21" s="526" t="n">
        <f aca="false">+IF(OR(H$8&lt;=tranche1grace,H$8&gt;tranche1reppd+tranche1grace),0,IF(tranche1amort=1,1/tranche1reppd,-PPMT(tranche1cost/2,MAX(0,H$8-tranche1grace),tranche1reppd,1)))</f>
        <v>0.032204374213662</v>
      </c>
      <c r="I21" s="526" t="n">
        <f aca="false">+IF(OR(I$8&lt;=tranche1grace,I$8&gt;tranche1reppd+tranche1grace),0,IF(tranche1amort=1,1/tranche1reppd,-PPMT(tranche1cost/2,MAX(0,I$8-tranche1grace),tranche1reppd,1)))</f>
        <v>0.0353364508832795</v>
      </c>
      <c r="J21" s="526" t="n">
        <f aca="false">+IF(OR(J$8&lt;=tranche1grace,J$8&gt;tranche1reppd+tranche1grace),0,IF(tranche1amort=1,1/tranche1reppd,-PPMT(tranche1cost/2,MAX(0,J$8-tranche1grace),tranche1reppd,1)))</f>
        <v>0.0387731415844964</v>
      </c>
      <c r="K21" s="526" t="n">
        <f aca="false">+IF(OR(K$8&lt;=tranche1grace,K$8&gt;tranche1reppd+tranche1grace),0,IF(tranche1amort=1,1/tranche1reppd,-PPMT(tranche1cost/2,MAX(0,K$8-tranche1grace),tranche1reppd,1)))</f>
        <v>0.0425440719357236</v>
      </c>
      <c r="L21" s="526" t="n">
        <f aca="false">+IF(OR(L$8&lt;=tranche1grace,L$8&gt;tranche1reppd+tranche1grace),0,IF(tranche1amort=1,1/tranche1reppd,-PPMT(tranche1cost/2,MAX(0,L$8-tranche1grace),tranche1reppd,1)))</f>
        <v>0.0466817488319223</v>
      </c>
      <c r="M21" s="526" t="n">
        <f aca="false">+IF(OR(M$8&lt;=tranche1grace,M$8&gt;tranche1reppd+tranche1grace),0,IF(tranche1amort=1,1/tranche1reppd,-PPMT(tranche1cost/2,MAX(0,M$8-tranche1grace),tranche1reppd,1)))</f>
        <v>0.051221840666757</v>
      </c>
      <c r="N21" s="526" t="n">
        <f aca="false">+IF(OR(N$8&lt;=tranche1grace,N$8&gt;tranche1reppd+tranche1grace),0,IF(tranche1amort=1,1/tranche1reppd,-PPMT(tranche1cost/2,MAX(0,N$8-tranche1grace),tranche1reppd,1)))</f>
        <v>0.0562034848081033</v>
      </c>
      <c r="O21" s="526" t="n">
        <f aca="false">+IF(OR(O$8&lt;=tranche1grace,O$8&gt;tranche1reppd+tranche1grace),0,IF(tranche1amort=1,1/tranche1reppd,-PPMT(tranche1cost/2,MAX(0,O$8-tranche1grace),tranche1reppd,1)))</f>
        <v>0.0616696249774714</v>
      </c>
      <c r="P21" s="526" t="n">
        <f aca="false">+IF(OR(P$8&lt;=tranche1grace,P$8&gt;tranche1reppd+tranche1grace),0,IF(tranche1amort=1,1/tranche1reppd,-PPMT(tranche1cost/2,MAX(0,P$8-tranche1grace),tranche1reppd,1)))</f>
        <v>0.0676673814416866</v>
      </c>
      <c r="Q21" s="526" t="n">
        <f aca="false">+IF(OR(Q$8&lt;=tranche1grace,Q$8&gt;tranche1reppd+tranche1grace),0,IF(tranche1amort=1,1/tranche1reppd,-PPMT(tranche1cost/2,MAX(0,Q$8-tranche1grace),tranche1reppd,1)))</f>
        <v>0</v>
      </c>
      <c r="R21" s="526" t="n">
        <f aca="false">+IF(OR(R$8&lt;=tranche1grace,R$8&gt;tranche1reppd+tranche1grace),0,IF(tranche1amort=1,1/tranche1reppd,-PPMT(tranche1cost/2,MAX(0,R$8-tranche1grace),tranche1reppd,1)))</f>
        <v>0</v>
      </c>
      <c r="S21" s="526" t="n">
        <f aca="false">+IF(OR(S$8&lt;=tranche1grace,S$8&gt;tranche1reppd+tranche1grace),0,IF(tranche1amort=1,1/tranche1reppd,-PPMT(tranche1cost/2,MAX(0,S$8-tranche1grace),tranche1reppd,1)))</f>
        <v>0</v>
      </c>
      <c r="T21" s="526" t="n">
        <f aca="false">+IF(OR(T$8&lt;=tranche1grace,T$8&gt;tranche1reppd+tranche1grace),0,IF(tranche1amort=1,1/tranche1reppd,-PPMT(tranche1cost/2,MAX(0,T$8-tranche1grace),tranche1reppd,1)))</f>
        <v>0</v>
      </c>
      <c r="U21" s="526" t="n">
        <f aca="false">+IF(OR(U$8&lt;=tranche1grace,U$8&gt;tranche1reppd+tranche1grace),0,IF(tranche1amort=1,1/tranche1reppd,-PPMT(tranche1cost/2,MAX(0,U$8-tranche1grace),tranche1reppd,1)))</f>
        <v>0</v>
      </c>
      <c r="V21" s="526" t="n">
        <f aca="false">+IF(OR(V$8&lt;=tranche1grace,V$8&gt;tranche1reppd+tranche1grace),0,IF(tranche1amort=1,1/tranche1reppd,-PPMT(tranche1cost/2,MAX(0,V$8-tranche1grace),tranche1reppd,1)))</f>
        <v>0</v>
      </c>
      <c r="W21" s="526" t="n">
        <f aca="false">+IF(OR(W$8&lt;=tranche1grace,W$8&gt;tranche1reppd+tranche1grace),0,IF(tranche1amort=1,1/tranche1reppd,-PPMT(tranche1cost/2,MAX(0,W$8-tranche1grace),tranche1reppd,1)))</f>
        <v>0</v>
      </c>
      <c r="X21" s="526" t="n">
        <f aca="false">+IF(OR(X$8&lt;=tranche1grace,X$8&gt;tranche1reppd+tranche1grace),0,IF(tranche1amort=1,1/tranche1reppd,-PPMT(tranche1cost/2,MAX(0,X$8-tranche1grace),tranche1reppd,1)))</f>
        <v>0</v>
      </c>
      <c r="Y21" s="526" t="n">
        <f aca="false">+IF(OR(Y$8&lt;=tranche1grace,Y$8&gt;tranche1reppd+tranche1grace),0,IF(tranche1amort=1,1/tranche1reppd,-PPMT(tranche1cost/2,MAX(0,Y$8-tranche1grace),tranche1reppd,1)))</f>
        <v>0</v>
      </c>
      <c r="Z21" s="526" t="n">
        <f aca="false">+IF(OR(Z$8&lt;=tranche1grace,Z$8&gt;tranche1reppd+tranche1grace),0,IF(tranche1amort=1,1/tranche1reppd,-PPMT(tranche1cost/2,MAX(0,Z$8-tranche1grace),tranche1reppd,1)))</f>
        <v>0</v>
      </c>
      <c r="AA21" s="526" t="n">
        <f aca="false">+IF(OR(AA$8&lt;=tranche1grace,AA$8&gt;tranche1reppd+tranche1grace),0,IF(tranche1amort=1,1/tranche1reppd,-PPMT(tranche1cost/2,MAX(0,AA$8-tranche1grace),tranche1reppd,1)))</f>
        <v>0</v>
      </c>
      <c r="AB21" s="526" t="n">
        <f aca="false">+IF(OR(AB$8&lt;=tranche1grace,AB$8&gt;tranche1reppd+tranche1grace),0,IF(tranche1amort=1,1/tranche1reppd,-PPMT(tranche1cost/2,MAX(0,AB$8-tranche1grace),tranche1reppd,1)))</f>
        <v>0</v>
      </c>
      <c r="AC21" s="526" t="n">
        <f aca="false">+IF(OR(AC$8&lt;=tranche1grace,AC$8&gt;tranche1reppd+tranche1grace),0,IF(tranche1amort=1,1/tranche1reppd,-PPMT(tranche1cost/2,MAX(0,AC$8-tranche1grace),tranche1reppd,1)))</f>
        <v>0</v>
      </c>
      <c r="AD21" s="526" t="n">
        <f aca="false">+IF(OR(AD$8&lt;=tranche1grace,AD$8&gt;tranche1reppd+tranche1grace),0,IF(tranche1amort=1,1/tranche1reppd,-PPMT(tranche1cost/2,MAX(0,AD$8-tranche1grace),tranche1reppd,1)))</f>
        <v>0</v>
      </c>
      <c r="AE21" s="526" t="n">
        <f aca="false">+IF(OR(AE$8&lt;=tranche1grace,AE$8&gt;tranche1reppd+tranche1grace),0,IF(tranche1amort=1,1/tranche1reppd,-PPMT(tranche1cost/2,MAX(0,AE$8-tranche1grace),tranche1reppd,1)))</f>
        <v>0</v>
      </c>
      <c r="AF21" s="527" t="n">
        <f aca="false">SUM(E21:AE21)</f>
        <v>0.488400488400489</v>
      </c>
      <c r="AG21" s="528"/>
      <c r="AH21" s="85"/>
      <c r="AI21" s="529"/>
      <c r="AJ21" s="529"/>
      <c r="AK21" s="529"/>
      <c r="AL21" s="529"/>
      <c r="AM21" s="529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530"/>
      <c r="BF21" s="530"/>
      <c r="BG21" s="531"/>
      <c r="BH21" s="531"/>
      <c r="BI21" s="532"/>
      <c r="BJ21" s="531"/>
      <c r="BK21" s="531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9"/>
      <c r="ES21" s="329"/>
      <c r="ET21" s="329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329"/>
      <c r="FL21" s="329"/>
      <c r="FM21" s="329"/>
      <c r="FN21" s="329"/>
      <c r="FO21" s="329"/>
      <c r="FP21" s="329"/>
      <c r="FQ21" s="329"/>
      <c r="FR21" s="329"/>
      <c r="FS21" s="329"/>
      <c r="FT21" s="329"/>
      <c r="FU21" s="329"/>
      <c r="FV21" s="329"/>
      <c r="FW21" s="329"/>
      <c r="FX21" s="329"/>
      <c r="FY21" s="329"/>
      <c r="FZ21" s="329"/>
      <c r="GA21" s="329"/>
      <c r="GB21" s="329"/>
      <c r="GC21" s="329"/>
      <c r="GD21" s="329"/>
      <c r="GE21" s="329"/>
      <c r="GF21" s="329"/>
      <c r="GG21" s="329"/>
      <c r="GH21" s="329"/>
      <c r="GI21" s="329"/>
      <c r="GJ21" s="329"/>
      <c r="GK21" s="329"/>
      <c r="GL21" s="329"/>
      <c r="GM21" s="329"/>
      <c r="GN21" s="329"/>
      <c r="GO21" s="329"/>
      <c r="GP21" s="329"/>
      <c r="GQ21" s="329"/>
      <c r="GR21" s="329"/>
      <c r="GS21" s="329"/>
      <c r="GT21" s="329"/>
      <c r="GU21" s="329"/>
      <c r="GV21" s="329"/>
      <c r="GW21" s="329"/>
      <c r="GX21" s="329"/>
      <c r="GY21" s="329"/>
      <c r="GZ21" s="329"/>
      <c r="HA21" s="329"/>
      <c r="HB21" s="329"/>
      <c r="HC21" s="329"/>
      <c r="HD21" s="329"/>
      <c r="HE21" s="329"/>
      <c r="HF21" s="329"/>
      <c r="HG21" s="329"/>
      <c r="HH21" s="329"/>
      <c r="HI21" s="329"/>
      <c r="HJ21" s="329"/>
      <c r="HK21" s="329"/>
      <c r="HL21" s="329"/>
      <c r="HM21" s="329"/>
      <c r="HN21" s="329"/>
      <c r="HO21" s="329"/>
      <c r="HP21" s="329"/>
      <c r="HQ21" s="329"/>
      <c r="HR21" s="329"/>
      <c r="HS21" s="329"/>
      <c r="HT21" s="329"/>
      <c r="HU21" s="329"/>
      <c r="HV21" s="329"/>
      <c r="HW21" s="329"/>
      <c r="HX21" s="329"/>
      <c r="HY21" s="329"/>
      <c r="HZ21" s="329"/>
      <c r="IA21" s="329"/>
      <c r="IB21" s="329"/>
      <c r="IC21" s="329"/>
      <c r="ID21" s="329"/>
      <c r="IE21" s="329"/>
      <c r="IF21" s="329"/>
      <c r="IG21" s="329"/>
      <c r="IH21" s="329"/>
      <c r="II21" s="329"/>
      <c r="IJ21" s="329"/>
      <c r="IK21" s="329"/>
      <c r="IL21" s="329"/>
      <c r="IM21" s="329"/>
      <c r="IN21" s="329"/>
      <c r="IO21" s="329"/>
      <c r="IP21" s="329"/>
      <c r="IQ21" s="329"/>
      <c r="IR21" s="329"/>
      <c r="IS21" s="329"/>
      <c r="IT21" s="329"/>
      <c r="IU21" s="329"/>
      <c r="IV21" s="329"/>
      <c r="IW21" s="329"/>
    </row>
    <row r="22" customFormat="false" ht="15" hidden="false" customHeight="false" outlineLevel="0" collapsed="false">
      <c r="A22" s="533" t="s">
        <v>218</v>
      </c>
      <c r="B22" s="534"/>
      <c r="C22" s="534"/>
      <c r="D22" s="534"/>
      <c r="E22" s="535" t="n">
        <f aca="false">+IF(OR(E$9&lt;=tranche1grace,E$9&gt;tranche1reppd+tranche1grace),0,IF(tranche1amort=1,1/tranche1reppd,-PPMT(tranche1cost/2,MAX(0,E$9-tranche1grace),tranche1reppd,1)))</f>
        <v>0</v>
      </c>
      <c r="F22" s="535" t="n">
        <f aca="false">+IF(OR(F$9&lt;=tranche1grace,F$9&gt;tranche1reppd+tranche1grace),0,IF(tranche1amort=1,1/tranche1reppd,-PPMT(tranche1cost/2,MAX(0,F$9-tranche1grace),tranche1reppd,1)))</f>
        <v>0.0280190089254057</v>
      </c>
      <c r="G22" s="535" t="n">
        <f aca="false">+IF(OR(G$9&lt;=tranche1grace,G$9&gt;tranche1reppd+tranche1grace),0,IF(tranche1amort=1,1/tranche1reppd,-PPMT(tranche1cost/2,MAX(0,G$9-tranche1grace),tranche1reppd,1)))</f>
        <v>0.0307440326622071</v>
      </c>
      <c r="H22" s="535" t="n">
        <f aca="false">+IF(OR(H$9&lt;=tranche1grace,H$9&gt;tranche1reppd+tranche1grace),0,IF(tranche1amort=1,1/tranche1reppd,-PPMT(tranche1cost/2,MAX(0,H$9-tranche1grace),tranche1reppd,1)))</f>
        <v>0.0337340819888109</v>
      </c>
      <c r="I22" s="535" t="n">
        <f aca="false">+IF(OR(I$9&lt;=tranche1grace,I$9&gt;tranche1reppd+tranche1grace),0,IF(tranche1amort=1,1/tranche1reppd,-PPMT(tranche1cost/2,MAX(0,I$9-tranche1grace),tranche1reppd,1)))</f>
        <v>0.0370149323002352</v>
      </c>
      <c r="J22" s="535" t="n">
        <f aca="false">+IF(OR(J$9&lt;=tranche1grace,J$9&gt;tranche1reppd+tranche1grace),0,IF(tranche1amort=1,1/tranche1reppd,-PPMT(tranche1cost/2,MAX(0,J$9-tranche1grace),tranche1reppd,1)))</f>
        <v>0.04061486580976</v>
      </c>
      <c r="K22" s="535" t="n">
        <f aca="false">+IF(OR(K$9&lt;=tranche1grace,K$9&gt;tranche1reppd+tranche1grace),0,IF(tranche1amort=1,1/tranche1reppd,-PPMT(tranche1cost/2,MAX(0,K$9-tranche1grace),tranche1reppd,1)))</f>
        <v>0.0445649153526705</v>
      </c>
      <c r="L22" s="535" t="n">
        <f aca="false">+IF(OR(L$9&lt;=tranche1grace,L$9&gt;tranche1reppd+tranche1grace),0,IF(tranche1amort=1,1/tranche1reppd,-PPMT(tranche1cost/2,MAX(0,L$9-tranche1grace),tranche1reppd,1)))</f>
        <v>0.0488991319014386</v>
      </c>
      <c r="M22" s="535" t="n">
        <f aca="false">+IF(OR(M$9&lt;=tranche1grace,M$9&gt;tranche1reppd+tranche1grace),0,IF(tranche1amort=1,1/tranche1reppd,-PPMT(tranche1cost/2,MAX(0,M$9-tranche1grace),tranche1reppd,1)))</f>
        <v>0.0536548780984279</v>
      </c>
      <c r="N22" s="535" t="n">
        <f aca="false">+IF(OR(N$9&lt;=tranche1grace,N$9&gt;tranche1reppd+tranche1grace),0,IF(tranche1amort=1,1/tranche1reppd,-PPMT(tranche1cost/2,MAX(0,N$9-tranche1grace),tranche1reppd,1)))</f>
        <v>0.0588731503364882</v>
      </c>
      <c r="O22" s="535" t="n">
        <f aca="false">+IF(OR(O$9&lt;=tranche1grace,O$9&gt;tranche1reppd+tranche1grace),0,IF(tranche1amort=1,1/tranche1reppd,-PPMT(tranche1cost/2,MAX(0,O$9-tranche1grace),tranche1reppd,1)))</f>
        <v>0.0645989321639013</v>
      </c>
      <c r="P22" s="535" t="n">
        <f aca="false">+IF(OR(P$9&lt;=tranche1grace,P$9&gt;tranche1reppd+tranche1grace),0,IF(tranche1amort=1,1/tranche1reppd,-PPMT(tranche1cost/2,MAX(0,P$9-tranche1grace),tranche1reppd,1)))</f>
        <v>0.0708815820601667</v>
      </c>
      <c r="Q22" s="535" t="n">
        <f aca="false">+IF(OR(Q$9&lt;=tranche1grace,Q$9&gt;tranche1reppd+tranche1grace),0,IF(tranche1amort=1,1/tranche1reppd,-PPMT(tranche1cost/2,MAX(0,Q$9-tranche1grace),tranche1reppd,1)))</f>
        <v>0</v>
      </c>
      <c r="R22" s="535" t="n">
        <f aca="false">+IF(OR(R$9&lt;=tranche1grace,R$9&gt;tranche1reppd+tranche1grace),0,IF(tranche1amort=1,1/tranche1reppd,-PPMT(tranche1cost/2,MAX(0,R$9-tranche1grace),tranche1reppd,1)))</f>
        <v>0</v>
      </c>
      <c r="S22" s="535" t="n">
        <f aca="false">+IF(OR(S$9&lt;=tranche1grace,S$9&gt;tranche1reppd+tranche1grace),0,IF(tranche1amort=1,1/tranche1reppd,-PPMT(tranche1cost/2,MAX(0,S$9-tranche1grace),tranche1reppd,1)))</f>
        <v>0</v>
      </c>
      <c r="T22" s="535" t="n">
        <f aca="false">+IF(OR(T$9&lt;=tranche1grace,T$9&gt;tranche1reppd+tranche1grace),0,IF(tranche1amort=1,1/tranche1reppd,-PPMT(tranche1cost/2,MAX(0,T$9-tranche1grace),tranche1reppd,1)))</f>
        <v>0</v>
      </c>
      <c r="U22" s="535" t="n">
        <f aca="false">+IF(OR(U$9&lt;=tranche1grace,U$9&gt;tranche1reppd+tranche1grace),0,IF(tranche1amort=1,1/tranche1reppd,-PPMT(tranche1cost/2,MAX(0,U$9-tranche1grace),tranche1reppd,1)))</f>
        <v>0</v>
      </c>
      <c r="V22" s="535" t="n">
        <f aca="false">+IF(OR(V$9&lt;=tranche1grace,V$9&gt;tranche1reppd+tranche1grace),0,IF(tranche1amort=1,1/tranche1reppd,-PPMT(tranche1cost/2,MAX(0,V$9-tranche1grace),tranche1reppd,1)))</f>
        <v>0</v>
      </c>
      <c r="W22" s="535" t="n">
        <f aca="false">+IF(OR(W$9&lt;=tranche1grace,W$9&gt;tranche1reppd+tranche1grace),0,IF(tranche1amort=1,1/tranche1reppd,-PPMT(tranche1cost/2,MAX(0,W$9-tranche1grace),tranche1reppd,1)))</f>
        <v>0</v>
      </c>
      <c r="X22" s="535" t="n">
        <f aca="false">+IF(OR(X$9&lt;=tranche1grace,X$9&gt;tranche1reppd+tranche1grace),0,IF(tranche1amort=1,1/tranche1reppd,-PPMT(tranche1cost/2,MAX(0,X$9-tranche1grace),tranche1reppd,1)))</f>
        <v>0</v>
      </c>
      <c r="Y22" s="535" t="n">
        <f aca="false">+IF(OR(Y$9&lt;=tranche1grace,Y$9&gt;tranche1reppd+tranche1grace),0,IF(tranche1amort=1,1/tranche1reppd,-PPMT(tranche1cost/2,MAX(0,Y$9-tranche1grace),tranche1reppd,1)))</f>
        <v>0</v>
      </c>
      <c r="Z22" s="535" t="n">
        <f aca="false">+IF(OR(Z$9&lt;=tranche1grace,Z$9&gt;tranche1reppd+tranche1grace),0,IF(tranche1amort=1,1/tranche1reppd,-PPMT(tranche1cost/2,MAX(0,Z$9-tranche1grace),tranche1reppd,1)))</f>
        <v>0</v>
      </c>
      <c r="AA22" s="535" t="n">
        <f aca="false">+IF(OR(AA$9&lt;=tranche1grace,AA$9&gt;tranche1reppd+tranche1grace),0,IF(tranche1amort=1,1/tranche1reppd,-PPMT(tranche1cost/2,MAX(0,AA$9-tranche1grace),tranche1reppd,1)))</f>
        <v>0</v>
      </c>
      <c r="AB22" s="535" t="n">
        <f aca="false">+IF(OR(AB$9&lt;=tranche1grace,AB$9&gt;tranche1reppd+tranche1grace),0,IF(tranche1amort=1,1/tranche1reppd,-PPMT(tranche1cost/2,MAX(0,AB$9-tranche1grace),tranche1reppd,1)))</f>
        <v>0</v>
      </c>
      <c r="AC22" s="535" t="n">
        <f aca="false">+IF(OR(AC$9&lt;=tranche1grace,AC$9&gt;tranche1reppd+tranche1grace),0,IF(tranche1amort=1,1/tranche1reppd,-PPMT(tranche1cost/2,MAX(0,AC$9-tranche1grace),tranche1reppd,1)))</f>
        <v>0</v>
      </c>
      <c r="AD22" s="535" t="n">
        <f aca="false">+IF(OR(AD$9&lt;=tranche1grace,AD$9&gt;tranche1reppd+tranche1grace),0,IF(tranche1amort=1,1/tranche1reppd,-PPMT(tranche1cost/2,MAX(0,AD$9-tranche1grace),tranche1reppd,1)))</f>
        <v>0</v>
      </c>
      <c r="AE22" s="535" t="n">
        <f aca="false">+IF(OR(AE$9&lt;=tranche1grace,AE$9&gt;tranche1reppd+tranche1grace),0,IF(tranche1amort=1,1/tranche1reppd,-PPMT(tranche1cost/2,MAX(0,AE$9-tranche1grace),tranche1reppd,1)))</f>
        <v>0</v>
      </c>
      <c r="AF22" s="536" t="n">
        <f aca="false">SUM(E22:AE22)</f>
        <v>0.511599511599512</v>
      </c>
      <c r="AG22" s="537" t="n">
        <f aca="false">+AF22+AF21</f>
        <v>1</v>
      </c>
      <c r="AH22" s="85"/>
      <c r="AI22" s="529"/>
      <c r="AJ22" s="529"/>
      <c r="AK22" s="529"/>
      <c r="AL22" s="529"/>
      <c r="AM22" s="529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530"/>
      <c r="BF22" s="530"/>
      <c r="BG22" s="531"/>
      <c r="BH22" s="531"/>
      <c r="BI22" s="532"/>
      <c r="BJ22" s="531"/>
      <c r="BK22" s="531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29"/>
      <c r="CB22" s="329"/>
      <c r="CC22" s="329"/>
      <c r="CD22" s="329"/>
      <c r="CE22" s="329"/>
      <c r="CF22" s="329"/>
      <c r="CG22" s="329"/>
      <c r="CH22" s="329"/>
      <c r="CI22" s="329"/>
      <c r="CJ22" s="329"/>
      <c r="CK22" s="329"/>
      <c r="CL22" s="329"/>
      <c r="CM22" s="329"/>
      <c r="CN22" s="329"/>
      <c r="CO22" s="329"/>
      <c r="CP22" s="329"/>
      <c r="CQ22" s="329"/>
      <c r="CR22" s="329"/>
      <c r="CS22" s="329"/>
      <c r="CT22" s="329"/>
      <c r="CU22" s="329"/>
      <c r="CV22" s="329"/>
      <c r="CW22" s="329"/>
      <c r="CX22" s="329"/>
      <c r="CY22" s="329"/>
      <c r="CZ22" s="329"/>
      <c r="DA22" s="329"/>
      <c r="DB22" s="329"/>
      <c r="DC22" s="329"/>
      <c r="DD22" s="329"/>
      <c r="DE22" s="329"/>
      <c r="DF22" s="329"/>
      <c r="DG22" s="329"/>
      <c r="DH22" s="329"/>
      <c r="DI22" s="329"/>
      <c r="DJ22" s="329"/>
      <c r="DK22" s="329"/>
      <c r="DL22" s="329"/>
      <c r="DM22" s="329"/>
      <c r="DN22" s="329"/>
      <c r="DO22" s="329"/>
      <c r="DP22" s="329"/>
      <c r="DQ22" s="329"/>
      <c r="DR22" s="329"/>
      <c r="DS22" s="329"/>
      <c r="DT22" s="329"/>
      <c r="DU22" s="329"/>
      <c r="DV22" s="329"/>
      <c r="DW22" s="329"/>
      <c r="DX22" s="329"/>
      <c r="DY22" s="329"/>
      <c r="DZ22" s="329"/>
      <c r="EA22" s="329"/>
      <c r="EB22" s="329"/>
      <c r="EC22" s="329"/>
      <c r="ED22" s="329"/>
      <c r="EE22" s="329"/>
      <c r="EF22" s="329"/>
      <c r="EG22" s="329"/>
      <c r="EH22" s="329"/>
      <c r="EI22" s="329"/>
      <c r="EJ22" s="329"/>
      <c r="EK22" s="329"/>
      <c r="EL22" s="329"/>
      <c r="EM22" s="329"/>
      <c r="EN22" s="329"/>
      <c r="EO22" s="329"/>
      <c r="EP22" s="329"/>
      <c r="EQ22" s="329"/>
      <c r="ER22" s="329"/>
      <c r="ES22" s="329"/>
      <c r="ET22" s="329"/>
      <c r="EU22" s="329"/>
      <c r="EV22" s="329"/>
      <c r="EW22" s="329"/>
      <c r="EX22" s="329"/>
      <c r="EY22" s="329"/>
      <c r="EZ22" s="329"/>
      <c r="FA22" s="329"/>
      <c r="FB22" s="329"/>
      <c r="FC22" s="329"/>
      <c r="FD22" s="329"/>
      <c r="FE22" s="329"/>
      <c r="FF22" s="329"/>
      <c r="FG22" s="329"/>
      <c r="FH22" s="329"/>
      <c r="FI22" s="329"/>
      <c r="FJ22" s="329"/>
      <c r="FK22" s="329"/>
      <c r="FL22" s="329"/>
      <c r="FM22" s="329"/>
      <c r="FN22" s="329"/>
      <c r="FO22" s="329"/>
      <c r="FP22" s="329"/>
      <c r="FQ22" s="329"/>
      <c r="FR22" s="329"/>
      <c r="FS22" s="329"/>
      <c r="FT22" s="329"/>
      <c r="FU22" s="329"/>
      <c r="FV22" s="329"/>
      <c r="FW22" s="329"/>
      <c r="FX22" s="329"/>
      <c r="FY22" s="329"/>
      <c r="FZ22" s="329"/>
      <c r="GA22" s="329"/>
      <c r="GB22" s="329"/>
      <c r="GC22" s="329"/>
      <c r="GD22" s="329"/>
      <c r="GE22" s="329"/>
      <c r="GF22" s="329"/>
      <c r="GG22" s="329"/>
      <c r="GH22" s="329"/>
      <c r="GI22" s="329"/>
      <c r="GJ22" s="329"/>
      <c r="GK22" s="329"/>
      <c r="GL22" s="329"/>
      <c r="GM22" s="329"/>
      <c r="GN22" s="329"/>
      <c r="GO22" s="329"/>
      <c r="GP22" s="329"/>
      <c r="GQ22" s="329"/>
      <c r="GR22" s="329"/>
      <c r="GS22" s="329"/>
      <c r="GT22" s="329"/>
      <c r="GU22" s="329"/>
      <c r="GV22" s="329"/>
      <c r="GW22" s="329"/>
      <c r="GX22" s="329"/>
      <c r="GY22" s="329"/>
      <c r="GZ22" s="329"/>
      <c r="HA22" s="329"/>
      <c r="HB22" s="329"/>
      <c r="HC22" s="329"/>
      <c r="HD22" s="329"/>
      <c r="HE22" s="329"/>
      <c r="HF22" s="329"/>
      <c r="HG22" s="329"/>
      <c r="HH22" s="329"/>
      <c r="HI22" s="329"/>
      <c r="HJ22" s="329"/>
      <c r="HK22" s="329"/>
      <c r="HL22" s="329"/>
      <c r="HM22" s="329"/>
      <c r="HN22" s="329"/>
      <c r="HO22" s="329"/>
      <c r="HP22" s="329"/>
      <c r="HQ22" s="329"/>
      <c r="HR22" s="329"/>
      <c r="HS22" s="329"/>
      <c r="HT22" s="329"/>
      <c r="HU22" s="329"/>
      <c r="HV22" s="329"/>
      <c r="HW22" s="329"/>
      <c r="HX22" s="329"/>
      <c r="HY22" s="329"/>
      <c r="HZ22" s="329"/>
      <c r="IA22" s="329"/>
      <c r="IB22" s="329"/>
      <c r="IC22" s="329"/>
      <c r="ID22" s="329"/>
      <c r="IE22" s="329"/>
      <c r="IF22" s="329"/>
      <c r="IG22" s="329"/>
      <c r="IH22" s="329"/>
      <c r="II22" s="329"/>
      <c r="IJ22" s="329"/>
      <c r="IK22" s="329"/>
      <c r="IL22" s="329"/>
      <c r="IM22" s="329"/>
      <c r="IN22" s="329"/>
      <c r="IO22" s="329"/>
      <c r="IP22" s="329"/>
      <c r="IQ22" s="329"/>
      <c r="IR22" s="329"/>
      <c r="IS22" s="329"/>
      <c r="IT22" s="329"/>
      <c r="IU22" s="329"/>
      <c r="IV22" s="329"/>
      <c r="IW22" s="329"/>
    </row>
    <row r="23" customFormat="false" ht="17.25" hidden="false" customHeight="false" outlineLevel="0" collapsed="false">
      <c r="A23" s="499"/>
      <c r="B23" s="14"/>
      <c r="C23" s="131"/>
      <c r="D23" s="131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8"/>
      <c r="AB23" s="538"/>
      <c r="AC23" s="538"/>
      <c r="AD23" s="538"/>
      <c r="AE23" s="538"/>
      <c r="AF23" s="14"/>
      <c r="AG23" s="398"/>
      <c r="AH23" s="398"/>
      <c r="AI23" s="14"/>
      <c r="AJ23" s="14"/>
      <c r="AK23" s="14"/>
      <c r="AL23" s="14"/>
      <c r="AM23" s="14"/>
      <c r="AN23" s="14"/>
      <c r="AO23" s="85"/>
      <c r="AP23" s="85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/>
      <c r="BC23" s="358"/>
      <c r="BD23" s="358"/>
      <c r="BE23" s="511"/>
      <c r="BF23" s="511"/>
      <c r="BG23" s="512"/>
      <c r="BH23" s="512"/>
      <c r="BI23" s="513"/>
      <c r="BJ23" s="512"/>
      <c r="BK23" s="512"/>
    </row>
    <row r="24" customFormat="false" ht="15" hidden="false" customHeight="false" outlineLevel="0" collapsed="false">
      <c r="A24" s="394" t="str">
        <f aca="false">+Assumpt!$G$45</f>
        <v>Tranche 2: Banks</v>
      </c>
      <c r="B24" s="395"/>
      <c r="C24" s="395"/>
      <c r="D24" s="395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  <c r="AE24" s="510"/>
      <c r="AF24" s="390"/>
      <c r="AG24" s="398"/>
      <c r="AH24" s="398"/>
      <c r="AI24" s="14"/>
      <c r="AJ24" s="14"/>
      <c r="AK24" s="14"/>
      <c r="AL24" s="14"/>
      <c r="AM24" s="14"/>
      <c r="AN24" s="14"/>
      <c r="AO24" s="14"/>
      <c r="AP24" s="14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511"/>
      <c r="BF24" s="512"/>
      <c r="BG24" s="512"/>
      <c r="BH24" s="512"/>
      <c r="BI24" s="513"/>
      <c r="BJ24" s="512"/>
      <c r="BK24" s="512"/>
    </row>
    <row r="25" customFormat="false" ht="15" hidden="false" customHeight="false" outlineLevel="0" collapsed="false">
      <c r="A25" s="394" t="s">
        <v>208</v>
      </c>
      <c r="B25" s="395"/>
      <c r="C25" s="395"/>
      <c r="D25" s="395"/>
      <c r="E25" s="514" t="n">
        <f aca="false">+tranche2amt</f>
        <v>0</v>
      </c>
      <c r="F25" s="514" t="n">
        <f aca="false">+E33</f>
        <v>0</v>
      </c>
      <c r="G25" s="514" t="n">
        <f aca="false">+F33</f>
        <v>0</v>
      </c>
      <c r="H25" s="514" t="n">
        <f aca="false">+G33</f>
        <v>0</v>
      </c>
      <c r="I25" s="514" t="n">
        <f aca="false">+H33</f>
        <v>0</v>
      </c>
      <c r="J25" s="514" t="n">
        <f aca="false">+I33</f>
        <v>0</v>
      </c>
      <c r="K25" s="514" t="n">
        <f aca="false">+J33</f>
        <v>0</v>
      </c>
      <c r="L25" s="514" t="n">
        <f aca="false">+K33</f>
        <v>0</v>
      </c>
      <c r="M25" s="514" t="n">
        <f aca="false">+L33</f>
        <v>0</v>
      </c>
      <c r="N25" s="514" t="n">
        <f aca="false">+M33</f>
        <v>0</v>
      </c>
      <c r="O25" s="514" t="n">
        <f aca="false">+N33</f>
        <v>0</v>
      </c>
      <c r="P25" s="514" t="n">
        <f aca="false">+O33</f>
        <v>0</v>
      </c>
      <c r="Q25" s="514" t="n">
        <f aca="false">+P33</f>
        <v>0</v>
      </c>
      <c r="R25" s="514" t="n">
        <f aca="false">+Q33</f>
        <v>0</v>
      </c>
      <c r="S25" s="514" t="n">
        <f aca="false">+R33</f>
        <v>0</v>
      </c>
      <c r="T25" s="514" t="n">
        <f aca="false">+S33</f>
        <v>0</v>
      </c>
      <c r="U25" s="514" t="n">
        <f aca="false">+T33</f>
        <v>0</v>
      </c>
      <c r="V25" s="514" t="n">
        <f aca="false">+U33</f>
        <v>0</v>
      </c>
      <c r="W25" s="514" t="n">
        <f aca="false">+V33</f>
        <v>0</v>
      </c>
      <c r="X25" s="514" t="n">
        <f aca="false">+W33</f>
        <v>0</v>
      </c>
      <c r="Y25" s="514" t="n">
        <f aca="false">+X33</f>
        <v>0</v>
      </c>
      <c r="Z25" s="514" t="n">
        <f aca="false">+Y33</f>
        <v>0</v>
      </c>
      <c r="AA25" s="514" t="n">
        <f aca="false">+Z33</f>
        <v>0</v>
      </c>
      <c r="AB25" s="514" t="n">
        <f aca="false">+AA33</f>
        <v>0</v>
      </c>
      <c r="AC25" s="514" t="n">
        <f aca="false">+AB33</f>
        <v>0</v>
      </c>
      <c r="AD25" s="514" t="n">
        <f aca="false">+AC33</f>
        <v>0</v>
      </c>
      <c r="AE25" s="515" t="n">
        <f aca="false">+AD33</f>
        <v>0</v>
      </c>
      <c r="AF25" s="389"/>
      <c r="AG25" s="14"/>
      <c r="AH25" s="14"/>
      <c r="AI25" s="14"/>
      <c r="AJ25" s="14"/>
      <c r="AK25" s="14"/>
      <c r="AL25" s="14"/>
      <c r="AM25" s="14"/>
      <c r="AN25" s="14"/>
      <c r="AO25" s="85"/>
      <c r="AP25" s="85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58"/>
      <c r="BC25" s="358"/>
      <c r="BD25" s="358"/>
      <c r="BE25" s="511"/>
      <c r="BF25" s="512"/>
      <c r="BG25" s="512"/>
      <c r="BH25" s="512"/>
      <c r="BI25" s="513"/>
      <c r="BJ25" s="512"/>
      <c r="BK25" s="512"/>
    </row>
    <row r="26" customFormat="false" ht="15" hidden="false" customHeight="false" outlineLevel="0" collapsed="false">
      <c r="A26" s="372" t="s">
        <v>209</v>
      </c>
      <c r="B26" s="14"/>
      <c r="C26" s="14"/>
      <c r="D26" s="14"/>
      <c r="E26" s="107" t="n">
        <f aca="false">+tranche2amt*E34</f>
        <v>0</v>
      </c>
      <c r="F26" s="107" t="n">
        <f aca="false">+tranche2amt*F34</f>
        <v>0</v>
      </c>
      <c r="G26" s="107" t="n">
        <f aca="false">+tranche2amt*G34</f>
        <v>0</v>
      </c>
      <c r="H26" s="107" t="n">
        <f aca="false">+tranche2amt*H34</f>
        <v>0</v>
      </c>
      <c r="I26" s="107" t="n">
        <f aca="false">+tranche2amt*I34</f>
        <v>0</v>
      </c>
      <c r="J26" s="107" t="n">
        <f aca="false">+tranche2amt*J34</f>
        <v>0</v>
      </c>
      <c r="K26" s="107" t="n">
        <f aca="false">+tranche2amt*K34</f>
        <v>0</v>
      </c>
      <c r="L26" s="107" t="n">
        <f aca="false">+tranche2amt*L34</f>
        <v>0</v>
      </c>
      <c r="M26" s="107" t="n">
        <f aca="false">+tranche2amt*M34</f>
        <v>0</v>
      </c>
      <c r="N26" s="107" t="n">
        <f aca="false">+tranche2amt*N34</f>
        <v>0</v>
      </c>
      <c r="O26" s="107" t="n">
        <f aca="false">+tranche2amt*O34</f>
        <v>0</v>
      </c>
      <c r="P26" s="107" t="n">
        <f aca="false">+tranche2amt*P34</f>
        <v>0</v>
      </c>
      <c r="Q26" s="107" t="n">
        <f aca="false">+tranche2amt*Q34</f>
        <v>0</v>
      </c>
      <c r="R26" s="107" t="n">
        <f aca="false">+tranche2amt*R34</f>
        <v>0</v>
      </c>
      <c r="S26" s="107" t="n">
        <f aca="false">+tranche2amt*S34</f>
        <v>0</v>
      </c>
      <c r="T26" s="107" t="n">
        <f aca="false">+tranche2amt*T34</f>
        <v>0</v>
      </c>
      <c r="U26" s="107" t="n">
        <f aca="false">+tranche2amt*U34</f>
        <v>0</v>
      </c>
      <c r="V26" s="107" t="n">
        <f aca="false">+tranche2amt*V34</f>
        <v>0</v>
      </c>
      <c r="W26" s="107" t="n">
        <f aca="false">+tranche2amt*W34</f>
        <v>0</v>
      </c>
      <c r="X26" s="107" t="n">
        <f aca="false">+tranche2amt*X34</f>
        <v>0</v>
      </c>
      <c r="Y26" s="107" t="n">
        <f aca="false">+tranche2amt*Y34</f>
        <v>0</v>
      </c>
      <c r="Z26" s="107" t="n">
        <f aca="false">+tranche2amt*Z34</f>
        <v>0</v>
      </c>
      <c r="AA26" s="107" t="n">
        <f aca="false">+tranche2amt*AA34</f>
        <v>0</v>
      </c>
      <c r="AB26" s="107" t="n">
        <f aca="false">+tranche2amt*AB34</f>
        <v>0</v>
      </c>
      <c r="AC26" s="107" t="n">
        <f aca="false">+tranche2amt*AC34</f>
        <v>0</v>
      </c>
      <c r="AD26" s="107" t="n">
        <f aca="false">+tranche2amt*AD34</f>
        <v>0</v>
      </c>
      <c r="AE26" s="107" t="n">
        <f aca="false">+tranche2amt*AE34</f>
        <v>0</v>
      </c>
      <c r="AF26" s="389"/>
      <c r="AG26" s="398"/>
      <c r="AH26" s="14"/>
      <c r="AI26" s="14"/>
      <c r="AJ26" s="14"/>
      <c r="AK26" s="14"/>
      <c r="AL26" s="14"/>
      <c r="AM26" s="14"/>
      <c r="AN26" s="295"/>
      <c r="AO26" s="14"/>
      <c r="AP26" s="107"/>
      <c r="AQ26" s="353"/>
      <c r="AR26" s="353"/>
      <c r="AS26" s="353"/>
      <c r="AT26" s="353"/>
      <c r="AU26" s="353"/>
      <c r="AV26" s="353"/>
      <c r="AW26" s="353"/>
      <c r="AX26" s="353"/>
      <c r="AY26" s="353"/>
      <c r="AZ26" s="353"/>
      <c r="BA26" s="353"/>
      <c r="BB26" s="353"/>
      <c r="BC26" s="353"/>
      <c r="BD26" s="353"/>
      <c r="BE26" s="511"/>
      <c r="BF26" s="512"/>
      <c r="BG26" s="512"/>
      <c r="BH26" s="512"/>
      <c r="BI26" s="513"/>
      <c r="BJ26" s="512"/>
      <c r="BK26" s="512"/>
    </row>
    <row r="27" customFormat="false" ht="15" hidden="false" customHeight="false" outlineLevel="0" collapsed="false">
      <c r="A27" s="372" t="s">
        <v>210</v>
      </c>
      <c r="B27" s="14"/>
      <c r="C27" s="516"/>
      <c r="D27" s="516"/>
      <c r="E27" s="107" t="n">
        <f aca="false">+E25*tranche2cost*(E$6-6)/12</f>
        <v>0</v>
      </c>
      <c r="F27" s="107" t="n">
        <f aca="false">+F25*tranche2cost*MIN(6,E19)/12</f>
        <v>0</v>
      </c>
      <c r="G27" s="107" t="n">
        <f aca="false">+G25*tranche2cost*MIN(6,F19)/12</f>
        <v>0</v>
      </c>
      <c r="H27" s="107" t="n">
        <f aca="false">+H25*tranche2cost*MIN(6,G19)/12</f>
        <v>0</v>
      </c>
      <c r="I27" s="107" t="n">
        <f aca="false">+I25*tranche2cost*MIN(6,H19)/12</f>
        <v>0</v>
      </c>
      <c r="J27" s="107" t="n">
        <f aca="false">+J25*tranche2cost*MIN(6,I19)/12</f>
        <v>0</v>
      </c>
      <c r="K27" s="107" t="n">
        <f aca="false">+K25*tranche2cost*MIN(6,J19)/12</f>
        <v>0</v>
      </c>
      <c r="L27" s="107" t="n">
        <f aca="false">+L25*tranche2cost*MIN(6,K19)/12</f>
        <v>0</v>
      </c>
      <c r="M27" s="107" t="n">
        <f aca="false">+M25*tranche2cost*MIN(6,L19)/12</f>
        <v>0</v>
      </c>
      <c r="N27" s="107" t="n">
        <f aca="false">+N25*tranche2cost*MIN(6,M19)/12</f>
        <v>0</v>
      </c>
      <c r="O27" s="107" t="n">
        <f aca="false">+O25*tranche2cost*MIN(6,N19)/12</f>
        <v>0</v>
      </c>
      <c r="P27" s="107" t="n">
        <f aca="false">+P25*tranche2cost*MIN(6,O19)/12</f>
        <v>0</v>
      </c>
      <c r="Q27" s="107" t="n">
        <f aca="false">+Q25*tranche2cost*MIN(6,P19)/12</f>
        <v>0</v>
      </c>
      <c r="R27" s="107" t="n">
        <f aca="false">+R25*tranche2cost*MIN(6,Q19)/12</f>
        <v>-0</v>
      </c>
      <c r="S27" s="107" t="n">
        <f aca="false">+S25*tranche2cost*MIN(6,R19)/12</f>
        <v>-0</v>
      </c>
      <c r="T27" s="107" t="n">
        <f aca="false">+T25*tranche2cost*MIN(6,S19)/12</f>
        <v>-0</v>
      </c>
      <c r="U27" s="107" t="n">
        <f aca="false">+U25*tranche2cost*MIN(6,T19)/12</f>
        <v>-0</v>
      </c>
      <c r="V27" s="107" t="n">
        <f aca="false">+V25*tranche2cost*MIN(6,U19)/12</f>
        <v>0</v>
      </c>
      <c r="W27" s="107" t="n">
        <f aca="false">+W25*tranche2cost*MIN(6,V19)/12</f>
        <v>0</v>
      </c>
      <c r="X27" s="107" t="n">
        <f aca="false">+X25*tranche2cost*MIN(6,W19)/12</f>
        <v>0</v>
      </c>
      <c r="Y27" s="107" t="n">
        <f aca="false">+Y25*tranche2cost*MIN(6,X19)/12</f>
        <v>0</v>
      </c>
      <c r="Z27" s="107" t="n">
        <f aca="false">+Z25*tranche2cost*MIN(6,Y19)/12</f>
        <v>0</v>
      </c>
      <c r="AA27" s="107" t="n">
        <f aca="false">+AA25*tranche2cost*MIN(6,Z19)/12</f>
        <v>0</v>
      </c>
      <c r="AB27" s="107" t="n">
        <f aca="false">+AB25*tranche2cost*MIN(6,AA19)/12</f>
        <v>0</v>
      </c>
      <c r="AC27" s="107" t="n">
        <f aca="false">+AC25*tranche2cost*MIN(6,AB19)/12</f>
        <v>0</v>
      </c>
      <c r="AD27" s="107" t="n">
        <f aca="false">+AD25*tranche2cost*MIN(6,AC19)/12</f>
        <v>0</v>
      </c>
      <c r="AE27" s="517" t="n">
        <f aca="false">+AE25*tranche2cost*MIN(6,AD19)/12</f>
        <v>0</v>
      </c>
      <c r="AF27" s="389"/>
      <c r="AG27" s="398"/>
      <c r="AH27" s="398"/>
      <c r="AI27" s="14"/>
      <c r="AJ27" s="14"/>
      <c r="AK27" s="14"/>
      <c r="AL27" s="14"/>
      <c r="AM27" s="14"/>
      <c r="AN27" s="14"/>
      <c r="AO27" s="14"/>
      <c r="AP27" s="14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511"/>
      <c r="BF27" s="512"/>
      <c r="BG27" s="512"/>
      <c r="BH27" s="512"/>
      <c r="BI27" s="513"/>
      <c r="BJ27" s="512"/>
      <c r="BK27" s="512"/>
    </row>
    <row r="28" customFormat="false" ht="15" hidden="false" customHeight="false" outlineLevel="0" collapsed="false">
      <c r="A28" s="359" t="s">
        <v>211</v>
      </c>
      <c r="B28" s="85"/>
      <c r="C28" s="85"/>
      <c r="D28" s="85"/>
      <c r="E28" s="518" t="n">
        <f aca="false">+E26+E27</f>
        <v>0</v>
      </c>
      <c r="F28" s="518" t="n">
        <f aca="false">+F26+F27</f>
        <v>0</v>
      </c>
      <c r="G28" s="518" t="n">
        <f aca="false">+G26+G27</f>
        <v>0</v>
      </c>
      <c r="H28" s="518" t="n">
        <f aca="false">+H26+H27</f>
        <v>0</v>
      </c>
      <c r="I28" s="518" t="n">
        <f aca="false">+I26+I27</f>
        <v>0</v>
      </c>
      <c r="J28" s="518" t="n">
        <f aca="false">+J26+J27</f>
        <v>0</v>
      </c>
      <c r="K28" s="518" t="n">
        <f aca="false">+K26+K27</f>
        <v>0</v>
      </c>
      <c r="L28" s="518" t="n">
        <f aca="false">+L26+L27</f>
        <v>0</v>
      </c>
      <c r="M28" s="518" t="n">
        <f aca="false">+M26+M27</f>
        <v>0</v>
      </c>
      <c r="N28" s="518" t="n">
        <f aca="false">+N26+N27</f>
        <v>0</v>
      </c>
      <c r="O28" s="518" t="n">
        <f aca="false">+O26+O27</f>
        <v>0</v>
      </c>
      <c r="P28" s="518" t="n">
        <f aca="false">+P26+P27</f>
        <v>0</v>
      </c>
      <c r="Q28" s="518" t="n">
        <f aca="false">+Q26+Q27</f>
        <v>0</v>
      </c>
      <c r="R28" s="518" t="n">
        <f aca="false">+R26+R27</f>
        <v>0</v>
      </c>
      <c r="S28" s="518" t="n">
        <f aca="false">+S26+S27</f>
        <v>0</v>
      </c>
      <c r="T28" s="518" t="n">
        <f aca="false">+T26+T27</f>
        <v>0</v>
      </c>
      <c r="U28" s="518" t="n">
        <f aca="false">+U26+U27</f>
        <v>0</v>
      </c>
      <c r="V28" s="518" t="n">
        <f aca="false">+V26+V27</f>
        <v>0</v>
      </c>
      <c r="W28" s="518" t="n">
        <f aca="false">+W26+W27</f>
        <v>0</v>
      </c>
      <c r="X28" s="518" t="n">
        <f aca="false">+X26+X27</f>
        <v>0</v>
      </c>
      <c r="Y28" s="518" t="n">
        <f aca="false">+Y26+Y27</f>
        <v>0</v>
      </c>
      <c r="Z28" s="518" t="n">
        <f aca="false">+Z26+Z27</f>
        <v>0</v>
      </c>
      <c r="AA28" s="518" t="n">
        <f aca="false">+AA26+AA27</f>
        <v>0</v>
      </c>
      <c r="AB28" s="518" t="n">
        <f aca="false">+AB26+AB27</f>
        <v>0</v>
      </c>
      <c r="AC28" s="518" t="n">
        <f aca="false">+AC26+AC27</f>
        <v>0</v>
      </c>
      <c r="AD28" s="518" t="n">
        <f aca="false">+AD26+AD27</f>
        <v>0</v>
      </c>
      <c r="AE28" s="519" t="n">
        <f aca="false">+AE26+AE27</f>
        <v>0</v>
      </c>
      <c r="AF28" s="389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511"/>
      <c r="BF28" s="511"/>
      <c r="BG28" s="512"/>
      <c r="BH28" s="512"/>
      <c r="BI28" s="513"/>
      <c r="BJ28" s="512"/>
      <c r="BK28" s="512"/>
    </row>
    <row r="29" customFormat="false" ht="15" hidden="false" customHeight="false" outlineLevel="0" collapsed="false">
      <c r="A29" s="375" t="s">
        <v>212</v>
      </c>
      <c r="B29" s="14"/>
      <c r="C29" s="14"/>
      <c r="D29" s="14"/>
      <c r="E29" s="353" t="n">
        <f aca="false">E25-E26</f>
        <v>0</v>
      </c>
      <c r="F29" s="353" t="n">
        <f aca="false">F25-F26</f>
        <v>0</v>
      </c>
      <c r="G29" s="353" t="n">
        <f aca="false">G25-G26</f>
        <v>0</v>
      </c>
      <c r="H29" s="353" t="n">
        <f aca="false">H25-H26</f>
        <v>0</v>
      </c>
      <c r="I29" s="353" t="n">
        <f aca="false">I25-I26</f>
        <v>0</v>
      </c>
      <c r="J29" s="353" t="n">
        <f aca="false">J25-J26</f>
        <v>0</v>
      </c>
      <c r="K29" s="353" t="n">
        <f aca="false">K25-K26</f>
        <v>0</v>
      </c>
      <c r="L29" s="353" t="n">
        <f aca="false">L25-L26</f>
        <v>0</v>
      </c>
      <c r="M29" s="353" t="n">
        <f aca="false">M25-M26</f>
        <v>0</v>
      </c>
      <c r="N29" s="353" t="n">
        <f aca="false">N25-N26</f>
        <v>0</v>
      </c>
      <c r="O29" s="353" t="n">
        <f aca="false">O25-O26</f>
        <v>0</v>
      </c>
      <c r="P29" s="353" t="n">
        <f aca="false">P25-P26</f>
        <v>0</v>
      </c>
      <c r="Q29" s="353" t="n">
        <f aca="false">Q25-Q26</f>
        <v>0</v>
      </c>
      <c r="R29" s="353" t="n">
        <f aca="false">R25-R26</f>
        <v>0</v>
      </c>
      <c r="S29" s="353" t="n">
        <f aca="false">S25-S26</f>
        <v>0</v>
      </c>
      <c r="T29" s="353" t="n">
        <f aca="false">T25-T26</f>
        <v>0</v>
      </c>
      <c r="U29" s="353" t="n">
        <f aca="false">U25-U26</f>
        <v>0</v>
      </c>
      <c r="V29" s="353" t="n">
        <f aca="false">V25-V26</f>
        <v>0</v>
      </c>
      <c r="W29" s="353" t="n">
        <f aca="false">W25-W26</f>
        <v>0</v>
      </c>
      <c r="X29" s="353" t="n">
        <f aca="false">X25-X26</f>
        <v>0</v>
      </c>
      <c r="Y29" s="353" t="n">
        <f aca="false">Y25-Y26</f>
        <v>0</v>
      </c>
      <c r="Z29" s="353" t="n">
        <f aca="false">Z25-Z26</f>
        <v>0</v>
      </c>
      <c r="AA29" s="353" t="n">
        <f aca="false">AA25-AA26</f>
        <v>0</v>
      </c>
      <c r="AB29" s="353" t="n">
        <f aca="false">AB25-AB26</f>
        <v>0</v>
      </c>
      <c r="AC29" s="353" t="n">
        <f aca="false">AC25-AC26</f>
        <v>0</v>
      </c>
      <c r="AD29" s="353" t="n">
        <f aca="false">AD25-AD26</f>
        <v>0</v>
      </c>
      <c r="AE29" s="520" t="n">
        <f aca="false">MAX(AE25-AE26,0)</f>
        <v>0</v>
      </c>
      <c r="AF29" s="389"/>
      <c r="AG29" s="398"/>
      <c r="AH29" s="14"/>
      <c r="AI29" s="14"/>
      <c r="AJ29" s="14"/>
      <c r="AK29" s="14"/>
      <c r="AL29" s="14"/>
      <c r="AM29" s="14"/>
      <c r="AN29" s="14"/>
      <c r="AO29" s="85"/>
      <c r="AP29" s="85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/>
      <c r="BC29" s="358"/>
      <c r="BD29" s="358"/>
      <c r="BE29" s="511"/>
      <c r="BF29" s="511"/>
      <c r="BG29" s="512"/>
      <c r="BH29" s="512"/>
      <c r="BI29" s="513"/>
      <c r="BJ29" s="512"/>
      <c r="BK29" s="512"/>
    </row>
    <row r="30" customFormat="false" ht="15" hidden="false" customHeight="false" outlineLevel="0" collapsed="false">
      <c r="A30" s="372" t="s">
        <v>213</v>
      </c>
      <c r="B30" s="14"/>
      <c r="C30" s="14"/>
      <c r="D30" s="14"/>
      <c r="E30" s="107" t="n">
        <f aca="false">+tranche2amt*E35</f>
        <v>0</v>
      </c>
      <c r="F30" s="107" t="n">
        <f aca="false">+tranche2amt*F35</f>
        <v>0</v>
      </c>
      <c r="G30" s="107" t="n">
        <f aca="false">+tranche2amt*G35</f>
        <v>0</v>
      </c>
      <c r="H30" s="107" t="n">
        <f aca="false">+tranche2amt*H35</f>
        <v>0</v>
      </c>
      <c r="I30" s="107" t="n">
        <f aca="false">+tranche2amt*I35</f>
        <v>0</v>
      </c>
      <c r="J30" s="107" t="n">
        <f aca="false">+tranche2amt*J35</f>
        <v>0</v>
      </c>
      <c r="K30" s="107" t="n">
        <f aca="false">+tranche2amt*K35</f>
        <v>0</v>
      </c>
      <c r="L30" s="107" t="n">
        <f aca="false">+tranche2amt*L35</f>
        <v>0</v>
      </c>
      <c r="M30" s="107" t="n">
        <f aca="false">+tranche2amt*M35</f>
        <v>0</v>
      </c>
      <c r="N30" s="107" t="n">
        <f aca="false">+tranche2amt*N35</f>
        <v>0</v>
      </c>
      <c r="O30" s="107" t="n">
        <f aca="false">+tranche2amt*O35</f>
        <v>0</v>
      </c>
      <c r="P30" s="107" t="n">
        <f aca="false">+tranche2amt*P35</f>
        <v>0</v>
      </c>
      <c r="Q30" s="107" t="n">
        <f aca="false">+tranche2amt*Q35</f>
        <v>0</v>
      </c>
      <c r="R30" s="107" t="n">
        <f aca="false">+tranche2amt*R35</f>
        <v>0</v>
      </c>
      <c r="S30" s="107" t="n">
        <f aca="false">+tranche2amt*S35</f>
        <v>0</v>
      </c>
      <c r="T30" s="107" t="n">
        <f aca="false">+tranche2amt*T35</f>
        <v>0</v>
      </c>
      <c r="U30" s="107" t="n">
        <f aca="false">+tranche2amt*U35</f>
        <v>0</v>
      </c>
      <c r="V30" s="107" t="n">
        <f aca="false">+tranche2amt*V35</f>
        <v>0</v>
      </c>
      <c r="W30" s="107" t="n">
        <f aca="false">+tranche2amt*W35</f>
        <v>0</v>
      </c>
      <c r="X30" s="107" t="n">
        <f aca="false">+tranche2amt*X35</f>
        <v>0</v>
      </c>
      <c r="Y30" s="107" t="n">
        <f aca="false">+tranche2amt*Y35</f>
        <v>0</v>
      </c>
      <c r="Z30" s="107" t="n">
        <f aca="false">+tranche2amt*Z35</f>
        <v>0</v>
      </c>
      <c r="AA30" s="107" t="n">
        <f aca="false">+tranche2amt*AA35</f>
        <v>0</v>
      </c>
      <c r="AB30" s="107" t="n">
        <f aca="false">+tranche2amt*AB35</f>
        <v>0</v>
      </c>
      <c r="AC30" s="107" t="n">
        <f aca="false">+tranche2amt*AC35</f>
        <v>0</v>
      </c>
      <c r="AD30" s="107" t="n">
        <f aca="false">+tranche2amt*AD35</f>
        <v>0</v>
      </c>
      <c r="AE30" s="107" t="n">
        <f aca="false">+tranche2amt*AE35</f>
        <v>0</v>
      </c>
      <c r="AF30" s="389"/>
      <c r="AG30" s="398"/>
      <c r="AH30" s="398"/>
      <c r="AI30" s="14"/>
      <c r="AJ30" s="14"/>
      <c r="AK30" s="14"/>
      <c r="AL30" s="14"/>
      <c r="AM30" s="14"/>
      <c r="AN30" s="295"/>
      <c r="AO30" s="14"/>
      <c r="AP30" s="14"/>
      <c r="AQ30" s="353"/>
      <c r="AR30" s="353"/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53"/>
      <c r="BE30" s="511"/>
      <c r="BF30" s="511"/>
      <c r="BG30" s="512"/>
      <c r="BH30" s="512"/>
      <c r="BI30" s="513"/>
      <c r="BJ30" s="512"/>
      <c r="BK30" s="512"/>
    </row>
    <row r="31" customFormat="false" ht="15" hidden="false" customHeight="false" outlineLevel="0" collapsed="false">
      <c r="A31" s="372" t="s">
        <v>214</v>
      </c>
      <c r="B31" s="14"/>
      <c r="C31" s="14"/>
      <c r="D31" s="14"/>
      <c r="E31" s="107" t="n">
        <f aca="false">+E29*tranche2cost*MIN(6,E19)/12</f>
        <v>0</v>
      </c>
      <c r="F31" s="107" t="n">
        <f aca="false">+F29*tranche2cost*(E$6-6)/12</f>
        <v>0</v>
      </c>
      <c r="G31" s="107" t="n">
        <f aca="false">+G29*tranche2cost*(F$6-6)/12</f>
        <v>0</v>
      </c>
      <c r="H31" s="107" t="n">
        <f aca="false">+H29*tranche2cost*(G$6-6)/12</f>
        <v>0</v>
      </c>
      <c r="I31" s="107" t="n">
        <f aca="false">+I29*tranche2cost*(H$6-6)/12</f>
        <v>0</v>
      </c>
      <c r="J31" s="107" t="n">
        <f aca="false">+J29*tranche2cost*(I$6-6)/12</f>
        <v>0</v>
      </c>
      <c r="K31" s="107" t="n">
        <f aca="false">+K29*tranche2cost*(J$6-6)/12</f>
        <v>0</v>
      </c>
      <c r="L31" s="107" t="n">
        <f aca="false">+L29*tranche2cost*(K$6-6)/12</f>
        <v>0</v>
      </c>
      <c r="M31" s="107" t="n">
        <f aca="false">+M29*tranche2cost*(L$6-6)/12</f>
        <v>0</v>
      </c>
      <c r="N31" s="107" t="n">
        <f aca="false">+N29*tranche2cost*(M$6-6)/12</f>
        <v>0</v>
      </c>
      <c r="O31" s="107" t="n">
        <f aca="false">+O29*tranche2cost*(N$6-6)/12</f>
        <v>0</v>
      </c>
      <c r="P31" s="107" t="n">
        <f aca="false">+P29*tranche2cost*(O$6-6)/12</f>
        <v>0</v>
      </c>
      <c r="Q31" s="107" t="n">
        <f aca="false">+Q29*tranche2cost*(P$6-6)/12</f>
        <v>0</v>
      </c>
      <c r="R31" s="107" t="n">
        <f aca="false">+R29*tranche2cost*(Q$6-6)/12</f>
        <v>0</v>
      </c>
      <c r="S31" s="107" t="n">
        <f aca="false">+S29*tranche2cost*(R$6-6)/12</f>
        <v>0</v>
      </c>
      <c r="T31" s="107" t="n">
        <f aca="false">+T29*tranche2cost*(S$6-6)/12</f>
        <v>0</v>
      </c>
      <c r="U31" s="107" t="n">
        <f aca="false">+U29*tranche2cost*(T$6-6)/12</f>
        <v>-0</v>
      </c>
      <c r="V31" s="107" t="n">
        <f aca="false">+V29*tranche2cost*(U$6-6)/12</f>
        <v>-0</v>
      </c>
      <c r="W31" s="107" t="n">
        <f aca="false">+W29*tranche2cost*(V$6-6)/12</f>
        <v>-0</v>
      </c>
      <c r="X31" s="107" t="n">
        <f aca="false">+X29*tranche2cost*(W$6-6)/12</f>
        <v>-0</v>
      </c>
      <c r="Y31" s="107" t="n">
        <f aca="false">+Y29*tranche2cost*(X$6-6)/12</f>
        <v>-0</v>
      </c>
      <c r="Z31" s="107" t="n">
        <f aca="false">+Z29*tranche2cost*(Y$6-6)/12</f>
        <v>-0</v>
      </c>
      <c r="AA31" s="107" t="n">
        <f aca="false">+AA29*tranche2cost*(Z$6-6)/12</f>
        <v>-0</v>
      </c>
      <c r="AB31" s="107" t="n">
        <f aca="false">+AB29*tranche2cost*(AA$6-6)/12</f>
        <v>-0</v>
      </c>
      <c r="AC31" s="107" t="n">
        <f aca="false">+AC29*tranche2cost*(AB$6-6)/12</f>
        <v>-0</v>
      </c>
      <c r="AD31" s="107" t="n">
        <f aca="false">+AD29*tranche2cost*(AC$6-6)/12</f>
        <v>-0</v>
      </c>
      <c r="AE31" s="517" t="n">
        <f aca="false">+AE29*tranche2cost*(AD$6-6)/12</f>
        <v>-0</v>
      </c>
      <c r="AF31" s="389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511"/>
      <c r="BF31" s="511"/>
      <c r="BG31" s="512"/>
      <c r="BH31" s="512"/>
      <c r="BI31" s="513"/>
      <c r="BJ31" s="512"/>
      <c r="BK31" s="512"/>
    </row>
    <row r="32" customFormat="false" ht="15" hidden="false" customHeight="false" outlineLevel="0" collapsed="false">
      <c r="A32" s="359" t="s">
        <v>215</v>
      </c>
      <c r="B32" s="85"/>
      <c r="C32" s="85"/>
      <c r="D32" s="85"/>
      <c r="E32" s="358" t="n">
        <f aca="false">+E30+E31</f>
        <v>0</v>
      </c>
      <c r="F32" s="358" t="n">
        <f aca="false">+F30+F31</f>
        <v>0</v>
      </c>
      <c r="G32" s="358" t="n">
        <f aca="false">+G30+G31</f>
        <v>0</v>
      </c>
      <c r="H32" s="358" t="n">
        <f aca="false">+H30+H31</f>
        <v>0</v>
      </c>
      <c r="I32" s="358" t="n">
        <f aca="false">+I30+I31</f>
        <v>0</v>
      </c>
      <c r="J32" s="358" t="n">
        <f aca="false">+J30+J31</f>
        <v>0</v>
      </c>
      <c r="K32" s="358" t="n">
        <f aca="false">+K30+K31</f>
        <v>0</v>
      </c>
      <c r="L32" s="358" t="n">
        <f aca="false">+L30+L31</f>
        <v>0</v>
      </c>
      <c r="M32" s="358" t="n">
        <f aca="false">+M30+M31</f>
        <v>0</v>
      </c>
      <c r="N32" s="358" t="n">
        <f aca="false">+N30+N31</f>
        <v>0</v>
      </c>
      <c r="O32" s="358" t="n">
        <f aca="false">+O30+O31</f>
        <v>0</v>
      </c>
      <c r="P32" s="358" t="n">
        <f aca="false">+P30+P31</f>
        <v>0</v>
      </c>
      <c r="Q32" s="358" t="n">
        <f aca="false">+Q30+Q31</f>
        <v>0</v>
      </c>
      <c r="R32" s="358" t="n">
        <f aca="false">+R30+R31</f>
        <v>0</v>
      </c>
      <c r="S32" s="358" t="n">
        <f aca="false">+S30+S31</f>
        <v>0</v>
      </c>
      <c r="T32" s="358" t="n">
        <f aca="false">+T30+T31</f>
        <v>0</v>
      </c>
      <c r="U32" s="358" t="n">
        <f aca="false">+U30+U31</f>
        <v>0</v>
      </c>
      <c r="V32" s="358" t="n">
        <f aca="false">+V30+V31</f>
        <v>0</v>
      </c>
      <c r="W32" s="358" t="n">
        <f aca="false">+W30+W31</f>
        <v>0</v>
      </c>
      <c r="X32" s="358" t="n">
        <f aca="false">+X30+X31</f>
        <v>0</v>
      </c>
      <c r="Y32" s="358" t="n">
        <f aca="false">+Y30+Y31</f>
        <v>0</v>
      </c>
      <c r="Z32" s="358" t="n">
        <f aca="false">+Z30+Z31</f>
        <v>0</v>
      </c>
      <c r="AA32" s="358" t="n">
        <f aca="false">+AA30+AA31</f>
        <v>0</v>
      </c>
      <c r="AB32" s="358" t="n">
        <f aca="false">+AB30+AB31</f>
        <v>0</v>
      </c>
      <c r="AC32" s="358" t="n">
        <f aca="false">+AC30+AC31</f>
        <v>0</v>
      </c>
      <c r="AD32" s="358" t="n">
        <f aca="false">+AD30+AD31</f>
        <v>0</v>
      </c>
      <c r="AE32" s="521" t="n">
        <f aca="false">+AE30+AE31</f>
        <v>0</v>
      </c>
      <c r="AF32" s="389"/>
      <c r="AG32" s="398"/>
      <c r="AH32" s="14"/>
      <c r="AI32" s="14"/>
      <c r="AJ32" s="14"/>
      <c r="AK32" s="14"/>
      <c r="AL32" s="14"/>
      <c r="AM32" s="14"/>
      <c r="AN32" s="14"/>
      <c r="AO32" s="14"/>
      <c r="AP32" s="14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511"/>
      <c r="BF32" s="511"/>
      <c r="BG32" s="512"/>
      <c r="BH32" s="512"/>
      <c r="BI32" s="513"/>
      <c r="BJ32" s="512"/>
      <c r="BK32" s="512"/>
    </row>
    <row r="33" customFormat="false" ht="15" hidden="false" customHeight="false" outlineLevel="0" collapsed="false">
      <c r="A33" s="522" t="s">
        <v>216</v>
      </c>
      <c r="B33" s="199"/>
      <c r="C33" s="481"/>
      <c r="D33" s="481"/>
      <c r="E33" s="523" t="n">
        <f aca="false">E29-E30</f>
        <v>0</v>
      </c>
      <c r="F33" s="523" t="n">
        <f aca="false">F29-F30</f>
        <v>0</v>
      </c>
      <c r="G33" s="523" t="n">
        <f aca="false">G29-G30</f>
        <v>0</v>
      </c>
      <c r="H33" s="523" t="n">
        <f aca="false">H29-H30</f>
        <v>0</v>
      </c>
      <c r="I33" s="523" t="n">
        <f aca="false">I29-I30</f>
        <v>0</v>
      </c>
      <c r="J33" s="523" t="n">
        <f aca="false">J29-J30</f>
        <v>0</v>
      </c>
      <c r="K33" s="523" t="n">
        <f aca="false">K29-K30</f>
        <v>0</v>
      </c>
      <c r="L33" s="523" t="n">
        <f aca="false">L29-L30</f>
        <v>0</v>
      </c>
      <c r="M33" s="523" t="n">
        <f aca="false">M29-M30</f>
        <v>0</v>
      </c>
      <c r="N33" s="523" t="n">
        <f aca="false">N29-N30</f>
        <v>0</v>
      </c>
      <c r="O33" s="523" t="n">
        <f aca="false">O29-O30</f>
        <v>0</v>
      </c>
      <c r="P33" s="523" t="n">
        <f aca="false">P29-P30</f>
        <v>0</v>
      </c>
      <c r="Q33" s="523" t="n">
        <f aca="false">Q29-Q30</f>
        <v>0</v>
      </c>
      <c r="R33" s="523" t="n">
        <f aca="false">R29-R30</f>
        <v>0</v>
      </c>
      <c r="S33" s="523" t="n">
        <f aca="false">S29-S30</f>
        <v>0</v>
      </c>
      <c r="T33" s="523" t="n">
        <f aca="false">T29-T30</f>
        <v>0</v>
      </c>
      <c r="U33" s="523" t="n">
        <f aca="false">U29-U30</f>
        <v>0</v>
      </c>
      <c r="V33" s="523" t="n">
        <f aca="false">V29-V30</f>
        <v>0</v>
      </c>
      <c r="W33" s="523" t="n">
        <f aca="false">W29-W30</f>
        <v>0</v>
      </c>
      <c r="X33" s="523" t="n">
        <f aca="false">X29-X30</f>
        <v>0</v>
      </c>
      <c r="Y33" s="523" t="n">
        <f aca="false">Y29-Y30</f>
        <v>0</v>
      </c>
      <c r="Z33" s="523" t="n">
        <f aca="false">Z29-Z30</f>
        <v>0</v>
      </c>
      <c r="AA33" s="523" t="n">
        <f aca="false">AA29-AA30</f>
        <v>0</v>
      </c>
      <c r="AB33" s="523" t="n">
        <f aca="false">AB29-AB30</f>
        <v>0</v>
      </c>
      <c r="AC33" s="523" t="n">
        <f aca="false">AC29-AC30</f>
        <v>0</v>
      </c>
      <c r="AD33" s="523" t="n">
        <f aca="false">AD29-AD30</f>
        <v>0</v>
      </c>
      <c r="AE33" s="523" t="n">
        <f aca="false">AE29-AE30</f>
        <v>0</v>
      </c>
      <c r="AF33" s="389"/>
      <c r="AG33" s="398"/>
      <c r="AH33" s="398"/>
      <c r="AI33" s="14"/>
      <c r="AJ33" s="14"/>
      <c r="AK33" s="14"/>
      <c r="AL33" s="14"/>
      <c r="AM33" s="14"/>
      <c r="AN33" s="14"/>
      <c r="AO33" s="85"/>
      <c r="AP33" s="85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/>
      <c r="BA33" s="358"/>
      <c r="BB33" s="358"/>
      <c r="BC33" s="358"/>
      <c r="BD33" s="358"/>
      <c r="BE33" s="511"/>
      <c r="BF33" s="511"/>
      <c r="BG33" s="512"/>
      <c r="BH33" s="512"/>
      <c r="BI33" s="513"/>
      <c r="BJ33" s="512"/>
      <c r="BK33" s="512"/>
    </row>
    <row r="34" customFormat="false" ht="15" hidden="false" customHeight="false" outlineLevel="0" collapsed="false">
      <c r="A34" s="524" t="s">
        <v>217</v>
      </c>
      <c r="B34" s="525"/>
      <c r="C34" s="525"/>
      <c r="D34" s="525"/>
      <c r="E34" s="526" t="n">
        <f aca="false">+IF(OR(E$8&lt;=tranche2grace,E$8&gt;tranche2reppd+tranche2grace),0,IF(tranche2amort=1,1/tranche2reppd,-PPMT(tranche2cost/2,MAX(0,E$8-tranche2grace),tranche2reppd,1)))</f>
        <v>0</v>
      </c>
      <c r="F34" s="526" t="n">
        <f aca="false">+IF(OR(F$8&lt;=tranche2grace,F$8&gt;tranche2reppd+tranche2grace),0,IF(tranche2amort=1,1/tranche2reppd,-PPMT(tranche2cost/2,MAX(0,F$8-tranche2grace),tranche2reppd,1)))</f>
        <v>0.0714285714285714</v>
      </c>
      <c r="G34" s="526" t="n">
        <f aca="false">+IF(OR(G$8&lt;=tranche2grace,G$8&gt;tranche2reppd+tranche2grace),0,IF(tranche2amort=1,1/tranche2reppd,-PPMT(tranche2cost/2,MAX(0,G$8-tranche2grace),tranche2reppd,1)))</f>
        <v>0.0714285714285714</v>
      </c>
      <c r="H34" s="526" t="n">
        <f aca="false">+IF(OR(H$8&lt;=tranche2grace,H$8&gt;tranche2reppd+tranche2grace),0,IF(tranche2amort=1,1/tranche2reppd,-PPMT(tranche2cost/2,MAX(0,H$8-tranche2grace),tranche2reppd,1)))</f>
        <v>0.0714285714285714</v>
      </c>
      <c r="I34" s="526" t="n">
        <f aca="false">+IF(OR(I$8&lt;=tranche2grace,I$8&gt;tranche2reppd+tranche2grace),0,IF(tranche2amort=1,1/tranche2reppd,-PPMT(tranche2cost/2,MAX(0,I$8-tranche2grace),tranche2reppd,1)))</f>
        <v>0.0714285714285714</v>
      </c>
      <c r="J34" s="526" t="n">
        <f aca="false">+IF(OR(J$8&lt;=tranche2grace,J$8&gt;tranche2reppd+tranche2grace),0,IF(tranche2amort=1,1/tranche2reppd,-PPMT(tranche2cost/2,MAX(0,J$8-tranche2grace),tranche2reppd,1)))</f>
        <v>0.0714285714285714</v>
      </c>
      <c r="K34" s="526" t="n">
        <f aca="false">+IF(OR(K$8&lt;=tranche2grace,K$8&gt;tranche2reppd+tranche2grace),0,IF(tranche2amort=1,1/tranche2reppd,-PPMT(tranche2cost/2,MAX(0,K$8-tranche2grace),tranche2reppd,1)))</f>
        <v>0.0714285714285714</v>
      </c>
      <c r="L34" s="526" t="n">
        <f aca="false">+IF(OR(L$8&lt;=tranche2grace,L$8&gt;tranche2reppd+tranche2grace),0,IF(tranche2amort=1,1/tranche2reppd,-PPMT(tranche2cost/2,MAX(0,L$8-tranche2grace),tranche2reppd,1)))</f>
        <v>0.0714285714285714</v>
      </c>
      <c r="M34" s="526" t="n">
        <f aca="false">+IF(OR(M$8&lt;=tranche2grace,M$8&gt;tranche2reppd+tranche2grace),0,IF(tranche2amort=1,1/tranche2reppd,-PPMT(tranche2cost/2,MAX(0,M$8-tranche2grace),tranche2reppd,1)))</f>
        <v>0</v>
      </c>
      <c r="N34" s="526" t="n">
        <f aca="false">+IF(OR(N$8&lt;=tranche2grace,N$8&gt;tranche2reppd+tranche2grace),0,IF(tranche2amort=1,1/tranche2reppd,-PPMT(tranche2cost/2,MAX(0,N$8-tranche2grace),tranche2reppd,1)))</f>
        <v>0</v>
      </c>
      <c r="O34" s="526" t="n">
        <f aca="false">+IF(OR(O$8&lt;=tranche2grace,O$8&gt;tranche2reppd+tranche2grace),0,IF(tranche2amort=1,1/tranche2reppd,-PPMT(tranche2cost/2,MAX(0,O$8-tranche2grace),tranche2reppd,1)))</f>
        <v>0</v>
      </c>
      <c r="P34" s="526" t="n">
        <f aca="false">+IF(OR(P$8&lt;=tranche2grace,P$8&gt;tranche2reppd+tranche2grace),0,IF(tranche2amort=1,1/tranche2reppd,-PPMT(tranche2cost/2,MAX(0,P$8-tranche2grace),tranche2reppd,1)))</f>
        <v>0</v>
      </c>
      <c r="Q34" s="526" t="n">
        <f aca="false">+IF(OR(Q$8&lt;=tranche2grace,Q$8&gt;tranche2reppd+tranche2grace),0,IF(tranche2amort=1,1/tranche2reppd,-PPMT(tranche2cost/2,MAX(0,Q$8-tranche2grace),tranche2reppd,1)))</f>
        <v>0</v>
      </c>
      <c r="R34" s="526" t="n">
        <f aca="false">+IF(OR(R$8&lt;=tranche2grace,R$8&gt;tranche2reppd+tranche2grace),0,IF(tranche2amort=1,1/tranche2reppd,-PPMT(tranche2cost/2,MAX(0,R$8-tranche2grace),tranche2reppd,1)))</f>
        <v>0</v>
      </c>
      <c r="S34" s="526" t="n">
        <f aca="false">+IF(OR(S$8&lt;=tranche2grace,S$8&gt;tranche2reppd+tranche2grace),0,IF(tranche2amort=1,1/tranche2reppd,-PPMT(tranche2cost/2,MAX(0,S$8-tranche2grace),tranche2reppd,1)))</f>
        <v>0</v>
      </c>
      <c r="T34" s="526" t="n">
        <f aca="false">+IF(OR(T$8&lt;=tranche2grace,T$8&gt;tranche2reppd+tranche2grace),0,IF(tranche2amort=1,1/tranche2reppd,-PPMT(tranche2cost/2,MAX(0,T$8-tranche2grace),tranche2reppd,1)))</f>
        <v>0</v>
      </c>
      <c r="U34" s="526" t="n">
        <f aca="false">+IF(OR(U$8&lt;=tranche2grace,U$8&gt;tranche2reppd+tranche2grace),0,IF(tranche2amort=1,1/tranche2reppd,-PPMT(tranche2cost/2,MAX(0,U$8-tranche2grace),tranche2reppd,1)))</f>
        <v>0</v>
      </c>
      <c r="V34" s="526" t="n">
        <f aca="false">+IF(OR(V$8&lt;=tranche2grace,V$8&gt;tranche2reppd+tranche2grace),0,IF(tranche2amort=1,1/tranche2reppd,-PPMT(tranche2cost/2,MAX(0,V$8-tranche2grace),tranche2reppd,1)))</f>
        <v>0</v>
      </c>
      <c r="W34" s="526" t="n">
        <f aca="false">+IF(OR(W$8&lt;=tranche2grace,W$8&gt;tranche2reppd+tranche2grace),0,IF(tranche2amort=1,1/tranche2reppd,-PPMT(tranche2cost/2,MAX(0,W$8-tranche2grace),tranche2reppd,1)))</f>
        <v>0</v>
      </c>
      <c r="X34" s="526" t="n">
        <f aca="false">+IF(OR(X$8&lt;=tranche2grace,X$8&gt;tranche2reppd+tranche2grace),0,IF(tranche2amort=1,1/tranche2reppd,-PPMT(tranche2cost/2,MAX(0,X$8-tranche2grace),tranche2reppd,1)))</f>
        <v>0</v>
      </c>
      <c r="Y34" s="526" t="n">
        <f aca="false">+IF(OR(Y$8&lt;=tranche2grace,Y$8&gt;tranche2reppd+tranche2grace),0,IF(tranche2amort=1,1/tranche2reppd,-PPMT(tranche2cost/2,MAX(0,Y$8-tranche2grace),tranche2reppd,1)))</f>
        <v>0</v>
      </c>
      <c r="Z34" s="526" t="n">
        <f aca="false">+IF(OR(Z$8&lt;=tranche2grace,Z$8&gt;tranche2reppd+tranche2grace),0,IF(tranche2amort=1,1/tranche2reppd,-PPMT(tranche2cost/2,MAX(0,Z$8-tranche2grace),tranche2reppd,1)))</f>
        <v>0</v>
      </c>
      <c r="AA34" s="526" t="n">
        <f aca="false">+IF(OR(AA$8&lt;=tranche2grace,AA$8&gt;tranche2reppd+tranche2grace),0,IF(tranche2amort=1,1/tranche2reppd,-PPMT(tranche2cost/2,MAX(0,AA$8-tranche2grace),tranche2reppd,1)))</f>
        <v>0</v>
      </c>
      <c r="AB34" s="526" t="n">
        <f aca="false">+IF(OR(AB$8&lt;=tranche2grace,AB$8&gt;tranche2reppd+tranche2grace),0,IF(tranche2amort=1,1/tranche2reppd,-PPMT(tranche2cost/2,MAX(0,AB$8-tranche2grace),tranche2reppd,1)))</f>
        <v>0</v>
      </c>
      <c r="AC34" s="526" t="n">
        <f aca="false">+IF(OR(AC$8&lt;=tranche2grace,AC$8&gt;tranche2reppd+tranche2grace),0,IF(tranche2amort=1,1/tranche2reppd,-PPMT(tranche2cost/2,MAX(0,AC$8-tranche2grace),tranche2reppd,1)))</f>
        <v>0</v>
      </c>
      <c r="AD34" s="526" t="n">
        <f aca="false">+IF(OR(AD$8&lt;=tranche2grace,AD$8&gt;tranche2reppd+tranche2grace),0,IF(tranche2amort=1,1/tranche2reppd,-PPMT(tranche2cost/2,MAX(0,AD$8-tranche2grace),tranche2reppd,1)))</f>
        <v>0</v>
      </c>
      <c r="AE34" s="526" t="n">
        <f aca="false">+IF(OR(AE$8&lt;=tranche2grace,AE$8&gt;tranche2reppd+tranche2grace),0,IF(tranche2amort=1,1/tranche2reppd,-PPMT(tranche2cost/2,MAX(0,AE$8-tranche2grace),tranche2reppd,1)))</f>
        <v>0</v>
      </c>
      <c r="AF34" s="527" t="n">
        <f aca="false">SUM(E34:AE34)</f>
        <v>0.5</v>
      </c>
      <c r="AG34" s="528"/>
      <c r="AH34" s="85"/>
      <c r="AI34" s="529"/>
      <c r="AJ34" s="529"/>
      <c r="AK34" s="529"/>
      <c r="AL34" s="529"/>
      <c r="AM34" s="529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530"/>
      <c r="BF34" s="530"/>
      <c r="BG34" s="531"/>
      <c r="BH34" s="531"/>
      <c r="BI34" s="532"/>
      <c r="BJ34" s="531"/>
      <c r="BK34" s="531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29"/>
      <c r="CF34" s="329"/>
      <c r="CG34" s="329"/>
      <c r="CH34" s="329"/>
      <c r="CI34" s="329"/>
      <c r="CJ34" s="329"/>
      <c r="CK34" s="329"/>
      <c r="CL34" s="329"/>
      <c r="CM34" s="329"/>
      <c r="CN34" s="329"/>
      <c r="CO34" s="329"/>
      <c r="CP34" s="329"/>
      <c r="CQ34" s="329"/>
      <c r="CR34" s="329"/>
      <c r="CS34" s="329"/>
      <c r="CT34" s="329"/>
      <c r="CU34" s="329"/>
      <c r="CV34" s="329"/>
      <c r="CW34" s="329"/>
      <c r="CX34" s="329"/>
      <c r="CY34" s="329"/>
      <c r="CZ34" s="329"/>
      <c r="DA34" s="329"/>
      <c r="DB34" s="329"/>
      <c r="DC34" s="329"/>
      <c r="DD34" s="329"/>
      <c r="DE34" s="329"/>
      <c r="DF34" s="329"/>
      <c r="DG34" s="329"/>
      <c r="DH34" s="329"/>
      <c r="DI34" s="329"/>
      <c r="DJ34" s="32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  <c r="DU34" s="329"/>
      <c r="DV34" s="329"/>
      <c r="DW34" s="329"/>
      <c r="DX34" s="329"/>
      <c r="DY34" s="329"/>
      <c r="DZ34" s="329"/>
      <c r="EA34" s="329"/>
      <c r="EB34" s="329"/>
      <c r="EC34" s="329"/>
      <c r="ED34" s="329"/>
      <c r="EE34" s="329"/>
      <c r="EF34" s="329"/>
      <c r="EG34" s="329"/>
      <c r="EH34" s="329"/>
      <c r="EI34" s="329"/>
      <c r="EJ34" s="329"/>
      <c r="EK34" s="329"/>
      <c r="EL34" s="329"/>
      <c r="EM34" s="329"/>
      <c r="EN34" s="329"/>
      <c r="EO34" s="329"/>
      <c r="EP34" s="329"/>
      <c r="EQ34" s="329"/>
      <c r="ER34" s="329"/>
      <c r="ES34" s="329"/>
      <c r="ET34" s="329"/>
      <c r="EU34" s="329"/>
      <c r="EV34" s="329"/>
      <c r="EW34" s="329"/>
      <c r="EX34" s="329"/>
      <c r="EY34" s="329"/>
      <c r="EZ34" s="329"/>
      <c r="FA34" s="329"/>
      <c r="FB34" s="329"/>
      <c r="FC34" s="329"/>
      <c r="FD34" s="329"/>
      <c r="FE34" s="329"/>
      <c r="FF34" s="329"/>
      <c r="FG34" s="329"/>
      <c r="FH34" s="329"/>
      <c r="FI34" s="329"/>
      <c r="FJ34" s="329"/>
      <c r="FK34" s="329"/>
      <c r="FL34" s="329"/>
      <c r="FM34" s="329"/>
      <c r="FN34" s="329"/>
      <c r="FO34" s="329"/>
      <c r="FP34" s="329"/>
      <c r="FQ34" s="329"/>
      <c r="FR34" s="329"/>
      <c r="FS34" s="329"/>
      <c r="FT34" s="329"/>
      <c r="FU34" s="329"/>
      <c r="FV34" s="329"/>
      <c r="FW34" s="329"/>
      <c r="FX34" s="329"/>
      <c r="FY34" s="329"/>
      <c r="FZ34" s="329"/>
      <c r="GA34" s="329"/>
      <c r="GB34" s="329"/>
      <c r="GC34" s="329"/>
      <c r="GD34" s="329"/>
      <c r="GE34" s="329"/>
      <c r="GF34" s="329"/>
      <c r="GG34" s="329"/>
      <c r="GH34" s="329"/>
      <c r="GI34" s="329"/>
      <c r="GJ34" s="329"/>
      <c r="GK34" s="329"/>
      <c r="GL34" s="329"/>
      <c r="GM34" s="329"/>
      <c r="GN34" s="329"/>
      <c r="GO34" s="329"/>
      <c r="GP34" s="329"/>
      <c r="GQ34" s="329"/>
      <c r="GR34" s="329"/>
      <c r="GS34" s="329"/>
      <c r="GT34" s="329"/>
      <c r="GU34" s="329"/>
      <c r="GV34" s="329"/>
      <c r="GW34" s="329"/>
      <c r="GX34" s="329"/>
      <c r="GY34" s="329"/>
      <c r="GZ34" s="329"/>
      <c r="HA34" s="329"/>
      <c r="HB34" s="329"/>
      <c r="HC34" s="329"/>
      <c r="HD34" s="329"/>
      <c r="HE34" s="329"/>
      <c r="HF34" s="329"/>
      <c r="HG34" s="329"/>
      <c r="HH34" s="329"/>
      <c r="HI34" s="329"/>
      <c r="HJ34" s="329"/>
      <c r="HK34" s="329"/>
      <c r="HL34" s="329"/>
      <c r="HM34" s="329"/>
      <c r="HN34" s="329"/>
      <c r="HO34" s="329"/>
      <c r="HP34" s="329"/>
      <c r="HQ34" s="329"/>
      <c r="HR34" s="329"/>
      <c r="HS34" s="329"/>
      <c r="HT34" s="329"/>
      <c r="HU34" s="329"/>
      <c r="HV34" s="329"/>
      <c r="HW34" s="329"/>
      <c r="HX34" s="329"/>
      <c r="HY34" s="329"/>
      <c r="HZ34" s="329"/>
      <c r="IA34" s="329"/>
      <c r="IB34" s="329"/>
      <c r="IC34" s="329"/>
      <c r="ID34" s="329"/>
      <c r="IE34" s="329"/>
      <c r="IF34" s="329"/>
      <c r="IG34" s="329"/>
      <c r="IH34" s="329"/>
      <c r="II34" s="329"/>
      <c r="IJ34" s="329"/>
      <c r="IK34" s="329"/>
      <c r="IL34" s="329"/>
      <c r="IM34" s="329"/>
      <c r="IN34" s="329"/>
      <c r="IO34" s="329"/>
      <c r="IP34" s="329"/>
      <c r="IQ34" s="329"/>
      <c r="IR34" s="329"/>
      <c r="IS34" s="329"/>
      <c r="IT34" s="329"/>
      <c r="IU34" s="329"/>
      <c r="IV34" s="329"/>
      <c r="IW34" s="329"/>
    </row>
    <row r="35" customFormat="false" ht="15" hidden="false" customHeight="false" outlineLevel="0" collapsed="false">
      <c r="A35" s="533" t="s">
        <v>218</v>
      </c>
      <c r="B35" s="534"/>
      <c r="C35" s="534"/>
      <c r="D35" s="534"/>
      <c r="E35" s="535" t="n">
        <f aca="false">+IF(OR(E$9&lt;=tranche2grace,E$9&gt;tranche2reppd+tranche2grace),0,IF(tranche2amort=1,1/tranche2reppd,-PPMT(tranche2cost/2,MAX(0,E$9-tranche2grace),tranche2reppd,1)))</f>
        <v>0.0714285714285714</v>
      </c>
      <c r="F35" s="535" t="n">
        <f aca="false">+IF(OR(F$9&lt;=tranche2grace,F$9&gt;tranche2reppd+tranche2grace),0,IF(tranche2amort=1,1/tranche2reppd,-PPMT(tranche2cost/2,MAX(0,F$9-tranche2grace),tranche2reppd,1)))</f>
        <v>0.0714285714285714</v>
      </c>
      <c r="G35" s="535" t="n">
        <f aca="false">+IF(OR(G$9&lt;=tranche2grace,G$9&gt;tranche2reppd+tranche2grace),0,IF(tranche2amort=1,1/tranche2reppd,-PPMT(tranche2cost/2,MAX(0,G$9-tranche2grace),tranche2reppd,1)))</f>
        <v>0.0714285714285714</v>
      </c>
      <c r="H35" s="535" t="n">
        <f aca="false">+IF(OR(H$9&lt;=tranche2grace,H$9&gt;tranche2reppd+tranche2grace),0,IF(tranche2amort=1,1/tranche2reppd,-PPMT(tranche2cost/2,MAX(0,H$9-tranche2grace),tranche2reppd,1)))</f>
        <v>0.0714285714285714</v>
      </c>
      <c r="I35" s="535" t="n">
        <f aca="false">+IF(OR(I$9&lt;=tranche2grace,I$9&gt;tranche2reppd+tranche2grace),0,IF(tranche2amort=1,1/tranche2reppd,-PPMT(tranche2cost/2,MAX(0,I$9-tranche2grace),tranche2reppd,1)))</f>
        <v>0.0714285714285714</v>
      </c>
      <c r="J35" s="535" t="n">
        <f aca="false">+IF(OR(J$9&lt;=tranche2grace,J$9&gt;tranche2reppd+tranche2grace),0,IF(tranche2amort=1,1/tranche2reppd,-PPMT(tranche2cost/2,MAX(0,J$9-tranche2grace),tranche2reppd,1)))</f>
        <v>0.0714285714285714</v>
      </c>
      <c r="K35" s="535" t="n">
        <f aca="false">+IF(OR(K$9&lt;=tranche2grace,K$9&gt;tranche2reppd+tranche2grace),0,IF(tranche2amort=1,1/tranche2reppd,-PPMT(tranche2cost/2,MAX(0,K$9-tranche2grace),tranche2reppd,1)))</f>
        <v>0.0714285714285714</v>
      </c>
      <c r="L35" s="535" t="n">
        <f aca="false">+IF(OR(L$9&lt;=tranche2grace,L$9&gt;tranche2reppd+tranche2grace),0,IF(tranche2amort=1,1/tranche2reppd,-PPMT(tranche2cost/2,MAX(0,L$9-tranche2grace),tranche2reppd,1)))</f>
        <v>0</v>
      </c>
      <c r="M35" s="535" t="n">
        <f aca="false">+IF(OR(M$9&lt;=tranche2grace,M$9&gt;tranche2reppd+tranche2grace),0,IF(tranche2amort=1,1/tranche2reppd,-PPMT(tranche2cost/2,MAX(0,M$9-tranche2grace),tranche2reppd,1)))</f>
        <v>0</v>
      </c>
      <c r="N35" s="535" t="n">
        <f aca="false">+IF(OR(N$9&lt;=tranche2grace,N$9&gt;tranche2reppd+tranche2grace),0,IF(tranche2amort=1,1/tranche2reppd,-PPMT(tranche2cost/2,MAX(0,N$9-tranche2grace),tranche2reppd,1)))</f>
        <v>0</v>
      </c>
      <c r="O35" s="535" t="n">
        <f aca="false">+IF(OR(O$9&lt;=tranche2grace,O$9&gt;tranche2reppd+tranche2grace),0,IF(tranche2amort=1,1/tranche2reppd,-PPMT(tranche2cost/2,MAX(0,O$9-tranche2grace),tranche2reppd,1)))</f>
        <v>0</v>
      </c>
      <c r="P35" s="535" t="n">
        <f aca="false">+IF(OR(P$9&lt;=tranche2grace,P$9&gt;tranche2reppd+tranche2grace),0,IF(tranche2amort=1,1/tranche2reppd,-PPMT(tranche2cost/2,MAX(0,P$9-tranche2grace),tranche2reppd,1)))</f>
        <v>0</v>
      </c>
      <c r="Q35" s="535" t="n">
        <f aca="false">+IF(OR(Q$9&lt;=tranche2grace,Q$9&gt;tranche2reppd+tranche2grace),0,IF(tranche2amort=1,1/tranche2reppd,-PPMT(tranche2cost/2,MAX(0,Q$9-tranche2grace),tranche2reppd,1)))</f>
        <v>0</v>
      </c>
      <c r="R35" s="535" t="n">
        <f aca="false">+IF(OR(R$9&lt;=tranche2grace,R$9&gt;tranche2reppd+tranche2grace),0,IF(tranche2amort=1,1/tranche2reppd,-PPMT(tranche2cost/2,MAX(0,R$9-tranche2grace),tranche2reppd,1)))</f>
        <v>0</v>
      </c>
      <c r="S35" s="535" t="n">
        <f aca="false">+IF(OR(S$9&lt;=tranche2grace,S$9&gt;tranche2reppd+tranche2grace),0,IF(tranche2amort=1,1/tranche2reppd,-PPMT(tranche2cost/2,MAX(0,S$9-tranche2grace),tranche2reppd,1)))</f>
        <v>0</v>
      </c>
      <c r="T35" s="535" t="n">
        <f aca="false">+IF(OR(T$9&lt;=tranche2grace,T$9&gt;tranche2reppd+tranche2grace),0,IF(tranche2amort=1,1/tranche2reppd,-PPMT(tranche2cost/2,MAX(0,T$9-tranche2grace),tranche2reppd,1)))</f>
        <v>0</v>
      </c>
      <c r="U35" s="535" t="n">
        <f aca="false">+IF(OR(U$9&lt;=tranche2grace,U$9&gt;tranche2reppd+tranche2grace),0,IF(tranche2amort=1,1/tranche2reppd,-PPMT(tranche2cost/2,MAX(0,U$9-tranche2grace),tranche2reppd,1)))</f>
        <v>0</v>
      </c>
      <c r="V35" s="535" t="n">
        <f aca="false">+IF(OR(V$9&lt;=tranche2grace,V$9&gt;tranche2reppd+tranche2grace),0,IF(tranche2amort=1,1/tranche2reppd,-PPMT(tranche2cost/2,MAX(0,V$9-tranche2grace),tranche2reppd,1)))</f>
        <v>0</v>
      </c>
      <c r="W35" s="535" t="n">
        <f aca="false">+IF(OR(W$9&lt;=tranche2grace,W$9&gt;tranche2reppd+tranche2grace),0,IF(tranche2amort=1,1/tranche2reppd,-PPMT(tranche2cost/2,MAX(0,W$9-tranche2grace),tranche2reppd,1)))</f>
        <v>0</v>
      </c>
      <c r="X35" s="535" t="n">
        <f aca="false">+IF(OR(X$9&lt;=tranche2grace,X$9&gt;tranche2reppd+tranche2grace),0,IF(tranche2amort=1,1/tranche2reppd,-PPMT(tranche2cost/2,MAX(0,X$9-tranche2grace),tranche2reppd,1)))</f>
        <v>0</v>
      </c>
      <c r="Y35" s="535" t="n">
        <f aca="false">+IF(OR(Y$9&lt;=tranche2grace,Y$9&gt;tranche2reppd+tranche2grace),0,IF(tranche2amort=1,1/tranche2reppd,-PPMT(tranche2cost/2,MAX(0,Y$9-tranche2grace),tranche2reppd,1)))</f>
        <v>0</v>
      </c>
      <c r="Z35" s="535" t="n">
        <f aca="false">+IF(OR(Z$9&lt;=tranche2grace,Z$9&gt;tranche2reppd+tranche2grace),0,IF(tranche2amort=1,1/tranche2reppd,-PPMT(tranche2cost/2,MAX(0,Z$9-tranche2grace),tranche2reppd,1)))</f>
        <v>0</v>
      </c>
      <c r="AA35" s="535" t="n">
        <f aca="false">+IF(OR(AA$9&lt;=tranche2grace,AA$9&gt;tranche2reppd+tranche2grace),0,IF(tranche2amort=1,1/tranche2reppd,-PPMT(tranche2cost/2,MAX(0,AA$9-tranche2grace),tranche2reppd,1)))</f>
        <v>0</v>
      </c>
      <c r="AB35" s="535" t="n">
        <f aca="false">+IF(OR(AB$9&lt;=tranche2grace,AB$9&gt;tranche2reppd+tranche2grace),0,IF(tranche2amort=1,1/tranche2reppd,-PPMT(tranche2cost/2,MAX(0,AB$9-tranche2grace),tranche2reppd,1)))</f>
        <v>0</v>
      </c>
      <c r="AC35" s="535" t="n">
        <f aca="false">+IF(OR(AC$9&lt;=tranche2grace,AC$9&gt;tranche2reppd+tranche2grace),0,IF(tranche2amort=1,1/tranche2reppd,-PPMT(tranche2cost/2,MAX(0,AC$9-tranche2grace),tranche2reppd,1)))</f>
        <v>0</v>
      </c>
      <c r="AD35" s="535" t="n">
        <f aca="false">+IF(OR(AD$9&lt;=tranche2grace,AD$9&gt;tranche2reppd+tranche2grace),0,IF(tranche2amort=1,1/tranche2reppd,-PPMT(tranche2cost/2,MAX(0,AD$9-tranche2grace),tranche2reppd,1)))</f>
        <v>0</v>
      </c>
      <c r="AE35" s="535" t="n">
        <f aca="false">+IF(OR(AE$9&lt;=tranche2grace,AE$9&gt;tranche2reppd+tranche2grace),0,IF(tranche2amort=1,1/tranche2reppd,-PPMT(tranche2cost/2,MAX(0,AE$9-tranche2grace),tranche2reppd,1)))</f>
        <v>0</v>
      </c>
      <c r="AF35" s="536" t="n">
        <f aca="false">SUM(E35:AE35)</f>
        <v>0.5</v>
      </c>
      <c r="AG35" s="537" t="n">
        <f aca="false">+AF35+AF34</f>
        <v>1</v>
      </c>
      <c r="AH35" s="85"/>
      <c r="AI35" s="529"/>
      <c r="AJ35" s="529"/>
      <c r="AK35" s="529"/>
      <c r="AL35" s="529"/>
      <c r="AM35" s="529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530"/>
      <c r="BF35" s="530"/>
      <c r="BG35" s="531"/>
      <c r="BH35" s="531"/>
      <c r="BI35" s="532"/>
      <c r="BJ35" s="531"/>
      <c r="BK35" s="531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329"/>
      <c r="CF35" s="329"/>
      <c r="CG35" s="329"/>
      <c r="CH35" s="329"/>
      <c r="CI35" s="329"/>
      <c r="CJ35" s="329"/>
      <c r="CK35" s="329"/>
      <c r="CL35" s="329"/>
      <c r="CM35" s="329"/>
      <c r="CN35" s="329"/>
      <c r="CO35" s="329"/>
      <c r="CP35" s="329"/>
      <c r="CQ35" s="329"/>
      <c r="CR35" s="329"/>
      <c r="CS35" s="329"/>
      <c r="CT35" s="329"/>
      <c r="CU35" s="329"/>
      <c r="CV35" s="329"/>
      <c r="CW35" s="329"/>
      <c r="CX35" s="329"/>
      <c r="CY35" s="329"/>
      <c r="CZ35" s="329"/>
      <c r="DA35" s="329"/>
      <c r="DB35" s="329"/>
      <c r="DC35" s="329"/>
      <c r="DD35" s="329"/>
      <c r="DE35" s="329"/>
      <c r="DF35" s="329"/>
      <c r="DG35" s="329"/>
      <c r="DH35" s="329"/>
      <c r="DI35" s="329"/>
      <c r="DJ35" s="329"/>
      <c r="DK35" s="329"/>
      <c r="DL35" s="329"/>
      <c r="DM35" s="329"/>
      <c r="DN35" s="329"/>
      <c r="DO35" s="329"/>
      <c r="DP35" s="329"/>
      <c r="DQ35" s="329"/>
      <c r="DR35" s="329"/>
      <c r="DS35" s="329"/>
      <c r="DT35" s="329"/>
      <c r="DU35" s="329"/>
      <c r="DV35" s="329"/>
      <c r="DW35" s="329"/>
      <c r="DX35" s="329"/>
      <c r="DY35" s="329"/>
      <c r="DZ35" s="329"/>
      <c r="EA35" s="329"/>
      <c r="EB35" s="329"/>
      <c r="EC35" s="329"/>
      <c r="ED35" s="329"/>
      <c r="EE35" s="329"/>
      <c r="EF35" s="329"/>
      <c r="EG35" s="329"/>
      <c r="EH35" s="329"/>
      <c r="EI35" s="329"/>
      <c r="EJ35" s="329"/>
      <c r="EK35" s="329"/>
      <c r="EL35" s="329"/>
      <c r="EM35" s="329"/>
      <c r="EN35" s="329"/>
      <c r="EO35" s="329"/>
      <c r="EP35" s="329"/>
      <c r="EQ35" s="329"/>
      <c r="ER35" s="329"/>
      <c r="ES35" s="329"/>
      <c r="ET35" s="329"/>
      <c r="EU35" s="329"/>
      <c r="EV35" s="329"/>
      <c r="EW35" s="329"/>
      <c r="EX35" s="329"/>
      <c r="EY35" s="329"/>
      <c r="EZ35" s="329"/>
      <c r="FA35" s="329"/>
      <c r="FB35" s="329"/>
      <c r="FC35" s="329"/>
      <c r="FD35" s="329"/>
      <c r="FE35" s="329"/>
      <c r="FF35" s="329"/>
      <c r="FG35" s="329"/>
      <c r="FH35" s="329"/>
      <c r="FI35" s="329"/>
      <c r="FJ35" s="329"/>
      <c r="FK35" s="329"/>
      <c r="FL35" s="329"/>
      <c r="FM35" s="329"/>
      <c r="FN35" s="329"/>
      <c r="FO35" s="329"/>
      <c r="FP35" s="329"/>
      <c r="FQ35" s="329"/>
      <c r="FR35" s="329"/>
      <c r="FS35" s="329"/>
      <c r="FT35" s="329"/>
      <c r="FU35" s="329"/>
      <c r="FV35" s="329"/>
      <c r="FW35" s="329"/>
      <c r="FX35" s="329"/>
      <c r="FY35" s="329"/>
      <c r="FZ35" s="329"/>
      <c r="GA35" s="329"/>
      <c r="GB35" s="329"/>
      <c r="GC35" s="329"/>
      <c r="GD35" s="329"/>
      <c r="GE35" s="329"/>
      <c r="GF35" s="329"/>
      <c r="GG35" s="329"/>
      <c r="GH35" s="329"/>
      <c r="GI35" s="329"/>
      <c r="GJ35" s="329"/>
      <c r="GK35" s="329"/>
      <c r="GL35" s="329"/>
      <c r="GM35" s="329"/>
      <c r="GN35" s="329"/>
      <c r="GO35" s="329"/>
      <c r="GP35" s="329"/>
      <c r="GQ35" s="329"/>
      <c r="GR35" s="329"/>
      <c r="GS35" s="329"/>
      <c r="GT35" s="329"/>
      <c r="GU35" s="329"/>
      <c r="GV35" s="329"/>
      <c r="GW35" s="329"/>
      <c r="GX35" s="329"/>
      <c r="GY35" s="329"/>
      <c r="GZ35" s="329"/>
      <c r="HA35" s="329"/>
      <c r="HB35" s="329"/>
      <c r="HC35" s="329"/>
      <c r="HD35" s="329"/>
      <c r="HE35" s="329"/>
      <c r="HF35" s="329"/>
      <c r="HG35" s="329"/>
      <c r="HH35" s="329"/>
      <c r="HI35" s="329"/>
      <c r="HJ35" s="329"/>
      <c r="HK35" s="329"/>
      <c r="HL35" s="329"/>
      <c r="HM35" s="329"/>
      <c r="HN35" s="329"/>
      <c r="HO35" s="329"/>
      <c r="HP35" s="329"/>
      <c r="HQ35" s="329"/>
      <c r="HR35" s="329"/>
      <c r="HS35" s="329"/>
      <c r="HT35" s="329"/>
      <c r="HU35" s="329"/>
      <c r="HV35" s="329"/>
      <c r="HW35" s="329"/>
      <c r="HX35" s="329"/>
      <c r="HY35" s="329"/>
      <c r="HZ35" s="329"/>
      <c r="IA35" s="329"/>
      <c r="IB35" s="329"/>
      <c r="IC35" s="329"/>
      <c r="ID35" s="329"/>
      <c r="IE35" s="329"/>
      <c r="IF35" s="329"/>
      <c r="IG35" s="329"/>
      <c r="IH35" s="329"/>
      <c r="II35" s="329"/>
      <c r="IJ35" s="329"/>
      <c r="IK35" s="329"/>
      <c r="IL35" s="329"/>
      <c r="IM35" s="329"/>
      <c r="IN35" s="329"/>
      <c r="IO35" s="329"/>
      <c r="IP35" s="329"/>
      <c r="IQ35" s="329"/>
      <c r="IR35" s="329"/>
      <c r="IS35" s="329"/>
      <c r="IT35" s="329"/>
      <c r="IU35" s="329"/>
      <c r="IV35" s="329"/>
      <c r="IW35" s="329"/>
    </row>
    <row r="36" customFormat="false" ht="17.2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39"/>
      <c r="AF36" s="14"/>
      <c r="AG36" s="398"/>
      <c r="AH36" s="14"/>
      <c r="AI36" s="540"/>
      <c r="AJ36" s="540"/>
      <c r="AK36" s="540"/>
      <c r="AL36" s="540"/>
      <c r="AM36" s="540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511"/>
      <c r="BF36" s="511"/>
      <c r="BG36" s="512"/>
      <c r="BH36" s="512"/>
      <c r="BI36" s="513"/>
      <c r="BJ36" s="512"/>
      <c r="BK36" s="512"/>
    </row>
    <row r="37" customFormat="false" ht="15" hidden="false" customHeight="false" outlineLevel="0" collapsed="false">
      <c r="A37" s="394" t="str">
        <f aca="false">+Assumpt!$G$54</f>
        <v>Tranche 3</v>
      </c>
      <c r="B37" s="395"/>
      <c r="C37" s="395"/>
      <c r="D37" s="395"/>
      <c r="E37" s="50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  <c r="T37" s="509"/>
      <c r="U37" s="509"/>
      <c r="V37" s="509"/>
      <c r="W37" s="509"/>
      <c r="X37" s="509"/>
      <c r="Y37" s="509"/>
      <c r="Z37" s="509"/>
      <c r="AA37" s="509"/>
      <c r="AB37" s="509"/>
      <c r="AC37" s="509"/>
      <c r="AD37" s="509"/>
      <c r="AE37" s="510"/>
      <c r="AF37" s="390"/>
      <c r="AG37" s="398"/>
      <c r="AH37" s="398"/>
      <c r="AI37" s="14"/>
      <c r="AJ37" s="14"/>
      <c r="AK37" s="14"/>
      <c r="AL37" s="14"/>
      <c r="AM37" s="14"/>
      <c r="AN37" s="14"/>
      <c r="AO37" s="14"/>
      <c r="AP37" s="14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511"/>
      <c r="BF37" s="512"/>
      <c r="BG37" s="512"/>
      <c r="BH37" s="512"/>
      <c r="BI37" s="513"/>
      <c r="BJ37" s="512"/>
      <c r="BK37" s="512"/>
    </row>
    <row r="38" customFormat="false" ht="15" hidden="false" customHeight="false" outlineLevel="0" collapsed="false">
      <c r="A38" s="394" t="s">
        <v>208</v>
      </c>
      <c r="B38" s="395"/>
      <c r="C38" s="395"/>
      <c r="D38" s="395"/>
      <c r="E38" s="514" t="n">
        <f aca="false">+tranche3amt</f>
        <v>0</v>
      </c>
      <c r="F38" s="514" t="n">
        <f aca="false">+E46</f>
        <v>0</v>
      </c>
      <c r="G38" s="514" t="n">
        <f aca="false">+F46</f>
        <v>0</v>
      </c>
      <c r="H38" s="514" t="n">
        <f aca="false">+G46</f>
        <v>0</v>
      </c>
      <c r="I38" s="514" t="n">
        <f aca="false">+H46</f>
        <v>0</v>
      </c>
      <c r="J38" s="514" t="n">
        <f aca="false">+I46</f>
        <v>0</v>
      </c>
      <c r="K38" s="514" t="n">
        <f aca="false">+J46</f>
        <v>0</v>
      </c>
      <c r="L38" s="514" t="n">
        <f aca="false">+K46</f>
        <v>0</v>
      </c>
      <c r="M38" s="514" t="n">
        <f aca="false">+L46</f>
        <v>0</v>
      </c>
      <c r="N38" s="514" t="n">
        <f aca="false">+M46</f>
        <v>0</v>
      </c>
      <c r="O38" s="514" t="n">
        <f aca="false">+N46</f>
        <v>0</v>
      </c>
      <c r="P38" s="514" t="n">
        <f aca="false">+O46</f>
        <v>0</v>
      </c>
      <c r="Q38" s="514" t="n">
        <f aca="false">+P46</f>
        <v>0</v>
      </c>
      <c r="R38" s="514" t="n">
        <f aca="false">+Q46</f>
        <v>0</v>
      </c>
      <c r="S38" s="514" t="n">
        <f aca="false">+R46</f>
        <v>0</v>
      </c>
      <c r="T38" s="514" t="n">
        <f aca="false">+S46</f>
        <v>0</v>
      </c>
      <c r="U38" s="514" t="n">
        <f aca="false">+T46</f>
        <v>0</v>
      </c>
      <c r="V38" s="514" t="n">
        <f aca="false">+U46</f>
        <v>0</v>
      </c>
      <c r="W38" s="514" t="n">
        <f aca="false">+V46</f>
        <v>0</v>
      </c>
      <c r="X38" s="514" t="n">
        <f aca="false">+W46</f>
        <v>0</v>
      </c>
      <c r="Y38" s="514" t="n">
        <f aca="false">+X46</f>
        <v>0</v>
      </c>
      <c r="Z38" s="514" t="n">
        <f aca="false">+Y46</f>
        <v>0</v>
      </c>
      <c r="AA38" s="514" t="n">
        <f aca="false">+Z46</f>
        <v>0</v>
      </c>
      <c r="AB38" s="514" t="n">
        <f aca="false">+AA46</f>
        <v>0</v>
      </c>
      <c r="AC38" s="514" t="n">
        <f aca="false">+AB46</f>
        <v>0</v>
      </c>
      <c r="AD38" s="514" t="n">
        <f aca="false">+AC46</f>
        <v>0</v>
      </c>
      <c r="AE38" s="515" t="n">
        <f aca="false">+AD46</f>
        <v>0</v>
      </c>
      <c r="AF38" s="389"/>
      <c r="AG38" s="14"/>
      <c r="AH38" s="14"/>
      <c r="AI38" s="14"/>
      <c r="AJ38" s="14"/>
      <c r="AK38" s="14"/>
      <c r="AL38" s="14"/>
      <c r="AM38" s="14"/>
      <c r="AN38" s="14"/>
      <c r="AO38" s="85"/>
      <c r="AP38" s="85"/>
      <c r="AQ38" s="358"/>
      <c r="AR38" s="358"/>
      <c r="AS38" s="358"/>
      <c r="AT38" s="358"/>
      <c r="AU38" s="358"/>
      <c r="AV38" s="358"/>
      <c r="AW38" s="358"/>
      <c r="AX38" s="358"/>
      <c r="AY38" s="358"/>
      <c r="AZ38" s="358"/>
      <c r="BA38" s="358"/>
      <c r="BB38" s="358"/>
      <c r="BC38" s="358"/>
      <c r="BD38" s="358"/>
      <c r="BE38" s="511"/>
      <c r="BF38" s="512"/>
      <c r="BG38" s="512"/>
      <c r="BH38" s="512"/>
      <c r="BI38" s="513"/>
      <c r="BJ38" s="512"/>
      <c r="BK38" s="512"/>
    </row>
    <row r="39" customFormat="false" ht="15" hidden="false" customHeight="false" outlineLevel="0" collapsed="false">
      <c r="A39" s="372" t="s">
        <v>209</v>
      </c>
      <c r="B39" s="14"/>
      <c r="C39" s="14"/>
      <c r="D39" s="14"/>
      <c r="E39" s="107" t="n">
        <f aca="false">+tranche3amt*E47</f>
        <v>0</v>
      </c>
      <c r="F39" s="107" t="n">
        <f aca="false">+tranche3amt*F47</f>
        <v>0</v>
      </c>
      <c r="G39" s="107" t="n">
        <f aca="false">+tranche3amt*G47</f>
        <v>0</v>
      </c>
      <c r="H39" s="107" t="n">
        <f aca="false">+tranche3amt*H47</f>
        <v>0</v>
      </c>
      <c r="I39" s="107" t="n">
        <f aca="false">+tranche3amt*I47</f>
        <v>0</v>
      </c>
      <c r="J39" s="107" t="n">
        <f aca="false">+tranche3amt*J47</f>
        <v>0</v>
      </c>
      <c r="K39" s="107" t="n">
        <f aca="false">+tranche3amt*K47</f>
        <v>0</v>
      </c>
      <c r="L39" s="107" t="n">
        <f aca="false">+tranche3amt*L47</f>
        <v>0</v>
      </c>
      <c r="M39" s="107" t="n">
        <f aca="false">+tranche3amt*M47</f>
        <v>0</v>
      </c>
      <c r="N39" s="107" t="n">
        <f aca="false">+tranche3amt*N47</f>
        <v>0</v>
      </c>
      <c r="O39" s="107" t="n">
        <f aca="false">+tranche3amt*O47</f>
        <v>0</v>
      </c>
      <c r="P39" s="107" t="n">
        <f aca="false">+tranche3amt*P47</f>
        <v>0</v>
      </c>
      <c r="Q39" s="107" t="n">
        <f aca="false">+tranche3amt*Q47</f>
        <v>0</v>
      </c>
      <c r="R39" s="107" t="n">
        <f aca="false">+tranche3amt*R47</f>
        <v>0</v>
      </c>
      <c r="S39" s="107" t="n">
        <f aca="false">+tranche3amt*S47</f>
        <v>0</v>
      </c>
      <c r="T39" s="107" t="n">
        <f aca="false">+tranche3amt*T47</f>
        <v>0</v>
      </c>
      <c r="U39" s="107" t="n">
        <f aca="false">+tranche3amt*U47</f>
        <v>0</v>
      </c>
      <c r="V39" s="107" t="n">
        <f aca="false">+tranche3amt*V47</f>
        <v>0</v>
      </c>
      <c r="W39" s="107" t="n">
        <f aca="false">+tranche3amt*W47</f>
        <v>0</v>
      </c>
      <c r="X39" s="107" t="n">
        <f aca="false">+tranche3amt*X47</f>
        <v>0</v>
      </c>
      <c r="Y39" s="107" t="n">
        <f aca="false">+tranche3amt*Y47</f>
        <v>0</v>
      </c>
      <c r="Z39" s="107" t="n">
        <f aca="false">+tranche3amt*Z47</f>
        <v>0</v>
      </c>
      <c r="AA39" s="107" t="n">
        <f aca="false">+tranche3amt*AA47</f>
        <v>0</v>
      </c>
      <c r="AB39" s="107" t="n">
        <f aca="false">+tranche3amt*AB47</f>
        <v>0</v>
      </c>
      <c r="AC39" s="107" t="n">
        <f aca="false">+tranche3amt*AC47</f>
        <v>0</v>
      </c>
      <c r="AD39" s="107" t="n">
        <f aca="false">+tranche3amt*AD47</f>
        <v>0</v>
      </c>
      <c r="AE39" s="107" t="n">
        <f aca="false">+tranche3amt*AE47</f>
        <v>0</v>
      </c>
      <c r="AF39" s="389"/>
      <c r="AG39" s="398"/>
      <c r="AH39" s="14"/>
      <c r="AI39" s="14"/>
      <c r="AJ39" s="14"/>
      <c r="AK39" s="14"/>
      <c r="AL39" s="14"/>
      <c r="AM39" s="14"/>
      <c r="AN39" s="295"/>
      <c r="AO39" s="14"/>
      <c r="AP39" s="107"/>
      <c r="AQ39" s="353"/>
      <c r="AR39" s="353"/>
      <c r="AS39" s="353"/>
      <c r="AT39" s="353"/>
      <c r="AU39" s="353"/>
      <c r="AV39" s="353"/>
      <c r="AW39" s="353"/>
      <c r="AX39" s="353"/>
      <c r="AY39" s="353"/>
      <c r="AZ39" s="353"/>
      <c r="BA39" s="353"/>
      <c r="BB39" s="353"/>
      <c r="BC39" s="353"/>
      <c r="BD39" s="353"/>
      <c r="BE39" s="511"/>
      <c r="BF39" s="512"/>
      <c r="BG39" s="512"/>
      <c r="BH39" s="512"/>
      <c r="BI39" s="513"/>
      <c r="BJ39" s="512"/>
      <c r="BK39" s="512"/>
    </row>
    <row r="40" customFormat="false" ht="15" hidden="false" customHeight="false" outlineLevel="0" collapsed="false">
      <c r="A40" s="372" t="s">
        <v>210</v>
      </c>
      <c r="B40" s="14"/>
      <c r="C40" s="516"/>
      <c r="D40" s="516"/>
      <c r="E40" s="107" t="n">
        <f aca="false">+E38*tranche3cost*(E$6-6)/12</f>
        <v>0</v>
      </c>
      <c r="F40" s="107" t="n">
        <f aca="false">+F38*tranche3cost*MIN(6,E32)/12</f>
        <v>0</v>
      </c>
      <c r="G40" s="107" t="n">
        <f aca="false">+G38*tranche3cost*MIN(6,F32)/12</f>
        <v>0</v>
      </c>
      <c r="H40" s="107" t="n">
        <f aca="false">+H38*tranche3cost*MIN(6,G32)/12</f>
        <v>0</v>
      </c>
      <c r="I40" s="107" t="n">
        <f aca="false">+I38*tranche3cost*MIN(6,H32)/12</f>
        <v>0</v>
      </c>
      <c r="J40" s="107" t="n">
        <f aca="false">+J38*tranche3cost*MIN(6,I32)/12</f>
        <v>0</v>
      </c>
      <c r="K40" s="107" t="n">
        <f aca="false">+K38*tranche3cost*MIN(6,J32)/12</f>
        <v>0</v>
      </c>
      <c r="L40" s="107" t="n">
        <f aca="false">+L38*tranche3cost*MIN(6,K32)/12</f>
        <v>0</v>
      </c>
      <c r="M40" s="107" t="n">
        <f aca="false">+M38*tranche3cost*MIN(6,L32)/12</f>
        <v>0</v>
      </c>
      <c r="N40" s="107" t="n">
        <f aca="false">+N38*tranche3cost*MIN(6,M32)/12</f>
        <v>0</v>
      </c>
      <c r="O40" s="107" t="n">
        <f aca="false">+O38*tranche3cost*MIN(6,N32)/12</f>
        <v>0</v>
      </c>
      <c r="P40" s="107" t="n">
        <f aca="false">+P38*tranche3cost*MIN(6,O32)/12</f>
        <v>0</v>
      </c>
      <c r="Q40" s="107" t="n">
        <f aca="false">+Q38*tranche3cost*MIN(6,P32)/12</f>
        <v>0</v>
      </c>
      <c r="R40" s="107" t="n">
        <f aca="false">+R38*tranche3cost*MIN(6,Q32)/12</f>
        <v>0</v>
      </c>
      <c r="S40" s="107" t="n">
        <f aca="false">+S38*tranche3cost*MIN(6,R32)/12</f>
        <v>0</v>
      </c>
      <c r="T40" s="107" t="n">
        <f aca="false">+T38*tranche3cost*MIN(6,S32)/12</f>
        <v>0</v>
      </c>
      <c r="U40" s="107" t="n">
        <f aca="false">+U38*tranche3cost*MIN(6,T32)/12</f>
        <v>0</v>
      </c>
      <c r="V40" s="107" t="n">
        <f aca="false">+V38*tranche3cost*MIN(6,U32)/12</f>
        <v>0</v>
      </c>
      <c r="W40" s="107" t="n">
        <f aca="false">+W38*tranche3cost*MIN(6,V32)/12</f>
        <v>0</v>
      </c>
      <c r="X40" s="107" t="n">
        <f aca="false">+X38*tranche3cost*MIN(6,W32)/12</f>
        <v>0</v>
      </c>
      <c r="Y40" s="107" t="n">
        <f aca="false">+Y38*tranche3cost*MIN(6,X32)/12</f>
        <v>0</v>
      </c>
      <c r="Z40" s="107" t="n">
        <f aca="false">+Z38*tranche3cost*MIN(6,Y32)/12</f>
        <v>0</v>
      </c>
      <c r="AA40" s="107" t="n">
        <f aca="false">+AA38*tranche3cost*MIN(6,Z32)/12</f>
        <v>0</v>
      </c>
      <c r="AB40" s="107" t="n">
        <f aca="false">+AB38*tranche3cost*MIN(6,AA32)/12</f>
        <v>0</v>
      </c>
      <c r="AC40" s="107" t="n">
        <f aca="false">+AC38*tranche3cost*MIN(6,AB32)/12</f>
        <v>0</v>
      </c>
      <c r="AD40" s="107" t="n">
        <f aca="false">+AD38*tranche3cost*MIN(6,AC32)/12</f>
        <v>0</v>
      </c>
      <c r="AE40" s="517" t="n">
        <f aca="false">+AE38*tranche3cost*MIN(6,AD32)/12</f>
        <v>0</v>
      </c>
      <c r="AF40" s="389"/>
      <c r="AG40" s="398"/>
      <c r="AH40" s="398"/>
      <c r="AI40" s="14"/>
      <c r="AJ40" s="14"/>
      <c r="AK40" s="14"/>
      <c r="AL40" s="14"/>
      <c r="AM40" s="14"/>
      <c r="AN40" s="14"/>
      <c r="AO40" s="14"/>
      <c r="AP40" s="14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511"/>
      <c r="BF40" s="512"/>
      <c r="BG40" s="512"/>
      <c r="BH40" s="512"/>
      <c r="BI40" s="513"/>
      <c r="BJ40" s="512"/>
      <c r="BK40" s="512"/>
    </row>
    <row r="41" customFormat="false" ht="15" hidden="false" customHeight="false" outlineLevel="0" collapsed="false">
      <c r="A41" s="359" t="s">
        <v>211</v>
      </c>
      <c r="B41" s="85"/>
      <c r="C41" s="85"/>
      <c r="D41" s="85"/>
      <c r="E41" s="518" t="n">
        <f aca="false">+E39+E40</f>
        <v>0</v>
      </c>
      <c r="F41" s="518" t="n">
        <f aca="false">+F39+F40</f>
        <v>0</v>
      </c>
      <c r="G41" s="518" t="n">
        <f aca="false">+G39+G40</f>
        <v>0</v>
      </c>
      <c r="H41" s="518" t="n">
        <f aca="false">+H39+H40</f>
        <v>0</v>
      </c>
      <c r="I41" s="518" t="n">
        <f aca="false">+I39+I40</f>
        <v>0</v>
      </c>
      <c r="J41" s="518" t="n">
        <f aca="false">+J39+J40</f>
        <v>0</v>
      </c>
      <c r="K41" s="518" t="n">
        <f aca="false">+K39+K40</f>
        <v>0</v>
      </c>
      <c r="L41" s="518" t="n">
        <f aca="false">+L39+L40</f>
        <v>0</v>
      </c>
      <c r="M41" s="518" t="n">
        <f aca="false">+M39+M40</f>
        <v>0</v>
      </c>
      <c r="N41" s="518" t="n">
        <f aca="false">+N39+N40</f>
        <v>0</v>
      </c>
      <c r="O41" s="518" t="n">
        <f aca="false">+O39+O40</f>
        <v>0</v>
      </c>
      <c r="P41" s="518" t="n">
        <f aca="false">+P39+P40</f>
        <v>0</v>
      </c>
      <c r="Q41" s="518" t="n">
        <f aca="false">+Q39+Q40</f>
        <v>0</v>
      </c>
      <c r="R41" s="518" t="n">
        <f aca="false">+R39+R40</f>
        <v>0</v>
      </c>
      <c r="S41" s="518" t="n">
        <f aca="false">+S39+S40</f>
        <v>0</v>
      </c>
      <c r="T41" s="518" t="n">
        <f aca="false">+T39+T40</f>
        <v>0</v>
      </c>
      <c r="U41" s="518" t="n">
        <f aca="false">+U39+U40</f>
        <v>0</v>
      </c>
      <c r="V41" s="518" t="n">
        <f aca="false">+V39+V40</f>
        <v>0</v>
      </c>
      <c r="W41" s="518" t="n">
        <f aca="false">+W39+W40</f>
        <v>0</v>
      </c>
      <c r="X41" s="518" t="n">
        <f aca="false">+X39+X40</f>
        <v>0</v>
      </c>
      <c r="Y41" s="518" t="n">
        <f aca="false">+Y39+Y40</f>
        <v>0</v>
      </c>
      <c r="Z41" s="518" t="n">
        <f aca="false">+Z39+Z40</f>
        <v>0</v>
      </c>
      <c r="AA41" s="518" t="n">
        <f aca="false">+AA39+AA40</f>
        <v>0</v>
      </c>
      <c r="AB41" s="518" t="n">
        <f aca="false">+AB39+AB40</f>
        <v>0</v>
      </c>
      <c r="AC41" s="518" t="n">
        <f aca="false">+AC39+AC40</f>
        <v>0</v>
      </c>
      <c r="AD41" s="518" t="n">
        <f aca="false">+AD39+AD40</f>
        <v>0</v>
      </c>
      <c r="AE41" s="519" t="n">
        <f aca="false">+AE39+AE40</f>
        <v>0</v>
      </c>
      <c r="AF41" s="389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511"/>
      <c r="BF41" s="511"/>
      <c r="BG41" s="512"/>
      <c r="BH41" s="512"/>
      <c r="BI41" s="513"/>
      <c r="BJ41" s="512"/>
      <c r="BK41" s="512"/>
    </row>
    <row r="42" customFormat="false" ht="15" hidden="false" customHeight="false" outlineLevel="0" collapsed="false">
      <c r="A42" s="375" t="s">
        <v>212</v>
      </c>
      <c r="B42" s="14"/>
      <c r="C42" s="14"/>
      <c r="D42" s="14"/>
      <c r="E42" s="353" t="n">
        <f aca="false">E38-E39</f>
        <v>0</v>
      </c>
      <c r="F42" s="353" t="n">
        <f aca="false">F38-F39</f>
        <v>0</v>
      </c>
      <c r="G42" s="353" t="n">
        <f aca="false">G38-G39</f>
        <v>0</v>
      </c>
      <c r="H42" s="353" t="n">
        <f aca="false">H38-H39</f>
        <v>0</v>
      </c>
      <c r="I42" s="353" t="n">
        <f aca="false">I38-I39</f>
        <v>0</v>
      </c>
      <c r="J42" s="353" t="n">
        <f aca="false">J38-J39</f>
        <v>0</v>
      </c>
      <c r="K42" s="353" t="n">
        <f aca="false">K38-K39</f>
        <v>0</v>
      </c>
      <c r="L42" s="353" t="n">
        <f aca="false">L38-L39</f>
        <v>0</v>
      </c>
      <c r="M42" s="353" t="n">
        <f aca="false">M38-M39</f>
        <v>0</v>
      </c>
      <c r="N42" s="353" t="n">
        <f aca="false">N38-N39</f>
        <v>0</v>
      </c>
      <c r="O42" s="353" t="n">
        <f aca="false">O38-O39</f>
        <v>0</v>
      </c>
      <c r="P42" s="353" t="n">
        <f aca="false">P38-P39</f>
        <v>0</v>
      </c>
      <c r="Q42" s="353" t="n">
        <f aca="false">Q38-Q39</f>
        <v>0</v>
      </c>
      <c r="R42" s="353" t="n">
        <f aca="false">R38-R39</f>
        <v>0</v>
      </c>
      <c r="S42" s="353" t="n">
        <f aca="false">S38-S39</f>
        <v>0</v>
      </c>
      <c r="T42" s="353" t="n">
        <f aca="false">T38-T39</f>
        <v>0</v>
      </c>
      <c r="U42" s="353" t="n">
        <f aca="false">U38-U39</f>
        <v>0</v>
      </c>
      <c r="V42" s="353" t="n">
        <f aca="false">V38-V39</f>
        <v>0</v>
      </c>
      <c r="W42" s="353" t="n">
        <f aca="false">W38-W39</f>
        <v>0</v>
      </c>
      <c r="X42" s="353" t="n">
        <f aca="false">X38-X39</f>
        <v>0</v>
      </c>
      <c r="Y42" s="353" t="n">
        <f aca="false">Y38-Y39</f>
        <v>0</v>
      </c>
      <c r="Z42" s="353" t="n">
        <f aca="false">Z38-Z39</f>
        <v>0</v>
      </c>
      <c r="AA42" s="353" t="n">
        <f aca="false">AA38-AA39</f>
        <v>0</v>
      </c>
      <c r="AB42" s="353" t="n">
        <f aca="false">AB38-AB39</f>
        <v>0</v>
      </c>
      <c r="AC42" s="353" t="n">
        <f aca="false">AC38-AC39</f>
        <v>0</v>
      </c>
      <c r="AD42" s="353" t="n">
        <f aca="false">AD38-AD39</f>
        <v>0</v>
      </c>
      <c r="AE42" s="520" t="n">
        <f aca="false">MAX(AE38-AE39,0)</f>
        <v>0</v>
      </c>
      <c r="AF42" s="389"/>
      <c r="AG42" s="398"/>
      <c r="AH42" s="14"/>
      <c r="AI42" s="14"/>
      <c r="AJ42" s="14"/>
      <c r="AK42" s="14"/>
      <c r="AL42" s="14"/>
      <c r="AM42" s="14"/>
      <c r="AN42" s="14"/>
      <c r="AO42" s="85"/>
      <c r="AP42" s="85"/>
      <c r="AQ42" s="358"/>
      <c r="AR42" s="358"/>
      <c r="AS42" s="358"/>
      <c r="AT42" s="358"/>
      <c r="AU42" s="358"/>
      <c r="AV42" s="358"/>
      <c r="AW42" s="358"/>
      <c r="AX42" s="358"/>
      <c r="AY42" s="358"/>
      <c r="AZ42" s="358"/>
      <c r="BA42" s="358"/>
      <c r="BB42" s="358"/>
      <c r="BC42" s="358"/>
      <c r="BD42" s="358"/>
      <c r="BE42" s="511"/>
      <c r="BF42" s="511"/>
      <c r="BG42" s="512"/>
      <c r="BH42" s="512"/>
      <c r="BI42" s="513"/>
      <c r="BJ42" s="512"/>
      <c r="BK42" s="512"/>
    </row>
    <row r="43" customFormat="false" ht="15" hidden="false" customHeight="false" outlineLevel="0" collapsed="false">
      <c r="A43" s="372" t="s">
        <v>213</v>
      </c>
      <c r="B43" s="14"/>
      <c r="C43" s="14"/>
      <c r="D43" s="14"/>
      <c r="E43" s="107" t="n">
        <f aca="false">+tranche3amt*E48</f>
        <v>0</v>
      </c>
      <c r="F43" s="107" t="n">
        <f aca="false">+tranche3amt*F48</f>
        <v>0</v>
      </c>
      <c r="G43" s="107" t="n">
        <f aca="false">+tranche3amt*G48</f>
        <v>0</v>
      </c>
      <c r="H43" s="107" t="n">
        <f aca="false">+tranche3amt*H48</f>
        <v>0</v>
      </c>
      <c r="I43" s="107" t="n">
        <f aca="false">+tranche3amt*I48</f>
        <v>0</v>
      </c>
      <c r="J43" s="107" t="n">
        <f aca="false">+tranche3amt*J48</f>
        <v>0</v>
      </c>
      <c r="K43" s="107" t="n">
        <f aca="false">+tranche3amt*K48</f>
        <v>0</v>
      </c>
      <c r="L43" s="107" t="n">
        <f aca="false">+tranche3amt*L48</f>
        <v>0</v>
      </c>
      <c r="M43" s="107" t="n">
        <f aca="false">+tranche3amt*M48</f>
        <v>0</v>
      </c>
      <c r="N43" s="107" t="n">
        <f aca="false">+tranche3amt*N48</f>
        <v>0</v>
      </c>
      <c r="O43" s="107" t="n">
        <f aca="false">+tranche3amt*O48</f>
        <v>0</v>
      </c>
      <c r="P43" s="107" t="n">
        <f aca="false">+tranche3amt*P48</f>
        <v>0</v>
      </c>
      <c r="Q43" s="107" t="n">
        <f aca="false">+tranche3amt*Q48</f>
        <v>0</v>
      </c>
      <c r="R43" s="107" t="n">
        <f aca="false">+tranche3amt*R48</f>
        <v>0</v>
      </c>
      <c r="S43" s="107" t="n">
        <f aca="false">+tranche3amt*S48</f>
        <v>0</v>
      </c>
      <c r="T43" s="107" t="n">
        <f aca="false">+tranche3amt*T48</f>
        <v>0</v>
      </c>
      <c r="U43" s="107" t="n">
        <f aca="false">+tranche3amt*U48</f>
        <v>0</v>
      </c>
      <c r="V43" s="107" t="n">
        <f aca="false">+tranche3amt*V48</f>
        <v>0</v>
      </c>
      <c r="W43" s="107" t="n">
        <f aca="false">+tranche3amt*W48</f>
        <v>0</v>
      </c>
      <c r="X43" s="107" t="n">
        <f aca="false">+tranche3amt*X48</f>
        <v>0</v>
      </c>
      <c r="Y43" s="107" t="n">
        <f aca="false">+tranche3amt*Y48</f>
        <v>0</v>
      </c>
      <c r="Z43" s="107" t="n">
        <f aca="false">+tranche3amt*Z48</f>
        <v>0</v>
      </c>
      <c r="AA43" s="107" t="n">
        <f aca="false">+tranche3amt*AA48</f>
        <v>0</v>
      </c>
      <c r="AB43" s="107" t="n">
        <f aca="false">+tranche3amt*AB48</f>
        <v>0</v>
      </c>
      <c r="AC43" s="107" t="n">
        <f aca="false">+tranche3amt*AC48</f>
        <v>0</v>
      </c>
      <c r="AD43" s="107" t="n">
        <f aca="false">+tranche3amt*AD48</f>
        <v>0</v>
      </c>
      <c r="AE43" s="107" t="n">
        <f aca="false">+tranche3amt*AE48</f>
        <v>0</v>
      </c>
      <c r="AF43" s="389"/>
      <c r="AG43" s="398"/>
      <c r="AH43" s="398"/>
      <c r="AI43" s="14"/>
      <c r="AJ43" s="14"/>
      <c r="AK43" s="14"/>
      <c r="AL43" s="14"/>
      <c r="AM43" s="14"/>
      <c r="AN43" s="295"/>
      <c r="AO43" s="14"/>
      <c r="AP43" s="14"/>
      <c r="AQ43" s="353"/>
      <c r="AR43" s="353"/>
      <c r="AS43" s="353"/>
      <c r="AT43" s="353"/>
      <c r="AU43" s="353"/>
      <c r="AV43" s="353"/>
      <c r="AW43" s="353"/>
      <c r="AX43" s="353"/>
      <c r="AY43" s="353"/>
      <c r="AZ43" s="353"/>
      <c r="BA43" s="353"/>
      <c r="BB43" s="353"/>
      <c r="BC43" s="353"/>
      <c r="BD43" s="353"/>
      <c r="BE43" s="511"/>
      <c r="BF43" s="511"/>
      <c r="BG43" s="512"/>
      <c r="BH43" s="512"/>
      <c r="BI43" s="513"/>
      <c r="BJ43" s="512"/>
      <c r="BK43" s="512"/>
    </row>
    <row r="44" customFormat="false" ht="15" hidden="false" customHeight="false" outlineLevel="0" collapsed="false">
      <c r="A44" s="372" t="s">
        <v>214</v>
      </c>
      <c r="B44" s="14"/>
      <c r="C44" s="14"/>
      <c r="D44" s="14"/>
      <c r="E44" s="107" t="n">
        <f aca="false">+E42*tranche3cost*MIN(6,E32)/12</f>
        <v>0</v>
      </c>
      <c r="F44" s="107" t="n">
        <f aca="false">+F42*tranche3cost*(E$6-6)/12</f>
        <v>0</v>
      </c>
      <c r="G44" s="107" t="n">
        <f aca="false">+G42*tranche3cost*(F$6-6)/12</f>
        <v>0</v>
      </c>
      <c r="H44" s="107" t="n">
        <f aca="false">+H42*tranche3cost*(G$6-6)/12</f>
        <v>0</v>
      </c>
      <c r="I44" s="107" t="n">
        <f aca="false">+I42*tranche3cost*(H$6-6)/12</f>
        <v>0</v>
      </c>
      <c r="J44" s="107" t="n">
        <f aca="false">+J42*tranche3cost*(I$6-6)/12</f>
        <v>0</v>
      </c>
      <c r="K44" s="107" t="n">
        <f aca="false">+K42*tranche3cost*(J$6-6)/12</f>
        <v>0</v>
      </c>
      <c r="L44" s="107" t="n">
        <f aca="false">+L42*tranche3cost*(K$6-6)/12</f>
        <v>0</v>
      </c>
      <c r="M44" s="107" t="n">
        <f aca="false">+M42*tranche3cost*(L$6-6)/12</f>
        <v>0</v>
      </c>
      <c r="N44" s="107" t="n">
        <f aca="false">+N42*tranche3cost*(M$6-6)/12</f>
        <v>0</v>
      </c>
      <c r="O44" s="107" t="n">
        <f aca="false">+O42*tranche3cost*(N$6-6)/12</f>
        <v>0</v>
      </c>
      <c r="P44" s="107" t="n">
        <f aca="false">+P42*tranche3cost*(O$6-6)/12</f>
        <v>0</v>
      </c>
      <c r="Q44" s="107" t="n">
        <f aca="false">+Q42*tranche3cost*(P$6-6)/12</f>
        <v>0</v>
      </c>
      <c r="R44" s="107" t="n">
        <f aca="false">+R42*tranche3cost*(Q$6-6)/12</f>
        <v>0</v>
      </c>
      <c r="S44" s="107" t="n">
        <f aca="false">+S42*tranche3cost*(R$6-6)/12</f>
        <v>0</v>
      </c>
      <c r="T44" s="107" t="n">
        <f aca="false">+T42*tranche3cost*(S$6-6)/12</f>
        <v>0</v>
      </c>
      <c r="U44" s="107" t="n">
        <f aca="false">+U42*tranche3cost*(T$6-6)/12</f>
        <v>-0</v>
      </c>
      <c r="V44" s="107" t="n">
        <f aca="false">+V42*tranche3cost*(U$6-6)/12</f>
        <v>-0</v>
      </c>
      <c r="W44" s="107" t="n">
        <f aca="false">+W42*tranche3cost*(V$6-6)/12</f>
        <v>-0</v>
      </c>
      <c r="X44" s="107" t="n">
        <f aca="false">+X42*tranche3cost*(W$6-6)/12</f>
        <v>-0</v>
      </c>
      <c r="Y44" s="107" t="n">
        <f aca="false">+Y42*tranche3cost*(X$6-6)/12</f>
        <v>-0</v>
      </c>
      <c r="Z44" s="107" t="n">
        <f aca="false">+Z42*tranche3cost*(Y$6-6)/12</f>
        <v>-0</v>
      </c>
      <c r="AA44" s="107" t="n">
        <f aca="false">+AA42*tranche3cost*(Z$6-6)/12</f>
        <v>-0</v>
      </c>
      <c r="AB44" s="107" t="n">
        <f aca="false">+AB42*tranche3cost*(AA$6-6)/12</f>
        <v>-0</v>
      </c>
      <c r="AC44" s="107" t="n">
        <f aca="false">+AC42*tranche3cost*(AB$6-6)/12</f>
        <v>-0</v>
      </c>
      <c r="AD44" s="107" t="n">
        <f aca="false">+AD42*tranche3cost*(AC$6-6)/12</f>
        <v>-0</v>
      </c>
      <c r="AE44" s="517" t="n">
        <f aca="false">+AE42*tranche3cost*(AD$6-6)/12</f>
        <v>-0</v>
      </c>
      <c r="AF44" s="389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511"/>
      <c r="BF44" s="511"/>
      <c r="BG44" s="512"/>
      <c r="BH44" s="512"/>
      <c r="BI44" s="513"/>
      <c r="BJ44" s="512"/>
      <c r="BK44" s="512"/>
    </row>
    <row r="45" customFormat="false" ht="15" hidden="false" customHeight="false" outlineLevel="0" collapsed="false">
      <c r="A45" s="359" t="s">
        <v>215</v>
      </c>
      <c r="B45" s="85"/>
      <c r="C45" s="85"/>
      <c r="D45" s="85"/>
      <c r="E45" s="358" t="n">
        <f aca="false">+E43+E44</f>
        <v>0</v>
      </c>
      <c r="F45" s="358" t="n">
        <f aca="false">+F43+F44</f>
        <v>0</v>
      </c>
      <c r="G45" s="358" t="n">
        <f aca="false">+G43+G44</f>
        <v>0</v>
      </c>
      <c r="H45" s="358" t="n">
        <f aca="false">+H43+H44</f>
        <v>0</v>
      </c>
      <c r="I45" s="358" t="n">
        <f aca="false">+I43+I44</f>
        <v>0</v>
      </c>
      <c r="J45" s="358" t="n">
        <f aca="false">+J43+J44</f>
        <v>0</v>
      </c>
      <c r="K45" s="358" t="n">
        <f aca="false">+K43+K44</f>
        <v>0</v>
      </c>
      <c r="L45" s="358" t="n">
        <f aca="false">+L43+L44</f>
        <v>0</v>
      </c>
      <c r="M45" s="358" t="n">
        <f aca="false">+M43+M44</f>
        <v>0</v>
      </c>
      <c r="N45" s="358" t="n">
        <f aca="false">+N43+N44</f>
        <v>0</v>
      </c>
      <c r="O45" s="358" t="n">
        <f aca="false">+O43+O44</f>
        <v>0</v>
      </c>
      <c r="P45" s="358" t="n">
        <f aca="false">+P43+P44</f>
        <v>0</v>
      </c>
      <c r="Q45" s="358" t="n">
        <f aca="false">+Q43+Q44</f>
        <v>0</v>
      </c>
      <c r="R45" s="358" t="n">
        <f aca="false">+R43+R44</f>
        <v>0</v>
      </c>
      <c r="S45" s="358" t="n">
        <f aca="false">+S43+S44</f>
        <v>0</v>
      </c>
      <c r="T45" s="358" t="n">
        <f aca="false">+T43+T44</f>
        <v>0</v>
      </c>
      <c r="U45" s="358" t="n">
        <f aca="false">+U43+U44</f>
        <v>0</v>
      </c>
      <c r="V45" s="358" t="n">
        <f aca="false">+V43+V44</f>
        <v>0</v>
      </c>
      <c r="W45" s="358" t="n">
        <f aca="false">+W43+W44</f>
        <v>0</v>
      </c>
      <c r="X45" s="358" t="n">
        <f aca="false">+X43+X44</f>
        <v>0</v>
      </c>
      <c r="Y45" s="358" t="n">
        <f aca="false">+Y43+Y44</f>
        <v>0</v>
      </c>
      <c r="Z45" s="358" t="n">
        <f aca="false">+Z43+Z44</f>
        <v>0</v>
      </c>
      <c r="AA45" s="358" t="n">
        <f aca="false">+AA43+AA44</f>
        <v>0</v>
      </c>
      <c r="AB45" s="358" t="n">
        <f aca="false">+AB43+AB44</f>
        <v>0</v>
      </c>
      <c r="AC45" s="358" t="n">
        <f aca="false">+AC43+AC44</f>
        <v>0</v>
      </c>
      <c r="AD45" s="358" t="n">
        <f aca="false">+AD43+AD44</f>
        <v>0</v>
      </c>
      <c r="AE45" s="521" t="n">
        <f aca="false">+AE43+AE44</f>
        <v>0</v>
      </c>
      <c r="AF45" s="389"/>
      <c r="AG45" s="398"/>
      <c r="AH45" s="14"/>
      <c r="AI45" s="14"/>
      <c r="AJ45" s="14"/>
      <c r="AK45" s="14"/>
      <c r="AL45" s="14"/>
      <c r="AM45" s="14"/>
      <c r="AN45" s="14"/>
      <c r="AO45" s="14"/>
      <c r="AP45" s="14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511"/>
      <c r="BF45" s="511"/>
      <c r="BG45" s="512"/>
      <c r="BH45" s="512"/>
      <c r="BI45" s="513"/>
      <c r="BJ45" s="512"/>
      <c r="BK45" s="512"/>
    </row>
    <row r="46" customFormat="false" ht="15" hidden="false" customHeight="false" outlineLevel="0" collapsed="false">
      <c r="A46" s="522" t="s">
        <v>216</v>
      </c>
      <c r="B46" s="199"/>
      <c r="C46" s="481"/>
      <c r="D46" s="481"/>
      <c r="E46" s="523" t="n">
        <f aca="false">E42-E43</f>
        <v>0</v>
      </c>
      <c r="F46" s="523" t="n">
        <f aca="false">F42-F43</f>
        <v>0</v>
      </c>
      <c r="G46" s="523" t="n">
        <f aca="false">G42-G43</f>
        <v>0</v>
      </c>
      <c r="H46" s="523" t="n">
        <f aca="false">H42-H43</f>
        <v>0</v>
      </c>
      <c r="I46" s="523" t="n">
        <f aca="false">I42-I43</f>
        <v>0</v>
      </c>
      <c r="J46" s="523" t="n">
        <f aca="false">J42-J43</f>
        <v>0</v>
      </c>
      <c r="K46" s="523" t="n">
        <f aca="false">K42-K43</f>
        <v>0</v>
      </c>
      <c r="L46" s="523" t="n">
        <f aca="false">L42-L43</f>
        <v>0</v>
      </c>
      <c r="M46" s="523" t="n">
        <f aca="false">M42-M43</f>
        <v>0</v>
      </c>
      <c r="N46" s="523" t="n">
        <f aca="false">N42-N43</f>
        <v>0</v>
      </c>
      <c r="O46" s="523" t="n">
        <f aca="false">O42-O43</f>
        <v>0</v>
      </c>
      <c r="P46" s="523" t="n">
        <f aca="false">P42-P43</f>
        <v>0</v>
      </c>
      <c r="Q46" s="523" t="n">
        <f aca="false">Q42-Q43</f>
        <v>0</v>
      </c>
      <c r="R46" s="523" t="n">
        <f aca="false">R42-R43</f>
        <v>0</v>
      </c>
      <c r="S46" s="523" t="n">
        <f aca="false">S42-S43</f>
        <v>0</v>
      </c>
      <c r="T46" s="523" t="n">
        <f aca="false">T42-T43</f>
        <v>0</v>
      </c>
      <c r="U46" s="523" t="n">
        <f aca="false">U42-U43</f>
        <v>0</v>
      </c>
      <c r="V46" s="523" t="n">
        <f aca="false">V42-V43</f>
        <v>0</v>
      </c>
      <c r="W46" s="523" t="n">
        <f aca="false">W42-W43</f>
        <v>0</v>
      </c>
      <c r="X46" s="523" t="n">
        <f aca="false">X42-X43</f>
        <v>0</v>
      </c>
      <c r="Y46" s="523" t="n">
        <f aca="false">Y42-Y43</f>
        <v>0</v>
      </c>
      <c r="Z46" s="523" t="n">
        <f aca="false">Z42-Z43</f>
        <v>0</v>
      </c>
      <c r="AA46" s="523" t="n">
        <f aca="false">AA42-AA43</f>
        <v>0</v>
      </c>
      <c r="AB46" s="523" t="n">
        <f aca="false">AB42-AB43</f>
        <v>0</v>
      </c>
      <c r="AC46" s="523" t="n">
        <f aca="false">AC42-AC43</f>
        <v>0</v>
      </c>
      <c r="AD46" s="523" t="n">
        <f aca="false">AD42-AD43</f>
        <v>0</v>
      </c>
      <c r="AE46" s="523" t="n">
        <f aca="false">AE42-AE43</f>
        <v>0</v>
      </c>
      <c r="AF46" s="389"/>
      <c r="AG46" s="398"/>
      <c r="AH46" s="398"/>
      <c r="AI46" s="14"/>
      <c r="AJ46" s="14"/>
      <c r="AK46" s="14"/>
      <c r="AL46" s="14"/>
      <c r="AM46" s="14"/>
      <c r="AN46" s="14"/>
      <c r="AO46" s="85"/>
      <c r="AP46" s="85"/>
      <c r="AQ46" s="358"/>
      <c r="AR46" s="358"/>
      <c r="AS46" s="358"/>
      <c r="AT46" s="358"/>
      <c r="AU46" s="358"/>
      <c r="AV46" s="358"/>
      <c r="AW46" s="358"/>
      <c r="AX46" s="358"/>
      <c r="AY46" s="358"/>
      <c r="AZ46" s="358"/>
      <c r="BA46" s="358"/>
      <c r="BB46" s="358"/>
      <c r="BC46" s="358"/>
      <c r="BD46" s="358"/>
      <c r="BE46" s="511"/>
      <c r="BF46" s="511"/>
      <c r="BG46" s="512"/>
      <c r="BH46" s="512"/>
      <c r="BI46" s="513"/>
      <c r="BJ46" s="512"/>
      <c r="BK46" s="512"/>
    </row>
    <row r="47" customFormat="false" ht="15" hidden="false" customHeight="false" outlineLevel="0" collapsed="false">
      <c r="A47" s="524" t="s">
        <v>217</v>
      </c>
      <c r="B47" s="525"/>
      <c r="C47" s="525"/>
      <c r="D47" s="525"/>
      <c r="E47" s="526" t="n">
        <f aca="false">+IF(OR(E$8&lt;=tranche3grace,E$8&gt;tranche3reppd+tranche3grace),0,IF(tranche3amort=1,1/tranche3reppd,-PPMT(tranche3cost/2,MAX(0,E$8-tranche3grace),tranche3reppd,1)))</f>
        <v>0</v>
      </c>
      <c r="F47" s="526" t="n">
        <f aca="false">+IF(OR(F$8&lt;=tranche3grace,F$8&gt;tranche3reppd+tranche3grace),0,IF(tranche3amort=1,1/tranche3reppd,-PPMT(tranche3cost/2,MAX(0,F$8-tranche3grace),tranche3reppd,1)))</f>
        <v>0</v>
      </c>
      <c r="G47" s="526" t="n">
        <f aca="false">+IF(OR(G$8&lt;=tranche3grace,G$8&gt;tranche3reppd+tranche3grace),0,IF(tranche3amort=1,1/tranche3reppd,-PPMT(tranche3cost/2,MAX(0,G$8-tranche3grace),tranche3reppd,1)))</f>
        <v>0</v>
      </c>
      <c r="H47" s="526" t="n">
        <f aca="false">+IF(OR(H$8&lt;=tranche3grace,H$8&gt;tranche3reppd+tranche3grace),0,IF(tranche3amort=1,1/tranche3reppd,-PPMT(tranche3cost/2,MAX(0,H$8-tranche3grace),tranche3reppd,1)))</f>
        <v>0</v>
      </c>
      <c r="I47" s="526" t="n">
        <f aca="false">+IF(OR(I$8&lt;=tranche3grace,I$8&gt;tranche3reppd+tranche3grace),0,IF(tranche3amort=1,1/tranche3reppd,-PPMT(tranche3cost/2,MAX(0,I$8-tranche3grace),tranche3reppd,1)))</f>
        <v>0</v>
      </c>
      <c r="J47" s="526" t="n">
        <f aca="false">+IF(OR(J$8&lt;=tranche3grace,J$8&gt;tranche3reppd+tranche3grace),0,IF(tranche3amort=1,1/tranche3reppd,-PPMT(tranche3cost/2,MAX(0,J$8-tranche3grace),tranche3reppd,1)))</f>
        <v>0</v>
      </c>
      <c r="K47" s="526" t="n">
        <f aca="false">+IF(OR(K$8&lt;=tranche3grace,K$8&gt;tranche3reppd+tranche3grace),0,IF(tranche3amort=1,1/tranche3reppd,-PPMT(tranche3cost/2,MAX(0,K$8-tranche3grace),tranche3reppd,1)))</f>
        <v>0</v>
      </c>
      <c r="L47" s="526" t="n">
        <f aca="false">+IF(OR(L$8&lt;=tranche3grace,L$8&gt;tranche3reppd+tranche3grace),0,IF(tranche3amort=1,1/tranche3reppd,-PPMT(tranche3cost/2,MAX(0,L$8-tranche3grace),tranche3reppd,1)))</f>
        <v>0</v>
      </c>
      <c r="M47" s="526" t="n">
        <f aca="false">+IF(OR(M$8&lt;=tranche3grace,M$8&gt;tranche3reppd+tranche3grace),0,IF(tranche3amort=1,1/tranche3reppd,-PPMT(tranche3cost/2,MAX(0,M$8-tranche3grace),tranche3reppd,1)))</f>
        <v>0</v>
      </c>
      <c r="N47" s="526" t="n">
        <f aca="false">+IF(OR(N$8&lt;=tranche3grace,N$8&gt;tranche3reppd+tranche3grace),0,IF(tranche3amort=1,1/tranche3reppd,-PPMT(tranche3cost/2,MAX(0,N$8-tranche3grace),tranche3reppd,1)))</f>
        <v>0</v>
      </c>
      <c r="O47" s="526" t="n">
        <f aca="false">+IF(OR(O$8&lt;=tranche3grace,O$8&gt;tranche3reppd+tranche3grace),0,IF(tranche3amort=1,1/tranche3reppd,-PPMT(tranche3cost/2,MAX(0,O$8-tranche3grace),tranche3reppd,1)))</f>
        <v>0</v>
      </c>
      <c r="P47" s="526" t="n">
        <f aca="false">+IF(OR(P$8&lt;=tranche3grace,P$8&gt;tranche3reppd+tranche3grace),0,IF(tranche3amort=1,1/tranche3reppd,-PPMT(tranche3cost/2,MAX(0,P$8-tranche3grace),tranche3reppd,1)))</f>
        <v>0</v>
      </c>
      <c r="Q47" s="526" t="n">
        <f aca="false">+IF(OR(Q$8&lt;=tranche3grace,Q$8&gt;tranche3reppd+tranche3grace),0,IF(tranche3amort=1,1/tranche3reppd,-PPMT(tranche3cost/2,MAX(0,Q$8-tranche3grace),tranche3reppd,1)))</f>
        <v>0</v>
      </c>
      <c r="R47" s="526" t="n">
        <f aca="false">+IF(OR(R$8&lt;=tranche3grace,R$8&gt;tranche3reppd+tranche3grace),0,IF(tranche3amort=1,1/tranche3reppd,-PPMT(tranche3cost/2,MAX(0,R$8-tranche3grace),tranche3reppd,1)))</f>
        <v>0</v>
      </c>
      <c r="S47" s="526" t="n">
        <f aca="false">+IF(OR(S$8&lt;=tranche3grace,S$8&gt;tranche3reppd+tranche3grace),0,IF(tranche3amort=1,1/tranche3reppd,-PPMT(tranche3cost/2,MAX(0,S$8-tranche3grace),tranche3reppd,1)))</f>
        <v>0</v>
      </c>
      <c r="T47" s="526" t="n">
        <f aca="false">+IF(OR(T$8&lt;=tranche3grace,T$8&gt;tranche3reppd+tranche3grace),0,IF(tranche3amort=1,1/tranche3reppd,-PPMT(tranche3cost/2,MAX(0,T$8-tranche3grace),tranche3reppd,1)))</f>
        <v>0</v>
      </c>
      <c r="U47" s="526" t="n">
        <f aca="false">+IF(OR(U$8&lt;=tranche3grace,U$8&gt;tranche3reppd+tranche3grace),0,IF(tranche3amort=1,1/tranche3reppd,-PPMT(tranche3cost/2,MAX(0,U$8-tranche3grace),tranche3reppd,1)))</f>
        <v>0</v>
      </c>
      <c r="V47" s="526" t="n">
        <f aca="false">+IF(OR(V$8&lt;=tranche3grace,V$8&gt;tranche3reppd+tranche3grace),0,IF(tranche3amort=1,1/tranche3reppd,-PPMT(tranche3cost/2,MAX(0,V$8-tranche3grace),tranche3reppd,1)))</f>
        <v>0</v>
      </c>
      <c r="W47" s="526" t="n">
        <f aca="false">+IF(OR(W$8&lt;=tranche3grace,W$8&gt;tranche3reppd+tranche3grace),0,IF(tranche3amort=1,1/tranche3reppd,-PPMT(tranche3cost/2,MAX(0,W$8-tranche3grace),tranche3reppd,1)))</f>
        <v>0</v>
      </c>
      <c r="X47" s="526" t="n">
        <f aca="false">+IF(OR(X$8&lt;=tranche3grace,X$8&gt;tranche3reppd+tranche3grace),0,IF(tranche3amort=1,1/tranche3reppd,-PPMT(tranche3cost/2,MAX(0,X$8-tranche3grace),tranche3reppd,1)))</f>
        <v>0</v>
      </c>
      <c r="Y47" s="526" t="n">
        <f aca="false">+IF(OR(Y$8&lt;=tranche3grace,Y$8&gt;tranche3reppd+tranche3grace),0,IF(tranche3amort=1,1/tranche3reppd,-PPMT(tranche3cost/2,MAX(0,Y$8-tranche3grace),tranche3reppd,1)))</f>
        <v>0</v>
      </c>
      <c r="Z47" s="526" t="n">
        <f aca="false">+IF(OR(Z$8&lt;=tranche3grace,Z$8&gt;tranche3reppd+tranche3grace),0,IF(tranche3amort=1,1/tranche3reppd,-PPMT(tranche3cost/2,MAX(0,Z$8-tranche3grace),tranche3reppd,1)))</f>
        <v>0</v>
      </c>
      <c r="AA47" s="526" t="n">
        <f aca="false">+IF(OR(AA$8&lt;=tranche3grace,AA$8&gt;tranche3reppd+tranche3grace),0,IF(tranche3amort=1,1/tranche3reppd,-PPMT(tranche3cost/2,MAX(0,AA$8-tranche3grace),tranche3reppd,1)))</f>
        <v>0</v>
      </c>
      <c r="AB47" s="526" t="n">
        <f aca="false">+IF(OR(AB$8&lt;=tranche3grace,AB$8&gt;tranche3reppd+tranche3grace),0,IF(tranche3amort=1,1/tranche3reppd,-PPMT(tranche3cost/2,MAX(0,AB$8-tranche3grace),tranche3reppd,1)))</f>
        <v>0</v>
      </c>
      <c r="AC47" s="526" t="n">
        <f aca="false">+IF(OR(AC$8&lt;=tranche3grace,AC$8&gt;tranche3reppd+tranche3grace),0,IF(tranche3amort=1,1/tranche3reppd,-PPMT(tranche3cost/2,MAX(0,AC$8-tranche3grace),tranche3reppd,1)))</f>
        <v>0</v>
      </c>
      <c r="AD47" s="526" t="n">
        <f aca="false">+IF(OR(AD$8&lt;=tranche3grace,AD$8&gt;tranche3reppd+tranche3grace),0,IF(tranche3amort=1,1/tranche3reppd,-PPMT(tranche3cost/2,MAX(0,AD$8-tranche3grace),tranche3reppd,1)))</f>
        <v>0</v>
      </c>
      <c r="AE47" s="526" t="n">
        <f aca="false">+IF(OR(AE$8&lt;=tranche3grace,AE$8&gt;tranche3reppd+tranche3grace),0,IF(tranche3amort=1,1/tranche3reppd,-PPMT(tranche3cost/2,MAX(0,AE$8-tranche3grace),tranche3reppd,1)))</f>
        <v>0</v>
      </c>
      <c r="AF47" s="527" t="n">
        <f aca="false">SUM(E47:AE47)</f>
        <v>0</v>
      </c>
      <c r="AG47" s="528"/>
      <c r="AH47" s="85"/>
      <c r="AI47" s="529"/>
      <c r="AJ47" s="529"/>
      <c r="AK47" s="529"/>
      <c r="AL47" s="529"/>
      <c r="AM47" s="529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530"/>
      <c r="BF47" s="530"/>
      <c r="BG47" s="531"/>
      <c r="BH47" s="531"/>
      <c r="BI47" s="532"/>
      <c r="BJ47" s="531"/>
      <c r="BK47" s="531"/>
      <c r="BL47" s="329"/>
      <c r="BM47" s="329"/>
      <c r="BN47" s="329"/>
      <c r="BO47" s="329"/>
      <c r="BP47" s="329"/>
      <c r="BQ47" s="329"/>
      <c r="BR47" s="329"/>
      <c r="BS47" s="329"/>
      <c r="BT47" s="329"/>
      <c r="BU47" s="329"/>
      <c r="BV47" s="329"/>
      <c r="BW47" s="329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329"/>
      <c r="CX47" s="329"/>
      <c r="CY47" s="329"/>
      <c r="CZ47" s="329"/>
      <c r="DA47" s="329"/>
      <c r="DB47" s="329"/>
      <c r="DC47" s="329"/>
      <c r="DD47" s="329"/>
      <c r="DE47" s="329"/>
      <c r="DF47" s="329"/>
      <c r="DG47" s="329"/>
      <c r="DH47" s="329"/>
      <c r="DI47" s="329"/>
      <c r="DJ47" s="329"/>
      <c r="DK47" s="329"/>
      <c r="DL47" s="329"/>
      <c r="DM47" s="329"/>
      <c r="DN47" s="329"/>
      <c r="DO47" s="329"/>
      <c r="DP47" s="329"/>
      <c r="DQ47" s="329"/>
      <c r="DR47" s="329"/>
      <c r="DS47" s="329"/>
      <c r="DT47" s="329"/>
      <c r="DU47" s="329"/>
      <c r="DV47" s="329"/>
      <c r="DW47" s="329"/>
      <c r="DX47" s="329"/>
      <c r="DY47" s="329"/>
      <c r="DZ47" s="329"/>
      <c r="EA47" s="329"/>
      <c r="EB47" s="329"/>
      <c r="EC47" s="329"/>
      <c r="ED47" s="329"/>
      <c r="EE47" s="329"/>
      <c r="EF47" s="329"/>
      <c r="EG47" s="329"/>
      <c r="EH47" s="329"/>
      <c r="EI47" s="329"/>
      <c r="EJ47" s="329"/>
      <c r="EK47" s="329"/>
      <c r="EL47" s="329"/>
      <c r="EM47" s="329"/>
      <c r="EN47" s="329"/>
      <c r="EO47" s="329"/>
      <c r="EP47" s="329"/>
      <c r="EQ47" s="329"/>
      <c r="ER47" s="329"/>
      <c r="ES47" s="329"/>
      <c r="ET47" s="329"/>
      <c r="EU47" s="329"/>
      <c r="EV47" s="329"/>
      <c r="EW47" s="329"/>
      <c r="EX47" s="329"/>
      <c r="EY47" s="329"/>
      <c r="EZ47" s="329"/>
      <c r="FA47" s="329"/>
      <c r="FB47" s="329"/>
      <c r="FC47" s="329"/>
      <c r="FD47" s="329"/>
      <c r="FE47" s="329"/>
      <c r="FF47" s="329"/>
      <c r="FG47" s="329"/>
      <c r="FH47" s="329"/>
      <c r="FI47" s="329"/>
      <c r="FJ47" s="329"/>
      <c r="FK47" s="329"/>
      <c r="FL47" s="329"/>
      <c r="FM47" s="329"/>
      <c r="FN47" s="329"/>
      <c r="FO47" s="329"/>
      <c r="FP47" s="329"/>
      <c r="FQ47" s="329"/>
      <c r="FR47" s="329"/>
      <c r="FS47" s="329"/>
      <c r="FT47" s="329"/>
      <c r="FU47" s="329"/>
      <c r="FV47" s="329"/>
      <c r="FW47" s="329"/>
      <c r="FX47" s="329"/>
      <c r="FY47" s="329"/>
      <c r="FZ47" s="329"/>
      <c r="GA47" s="329"/>
      <c r="GB47" s="329"/>
      <c r="GC47" s="329"/>
      <c r="GD47" s="329"/>
      <c r="GE47" s="329"/>
      <c r="GF47" s="329"/>
      <c r="GG47" s="329"/>
      <c r="GH47" s="329"/>
      <c r="GI47" s="329"/>
      <c r="GJ47" s="329"/>
      <c r="GK47" s="329"/>
      <c r="GL47" s="329"/>
      <c r="GM47" s="329"/>
      <c r="GN47" s="329"/>
      <c r="GO47" s="329"/>
      <c r="GP47" s="329"/>
      <c r="GQ47" s="329"/>
      <c r="GR47" s="329"/>
      <c r="GS47" s="329"/>
      <c r="GT47" s="329"/>
      <c r="GU47" s="329"/>
      <c r="GV47" s="329"/>
      <c r="GW47" s="329"/>
      <c r="GX47" s="329"/>
      <c r="GY47" s="329"/>
      <c r="GZ47" s="329"/>
      <c r="HA47" s="329"/>
      <c r="HB47" s="329"/>
      <c r="HC47" s="329"/>
      <c r="HD47" s="329"/>
      <c r="HE47" s="329"/>
      <c r="HF47" s="329"/>
      <c r="HG47" s="329"/>
      <c r="HH47" s="329"/>
      <c r="HI47" s="329"/>
      <c r="HJ47" s="329"/>
      <c r="HK47" s="329"/>
      <c r="HL47" s="329"/>
      <c r="HM47" s="329"/>
      <c r="HN47" s="329"/>
      <c r="HO47" s="329"/>
      <c r="HP47" s="329"/>
      <c r="HQ47" s="329"/>
      <c r="HR47" s="329"/>
      <c r="HS47" s="329"/>
      <c r="HT47" s="329"/>
      <c r="HU47" s="329"/>
      <c r="HV47" s="329"/>
      <c r="HW47" s="329"/>
      <c r="HX47" s="329"/>
      <c r="HY47" s="329"/>
      <c r="HZ47" s="329"/>
      <c r="IA47" s="329"/>
      <c r="IB47" s="329"/>
      <c r="IC47" s="329"/>
      <c r="ID47" s="329"/>
      <c r="IE47" s="329"/>
      <c r="IF47" s="329"/>
      <c r="IG47" s="329"/>
      <c r="IH47" s="329"/>
      <c r="II47" s="329"/>
      <c r="IJ47" s="329"/>
      <c r="IK47" s="329"/>
      <c r="IL47" s="329"/>
      <c r="IM47" s="329"/>
      <c r="IN47" s="329"/>
      <c r="IO47" s="329"/>
      <c r="IP47" s="329"/>
      <c r="IQ47" s="329"/>
      <c r="IR47" s="329"/>
      <c r="IS47" s="329"/>
      <c r="IT47" s="329"/>
      <c r="IU47" s="329"/>
      <c r="IV47" s="329"/>
      <c r="IW47" s="329"/>
    </row>
    <row r="48" customFormat="false" ht="15" hidden="false" customHeight="false" outlineLevel="0" collapsed="false">
      <c r="A48" s="533" t="s">
        <v>218</v>
      </c>
      <c r="B48" s="534"/>
      <c r="C48" s="534"/>
      <c r="D48" s="534"/>
      <c r="E48" s="535" t="n">
        <f aca="false">+IF(OR(E$9&lt;=tranche3grace,E$9&gt;tranche3reppd+tranche3grace),0,IF(tranche3amort=1,1/tranche3reppd,-PPMT(tranche3cost/2,MAX(0,E$9-tranche3grace),tranche3reppd,1)))</f>
        <v>0</v>
      </c>
      <c r="F48" s="535" t="n">
        <f aca="false">+IF(OR(F$9&lt;=tranche3grace,F$9&gt;tranche3reppd+tranche3grace),0,IF(tranche3amort=1,1/tranche3reppd,-PPMT(tranche3cost/2,MAX(0,F$9-tranche3grace),tranche3reppd,1)))</f>
        <v>0</v>
      </c>
      <c r="G48" s="535" t="n">
        <f aca="false">+IF(OR(G$9&lt;=tranche3grace,G$9&gt;tranche3reppd+tranche3grace),0,IF(tranche3amort=1,1/tranche3reppd,-PPMT(tranche3cost/2,MAX(0,G$9-tranche3grace),tranche3reppd,1)))</f>
        <v>0</v>
      </c>
      <c r="H48" s="535" t="n">
        <f aca="false">+IF(OR(H$9&lt;=tranche3grace,H$9&gt;tranche3reppd+tranche3grace),0,IF(tranche3amort=1,1/tranche3reppd,-PPMT(tranche3cost/2,MAX(0,H$9-tranche3grace),tranche3reppd,1)))</f>
        <v>0</v>
      </c>
      <c r="I48" s="535" t="n">
        <f aca="false">+IF(OR(I$9&lt;=tranche3grace,I$9&gt;tranche3reppd+tranche3grace),0,IF(tranche3amort=1,1/tranche3reppd,-PPMT(tranche3cost/2,MAX(0,I$9-tranche3grace),tranche3reppd,1)))</f>
        <v>0</v>
      </c>
      <c r="J48" s="535" t="n">
        <f aca="false">+IF(OR(J$9&lt;=tranche3grace,J$9&gt;tranche3reppd+tranche3grace),0,IF(tranche3amort=1,1/tranche3reppd,-PPMT(tranche3cost/2,MAX(0,J$9-tranche3grace),tranche3reppd,1)))</f>
        <v>0</v>
      </c>
      <c r="K48" s="535" t="n">
        <f aca="false">+IF(OR(K$9&lt;=tranche3grace,K$9&gt;tranche3reppd+tranche3grace),0,IF(tranche3amort=1,1/tranche3reppd,-PPMT(tranche3cost/2,MAX(0,K$9-tranche3grace),tranche3reppd,1)))</f>
        <v>0</v>
      </c>
      <c r="L48" s="535" t="n">
        <f aca="false">+IF(OR(L$9&lt;=tranche3grace,L$9&gt;tranche3reppd+tranche3grace),0,IF(tranche3amort=1,1/tranche3reppd,-PPMT(tranche3cost/2,MAX(0,L$9-tranche3grace),tranche3reppd,1)))</f>
        <v>0</v>
      </c>
      <c r="M48" s="535" t="n">
        <f aca="false">+IF(OR(M$9&lt;=tranche3grace,M$9&gt;tranche3reppd+tranche3grace),0,IF(tranche3amort=1,1/tranche3reppd,-PPMT(tranche3cost/2,MAX(0,M$9-tranche3grace),tranche3reppd,1)))</f>
        <v>0</v>
      </c>
      <c r="N48" s="535" t="n">
        <f aca="false">+IF(OR(N$9&lt;=tranche3grace,N$9&gt;tranche3reppd+tranche3grace),0,IF(tranche3amort=1,1/tranche3reppd,-PPMT(tranche3cost/2,MAX(0,N$9-tranche3grace),tranche3reppd,1)))</f>
        <v>0</v>
      </c>
      <c r="O48" s="535" t="n">
        <f aca="false">+IF(OR(O$9&lt;=tranche3grace,O$9&gt;tranche3reppd+tranche3grace),0,IF(tranche3amort=1,1/tranche3reppd,-PPMT(tranche3cost/2,MAX(0,O$9-tranche3grace),tranche3reppd,1)))</f>
        <v>0</v>
      </c>
      <c r="P48" s="535" t="n">
        <f aca="false">+IF(OR(P$9&lt;=tranche3grace,P$9&gt;tranche3reppd+tranche3grace),0,IF(tranche3amort=1,1/tranche3reppd,-PPMT(tranche3cost/2,MAX(0,P$9-tranche3grace),tranche3reppd,1)))</f>
        <v>0</v>
      </c>
      <c r="Q48" s="535" t="n">
        <f aca="false">+IF(OR(Q$9&lt;=tranche3grace,Q$9&gt;tranche3reppd+tranche3grace),0,IF(tranche3amort=1,1/tranche3reppd,-PPMT(tranche3cost/2,MAX(0,Q$9-tranche3grace),tranche3reppd,1)))</f>
        <v>0</v>
      </c>
      <c r="R48" s="535" t="n">
        <f aca="false">+IF(OR(R$9&lt;=tranche3grace,R$9&gt;tranche3reppd+tranche3grace),0,IF(tranche3amort=1,1/tranche3reppd,-PPMT(tranche3cost/2,MAX(0,R$9-tranche3grace),tranche3reppd,1)))</f>
        <v>0</v>
      </c>
      <c r="S48" s="535" t="n">
        <f aca="false">+IF(OR(S$9&lt;=tranche3grace,S$9&gt;tranche3reppd+tranche3grace),0,IF(tranche3amort=1,1/tranche3reppd,-PPMT(tranche3cost/2,MAX(0,S$9-tranche3grace),tranche3reppd,1)))</f>
        <v>0</v>
      </c>
      <c r="T48" s="535" t="n">
        <f aca="false">+IF(OR(T$9&lt;=tranche3grace,T$9&gt;tranche3reppd+tranche3grace),0,IF(tranche3amort=1,1/tranche3reppd,-PPMT(tranche3cost/2,MAX(0,T$9-tranche3grace),tranche3reppd,1)))</f>
        <v>0</v>
      </c>
      <c r="U48" s="535" t="n">
        <f aca="false">+IF(OR(U$9&lt;=tranche3grace,U$9&gt;tranche3reppd+tranche3grace),0,IF(tranche3amort=1,1/tranche3reppd,-PPMT(tranche3cost/2,MAX(0,U$9-tranche3grace),tranche3reppd,1)))</f>
        <v>0</v>
      </c>
      <c r="V48" s="535" t="n">
        <f aca="false">+IF(OR(V$9&lt;=tranche3grace,V$9&gt;tranche3reppd+tranche3grace),0,IF(tranche3amort=1,1/tranche3reppd,-PPMT(tranche3cost/2,MAX(0,V$9-tranche3grace),tranche3reppd,1)))</f>
        <v>0</v>
      </c>
      <c r="W48" s="535" t="n">
        <f aca="false">+IF(OR(W$9&lt;=tranche3grace,W$9&gt;tranche3reppd+tranche3grace),0,IF(tranche3amort=1,1/tranche3reppd,-PPMT(tranche3cost/2,MAX(0,W$9-tranche3grace),tranche3reppd,1)))</f>
        <v>0</v>
      </c>
      <c r="X48" s="535" t="n">
        <f aca="false">+IF(OR(X$9&lt;=tranche3grace,X$9&gt;tranche3reppd+tranche3grace),0,IF(tranche3amort=1,1/tranche3reppd,-PPMT(tranche3cost/2,MAX(0,X$9-tranche3grace),tranche3reppd,1)))</f>
        <v>0</v>
      </c>
      <c r="Y48" s="535" t="n">
        <f aca="false">+IF(OR(Y$9&lt;=tranche3grace,Y$9&gt;tranche3reppd+tranche3grace),0,IF(tranche3amort=1,1/tranche3reppd,-PPMT(tranche3cost/2,MAX(0,Y$9-tranche3grace),tranche3reppd,1)))</f>
        <v>0</v>
      </c>
      <c r="Z48" s="535" t="n">
        <f aca="false">+IF(OR(Z$9&lt;=tranche3grace,Z$9&gt;tranche3reppd+tranche3grace),0,IF(tranche3amort=1,1/tranche3reppd,-PPMT(tranche3cost/2,MAX(0,Z$9-tranche3grace),tranche3reppd,1)))</f>
        <v>0</v>
      </c>
      <c r="AA48" s="535" t="n">
        <f aca="false">+IF(OR(AA$9&lt;=tranche3grace,AA$9&gt;tranche3reppd+tranche3grace),0,IF(tranche3amort=1,1/tranche3reppd,-PPMT(tranche3cost/2,MAX(0,AA$9-tranche3grace),tranche3reppd,1)))</f>
        <v>0</v>
      </c>
      <c r="AB48" s="535" t="n">
        <f aca="false">+IF(OR(AB$9&lt;=tranche3grace,AB$9&gt;tranche3reppd+tranche3grace),0,IF(tranche3amort=1,1/tranche3reppd,-PPMT(tranche3cost/2,MAX(0,AB$9-tranche3grace),tranche3reppd,1)))</f>
        <v>0</v>
      </c>
      <c r="AC48" s="535" t="n">
        <f aca="false">+IF(OR(AC$9&lt;=tranche3grace,AC$9&gt;tranche3reppd+tranche3grace),0,IF(tranche3amort=1,1/tranche3reppd,-PPMT(tranche3cost/2,MAX(0,AC$9-tranche3grace),tranche3reppd,1)))</f>
        <v>0</v>
      </c>
      <c r="AD48" s="535" t="n">
        <f aca="false">+IF(OR(AD$9&lt;=tranche3grace,AD$9&gt;tranche3reppd+tranche3grace),0,IF(tranche3amort=1,1/tranche3reppd,-PPMT(tranche3cost/2,MAX(0,AD$9-tranche3grace),tranche3reppd,1)))</f>
        <v>0</v>
      </c>
      <c r="AE48" s="535" t="n">
        <f aca="false">+IF(OR(AE$9&lt;=tranche3grace,AE$9&gt;tranche3reppd+tranche3grace),0,IF(tranche3amort=1,1/tranche3reppd,-PPMT(tranche3cost/2,MAX(0,AE$9-tranche3grace),tranche3reppd,1)))</f>
        <v>0</v>
      </c>
      <c r="AF48" s="536" t="n">
        <f aca="false">SUM(E48:AE48)</f>
        <v>0</v>
      </c>
      <c r="AG48" s="537" t="n">
        <f aca="false">+AF48+AF47</f>
        <v>0</v>
      </c>
      <c r="AH48" s="85"/>
      <c r="AI48" s="529"/>
      <c r="AJ48" s="529"/>
      <c r="AK48" s="529"/>
      <c r="AL48" s="529"/>
      <c r="AM48" s="529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530"/>
      <c r="BF48" s="530"/>
      <c r="BG48" s="531"/>
      <c r="BH48" s="531"/>
      <c r="BI48" s="532"/>
      <c r="BJ48" s="531"/>
      <c r="BK48" s="531"/>
      <c r="BL48" s="329"/>
      <c r="BM48" s="329"/>
      <c r="BN48" s="329"/>
      <c r="BO48" s="329"/>
      <c r="BP48" s="329"/>
      <c r="BQ48" s="329"/>
      <c r="BR48" s="329"/>
      <c r="BS48" s="329"/>
      <c r="BT48" s="329"/>
      <c r="BU48" s="329"/>
      <c r="BV48" s="329"/>
      <c r="BW48" s="329"/>
      <c r="BX48" s="329"/>
      <c r="BY48" s="329"/>
      <c r="BZ48" s="329"/>
      <c r="CA48" s="329"/>
      <c r="CB48" s="329"/>
      <c r="CC48" s="329"/>
      <c r="CD48" s="329"/>
      <c r="CE48" s="329"/>
      <c r="CF48" s="329"/>
      <c r="CG48" s="329"/>
      <c r="CH48" s="329"/>
      <c r="CI48" s="329"/>
      <c r="CJ48" s="329"/>
      <c r="CK48" s="329"/>
      <c r="CL48" s="329"/>
      <c r="CM48" s="329"/>
      <c r="CN48" s="329"/>
      <c r="CO48" s="329"/>
      <c r="CP48" s="329"/>
      <c r="CQ48" s="329"/>
      <c r="CR48" s="329"/>
      <c r="CS48" s="329"/>
      <c r="CT48" s="329"/>
      <c r="CU48" s="329"/>
      <c r="CV48" s="329"/>
      <c r="CW48" s="329"/>
      <c r="CX48" s="329"/>
      <c r="CY48" s="329"/>
      <c r="CZ48" s="329"/>
      <c r="DA48" s="329"/>
      <c r="DB48" s="329"/>
      <c r="DC48" s="329"/>
      <c r="DD48" s="329"/>
      <c r="DE48" s="329"/>
      <c r="DF48" s="329"/>
      <c r="DG48" s="329"/>
      <c r="DH48" s="329"/>
      <c r="DI48" s="329"/>
      <c r="DJ48" s="329"/>
      <c r="DK48" s="329"/>
      <c r="DL48" s="329"/>
      <c r="DM48" s="329"/>
      <c r="DN48" s="329"/>
      <c r="DO48" s="329"/>
      <c r="DP48" s="329"/>
      <c r="DQ48" s="329"/>
      <c r="DR48" s="329"/>
      <c r="DS48" s="329"/>
      <c r="DT48" s="329"/>
      <c r="DU48" s="329"/>
      <c r="DV48" s="329"/>
      <c r="DW48" s="329"/>
      <c r="DX48" s="329"/>
      <c r="DY48" s="329"/>
      <c r="DZ48" s="329"/>
      <c r="EA48" s="329"/>
      <c r="EB48" s="329"/>
      <c r="EC48" s="329"/>
      <c r="ED48" s="329"/>
      <c r="EE48" s="329"/>
      <c r="EF48" s="329"/>
      <c r="EG48" s="329"/>
      <c r="EH48" s="329"/>
      <c r="EI48" s="329"/>
      <c r="EJ48" s="329"/>
      <c r="EK48" s="329"/>
      <c r="EL48" s="329"/>
      <c r="EM48" s="329"/>
      <c r="EN48" s="329"/>
      <c r="EO48" s="329"/>
      <c r="EP48" s="329"/>
      <c r="EQ48" s="329"/>
      <c r="ER48" s="329"/>
      <c r="ES48" s="329"/>
      <c r="ET48" s="329"/>
      <c r="EU48" s="329"/>
      <c r="EV48" s="329"/>
      <c r="EW48" s="329"/>
      <c r="EX48" s="329"/>
      <c r="EY48" s="329"/>
      <c r="EZ48" s="329"/>
      <c r="FA48" s="329"/>
      <c r="FB48" s="329"/>
      <c r="FC48" s="329"/>
      <c r="FD48" s="329"/>
      <c r="FE48" s="329"/>
      <c r="FF48" s="329"/>
      <c r="FG48" s="329"/>
      <c r="FH48" s="329"/>
      <c r="FI48" s="329"/>
      <c r="FJ48" s="329"/>
      <c r="FK48" s="329"/>
      <c r="FL48" s="329"/>
      <c r="FM48" s="329"/>
      <c r="FN48" s="329"/>
      <c r="FO48" s="329"/>
      <c r="FP48" s="329"/>
      <c r="FQ48" s="329"/>
      <c r="FR48" s="329"/>
      <c r="FS48" s="329"/>
      <c r="FT48" s="329"/>
      <c r="FU48" s="329"/>
      <c r="FV48" s="329"/>
      <c r="FW48" s="329"/>
      <c r="FX48" s="329"/>
      <c r="FY48" s="329"/>
      <c r="FZ48" s="329"/>
      <c r="GA48" s="329"/>
      <c r="GB48" s="329"/>
      <c r="GC48" s="329"/>
      <c r="GD48" s="329"/>
      <c r="GE48" s="329"/>
      <c r="GF48" s="329"/>
      <c r="GG48" s="329"/>
      <c r="GH48" s="329"/>
      <c r="GI48" s="329"/>
      <c r="GJ48" s="329"/>
      <c r="GK48" s="329"/>
      <c r="GL48" s="329"/>
      <c r="GM48" s="329"/>
      <c r="GN48" s="329"/>
      <c r="GO48" s="329"/>
      <c r="GP48" s="329"/>
      <c r="GQ48" s="329"/>
      <c r="GR48" s="329"/>
      <c r="GS48" s="329"/>
      <c r="GT48" s="329"/>
      <c r="GU48" s="329"/>
      <c r="GV48" s="329"/>
      <c r="GW48" s="329"/>
      <c r="GX48" s="329"/>
      <c r="GY48" s="329"/>
      <c r="GZ48" s="329"/>
      <c r="HA48" s="329"/>
      <c r="HB48" s="329"/>
      <c r="HC48" s="329"/>
      <c r="HD48" s="329"/>
      <c r="HE48" s="329"/>
      <c r="HF48" s="329"/>
      <c r="HG48" s="329"/>
      <c r="HH48" s="329"/>
      <c r="HI48" s="329"/>
      <c r="HJ48" s="329"/>
      <c r="HK48" s="329"/>
      <c r="HL48" s="329"/>
      <c r="HM48" s="329"/>
      <c r="HN48" s="329"/>
      <c r="HO48" s="329"/>
      <c r="HP48" s="329"/>
      <c r="HQ48" s="329"/>
      <c r="HR48" s="329"/>
      <c r="HS48" s="329"/>
      <c r="HT48" s="329"/>
      <c r="HU48" s="329"/>
      <c r="HV48" s="329"/>
      <c r="HW48" s="329"/>
      <c r="HX48" s="329"/>
      <c r="HY48" s="329"/>
      <c r="HZ48" s="329"/>
      <c r="IA48" s="329"/>
      <c r="IB48" s="329"/>
      <c r="IC48" s="329"/>
      <c r="ID48" s="329"/>
      <c r="IE48" s="329"/>
      <c r="IF48" s="329"/>
      <c r="IG48" s="329"/>
      <c r="IH48" s="329"/>
      <c r="II48" s="329"/>
      <c r="IJ48" s="329"/>
      <c r="IK48" s="329"/>
      <c r="IL48" s="329"/>
      <c r="IM48" s="329"/>
      <c r="IN48" s="329"/>
      <c r="IO48" s="329"/>
      <c r="IP48" s="329"/>
      <c r="IQ48" s="329"/>
      <c r="IR48" s="329"/>
      <c r="IS48" s="329"/>
      <c r="IT48" s="329"/>
      <c r="IU48" s="329"/>
      <c r="IV48" s="329"/>
      <c r="IW48" s="329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492"/>
      <c r="M49" s="14"/>
      <c r="N49" s="14"/>
      <c r="O49" s="14"/>
      <c r="P49" s="14"/>
      <c r="AF49" s="14"/>
      <c r="AG49" s="398"/>
      <c r="AH49" s="14"/>
      <c r="AI49" s="493"/>
      <c r="AJ49" s="493"/>
      <c r="AK49" s="493"/>
      <c r="AL49" s="493"/>
      <c r="AM49" s="493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511"/>
      <c r="BF49" s="511"/>
      <c r="BG49" s="512"/>
      <c r="BH49" s="512"/>
      <c r="BI49" s="513"/>
      <c r="BJ49" s="512"/>
      <c r="BK49" s="512"/>
    </row>
    <row r="50" customFormat="false" ht="15" hidden="false" customHeight="false" outlineLevel="0" collapsed="false">
      <c r="A50" s="349" t="s">
        <v>219</v>
      </c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541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542"/>
      <c r="AG50" s="398"/>
      <c r="AH50" s="14"/>
      <c r="AI50" s="493"/>
      <c r="AJ50" s="493"/>
      <c r="AK50" s="493"/>
      <c r="AL50" s="493"/>
      <c r="AM50" s="493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511"/>
      <c r="BF50" s="511"/>
      <c r="BG50" s="512"/>
      <c r="BH50" s="512"/>
      <c r="BI50" s="513"/>
      <c r="BJ50" s="512"/>
      <c r="BK50" s="512"/>
    </row>
    <row r="51" customFormat="false" ht="15" hidden="false" customHeight="false" outlineLevel="0" collapsed="false">
      <c r="A51" s="543" t="s">
        <v>220</v>
      </c>
      <c r="B51" s="7"/>
      <c r="C51" s="7"/>
      <c r="D51" s="7"/>
      <c r="E51" s="544" t="n">
        <f aca="false">+E14+E18+E27+E31+E40+E44</f>
        <v>12115.9846151308</v>
      </c>
      <c r="F51" s="544" t="n">
        <f aca="false">+F14+F18+F27+F31+F40+F44</f>
        <v>11953.9426671253</v>
      </c>
      <c r="G51" s="544" t="n">
        <f aca="false">+G14+G18+G27+G31+G40+G44</f>
        <v>11274.6212978373</v>
      </c>
      <c r="H51" s="544" t="n">
        <f aca="false">+H14+H18+H27+H31+H40+H44</f>
        <v>10529.2316796274</v>
      </c>
      <c r="I51" s="544" t="n">
        <f aca="false">+I14+I18+I27+I31+I40+I44</f>
        <v>9711.34826236155</v>
      </c>
      <c r="J51" s="544" t="n">
        <f aca="false">+J14+J18+J27+J31+J40+J44</f>
        <v>8813.9205709952</v>
      </c>
      <c r="K51" s="544" t="n">
        <f aca="false">+K14+K18+K27+K31+K40+K44</f>
        <v>7829.2124277204</v>
      </c>
      <c r="L51" s="544" t="n">
        <f aca="false">+L14+L18+L27+L31+L40+L44</f>
        <v>6748.73526308623</v>
      </c>
      <c r="M51" s="544" t="n">
        <f aca="false">+M14+M18+M27+M31+M40+M44</f>
        <v>5563.17494120911</v>
      </c>
      <c r="N51" s="544" t="n">
        <f aca="false">+N14+N18+N27+N31+N40+N44</f>
        <v>4262.31146827742</v>
      </c>
      <c r="O51" s="544" t="n">
        <f aca="false">+O14+O18+O27+O31+O40+O44</f>
        <v>2834.93089220643</v>
      </c>
      <c r="P51" s="544" t="n">
        <f aca="false">+P14+P18+P27+P31+P40+P44</f>
        <v>1268.72863398393</v>
      </c>
      <c r="Q51" s="544" t="n">
        <f aca="false">+Q14+Q18+Q27+Q31+Q40+Q44</f>
        <v>-1.48611434269696E-011</v>
      </c>
      <c r="R51" s="544" t="n">
        <f aca="false">+R14+R18+R27+R31+R40+R44</f>
        <v>-1.11458575702272E-011</v>
      </c>
      <c r="S51" s="544" t="n">
        <f aca="false">+S14+S18+S27+S31+S40+S44</f>
        <v>-1.48611434269696E-011</v>
      </c>
      <c r="T51" s="544" t="n">
        <f aca="false">+T14+T18+T27+T31+T40+T44</f>
        <v>-1.48611434269696E-011</v>
      </c>
      <c r="U51" s="544" t="n">
        <f aca="false">+U14+U18+U27+U31+U40+U44</f>
        <v>7.43057171348482E-012</v>
      </c>
      <c r="V51" s="544" t="n">
        <f aca="false">+V14+V18+V27+V31+V40+V44</f>
        <v>7.43057171348482E-012</v>
      </c>
      <c r="W51" s="544" t="n">
        <f aca="false">+W14+W18+W27+W31+W40+W44</f>
        <v>7.43057171348482E-012</v>
      </c>
      <c r="X51" s="544" t="n">
        <f aca="false">+X14+X18+X27+X31+X40+X44</f>
        <v>7.43057171348482E-012</v>
      </c>
      <c r="Y51" s="544" t="n">
        <f aca="false">+Y14+Y18+Y27+Y31+Y40+Y44</f>
        <v>7.43057171348482E-012</v>
      </c>
      <c r="Z51" s="544" t="n">
        <f aca="false">+Z14+Z18+Z27+Z31+Z40+Z44</f>
        <v>7.43057171348482E-012</v>
      </c>
      <c r="AA51" s="544" t="n">
        <f aca="false">+AA14+AA18+AA27+AA31+AA40+AA44</f>
        <v>7.43057171348482E-012</v>
      </c>
      <c r="AB51" s="544" t="n">
        <f aca="false">+AB14+AB18+AB27+AB31+AB40+AB44</f>
        <v>7.43057171348482E-012</v>
      </c>
      <c r="AC51" s="544" t="n">
        <f aca="false">+AC14+AC18+AC27+AC31+AC40+AC44</f>
        <v>7.43057171348482E-012</v>
      </c>
      <c r="AD51" s="544" t="n">
        <f aca="false">+AD14+AD18+AD27+AD31+AD40+AD44</f>
        <v>7.43057171348482E-012</v>
      </c>
      <c r="AE51" s="544" t="n">
        <f aca="false">+AE14+AE18+AE27+AE31+AE40+AE44</f>
        <v>0</v>
      </c>
      <c r="AF51" s="545" t="n">
        <f aca="false">SUM(E51:AE51)</f>
        <v>92906.1427195611</v>
      </c>
      <c r="AG51" s="14"/>
      <c r="AH51" s="14"/>
      <c r="AI51" s="493"/>
      <c r="AJ51" s="493"/>
      <c r="AK51" s="493"/>
      <c r="AL51" s="493"/>
      <c r="AM51" s="493"/>
      <c r="AN51" s="493"/>
      <c r="AO51" s="493"/>
      <c r="AP51" s="493"/>
      <c r="AQ51" s="493"/>
      <c r="AR51" s="493"/>
      <c r="AS51" s="493"/>
      <c r="AT51" s="493"/>
      <c r="AU51" s="493"/>
      <c r="AV51" s="14"/>
      <c r="AW51" s="14"/>
      <c r="AX51" s="14"/>
      <c r="AY51" s="14"/>
      <c r="AZ51" s="14"/>
      <c r="BA51" s="14"/>
      <c r="BB51" s="14"/>
      <c r="BC51" s="14"/>
      <c r="BD51" s="14"/>
      <c r="BE51" s="511"/>
      <c r="BF51" s="511"/>
      <c r="BG51" s="511"/>
      <c r="BH51" s="511"/>
      <c r="BI51" s="513"/>
      <c r="BJ51" s="511"/>
      <c r="BK51" s="511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5" hidden="false" customHeight="false" outlineLevel="0" collapsed="false">
      <c r="A52" s="546" t="s">
        <v>221</v>
      </c>
      <c r="B52" s="547"/>
      <c r="C52" s="547"/>
      <c r="D52" s="547"/>
      <c r="E52" s="548" t="n">
        <f aca="false">+E13+E17+E26+E30+E39+E43</f>
        <v>0</v>
      </c>
      <c r="F52" s="548" t="n">
        <f aca="false">+F13+F17+F26+F30+F39+F43</f>
        <v>6984.86081139301</v>
      </c>
      <c r="G52" s="548" t="n">
        <f aca="false">+G13+G17+G26+G30+G39+G43</f>
        <v>7664.18218068106</v>
      </c>
      <c r="H52" s="548" t="n">
        <f aca="false">+H13+H17+H26+H30+H39+H43</f>
        <v>8409.57179889092</v>
      </c>
      <c r="I52" s="548" t="n">
        <f aca="false">+I13+I17+I26+I30+I39+I43</f>
        <v>9227.45521615681</v>
      </c>
      <c r="J52" s="548" t="n">
        <f aca="false">+J13+J17+J26+J30+J39+J43</f>
        <v>10124.8829075232</v>
      </c>
      <c r="K52" s="548" t="n">
        <f aca="false">+K13+K17+K26+K30+K39+K43</f>
        <v>11109.591050798</v>
      </c>
      <c r="L52" s="548" t="n">
        <f aca="false">+L13+L17+L26+L30+L39+L43</f>
        <v>12190.0682154321</v>
      </c>
      <c r="M52" s="548" t="n">
        <f aca="false">+M13+M17+M26+M30+M39+M43</f>
        <v>13375.6285373093</v>
      </c>
      <c r="N52" s="548" t="n">
        <f aca="false">+N13+N17+N26+N30+N39+N43</f>
        <v>14676.4920102409</v>
      </c>
      <c r="O52" s="548" t="n">
        <f aca="false">+O13+O17+O26+O30+O39+O43</f>
        <v>16103.8725863119</v>
      </c>
      <c r="P52" s="548" t="n">
        <f aca="false">+P13+P17+P26+P30+P39+P43</f>
        <v>17670.0748445344</v>
      </c>
      <c r="Q52" s="548" t="n">
        <f aca="false">+Q13+Q17+Q26+Q30+Q39+Q43</f>
        <v>0</v>
      </c>
      <c r="R52" s="548" t="n">
        <f aca="false">+R13+R17+R26+R30+R39+R43</f>
        <v>0</v>
      </c>
      <c r="S52" s="548" t="n">
        <f aca="false">+S13+S17+S26+S30+S39+S43</f>
        <v>0</v>
      </c>
      <c r="T52" s="548" t="n">
        <f aca="false">+T13+T17+T26+T30+T39+T43</f>
        <v>0</v>
      </c>
      <c r="U52" s="548" t="n">
        <f aca="false">+U13+U17+U26+U30+U39+U43</f>
        <v>0</v>
      </c>
      <c r="V52" s="548" t="n">
        <f aca="false">+V13+V17+V26+V30+V39+V43</f>
        <v>0</v>
      </c>
      <c r="W52" s="548" t="n">
        <f aca="false">+W13+W17+W26+W30+W39+W43</f>
        <v>0</v>
      </c>
      <c r="X52" s="548" t="n">
        <f aca="false">+X13+X17+X26+X30+X39+X43</f>
        <v>0</v>
      </c>
      <c r="Y52" s="548" t="n">
        <f aca="false">+Y13+Y17+Y26+Y30+Y39+Y43</f>
        <v>0</v>
      </c>
      <c r="Z52" s="548" t="n">
        <f aca="false">+Z13+Z17+Z26+Z30+Z39+Z43</f>
        <v>0</v>
      </c>
      <c r="AA52" s="548" t="n">
        <f aca="false">+AA13+AA17+AA26+AA30+AA39+AA43</f>
        <v>0</v>
      </c>
      <c r="AB52" s="548" t="n">
        <f aca="false">+AB13+AB17+AB26+AB30+AB39+AB43</f>
        <v>0</v>
      </c>
      <c r="AC52" s="548" t="n">
        <f aca="false">+AC13+AC17+AC26+AC30+AC39+AC43</f>
        <v>0</v>
      </c>
      <c r="AD52" s="548" t="n">
        <f aca="false">+AD13+AD17+AD26+AD30+AD39+AD43</f>
        <v>0</v>
      </c>
      <c r="AE52" s="548" t="n">
        <f aca="false">+AE13+AE17+AE26+AE30+AE39+AE43</f>
        <v>0</v>
      </c>
      <c r="AF52" s="549" t="n">
        <f aca="false">SUM(E52:AE52)</f>
        <v>127536.680159272</v>
      </c>
      <c r="AG52" s="148"/>
      <c r="AH52" s="148"/>
      <c r="AI52" s="540"/>
      <c r="AJ52" s="540"/>
      <c r="AK52" s="540"/>
      <c r="AL52" s="540"/>
      <c r="AM52" s="540"/>
      <c r="AN52" s="540"/>
      <c r="AO52" s="540"/>
      <c r="AP52" s="540"/>
      <c r="AQ52" s="540"/>
      <c r="AR52" s="540"/>
      <c r="AS52" s="540"/>
      <c r="AT52" s="540"/>
      <c r="AU52" s="540"/>
      <c r="AV52" s="148"/>
      <c r="AW52" s="148"/>
      <c r="AX52" s="148"/>
      <c r="AY52" s="148"/>
      <c r="AZ52" s="148"/>
      <c r="BA52" s="148"/>
      <c r="BB52" s="148"/>
      <c r="BC52" s="148"/>
      <c r="BD52" s="148"/>
      <c r="BE52" s="550"/>
      <c r="BF52" s="550"/>
      <c r="BG52" s="551"/>
      <c r="BH52" s="551"/>
      <c r="BI52" s="552"/>
      <c r="BJ52" s="551"/>
      <c r="BK52" s="551"/>
      <c r="BL52" s="344"/>
      <c r="BM52" s="344"/>
      <c r="BN52" s="344"/>
      <c r="BO52" s="344"/>
      <c r="BP52" s="344"/>
      <c r="BQ52" s="344"/>
      <c r="BR52" s="344"/>
      <c r="BS52" s="344"/>
      <c r="BT52" s="344"/>
      <c r="BU52" s="344"/>
      <c r="BV52" s="344"/>
      <c r="BW52" s="344"/>
      <c r="BX52" s="344"/>
      <c r="BY52" s="344"/>
      <c r="BZ52" s="344"/>
      <c r="CA52" s="344"/>
      <c r="CB52" s="344"/>
      <c r="CC52" s="344"/>
      <c r="CD52" s="344"/>
      <c r="CE52" s="344"/>
      <c r="CF52" s="344"/>
      <c r="CG52" s="344"/>
      <c r="CH52" s="344"/>
      <c r="CI52" s="344"/>
      <c r="CJ52" s="344"/>
      <c r="CK52" s="344"/>
      <c r="CL52" s="344"/>
      <c r="CM52" s="344"/>
      <c r="CN52" s="344"/>
      <c r="CO52" s="344"/>
      <c r="CP52" s="344"/>
      <c r="CQ52" s="344"/>
      <c r="CR52" s="344"/>
      <c r="CS52" s="344"/>
      <c r="CT52" s="344"/>
      <c r="CU52" s="344"/>
      <c r="CV52" s="344"/>
      <c r="CW52" s="344"/>
      <c r="CX52" s="344"/>
      <c r="CY52" s="344"/>
      <c r="CZ52" s="344"/>
      <c r="DA52" s="344"/>
      <c r="DB52" s="344"/>
      <c r="DC52" s="344"/>
      <c r="DD52" s="344"/>
      <c r="DE52" s="344"/>
      <c r="DF52" s="344"/>
      <c r="DG52" s="344"/>
      <c r="DH52" s="344"/>
      <c r="DI52" s="344"/>
      <c r="DJ52" s="344"/>
      <c r="DK52" s="344"/>
      <c r="DL52" s="344"/>
      <c r="DM52" s="344"/>
      <c r="DN52" s="344"/>
      <c r="DO52" s="344"/>
      <c r="DP52" s="344"/>
      <c r="DQ52" s="344"/>
      <c r="DR52" s="344"/>
      <c r="DS52" s="344"/>
      <c r="DT52" s="344"/>
      <c r="DU52" s="344"/>
      <c r="DV52" s="344"/>
      <c r="DW52" s="344"/>
      <c r="DX52" s="344"/>
      <c r="DY52" s="344"/>
      <c r="DZ52" s="344"/>
      <c r="EA52" s="344"/>
      <c r="EB52" s="344"/>
      <c r="EC52" s="344"/>
      <c r="ED52" s="344"/>
      <c r="EE52" s="344"/>
      <c r="EF52" s="344"/>
      <c r="EG52" s="344"/>
      <c r="EH52" s="344"/>
      <c r="EI52" s="344"/>
      <c r="EJ52" s="344"/>
      <c r="EK52" s="344"/>
      <c r="EL52" s="344"/>
      <c r="EM52" s="344"/>
      <c r="EN52" s="344"/>
      <c r="EO52" s="344"/>
      <c r="EP52" s="344"/>
      <c r="EQ52" s="344"/>
      <c r="ER52" s="344"/>
      <c r="ES52" s="344"/>
      <c r="ET52" s="344"/>
      <c r="EU52" s="344"/>
      <c r="EV52" s="344"/>
      <c r="EW52" s="344"/>
      <c r="EX52" s="344"/>
      <c r="EY52" s="344"/>
      <c r="EZ52" s="344"/>
      <c r="FA52" s="344"/>
      <c r="FB52" s="344"/>
      <c r="FC52" s="344"/>
      <c r="FD52" s="344"/>
      <c r="FE52" s="344"/>
      <c r="FF52" s="344"/>
      <c r="FG52" s="344"/>
      <c r="FH52" s="344"/>
      <c r="FI52" s="344"/>
      <c r="FJ52" s="344"/>
      <c r="FK52" s="344"/>
      <c r="FL52" s="344"/>
      <c r="FM52" s="344"/>
      <c r="FN52" s="344"/>
      <c r="FO52" s="344"/>
      <c r="FP52" s="344"/>
      <c r="FQ52" s="344"/>
      <c r="FR52" s="344"/>
      <c r="FS52" s="344"/>
      <c r="FT52" s="344"/>
      <c r="FU52" s="344"/>
      <c r="FV52" s="344"/>
      <c r="FW52" s="344"/>
      <c r="FX52" s="344"/>
      <c r="FY52" s="344"/>
      <c r="FZ52" s="344"/>
      <c r="GA52" s="344"/>
      <c r="GB52" s="344"/>
      <c r="GC52" s="344"/>
      <c r="GD52" s="344"/>
      <c r="GE52" s="344"/>
      <c r="GF52" s="344"/>
      <c r="GG52" s="344"/>
      <c r="GH52" s="344"/>
      <c r="GI52" s="344"/>
      <c r="GJ52" s="344"/>
      <c r="GK52" s="344"/>
      <c r="GL52" s="344"/>
      <c r="GM52" s="344"/>
      <c r="GN52" s="344"/>
      <c r="GO52" s="344"/>
      <c r="GP52" s="344"/>
      <c r="GQ52" s="344"/>
      <c r="GR52" s="344"/>
      <c r="GS52" s="344"/>
      <c r="GT52" s="344"/>
      <c r="GU52" s="344"/>
      <c r="GV52" s="344"/>
      <c r="GW52" s="344"/>
      <c r="GX52" s="344"/>
      <c r="GY52" s="344"/>
      <c r="GZ52" s="344"/>
      <c r="HA52" s="344"/>
      <c r="HB52" s="344"/>
      <c r="HC52" s="344"/>
      <c r="HD52" s="344"/>
      <c r="HE52" s="344"/>
      <c r="HF52" s="344"/>
      <c r="HG52" s="344"/>
      <c r="HH52" s="344"/>
      <c r="HI52" s="344"/>
      <c r="HJ52" s="344"/>
      <c r="HK52" s="344"/>
      <c r="HL52" s="344"/>
      <c r="HM52" s="344"/>
      <c r="HN52" s="344"/>
      <c r="HO52" s="344"/>
      <c r="HP52" s="344"/>
      <c r="HQ52" s="344"/>
      <c r="HR52" s="344"/>
      <c r="HS52" s="344"/>
      <c r="HT52" s="344"/>
      <c r="HU52" s="344"/>
      <c r="HV52" s="344"/>
      <c r="HW52" s="344"/>
      <c r="HX52" s="344"/>
      <c r="HY52" s="344"/>
      <c r="HZ52" s="344"/>
      <c r="IA52" s="344"/>
      <c r="IB52" s="344"/>
      <c r="IC52" s="344"/>
      <c r="ID52" s="344"/>
      <c r="IE52" s="344"/>
      <c r="IF52" s="344"/>
      <c r="IG52" s="344"/>
      <c r="IH52" s="344"/>
      <c r="II52" s="344"/>
      <c r="IJ52" s="344"/>
      <c r="IK52" s="344"/>
      <c r="IL52" s="344"/>
      <c r="IM52" s="344"/>
      <c r="IN52" s="344"/>
      <c r="IO52" s="344"/>
      <c r="IP52" s="344"/>
      <c r="IQ52" s="344"/>
      <c r="IR52" s="344"/>
      <c r="IS52" s="344"/>
      <c r="IT52" s="344"/>
      <c r="IU52" s="344"/>
      <c r="IV52" s="344"/>
      <c r="IW52" s="344"/>
    </row>
    <row r="53" customFormat="false" ht="15" hidden="false" customHeight="false" outlineLevel="0" collapsed="false">
      <c r="A53" s="553" t="s">
        <v>222</v>
      </c>
      <c r="B53" s="304"/>
      <c r="C53" s="304"/>
      <c r="D53" s="304"/>
      <c r="E53" s="554" t="n">
        <f aca="false">+E52+E51</f>
        <v>12115.9846151308</v>
      </c>
      <c r="F53" s="554" t="n">
        <f aca="false">+F52+F51</f>
        <v>18938.8034785183</v>
      </c>
      <c r="G53" s="554" t="n">
        <f aca="false">+G52+G51</f>
        <v>18938.8034785184</v>
      </c>
      <c r="H53" s="554" t="n">
        <f aca="false">+H52+H51</f>
        <v>18938.8034785184</v>
      </c>
      <c r="I53" s="554" t="n">
        <f aca="false">+I52+I51</f>
        <v>18938.8034785184</v>
      </c>
      <c r="J53" s="554" t="n">
        <f aca="false">+J52+J51</f>
        <v>18938.8034785184</v>
      </c>
      <c r="K53" s="554" t="n">
        <f aca="false">+K52+K51</f>
        <v>18938.8034785184</v>
      </c>
      <c r="L53" s="554" t="n">
        <f aca="false">+L52+L51</f>
        <v>18938.8034785184</v>
      </c>
      <c r="M53" s="554" t="n">
        <f aca="false">+M52+M51</f>
        <v>18938.8034785184</v>
      </c>
      <c r="N53" s="554" t="n">
        <f aca="false">+N52+N51</f>
        <v>18938.8034785184</v>
      </c>
      <c r="O53" s="554" t="n">
        <f aca="false">+O52+O51</f>
        <v>18938.8034785184</v>
      </c>
      <c r="P53" s="554" t="n">
        <f aca="false">+P52+P51</f>
        <v>18938.8034785184</v>
      </c>
      <c r="Q53" s="554" t="n">
        <f aca="false">+Q52+Q51</f>
        <v>-1.48611434269696E-011</v>
      </c>
      <c r="R53" s="554" t="n">
        <f aca="false">+R52+R51</f>
        <v>-1.11458575702272E-011</v>
      </c>
      <c r="S53" s="554" t="n">
        <f aca="false">+S52+S51</f>
        <v>-1.48611434269696E-011</v>
      </c>
      <c r="T53" s="554" t="n">
        <f aca="false">+T52+T51</f>
        <v>-1.48611434269696E-011</v>
      </c>
      <c r="U53" s="554" t="n">
        <f aca="false">+U52+U51</f>
        <v>7.43057171348482E-012</v>
      </c>
      <c r="V53" s="554" t="n">
        <f aca="false">+V52+V51</f>
        <v>7.43057171348482E-012</v>
      </c>
      <c r="W53" s="554" t="n">
        <f aca="false">+W52+W51</f>
        <v>7.43057171348482E-012</v>
      </c>
      <c r="X53" s="554" t="n">
        <f aca="false">+X52+X51</f>
        <v>7.43057171348482E-012</v>
      </c>
      <c r="Y53" s="554" t="n">
        <f aca="false">+Y52+Y51</f>
        <v>7.43057171348482E-012</v>
      </c>
      <c r="Z53" s="554" t="n">
        <f aca="false">+Z52+Z51</f>
        <v>7.43057171348482E-012</v>
      </c>
      <c r="AA53" s="554" t="n">
        <f aca="false">+AA52+AA51</f>
        <v>7.43057171348482E-012</v>
      </c>
      <c r="AB53" s="554" t="n">
        <f aca="false">+AB52+AB51</f>
        <v>7.43057171348482E-012</v>
      </c>
      <c r="AC53" s="554" t="n">
        <f aca="false">+AC52+AC51</f>
        <v>7.43057171348482E-012</v>
      </c>
      <c r="AD53" s="554" t="n">
        <f aca="false">+AD52+AD51</f>
        <v>7.43057171348482E-012</v>
      </c>
      <c r="AE53" s="554" t="n">
        <f aca="false">+AE52+AE51</f>
        <v>0</v>
      </c>
      <c r="AF53" s="555" t="n">
        <f aca="false">SUM(E53:AE53)</f>
        <v>220442.822878833</v>
      </c>
      <c r="AG53" s="14"/>
      <c r="AH53" s="14"/>
      <c r="AI53" s="493"/>
      <c r="AJ53" s="493"/>
      <c r="AK53" s="493"/>
      <c r="AL53" s="493"/>
      <c r="AM53" s="493"/>
      <c r="AN53" s="493"/>
      <c r="AO53" s="493"/>
      <c r="AP53" s="493"/>
      <c r="AQ53" s="493"/>
      <c r="AR53" s="493"/>
      <c r="AS53" s="493"/>
      <c r="AT53" s="493"/>
      <c r="AU53" s="493"/>
      <c r="AV53" s="14"/>
      <c r="AW53" s="14"/>
      <c r="AX53" s="14"/>
      <c r="AY53" s="14"/>
      <c r="AZ53" s="14"/>
      <c r="BA53" s="14"/>
      <c r="BB53" s="14"/>
      <c r="BC53" s="14"/>
      <c r="BD53" s="14"/>
      <c r="BE53" s="511"/>
      <c r="BF53" s="511"/>
      <c r="BG53" s="512"/>
      <c r="BH53" s="512"/>
      <c r="BI53" s="513"/>
      <c r="BJ53" s="512"/>
      <c r="BK53" s="512"/>
    </row>
    <row r="54" customFormat="false" ht="17.2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AF54" s="14"/>
      <c r="AG54" s="265"/>
      <c r="AH54" s="265"/>
      <c r="AI54" s="556"/>
      <c r="AJ54" s="556"/>
      <c r="AK54" s="556"/>
      <c r="AL54" s="556"/>
      <c r="AM54" s="556"/>
      <c r="AN54" s="556"/>
      <c r="AO54" s="556"/>
      <c r="AP54" s="556"/>
      <c r="AQ54" s="556"/>
      <c r="AR54" s="556"/>
      <c r="AS54" s="556"/>
      <c r="AT54" s="556"/>
      <c r="AU54" s="556"/>
      <c r="AV54" s="265"/>
      <c r="AW54" s="265"/>
      <c r="AX54" s="265"/>
      <c r="AY54" s="265"/>
      <c r="AZ54" s="265"/>
      <c r="BA54" s="265"/>
      <c r="BB54" s="265"/>
      <c r="BC54" s="265"/>
      <c r="BD54" s="265"/>
      <c r="BE54" s="557"/>
      <c r="BF54" s="557"/>
      <c r="BG54" s="558"/>
      <c r="BH54" s="558"/>
      <c r="BI54" s="513"/>
      <c r="BJ54" s="558"/>
      <c r="BK54" s="558"/>
      <c r="BL54" s="427"/>
      <c r="BM54" s="427"/>
      <c r="BN54" s="427"/>
      <c r="BO54" s="427"/>
      <c r="BP54" s="427"/>
      <c r="BQ54" s="427"/>
      <c r="BR54" s="427"/>
      <c r="BS54" s="427"/>
      <c r="BT54" s="427"/>
      <c r="BU54" s="427"/>
      <c r="BV54" s="427"/>
      <c r="BW54" s="427"/>
      <c r="BX54" s="427"/>
      <c r="BY54" s="427"/>
      <c r="BZ54" s="427"/>
      <c r="CA54" s="427"/>
      <c r="CB54" s="427"/>
      <c r="CC54" s="427"/>
      <c r="CD54" s="427"/>
      <c r="CE54" s="427"/>
      <c r="CF54" s="427"/>
      <c r="CG54" s="427"/>
      <c r="CH54" s="427"/>
      <c r="CI54" s="427"/>
      <c r="CJ54" s="427"/>
      <c r="CK54" s="427"/>
      <c r="CL54" s="427"/>
      <c r="CM54" s="427"/>
      <c r="CN54" s="427"/>
      <c r="CO54" s="427"/>
      <c r="CP54" s="427"/>
      <c r="CQ54" s="427"/>
      <c r="CR54" s="427"/>
      <c r="CS54" s="427"/>
      <c r="CT54" s="427"/>
      <c r="CU54" s="427"/>
      <c r="CV54" s="427"/>
      <c r="CW54" s="427"/>
      <c r="CX54" s="427"/>
      <c r="CY54" s="427"/>
      <c r="CZ54" s="427"/>
      <c r="DA54" s="427"/>
      <c r="DB54" s="427"/>
      <c r="DC54" s="427"/>
      <c r="DD54" s="427"/>
      <c r="DE54" s="427"/>
      <c r="DF54" s="427"/>
      <c r="DG54" s="427"/>
      <c r="DH54" s="427"/>
      <c r="DI54" s="427"/>
      <c r="DJ54" s="427"/>
      <c r="DK54" s="427"/>
      <c r="DL54" s="427"/>
      <c r="DM54" s="427"/>
      <c r="DN54" s="427"/>
      <c r="DO54" s="427"/>
      <c r="DP54" s="427"/>
      <c r="DQ54" s="427"/>
      <c r="DR54" s="427"/>
      <c r="DS54" s="427"/>
      <c r="DT54" s="427"/>
      <c r="DU54" s="427"/>
      <c r="DV54" s="427"/>
      <c r="DW54" s="427"/>
      <c r="DX54" s="427"/>
      <c r="DY54" s="427"/>
      <c r="DZ54" s="427"/>
      <c r="EA54" s="427"/>
      <c r="EB54" s="427"/>
      <c r="EC54" s="427"/>
      <c r="ED54" s="427"/>
      <c r="EE54" s="427"/>
      <c r="EF54" s="427"/>
      <c r="EG54" s="427"/>
      <c r="EH54" s="427"/>
      <c r="EI54" s="427"/>
      <c r="EJ54" s="427"/>
      <c r="EK54" s="427"/>
      <c r="EL54" s="427"/>
      <c r="EM54" s="427"/>
      <c r="EN54" s="427"/>
      <c r="EO54" s="427"/>
      <c r="EP54" s="427"/>
      <c r="EQ54" s="427"/>
      <c r="ER54" s="427"/>
      <c r="ES54" s="427"/>
      <c r="ET54" s="427"/>
      <c r="EU54" s="427"/>
      <c r="EV54" s="427"/>
      <c r="EW54" s="427"/>
      <c r="EX54" s="427"/>
      <c r="EY54" s="427"/>
      <c r="EZ54" s="427"/>
      <c r="FA54" s="427"/>
      <c r="FB54" s="427"/>
      <c r="FC54" s="427"/>
      <c r="FD54" s="427"/>
      <c r="FE54" s="427"/>
      <c r="FF54" s="427"/>
      <c r="FG54" s="427"/>
      <c r="FH54" s="427"/>
      <c r="FI54" s="427"/>
      <c r="FJ54" s="427"/>
      <c r="FK54" s="427"/>
      <c r="FL54" s="427"/>
      <c r="FM54" s="427"/>
      <c r="FN54" s="427"/>
      <c r="FO54" s="427"/>
      <c r="FP54" s="427"/>
      <c r="FQ54" s="427"/>
      <c r="FR54" s="427"/>
      <c r="FS54" s="427"/>
      <c r="FT54" s="427"/>
      <c r="FU54" s="427"/>
      <c r="FV54" s="427"/>
      <c r="FW54" s="427"/>
      <c r="FX54" s="427"/>
      <c r="FY54" s="427"/>
      <c r="FZ54" s="427"/>
      <c r="GA54" s="427"/>
      <c r="GB54" s="427"/>
      <c r="GC54" s="427"/>
      <c r="GD54" s="427"/>
      <c r="GE54" s="427"/>
      <c r="GF54" s="427"/>
      <c r="GG54" s="427"/>
      <c r="GH54" s="427"/>
      <c r="GI54" s="427"/>
      <c r="GJ54" s="427"/>
      <c r="GK54" s="427"/>
      <c r="GL54" s="427"/>
      <c r="GM54" s="427"/>
      <c r="GN54" s="427"/>
      <c r="GO54" s="427"/>
      <c r="GP54" s="427"/>
      <c r="GQ54" s="427"/>
      <c r="GR54" s="427"/>
      <c r="GS54" s="427"/>
      <c r="GT54" s="427"/>
      <c r="GU54" s="427"/>
      <c r="GV54" s="427"/>
      <c r="GW54" s="427"/>
      <c r="GX54" s="427"/>
      <c r="GY54" s="427"/>
      <c r="GZ54" s="427"/>
      <c r="HA54" s="427"/>
      <c r="HB54" s="427"/>
      <c r="HC54" s="427"/>
      <c r="HD54" s="427"/>
      <c r="HE54" s="427"/>
      <c r="HF54" s="427"/>
      <c r="HG54" s="427"/>
      <c r="HH54" s="427"/>
      <c r="HI54" s="427"/>
      <c r="HJ54" s="427"/>
      <c r="HK54" s="427"/>
      <c r="HL54" s="427"/>
      <c r="HM54" s="427"/>
      <c r="HN54" s="427"/>
      <c r="HO54" s="427"/>
      <c r="HP54" s="427"/>
      <c r="HQ54" s="427"/>
      <c r="HR54" s="427"/>
      <c r="HS54" s="427"/>
      <c r="HT54" s="427"/>
      <c r="HU54" s="427"/>
      <c r="HV54" s="427"/>
      <c r="HW54" s="427"/>
      <c r="HX54" s="427"/>
      <c r="HY54" s="427"/>
      <c r="HZ54" s="427"/>
      <c r="IA54" s="427"/>
      <c r="IB54" s="427"/>
      <c r="IC54" s="427"/>
      <c r="ID54" s="427"/>
      <c r="IE54" s="427"/>
      <c r="IF54" s="427"/>
      <c r="IG54" s="427"/>
      <c r="IH54" s="427"/>
      <c r="II54" s="427"/>
      <c r="IJ54" s="427"/>
      <c r="IK54" s="427"/>
      <c r="IL54" s="427"/>
      <c r="IM54" s="427"/>
      <c r="IN54" s="427"/>
      <c r="IO54" s="427"/>
      <c r="IP54" s="427"/>
      <c r="IQ54" s="427"/>
      <c r="IR54" s="427"/>
      <c r="IS54" s="427"/>
      <c r="IT54" s="427"/>
      <c r="IU54" s="427"/>
      <c r="IV54" s="427"/>
      <c r="IW54" s="427"/>
    </row>
    <row r="55" customFormat="false" ht="17.25" hidden="false" customHeight="false" outlineLevel="0" collapsed="false">
      <c r="A55" s="499"/>
      <c r="B55" s="190"/>
      <c r="C55" s="190"/>
      <c r="D55" s="190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Q55" s="540"/>
      <c r="AR55" s="540"/>
      <c r="AS55" s="540"/>
      <c r="AT55" s="540"/>
      <c r="AU55" s="540"/>
      <c r="AV55" s="14"/>
      <c r="AW55" s="14"/>
      <c r="AX55" s="14"/>
      <c r="AY55" s="14"/>
      <c r="AZ55" s="14"/>
      <c r="BA55" s="14"/>
      <c r="BB55" s="14"/>
      <c r="BC55" s="14"/>
      <c r="BD55" s="14"/>
      <c r="BE55" s="511"/>
      <c r="BF55" s="511"/>
      <c r="BG55" s="512"/>
      <c r="BH55" s="512"/>
      <c r="BI55" s="513"/>
      <c r="BJ55" s="512"/>
      <c r="BK55" s="512"/>
    </row>
    <row r="56" customFormat="false" ht="17.25" hidden="false" customHeight="false" outlineLevel="0" collapsed="false">
      <c r="A56" s="190"/>
      <c r="B56" s="190"/>
      <c r="C56" s="190"/>
      <c r="D56" s="190"/>
      <c r="E56" s="559"/>
      <c r="F56" s="559"/>
      <c r="G56" s="559"/>
      <c r="H56" s="559"/>
      <c r="I56" s="559"/>
      <c r="J56" s="559"/>
      <c r="K56" s="559"/>
      <c r="L56" s="559"/>
      <c r="M56" s="559"/>
      <c r="N56" s="559"/>
      <c r="O56" s="559"/>
      <c r="P56" s="559"/>
      <c r="Q56" s="559"/>
      <c r="R56" s="559"/>
      <c r="S56" s="559"/>
      <c r="T56" s="559"/>
      <c r="U56" s="559"/>
      <c r="V56" s="559"/>
      <c r="W56" s="559"/>
      <c r="X56" s="559"/>
      <c r="Y56" s="559"/>
      <c r="Z56" s="559"/>
      <c r="AA56" s="559"/>
      <c r="AB56" s="559"/>
      <c r="AC56" s="559"/>
      <c r="AD56" s="559"/>
      <c r="AE56" s="559"/>
      <c r="AQ56" s="540"/>
      <c r="AR56" s="540"/>
      <c r="AS56" s="540"/>
      <c r="AT56" s="540"/>
      <c r="AU56" s="540"/>
      <c r="AV56" s="14"/>
      <c r="AW56" s="14"/>
      <c r="AX56" s="14"/>
      <c r="AY56" s="14"/>
      <c r="AZ56" s="14"/>
      <c r="BA56" s="14"/>
      <c r="BB56" s="14"/>
      <c r="BC56" s="14"/>
      <c r="BD56" s="14"/>
      <c r="BE56" s="511"/>
      <c r="BF56" s="511"/>
      <c r="BG56" s="512"/>
      <c r="BH56" s="512"/>
      <c r="BI56" s="513"/>
      <c r="BJ56" s="512"/>
      <c r="BK56" s="512"/>
    </row>
    <row r="57" customFormat="false" ht="17.25" hidden="false" customHeight="false" outlineLevel="0" collapsed="false">
      <c r="A57" s="499"/>
      <c r="B57" s="190"/>
      <c r="C57" s="190"/>
      <c r="D57" s="190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Q57" s="540"/>
      <c r="AR57" s="540"/>
      <c r="AS57" s="540"/>
      <c r="AT57" s="540"/>
      <c r="AU57" s="540"/>
      <c r="AV57" s="14"/>
      <c r="AW57" s="14"/>
      <c r="AX57" s="14"/>
      <c r="AY57" s="14"/>
      <c r="AZ57" s="14"/>
      <c r="BA57" s="14"/>
      <c r="BB57" s="14"/>
      <c r="BC57" s="14"/>
      <c r="BD57" s="14"/>
      <c r="BE57" s="511"/>
      <c r="BF57" s="511"/>
      <c r="BG57" s="512"/>
      <c r="BH57" s="512"/>
      <c r="BI57" s="513"/>
      <c r="BJ57" s="512"/>
      <c r="BK57" s="512"/>
    </row>
    <row r="58" customFormat="false" ht="17.25" hidden="false" customHeight="false" outlineLevel="0" collapsed="false">
      <c r="A58" s="190"/>
      <c r="B58" s="190"/>
      <c r="C58" s="190"/>
      <c r="D58" s="190"/>
      <c r="E58" s="559"/>
      <c r="F58" s="559"/>
      <c r="G58" s="559"/>
      <c r="H58" s="559"/>
      <c r="I58" s="559"/>
      <c r="J58" s="559"/>
      <c r="K58" s="559"/>
      <c r="L58" s="559"/>
      <c r="M58" s="559"/>
      <c r="N58" s="559"/>
      <c r="O58" s="559"/>
      <c r="P58" s="559"/>
      <c r="Q58" s="559"/>
      <c r="R58" s="559"/>
      <c r="S58" s="559"/>
      <c r="T58" s="559"/>
      <c r="U58" s="559"/>
      <c r="V58" s="559"/>
      <c r="W58" s="559"/>
      <c r="X58" s="559"/>
      <c r="Y58" s="559"/>
      <c r="Z58" s="559"/>
      <c r="AA58" s="559"/>
      <c r="AB58" s="559"/>
      <c r="AC58" s="559"/>
      <c r="AD58" s="559"/>
      <c r="AE58" s="559"/>
      <c r="AQ58" s="540"/>
      <c r="AR58" s="540"/>
      <c r="AS58" s="540"/>
      <c r="AT58" s="540"/>
      <c r="AU58" s="540"/>
      <c r="AV58" s="14"/>
      <c r="AW58" s="14"/>
      <c r="AX58" s="14"/>
      <c r="AY58" s="14"/>
      <c r="AZ58" s="14"/>
      <c r="BA58" s="14"/>
      <c r="BB58" s="14"/>
      <c r="BC58" s="14"/>
      <c r="BD58" s="14"/>
      <c r="BE58" s="511"/>
      <c r="BF58" s="511"/>
      <c r="BG58" s="512"/>
      <c r="BH58" s="512"/>
      <c r="BI58" s="513"/>
      <c r="BJ58" s="512"/>
      <c r="BK58" s="512"/>
    </row>
    <row r="59" customFormat="false" ht="17.25" hidden="false" customHeight="false" outlineLevel="0" collapsed="false">
      <c r="A59" s="499"/>
      <c r="B59" s="190"/>
      <c r="C59" s="190"/>
      <c r="D59" s="190"/>
      <c r="E59" s="559"/>
      <c r="F59" s="559"/>
      <c r="G59" s="559"/>
      <c r="H59" s="559"/>
      <c r="I59" s="559"/>
      <c r="J59" s="559"/>
      <c r="K59" s="559"/>
      <c r="L59" s="559"/>
      <c r="M59" s="559"/>
      <c r="N59" s="559"/>
      <c r="O59" s="559"/>
      <c r="P59" s="559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Q59" s="540"/>
      <c r="AR59" s="540"/>
      <c r="AS59" s="540"/>
      <c r="AT59" s="540"/>
      <c r="AU59" s="540"/>
      <c r="AV59" s="14"/>
      <c r="AW59" s="14"/>
      <c r="AX59" s="14"/>
      <c r="AY59" s="14"/>
      <c r="AZ59" s="14"/>
      <c r="BA59" s="14"/>
      <c r="BB59" s="14"/>
      <c r="BC59" s="14"/>
      <c r="BD59" s="14"/>
      <c r="BE59" s="511"/>
      <c r="BF59" s="511"/>
      <c r="BG59" s="512"/>
      <c r="BH59" s="512"/>
      <c r="BI59" s="513"/>
      <c r="BJ59" s="512"/>
      <c r="BK59" s="512"/>
    </row>
    <row r="60" customFormat="false" ht="17.25" hidden="false" customHeight="false" outlineLevel="0" collapsed="false">
      <c r="A60" s="190"/>
      <c r="B60" s="190"/>
      <c r="C60" s="190"/>
      <c r="D60" s="190"/>
      <c r="E60" s="559"/>
      <c r="F60" s="559"/>
      <c r="G60" s="559"/>
      <c r="H60" s="559"/>
      <c r="I60" s="559"/>
      <c r="J60" s="559"/>
      <c r="K60" s="559"/>
      <c r="L60" s="559"/>
      <c r="M60" s="559"/>
      <c r="N60" s="559"/>
      <c r="O60" s="559"/>
      <c r="P60" s="559"/>
      <c r="Q60" s="559"/>
      <c r="R60" s="559"/>
      <c r="S60" s="559"/>
      <c r="T60" s="559"/>
      <c r="U60" s="559"/>
      <c r="V60" s="559"/>
      <c r="W60" s="559"/>
      <c r="X60" s="559"/>
      <c r="Y60" s="559"/>
      <c r="Z60" s="559"/>
      <c r="AA60" s="559"/>
      <c r="AB60" s="559"/>
      <c r="AC60" s="559"/>
      <c r="AD60" s="559"/>
      <c r="AE60" s="559"/>
      <c r="AQ60" s="540"/>
      <c r="AR60" s="540"/>
      <c r="AS60" s="540"/>
      <c r="AT60" s="540"/>
      <c r="AU60" s="540"/>
      <c r="AV60" s="14"/>
      <c r="AW60" s="14"/>
      <c r="AX60" s="14"/>
      <c r="AY60" s="14"/>
      <c r="AZ60" s="14"/>
      <c r="BA60" s="14"/>
      <c r="BB60" s="14"/>
      <c r="BC60" s="14"/>
      <c r="BD60" s="14"/>
      <c r="BE60" s="511"/>
      <c r="BF60" s="511"/>
      <c r="BG60" s="512"/>
      <c r="BH60" s="512"/>
      <c r="BI60" s="513"/>
      <c r="BJ60" s="512"/>
      <c r="BK60" s="512"/>
    </row>
    <row r="61" customFormat="false" ht="15" hidden="false" customHeight="true" outlineLevel="0" collapsed="false">
      <c r="A61" s="190"/>
      <c r="B61" s="190"/>
      <c r="C61" s="190"/>
      <c r="D61" s="190"/>
      <c r="J61" s="489"/>
      <c r="K61" s="489"/>
      <c r="L61" s="489"/>
      <c r="M61" s="489"/>
      <c r="N61" s="489"/>
      <c r="O61" s="489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Q61" s="540"/>
      <c r="AR61" s="540"/>
      <c r="AS61" s="540"/>
      <c r="AT61" s="540"/>
      <c r="AU61" s="540"/>
      <c r="AV61" s="14"/>
      <c r="BE61" s="512"/>
      <c r="BF61" s="512"/>
      <c r="BG61" s="512"/>
      <c r="BH61" s="512"/>
      <c r="BI61" s="513"/>
      <c r="BJ61" s="512"/>
      <c r="BK61" s="512"/>
    </row>
    <row r="62" customFormat="false" ht="15" hidden="false" customHeight="false" outlineLevel="0" collapsed="false">
      <c r="A62" s="190"/>
      <c r="B62" s="190"/>
      <c r="C62" s="345"/>
      <c r="D62" s="345"/>
      <c r="J62" s="190"/>
      <c r="K62" s="190"/>
      <c r="L62" s="190"/>
      <c r="M62" s="190"/>
      <c r="N62" s="190"/>
      <c r="O62" s="190"/>
      <c r="P62" s="190"/>
      <c r="Q62" s="560"/>
      <c r="R62" s="560"/>
      <c r="S62" s="560"/>
      <c r="T62" s="560"/>
      <c r="U62" s="560"/>
      <c r="V62" s="560"/>
      <c r="W62" s="560"/>
      <c r="X62" s="560"/>
      <c r="Y62" s="560"/>
      <c r="Z62" s="560"/>
      <c r="AA62" s="560"/>
      <c r="AB62" s="560"/>
      <c r="AC62" s="560"/>
      <c r="AD62" s="560"/>
      <c r="AE62" s="560"/>
      <c r="AQ62" s="398"/>
      <c r="AR62" s="398"/>
      <c r="AS62" s="398"/>
      <c r="AT62" s="398"/>
      <c r="AU62" s="398"/>
      <c r="AV62" s="14"/>
      <c r="BE62" s="512"/>
      <c r="BF62" s="512"/>
      <c r="BG62" s="512"/>
      <c r="BH62" s="512"/>
      <c r="BI62" s="513"/>
      <c r="BJ62" s="512"/>
      <c r="BK62" s="512"/>
    </row>
    <row r="63" customFormat="false" ht="15" hidden="false" customHeight="false" outlineLevel="0" collapsed="false">
      <c r="AQ63" s="398"/>
      <c r="AR63" s="398"/>
      <c r="AS63" s="398"/>
      <c r="AT63" s="398"/>
      <c r="AU63" s="398"/>
      <c r="AV63" s="14"/>
      <c r="BE63" s="512"/>
      <c r="BF63" s="512"/>
      <c r="BG63" s="512"/>
      <c r="BH63" s="512"/>
      <c r="BI63" s="513"/>
      <c r="BJ63" s="512"/>
      <c r="BK63" s="512"/>
    </row>
    <row r="64" customFormat="false" ht="15" hidden="false" customHeight="false" outlineLevel="0" collapsed="false">
      <c r="AQ64" s="398"/>
      <c r="AR64" s="398"/>
      <c r="AS64" s="398"/>
      <c r="AT64" s="398"/>
      <c r="AU64" s="398"/>
      <c r="AV64" s="14"/>
      <c r="BE64" s="512"/>
      <c r="BF64" s="512"/>
      <c r="BG64" s="512"/>
      <c r="BH64" s="512"/>
      <c r="BI64" s="513"/>
      <c r="BJ64" s="512"/>
      <c r="BK64" s="512"/>
    </row>
    <row r="65" customFormat="false" ht="15" hidden="false" customHeight="false" outlineLevel="0" collapsed="false">
      <c r="AQ65" s="398"/>
      <c r="AR65" s="398"/>
      <c r="AS65" s="398"/>
      <c r="AT65" s="398"/>
      <c r="AU65" s="398"/>
      <c r="AV65" s="14"/>
      <c r="BE65" s="512"/>
      <c r="BF65" s="512"/>
      <c r="BG65" s="512"/>
      <c r="BH65" s="512"/>
      <c r="BI65" s="513"/>
      <c r="BJ65" s="512"/>
      <c r="BK65" s="512"/>
    </row>
    <row r="66" customFormat="false" ht="15" hidden="false" customHeight="false" outlineLevel="0" collapsed="false">
      <c r="AQ66" s="398"/>
      <c r="AR66" s="398"/>
      <c r="AS66" s="398"/>
      <c r="AT66" s="398"/>
      <c r="AU66" s="398"/>
      <c r="AV66" s="14"/>
      <c r="BE66" s="512"/>
      <c r="BF66" s="512"/>
      <c r="BG66" s="512"/>
      <c r="BH66" s="512"/>
      <c r="BI66" s="513"/>
      <c r="BJ66" s="512"/>
      <c r="BK66" s="512"/>
    </row>
    <row r="67" customFormat="false" ht="15" hidden="false" customHeight="false" outlineLevel="0" collapsed="false">
      <c r="AQ67" s="14"/>
      <c r="AR67" s="14"/>
      <c r="AS67" s="14"/>
      <c r="AT67" s="14"/>
      <c r="AU67" s="14"/>
      <c r="AV67" s="14"/>
      <c r="BE67" s="512"/>
      <c r="BF67" s="512"/>
      <c r="BG67" s="512"/>
      <c r="BH67" s="512"/>
      <c r="BI67" s="513"/>
      <c r="BJ67" s="512"/>
      <c r="BK67" s="512"/>
    </row>
    <row r="68" customFormat="false" ht="17.25" hidden="false" customHeight="false" outlineLevel="0" collapsed="false">
      <c r="A68" s="190"/>
      <c r="B68" s="190"/>
      <c r="C68" s="561"/>
      <c r="D68" s="561"/>
      <c r="E68" s="562"/>
      <c r="F68" s="562"/>
      <c r="G68" s="562"/>
      <c r="H68" s="562"/>
      <c r="I68" s="562"/>
      <c r="J68" s="562"/>
      <c r="K68" s="562"/>
      <c r="L68" s="562"/>
      <c r="M68" s="562"/>
      <c r="N68" s="562"/>
      <c r="O68" s="562"/>
      <c r="P68" s="562"/>
      <c r="Q68" s="562"/>
      <c r="R68" s="562"/>
      <c r="S68" s="562"/>
      <c r="T68" s="562"/>
      <c r="U68" s="562"/>
      <c r="V68" s="562"/>
      <c r="W68" s="562"/>
      <c r="X68" s="562"/>
      <c r="Y68" s="562"/>
      <c r="Z68" s="562"/>
      <c r="AA68" s="562"/>
      <c r="AB68" s="562"/>
      <c r="AC68" s="562"/>
      <c r="AD68" s="562"/>
      <c r="AE68" s="562"/>
      <c r="AL68" s="346"/>
      <c r="AM68" s="131"/>
      <c r="AN68" s="131"/>
      <c r="AO68" s="131"/>
      <c r="AP68" s="131"/>
      <c r="AQ68" s="131"/>
      <c r="AR68" s="131"/>
      <c r="AS68" s="131"/>
      <c r="AT68" s="131"/>
      <c r="AU68" s="131"/>
      <c r="AV68" s="14"/>
      <c r="BE68" s="512"/>
      <c r="BF68" s="512"/>
      <c r="BG68" s="512"/>
      <c r="BH68" s="512"/>
      <c r="BI68" s="513"/>
      <c r="BJ68" s="512"/>
      <c r="BK68" s="512"/>
    </row>
    <row r="69" customFormat="false" ht="15" hidden="false" customHeight="false" outlineLevel="0" collapsed="false">
      <c r="A69" s="190"/>
      <c r="B69" s="190"/>
      <c r="C69" s="345"/>
      <c r="D69" s="345"/>
      <c r="E69" s="563"/>
      <c r="F69" s="563"/>
      <c r="G69" s="563"/>
      <c r="H69" s="563"/>
      <c r="I69" s="563"/>
      <c r="J69" s="563"/>
      <c r="K69" s="563"/>
      <c r="L69" s="563"/>
      <c r="M69" s="563"/>
      <c r="N69" s="563"/>
      <c r="O69" s="563"/>
      <c r="P69" s="563"/>
      <c r="Q69" s="563"/>
      <c r="R69" s="563"/>
      <c r="S69" s="563"/>
      <c r="T69" s="563"/>
      <c r="U69" s="563"/>
      <c r="V69" s="563"/>
      <c r="W69" s="563"/>
      <c r="X69" s="563"/>
      <c r="Y69" s="563"/>
      <c r="Z69" s="563"/>
      <c r="AA69" s="563"/>
      <c r="AB69" s="563"/>
      <c r="AC69" s="563"/>
      <c r="AD69" s="563"/>
      <c r="AE69" s="563"/>
      <c r="AL69" s="190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BE69" s="512"/>
      <c r="BF69" s="512"/>
      <c r="BG69" s="512"/>
      <c r="BH69" s="512"/>
      <c r="BI69" s="552"/>
      <c r="BJ69" s="512"/>
      <c r="BK69" s="512"/>
    </row>
    <row r="70" customFormat="false" ht="15" hidden="false" customHeight="false" outlineLevel="0" collapsed="false">
      <c r="A70" s="190"/>
      <c r="B70" s="190"/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L70" s="564"/>
      <c r="AM70" s="398"/>
      <c r="AN70" s="398"/>
      <c r="AO70" s="398"/>
      <c r="AP70" s="398"/>
      <c r="AQ70" s="398"/>
      <c r="AR70" s="398"/>
      <c r="AS70" s="398"/>
      <c r="AT70" s="398"/>
      <c r="AU70" s="398"/>
      <c r="AV70" s="14"/>
      <c r="BE70" s="512"/>
      <c r="BF70" s="512"/>
      <c r="BG70" s="512"/>
      <c r="BH70" s="512"/>
      <c r="BI70" s="513"/>
      <c r="BJ70" s="512"/>
      <c r="BK70" s="512"/>
    </row>
    <row r="71" customFormat="false" ht="15" hidden="false" customHeight="false" outlineLevel="0" collapsed="false">
      <c r="A71" s="190"/>
      <c r="B71" s="190"/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L71" s="564"/>
      <c r="AM71" s="398"/>
      <c r="AN71" s="398"/>
      <c r="AO71" s="398"/>
      <c r="AP71" s="398"/>
      <c r="AQ71" s="398"/>
      <c r="AR71" s="398"/>
      <c r="AS71" s="398"/>
      <c r="AT71" s="398"/>
      <c r="AU71" s="398"/>
      <c r="AV71" s="14"/>
      <c r="BE71" s="512"/>
      <c r="BF71" s="512"/>
      <c r="BG71" s="512"/>
      <c r="BH71" s="512"/>
      <c r="BI71" s="513"/>
      <c r="BJ71" s="512"/>
      <c r="BK71" s="512"/>
    </row>
    <row r="72" customFormat="false" ht="15" hidden="false" customHeight="false" outlineLevel="0" collapsed="false">
      <c r="A72" s="190"/>
      <c r="B72" s="565"/>
      <c r="C72" s="566"/>
      <c r="D72" s="566"/>
      <c r="E72" s="566"/>
      <c r="F72" s="566"/>
      <c r="G72" s="566"/>
      <c r="H72" s="566"/>
      <c r="I72" s="566"/>
      <c r="J72" s="566"/>
      <c r="K72" s="566"/>
      <c r="L72" s="566"/>
      <c r="M72" s="566"/>
      <c r="N72" s="566"/>
      <c r="O72" s="566"/>
      <c r="P72" s="566"/>
      <c r="Q72" s="566"/>
      <c r="R72" s="566"/>
      <c r="S72" s="566"/>
      <c r="T72" s="566"/>
      <c r="U72" s="566"/>
      <c r="V72" s="566"/>
      <c r="W72" s="566"/>
      <c r="X72" s="566"/>
      <c r="Y72" s="566"/>
      <c r="Z72" s="566"/>
      <c r="AA72" s="566"/>
      <c r="AB72" s="566"/>
      <c r="AC72" s="566"/>
      <c r="AD72" s="566"/>
      <c r="AE72" s="566"/>
      <c r="AL72" s="567"/>
      <c r="AM72" s="400"/>
      <c r="AN72" s="400"/>
      <c r="AO72" s="400"/>
      <c r="AP72" s="400"/>
      <c r="AQ72" s="400"/>
      <c r="AR72" s="400"/>
      <c r="AS72" s="400"/>
      <c r="AT72" s="400"/>
      <c r="AU72" s="400"/>
      <c r="AV72" s="148"/>
      <c r="AW72" s="344"/>
      <c r="AX72" s="344"/>
      <c r="AY72" s="344"/>
      <c r="AZ72" s="344"/>
      <c r="BA72" s="344"/>
      <c r="BB72" s="344"/>
      <c r="BC72" s="344"/>
      <c r="BD72" s="344"/>
      <c r="BE72" s="551"/>
      <c r="BF72" s="551"/>
      <c r="BG72" s="551"/>
      <c r="BH72" s="551"/>
      <c r="BI72" s="552"/>
      <c r="BJ72" s="551"/>
      <c r="BK72" s="551"/>
      <c r="BL72" s="344"/>
      <c r="BM72" s="344"/>
      <c r="BN72" s="344"/>
      <c r="BO72" s="344"/>
      <c r="BP72" s="344"/>
      <c r="BQ72" s="344"/>
      <c r="BR72" s="344"/>
      <c r="BS72" s="344"/>
      <c r="BT72" s="344"/>
      <c r="BU72" s="344"/>
      <c r="BV72" s="344"/>
      <c r="BW72" s="344"/>
      <c r="BX72" s="344"/>
      <c r="BY72" s="344"/>
      <c r="BZ72" s="344"/>
      <c r="CA72" s="344"/>
      <c r="CB72" s="344"/>
      <c r="CC72" s="344"/>
      <c r="CD72" s="344"/>
      <c r="CE72" s="344"/>
      <c r="CF72" s="344"/>
      <c r="CG72" s="344"/>
      <c r="CH72" s="344"/>
      <c r="CI72" s="344"/>
      <c r="CJ72" s="344"/>
      <c r="CK72" s="344"/>
      <c r="CL72" s="344"/>
      <c r="CM72" s="344"/>
      <c r="CN72" s="344"/>
      <c r="CO72" s="344"/>
      <c r="CP72" s="344"/>
      <c r="CQ72" s="344"/>
      <c r="CR72" s="344"/>
      <c r="CS72" s="344"/>
      <c r="CT72" s="344"/>
      <c r="CU72" s="344"/>
      <c r="CV72" s="344"/>
      <c r="CW72" s="344"/>
      <c r="CX72" s="344"/>
      <c r="CY72" s="344"/>
      <c r="CZ72" s="344"/>
      <c r="DA72" s="344"/>
      <c r="DB72" s="344"/>
      <c r="DC72" s="344"/>
      <c r="DD72" s="344"/>
      <c r="DE72" s="344"/>
      <c r="DF72" s="344"/>
      <c r="DG72" s="344"/>
      <c r="DH72" s="344"/>
      <c r="DI72" s="344"/>
      <c r="DJ72" s="344"/>
      <c r="DK72" s="344"/>
      <c r="DL72" s="344"/>
      <c r="DM72" s="344"/>
      <c r="DN72" s="344"/>
      <c r="DO72" s="344"/>
      <c r="DP72" s="344"/>
      <c r="DQ72" s="344"/>
      <c r="DR72" s="344"/>
      <c r="DS72" s="344"/>
      <c r="DT72" s="344"/>
      <c r="DU72" s="344"/>
      <c r="DV72" s="344"/>
      <c r="DW72" s="344"/>
      <c r="DX72" s="344"/>
      <c r="DY72" s="344"/>
      <c r="DZ72" s="344"/>
      <c r="EA72" s="344"/>
      <c r="EB72" s="344"/>
      <c r="EC72" s="344"/>
      <c r="ED72" s="344"/>
      <c r="EE72" s="344"/>
      <c r="EF72" s="344"/>
      <c r="EG72" s="344"/>
      <c r="EH72" s="344"/>
      <c r="EI72" s="344"/>
      <c r="EJ72" s="344"/>
      <c r="EK72" s="344"/>
      <c r="EL72" s="344"/>
      <c r="EM72" s="344"/>
      <c r="EN72" s="344"/>
      <c r="EO72" s="344"/>
      <c r="EP72" s="344"/>
      <c r="EQ72" s="344"/>
      <c r="ER72" s="344"/>
      <c r="ES72" s="344"/>
      <c r="ET72" s="344"/>
      <c r="EU72" s="344"/>
      <c r="EV72" s="344"/>
      <c r="EW72" s="344"/>
      <c r="EX72" s="344"/>
      <c r="EY72" s="344"/>
      <c r="EZ72" s="344"/>
      <c r="FA72" s="344"/>
      <c r="FB72" s="344"/>
      <c r="FC72" s="344"/>
      <c r="FD72" s="344"/>
      <c r="FE72" s="344"/>
      <c r="FF72" s="344"/>
      <c r="FG72" s="344"/>
      <c r="FH72" s="344"/>
      <c r="FI72" s="344"/>
      <c r="FJ72" s="344"/>
      <c r="FK72" s="344"/>
      <c r="FL72" s="344"/>
      <c r="FM72" s="344"/>
      <c r="FN72" s="344"/>
      <c r="FO72" s="344"/>
      <c r="FP72" s="344"/>
      <c r="FQ72" s="344"/>
      <c r="FR72" s="344"/>
      <c r="FS72" s="344"/>
      <c r="FT72" s="344"/>
      <c r="FU72" s="344"/>
      <c r="FV72" s="344"/>
      <c r="FW72" s="344"/>
      <c r="FX72" s="344"/>
      <c r="FY72" s="344"/>
      <c r="FZ72" s="344"/>
      <c r="GA72" s="344"/>
      <c r="GB72" s="344"/>
      <c r="GC72" s="344"/>
      <c r="GD72" s="344"/>
      <c r="GE72" s="344"/>
      <c r="GF72" s="344"/>
      <c r="GG72" s="344"/>
      <c r="GH72" s="344"/>
      <c r="GI72" s="344"/>
      <c r="GJ72" s="344"/>
      <c r="GK72" s="344"/>
      <c r="GL72" s="344"/>
      <c r="GM72" s="344"/>
      <c r="GN72" s="344"/>
      <c r="GO72" s="344"/>
      <c r="GP72" s="344"/>
      <c r="GQ72" s="344"/>
      <c r="GR72" s="344"/>
      <c r="GS72" s="344"/>
      <c r="GT72" s="344"/>
      <c r="GU72" s="344"/>
      <c r="GV72" s="344"/>
      <c r="GW72" s="344"/>
      <c r="GX72" s="344"/>
      <c r="GY72" s="344"/>
      <c r="GZ72" s="344"/>
      <c r="HA72" s="344"/>
      <c r="HB72" s="344"/>
      <c r="HC72" s="344"/>
      <c r="HD72" s="344"/>
      <c r="HE72" s="344"/>
      <c r="HF72" s="344"/>
      <c r="HG72" s="344"/>
      <c r="HH72" s="344"/>
      <c r="HI72" s="344"/>
      <c r="HJ72" s="344"/>
      <c r="HK72" s="344"/>
      <c r="HL72" s="344"/>
      <c r="HM72" s="344"/>
      <c r="HN72" s="344"/>
      <c r="HO72" s="344"/>
      <c r="HP72" s="344"/>
      <c r="HQ72" s="344"/>
      <c r="HR72" s="344"/>
      <c r="HS72" s="344"/>
      <c r="HT72" s="344"/>
      <c r="HU72" s="344"/>
      <c r="HV72" s="344"/>
      <c r="HW72" s="344"/>
      <c r="HX72" s="344"/>
      <c r="HY72" s="344"/>
      <c r="HZ72" s="344"/>
      <c r="IA72" s="344"/>
      <c r="IB72" s="344"/>
      <c r="IC72" s="344"/>
      <c r="ID72" s="344"/>
      <c r="IE72" s="344"/>
      <c r="IF72" s="344"/>
      <c r="IG72" s="344"/>
      <c r="IH72" s="344"/>
      <c r="II72" s="344"/>
      <c r="IJ72" s="344"/>
      <c r="IK72" s="344"/>
      <c r="IL72" s="344"/>
      <c r="IM72" s="344"/>
      <c r="IN72" s="344"/>
      <c r="IO72" s="344"/>
      <c r="IP72" s="344"/>
      <c r="IQ72" s="344"/>
      <c r="IR72" s="344"/>
      <c r="IS72" s="344"/>
      <c r="IT72" s="344"/>
      <c r="IU72" s="344"/>
      <c r="IV72" s="344"/>
      <c r="IW72" s="344"/>
    </row>
    <row r="73" customFormat="false" ht="15" hidden="false" customHeight="false" outlineLevel="0" collapsed="false">
      <c r="A73" s="190"/>
      <c r="B73" s="190"/>
      <c r="C73" s="345"/>
      <c r="D73" s="345"/>
      <c r="E73" s="568"/>
      <c r="F73" s="345"/>
      <c r="G73" s="345"/>
      <c r="H73" s="345"/>
      <c r="I73" s="345"/>
      <c r="J73" s="345"/>
      <c r="K73" s="345"/>
      <c r="L73" s="345"/>
      <c r="M73" s="345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L73" s="190"/>
      <c r="AM73" s="14"/>
      <c r="BE73" s="512"/>
      <c r="BF73" s="512"/>
      <c r="BG73" s="512"/>
      <c r="BH73" s="512"/>
      <c r="BI73" s="569"/>
      <c r="BJ73" s="512"/>
      <c r="BK73" s="512"/>
    </row>
    <row r="74" customFormat="false" ht="15" hidden="false" customHeight="false" outlineLevel="0" collapsed="false">
      <c r="A74" s="190"/>
      <c r="B74" s="190"/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L74" s="190"/>
      <c r="AM74" s="14"/>
      <c r="BE74" s="512"/>
      <c r="BF74" s="512"/>
      <c r="BG74" s="512"/>
      <c r="BH74" s="512"/>
      <c r="BI74" s="569"/>
      <c r="BJ74" s="512"/>
      <c r="BK74" s="512"/>
    </row>
    <row r="75" customFormat="false" ht="15" hidden="false" customHeight="false" outlineLevel="0" collapsed="false">
      <c r="A75" s="190"/>
      <c r="B75" s="190"/>
      <c r="C75" s="345"/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L75" s="190"/>
      <c r="AM75" s="14"/>
      <c r="BE75" s="512"/>
      <c r="BF75" s="512"/>
      <c r="BG75" s="512"/>
      <c r="BH75" s="512"/>
      <c r="BI75" s="512"/>
      <c r="BJ75" s="512"/>
      <c r="BK75" s="512"/>
    </row>
    <row r="76" customFormat="false" ht="15" hidden="false" customHeight="false" outlineLevel="0" collapsed="false">
      <c r="A76" s="190"/>
      <c r="B76" s="190"/>
      <c r="C76" s="345"/>
      <c r="D76" s="345"/>
      <c r="E76" s="345"/>
      <c r="F76" s="345"/>
      <c r="G76" s="345"/>
      <c r="H76" s="345"/>
      <c r="I76" s="345"/>
      <c r="J76" s="345"/>
      <c r="K76" s="345"/>
      <c r="L76" s="345"/>
      <c r="M76" s="345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L76" s="190"/>
      <c r="AM76" s="14"/>
      <c r="BE76" s="512"/>
      <c r="BF76" s="512"/>
      <c r="BG76" s="512"/>
      <c r="BH76" s="512"/>
      <c r="BI76" s="512"/>
      <c r="BJ76" s="512"/>
      <c r="BK76" s="512"/>
    </row>
    <row r="77" customFormat="false" ht="15" hidden="false" customHeight="false" outlineLevel="0" collapsed="false">
      <c r="A77" s="190"/>
      <c r="B77" s="565"/>
      <c r="C77" s="566"/>
      <c r="D77" s="566"/>
      <c r="E77" s="566"/>
      <c r="F77" s="566"/>
      <c r="G77" s="566"/>
      <c r="H77" s="566"/>
      <c r="I77" s="566"/>
      <c r="J77" s="566"/>
      <c r="K77" s="566"/>
      <c r="L77" s="566"/>
      <c r="M77" s="566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565"/>
      <c r="Y77" s="565"/>
      <c r="Z77" s="565"/>
      <c r="AA77" s="565"/>
      <c r="AB77" s="565"/>
      <c r="AC77" s="565"/>
      <c r="AD77" s="565"/>
      <c r="AE77" s="565"/>
      <c r="AL77" s="565"/>
      <c r="AM77" s="148"/>
      <c r="BD77" s="344"/>
      <c r="BE77" s="551"/>
      <c r="BF77" s="551"/>
      <c r="BG77" s="551"/>
      <c r="BH77" s="551"/>
      <c r="BI77" s="551"/>
      <c r="BJ77" s="551"/>
      <c r="BK77" s="551"/>
      <c r="BL77" s="344"/>
      <c r="BM77" s="344"/>
      <c r="BN77" s="344"/>
      <c r="BO77" s="344"/>
      <c r="BP77" s="344"/>
      <c r="BQ77" s="344"/>
      <c r="BR77" s="344"/>
      <c r="BS77" s="344"/>
      <c r="BT77" s="344"/>
      <c r="BU77" s="344"/>
      <c r="BV77" s="344"/>
      <c r="BW77" s="344"/>
      <c r="BX77" s="344"/>
      <c r="BY77" s="344"/>
      <c r="BZ77" s="344"/>
      <c r="CA77" s="344"/>
      <c r="CB77" s="344"/>
      <c r="CC77" s="344"/>
      <c r="CD77" s="344"/>
      <c r="CE77" s="344"/>
      <c r="CF77" s="344"/>
      <c r="CG77" s="344"/>
      <c r="CH77" s="344"/>
      <c r="CI77" s="344"/>
      <c r="CJ77" s="344"/>
      <c r="CK77" s="344"/>
      <c r="CL77" s="344"/>
      <c r="CM77" s="344"/>
      <c r="CN77" s="344"/>
      <c r="CO77" s="344"/>
      <c r="CP77" s="344"/>
      <c r="CQ77" s="344"/>
      <c r="CR77" s="344"/>
      <c r="CS77" s="344"/>
      <c r="CT77" s="344"/>
      <c r="CU77" s="344"/>
      <c r="CV77" s="344"/>
      <c r="CW77" s="344"/>
      <c r="CX77" s="344"/>
      <c r="CY77" s="344"/>
      <c r="CZ77" s="344"/>
      <c r="DA77" s="344"/>
      <c r="DB77" s="344"/>
      <c r="DC77" s="344"/>
      <c r="DD77" s="344"/>
      <c r="DE77" s="344"/>
      <c r="DF77" s="344"/>
      <c r="DG77" s="344"/>
      <c r="DH77" s="344"/>
      <c r="DI77" s="344"/>
      <c r="DJ77" s="344"/>
      <c r="DK77" s="344"/>
      <c r="DL77" s="344"/>
      <c r="DM77" s="344"/>
      <c r="DN77" s="344"/>
      <c r="DO77" s="344"/>
      <c r="DP77" s="344"/>
      <c r="DQ77" s="344"/>
      <c r="DR77" s="344"/>
      <c r="DS77" s="344"/>
      <c r="DT77" s="344"/>
      <c r="DU77" s="344"/>
      <c r="DV77" s="344"/>
      <c r="DW77" s="344"/>
      <c r="DX77" s="344"/>
      <c r="DY77" s="344"/>
      <c r="DZ77" s="344"/>
      <c r="EA77" s="344"/>
      <c r="EB77" s="344"/>
      <c r="EC77" s="344"/>
      <c r="ED77" s="344"/>
      <c r="EE77" s="344"/>
      <c r="EF77" s="344"/>
      <c r="EG77" s="344"/>
      <c r="EH77" s="344"/>
      <c r="EI77" s="344"/>
      <c r="EJ77" s="344"/>
      <c r="EK77" s="344"/>
      <c r="EL77" s="344"/>
      <c r="EM77" s="344"/>
      <c r="EN77" s="344"/>
      <c r="EO77" s="344"/>
      <c r="EP77" s="344"/>
      <c r="EQ77" s="344"/>
      <c r="ER77" s="344"/>
      <c r="ES77" s="344"/>
      <c r="ET77" s="344"/>
      <c r="EU77" s="344"/>
      <c r="EV77" s="344"/>
      <c r="EW77" s="344"/>
      <c r="EX77" s="344"/>
      <c r="EY77" s="344"/>
      <c r="EZ77" s="344"/>
      <c r="FA77" s="344"/>
      <c r="FB77" s="344"/>
      <c r="FC77" s="344"/>
      <c r="FD77" s="344"/>
      <c r="FE77" s="344"/>
      <c r="FF77" s="344"/>
      <c r="FG77" s="344"/>
      <c r="FH77" s="344"/>
      <c r="FI77" s="344"/>
      <c r="FJ77" s="344"/>
      <c r="FK77" s="344"/>
      <c r="FL77" s="344"/>
      <c r="FM77" s="344"/>
      <c r="FN77" s="344"/>
      <c r="FO77" s="344"/>
      <c r="FP77" s="344"/>
      <c r="FQ77" s="344"/>
      <c r="FR77" s="344"/>
      <c r="FS77" s="344"/>
      <c r="FT77" s="344"/>
      <c r="FU77" s="344"/>
      <c r="FV77" s="344"/>
      <c r="FW77" s="344"/>
      <c r="FX77" s="344"/>
      <c r="FY77" s="344"/>
      <c r="FZ77" s="344"/>
      <c r="GA77" s="344"/>
      <c r="GB77" s="344"/>
      <c r="GC77" s="344"/>
      <c r="GD77" s="344"/>
      <c r="GE77" s="344"/>
      <c r="GF77" s="344"/>
      <c r="GG77" s="344"/>
      <c r="GH77" s="344"/>
      <c r="GI77" s="344"/>
      <c r="GJ77" s="344"/>
      <c r="GK77" s="344"/>
      <c r="GL77" s="344"/>
      <c r="GM77" s="344"/>
      <c r="GN77" s="344"/>
      <c r="GO77" s="344"/>
      <c r="GP77" s="344"/>
      <c r="GQ77" s="344"/>
      <c r="GR77" s="344"/>
      <c r="GS77" s="344"/>
      <c r="GT77" s="344"/>
      <c r="GU77" s="344"/>
      <c r="GV77" s="344"/>
      <c r="GW77" s="344"/>
      <c r="GX77" s="344"/>
      <c r="GY77" s="344"/>
      <c r="GZ77" s="344"/>
      <c r="HA77" s="344"/>
      <c r="HB77" s="344"/>
      <c r="HC77" s="344"/>
      <c r="HD77" s="344"/>
      <c r="HE77" s="344"/>
      <c r="HF77" s="344"/>
      <c r="HG77" s="344"/>
      <c r="HH77" s="344"/>
      <c r="HI77" s="344"/>
      <c r="HJ77" s="344"/>
      <c r="HK77" s="344"/>
      <c r="HL77" s="344"/>
      <c r="HM77" s="344"/>
      <c r="HN77" s="344"/>
      <c r="HO77" s="344"/>
      <c r="HP77" s="344"/>
      <c r="HQ77" s="344"/>
      <c r="HR77" s="344"/>
      <c r="HS77" s="344"/>
      <c r="HT77" s="344"/>
      <c r="HU77" s="344"/>
      <c r="HV77" s="344"/>
      <c r="HW77" s="344"/>
      <c r="HX77" s="344"/>
      <c r="HY77" s="344"/>
      <c r="HZ77" s="344"/>
      <c r="IA77" s="344"/>
      <c r="IB77" s="344"/>
      <c r="IC77" s="344"/>
      <c r="ID77" s="344"/>
      <c r="IE77" s="344"/>
      <c r="IF77" s="344"/>
      <c r="IG77" s="344"/>
      <c r="IH77" s="344"/>
      <c r="II77" s="344"/>
      <c r="IJ77" s="344"/>
      <c r="IK77" s="344"/>
      <c r="IL77" s="344"/>
      <c r="IM77" s="344"/>
      <c r="IN77" s="344"/>
      <c r="IO77" s="344"/>
      <c r="IP77" s="344"/>
      <c r="IQ77" s="344"/>
      <c r="IR77" s="344"/>
      <c r="IS77" s="344"/>
      <c r="IT77" s="344"/>
      <c r="IU77" s="344"/>
      <c r="IV77" s="344"/>
      <c r="IW77" s="344"/>
    </row>
    <row r="78" customFormat="false" ht="15" hidden="false" customHeight="false" outlineLevel="0" collapsed="false">
      <c r="A78" s="190"/>
      <c r="B78" s="190"/>
      <c r="C78" s="345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L78" s="190"/>
      <c r="AM78" s="14"/>
      <c r="BE78" s="512"/>
      <c r="BF78" s="512"/>
      <c r="BG78" s="512"/>
      <c r="BH78" s="512"/>
      <c r="BI78" s="512"/>
      <c r="BJ78" s="512"/>
      <c r="BK78" s="512"/>
    </row>
    <row r="79" customFormat="false" ht="15" hidden="false" customHeight="false" outlineLevel="0" collapsed="false">
      <c r="A79" s="190"/>
      <c r="B79" s="190"/>
      <c r="C79" s="345"/>
      <c r="D79" s="345"/>
      <c r="E79" s="345"/>
      <c r="F79" s="345"/>
      <c r="G79" s="345"/>
      <c r="H79" s="345"/>
      <c r="I79" s="345"/>
      <c r="J79" s="345"/>
      <c r="K79" s="345"/>
      <c r="L79" s="560"/>
      <c r="M79" s="56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L79" s="190"/>
      <c r="AM79" s="14"/>
      <c r="BE79" s="512"/>
      <c r="BF79" s="512"/>
      <c r="BG79" s="512"/>
      <c r="BH79" s="512"/>
      <c r="BI79" s="512"/>
      <c r="BJ79" s="512"/>
      <c r="BK79" s="512"/>
    </row>
    <row r="80" customFormat="false" ht="15" hidden="false" customHeight="false" outlineLevel="0" collapsed="false">
      <c r="A80" s="190"/>
      <c r="B80" s="190"/>
      <c r="C80" s="570"/>
      <c r="D80" s="570"/>
      <c r="E80" s="345"/>
      <c r="F80" s="190"/>
      <c r="G80" s="345"/>
      <c r="H80" s="345"/>
      <c r="I80" s="345"/>
      <c r="J80" s="345"/>
      <c r="K80" s="345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499"/>
      <c r="AI80" s="499"/>
      <c r="AJ80" s="190"/>
      <c r="AK80" s="190"/>
      <c r="AL80" s="190"/>
      <c r="AM80" s="14"/>
      <c r="BE80" s="512"/>
      <c r="BF80" s="512"/>
      <c r="BG80" s="512"/>
      <c r="BH80" s="512"/>
      <c r="BI80" s="512"/>
      <c r="BJ80" s="512"/>
      <c r="BK80" s="512"/>
    </row>
    <row r="81" customFormat="false" ht="15" hidden="false" customHeight="false" outlineLevel="0" collapsed="false">
      <c r="A81" s="190"/>
      <c r="B81" s="190"/>
      <c r="C81" s="345"/>
      <c r="D81" s="345"/>
      <c r="E81" s="345"/>
      <c r="F81" s="345"/>
      <c r="G81" s="345"/>
      <c r="H81" s="190"/>
      <c r="I81" s="56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565"/>
      <c r="AJ81" s="565"/>
      <c r="AK81" s="565"/>
      <c r="AL81" s="565"/>
      <c r="AM81" s="148"/>
      <c r="BE81" s="512"/>
      <c r="BF81" s="512"/>
      <c r="BG81" s="512"/>
      <c r="BH81" s="512"/>
      <c r="BI81" s="512"/>
      <c r="BJ81" s="512"/>
      <c r="BK81" s="512"/>
    </row>
    <row r="82" customFormat="false" ht="12.75" hidden="false" customHeight="false" outlineLevel="0" collapsed="false">
      <c r="A82" s="190"/>
      <c r="B82" s="190"/>
      <c r="C82" s="190"/>
      <c r="D82" s="190"/>
      <c r="E82" s="190"/>
      <c r="F82" s="190"/>
      <c r="G82" s="345"/>
      <c r="H82" s="190"/>
      <c r="I82" s="56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560"/>
      <c r="AJ82" s="560"/>
      <c r="AK82" s="560"/>
      <c r="AL82" s="560"/>
      <c r="AM82" s="493"/>
    </row>
    <row r="83" customFormat="false" ht="12.75" hidden="false" customHeight="false" outlineLevel="0" collapsed="false">
      <c r="A83" s="190"/>
      <c r="B83" s="190"/>
      <c r="C83" s="345"/>
      <c r="D83" s="345"/>
      <c r="E83" s="571"/>
      <c r="F83" s="345"/>
      <c r="G83" s="345"/>
      <c r="H83" s="190"/>
      <c r="I83" s="561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565"/>
      <c r="AJ83" s="565"/>
      <c r="AK83" s="565"/>
      <c r="AL83" s="565"/>
      <c r="AM83" s="148"/>
    </row>
    <row r="84" customFormat="false" ht="12.75" hidden="false" customHeight="false" outlineLevel="0" collapsed="false">
      <c r="A84" s="190"/>
      <c r="B84" s="190"/>
      <c r="C84" s="345"/>
      <c r="D84" s="345"/>
      <c r="E84" s="345"/>
      <c r="F84" s="489"/>
      <c r="G84" s="489"/>
      <c r="H84" s="489"/>
      <c r="I84" s="489"/>
      <c r="J84" s="489"/>
      <c r="K84" s="489"/>
      <c r="L84" s="489"/>
      <c r="M84" s="489"/>
      <c r="N84" s="489"/>
      <c r="O84" s="489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572"/>
      <c r="AJ84" s="572"/>
      <c r="AK84" s="572"/>
      <c r="AL84" s="572"/>
      <c r="AM84" s="302"/>
    </row>
    <row r="85" customFormat="false" ht="12.75" hidden="false" customHeight="false" outlineLevel="0" collapsed="false">
      <c r="A85" s="190"/>
      <c r="B85" s="190"/>
      <c r="C85" s="345"/>
      <c r="D85" s="345"/>
      <c r="E85" s="345"/>
      <c r="F85" s="489"/>
      <c r="G85" s="489"/>
      <c r="H85" s="489"/>
      <c r="I85" s="489"/>
      <c r="J85" s="489"/>
      <c r="K85" s="489"/>
      <c r="L85" s="489"/>
      <c r="M85" s="489"/>
      <c r="N85" s="489"/>
      <c r="O85" s="489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572"/>
      <c r="AJ85" s="572"/>
      <c r="AK85" s="572"/>
      <c r="AL85" s="572"/>
      <c r="AM85" s="302"/>
      <c r="AN85" s="302"/>
      <c r="AO85" s="302"/>
      <c r="AP85" s="302"/>
      <c r="AQ85" s="302"/>
      <c r="AR85" s="302"/>
      <c r="AS85" s="302"/>
      <c r="AT85" s="302"/>
      <c r="AU85" s="302"/>
      <c r="AV85" s="302"/>
      <c r="AW85" s="302"/>
      <c r="AX85" s="302"/>
      <c r="AY85" s="302"/>
    </row>
    <row r="86" customFormat="false" ht="12.75" hidden="false" customHeight="false" outlineLevel="0" collapsed="false">
      <c r="A86" s="190"/>
      <c r="B86" s="565"/>
      <c r="C86" s="566"/>
      <c r="D86" s="566"/>
      <c r="E86" s="56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565"/>
      <c r="Q86" s="565"/>
      <c r="R86" s="565"/>
      <c r="S86" s="565"/>
      <c r="T86" s="565"/>
      <c r="U86" s="565"/>
      <c r="V86" s="565"/>
      <c r="W86" s="565"/>
      <c r="X86" s="565"/>
      <c r="Y86" s="565"/>
      <c r="Z86" s="565"/>
      <c r="AA86" s="565"/>
      <c r="AB86" s="565"/>
      <c r="AC86" s="565"/>
      <c r="AD86" s="565"/>
      <c r="AE86" s="565"/>
      <c r="AF86" s="565"/>
      <c r="AG86" s="565"/>
      <c r="AH86" s="565"/>
      <c r="AI86" s="573"/>
      <c r="AJ86" s="573"/>
      <c r="AK86" s="573"/>
      <c r="AL86" s="573"/>
      <c r="AM86" s="574"/>
      <c r="AN86" s="574"/>
      <c r="AO86" s="574"/>
      <c r="AP86" s="574"/>
      <c r="AQ86" s="574"/>
      <c r="AR86" s="574"/>
      <c r="AS86" s="574"/>
      <c r="AT86" s="574"/>
      <c r="AU86" s="574"/>
      <c r="AV86" s="574"/>
      <c r="AW86" s="574"/>
      <c r="AX86" s="574"/>
      <c r="AY86" s="574"/>
      <c r="AZ86" s="344"/>
      <c r="BA86" s="344"/>
      <c r="BB86" s="344"/>
      <c r="BC86" s="344"/>
      <c r="BD86" s="344"/>
      <c r="BE86" s="344"/>
      <c r="BF86" s="344"/>
      <c r="BG86" s="344"/>
      <c r="BH86" s="344"/>
      <c r="BI86" s="344"/>
      <c r="BJ86" s="344"/>
      <c r="BK86" s="344"/>
      <c r="BL86" s="344"/>
      <c r="BM86" s="344"/>
      <c r="BN86" s="344"/>
      <c r="BO86" s="344"/>
      <c r="BP86" s="344"/>
      <c r="BQ86" s="344"/>
      <c r="BR86" s="344"/>
      <c r="BS86" s="344"/>
      <c r="BT86" s="344"/>
      <c r="BU86" s="344"/>
      <c r="BV86" s="344"/>
      <c r="BW86" s="344"/>
      <c r="BX86" s="344"/>
      <c r="BY86" s="344"/>
      <c r="BZ86" s="344"/>
      <c r="CA86" s="344"/>
      <c r="CB86" s="344"/>
      <c r="CC86" s="344"/>
      <c r="CD86" s="344"/>
      <c r="CE86" s="344"/>
      <c r="CF86" s="344"/>
      <c r="CG86" s="344"/>
      <c r="CH86" s="344"/>
      <c r="CI86" s="344"/>
      <c r="CJ86" s="344"/>
      <c r="CK86" s="344"/>
      <c r="CL86" s="344"/>
      <c r="CM86" s="344"/>
      <c r="CN86" s="344"/>
      <c r="CO86" s="344"/>
      <c r="CP86" s="344"/>
      <c r="CQ86" s="344"/>
      <c r="CR86" s="344"/>
      <c r="CS86" s="344"/>
      <c r="CT86" s="344"/>
      <c r="CU86" s="344"/>
      <c r="CV86" s="344"/>
      <c r="CW86" s="344"/>
      <c r="CX86" s="344"/>
      <c r="CY86" s="344"/>
      <c r="CZ86" s="344"/>
      <c r="DA86" s="344"/>
      <c r="DB86" s="344"/>
      <c r="DC86" s="344"/>
      <c r="DD86" s="344"/>
      <c r="DE86" s="344"/>
      <c r="DF86" s="344"/>
      <c r="DG86" s="344"/>
      <c r="DH86" s="344"/>
      <c r="DI86" s="344"/>
      <c r="DJ86" s="344"/>
      <c r="DK86" s="344"/>
      <c r="DL86" s="344"/>
      <c r="DM86" s="344"/>
      <c r="DN86" s="344"/>
      <c r="DO86" s="344"/>
      <c r="DP86" s="344"/>
      <c r="DQ86" s="344"/>
      <c r="DR86" s="344"/>
      <c r="DS86" s="344"/>
      <c r="DT86" s="344"/>
      <c r="DU86" s="344"/>
      <c r="DV86" s="344"/>
      <c r="DW86" s="344"/>
      <c r="DX86" s="344"/>
      <c r="DY86" s="344"/>
      <c r="DZ86" s="344"/>
      <c r="EA86" s="344"/>
      <c r="EB86" s="344"/>
      <c r="EC86" s="344"/>
      <c r="ED86" s="344"/>
      <c r="EE86" s="344"/>
      <c r="EF86" s="344"/>
      <c r="EG86" s="344"/>
      <c r="EH86" s="344"/>
      <c r="EI86" s="344"/>
      <c r="EJ86" s="344"/>
      <c r="EK86" s="344"/>
      <c r="EL86" s="344"/>
      <c r="EM86" s="344"/>
      <c r="EN86" s="344"/>
      <c r="EO86" s="344"/>
      <c r="EP86" s="344"/>
      <c r="EQ86" s="344"/>
      <c r="ER86" s="344"/>
      <c r="ES86" s="344"/>
      <c r="ET86" s="344"/>
      <c r="EU86" s="344"/>
      <c r="EV86" s="344"/>
      <c r="EW86" s="344"/>
      <c r="EX86" s="344"/>
      <c r="EY86" s="344"/>
      <c r="EZ86" s="344"/>
      <c r="FA86" s="344"/>
      <c r="FB86" s="344"/>
      <c r="FC86" s="344"/>
      <c r="FD86" s="344"/>
      <c r="FE86" s="344"/>
      <c r="FF86" s="344"/>
      <c r="FG86" s="344"/>
      <c r="FH86" s="344"/>
      <c r="FI86" s="344"/>
      <c r="FJ86" s="344"/>
      <c r="FK86" s="344"/>
      <c r="FL86" s="344"/>
      <c r="FM86" s="344"/>
      <c r="FN86" s="344"/>
      <c r="FO86" s="344"/>
      <c r="FP86" s="344"/>
      <c r="FQ86" s="344"/>
      <c r="FR86" s="344"/>
      <c r="FS86" s="344"/>
      <c r="FT86" s="344"/>
      <c r="FU86" s="344"/>
      <c r="FV86" s="344"/>
      <c r="FW86" s="344"/>
      <c r="FX86" s="344"/>
      <c r="FY86" s="344"/>
      <c r="FZ86" s="344"/>
      <c r="GA86" s="344"/>
      <c r="GB86" s="344"/>
      <c r="GC86" s="344"/>
      <c r="GD86" s="344"/>
      <c r="GE86" s="344"/>
      <c r="GF86" s="344"/>
      <c r="GG86" s="344"/>
      <c r="GH86" s="344"/>
      <c r="GI86" s="344"/>
      <c r="GJ86" s="344"/>
      <c r="GK86" s="344"/>
      <c r="GL86" s="344"/>
      <c r="GM86" s="344"/>
      <c r="GN86" s="344"/>
      <c r="GO86" s="344"/>
      <c r="GP86" s="344"/>
      <c r="GQ86" s="344"/>
      <c r="GR86" s="344"/>
      <c r="GS86" s="344"/>
      <c r="GT86" s="344"/>
      <c r="GU86" s="344"/>
      <c r="GV86" s="344"/>
      <c r="GW86" s="344"/>
      <c r="GX86" s="344"/>
      <c r="GY86" s="344"/>
      <c r="GZ86" s="344"/>
      <c r="HA86" s="344"/>
      <c r="HB86" s="344"/>
      <c r="HC86" s="344"/>
      <c r="HD86" s="344"/>
      <c r="HE86" s="344"/>
      <c r="HF86" s="344"/>
      <c r="HG86" s="344"/>
      <c r="HH86" s="344"/>
      <c r="HI86" s="344"/>
      <c r="HJ86" s="344"/>
      <c r="HK86" s="344"/>
      <c r="HL86" s="344"/>
      <c r="HM86" s="344"/>
      <c r="HN86" s="344"/>
      <c r="HO86" s="344"/>
      <c r="HP86" s="344"/>
      <c r="HQ86" s="344"/>
      <c r="HR86" s="344"/>
      <c r="HS86" s="344"/>
      <c r="HT86" s="344"/>
      <c r="HU86" s="344"/>
      <c r="HV86" s="344"/>
      <c r="HW86" s="344"/>
      <c r="HX86" s="344"/>
      <c r="HY86" s="344"/>
      <c r="HZ86" s="344"/>
      <c r="IA86" s="344"/>
      <c r="IB86" s="344"/>
      <c r="IC86" s="344"/>
      <c r="ID86" s="344"/>
      <c r="IE86" s="344"/>
      <c r="IF86" s="344"/>
      <c r="IG86" s="344"/>
      <c r="IH86" s="344"/>
      <c r="II86" s="344"/>
      <c r="IJ86" s="344"/>
      <c r="IK86" s="344"/>
      <c r="IL86" s="344"/>
      <c r="IM86" s="344"/>
      <c r="IN86" s="344"/>
      <c r="IO86" s="344"/>
      <c r="IP86" s="344"/>
      <c r="IQ86" s="344"/>
      <c r="IR86" s="344"/>
      <c r="IS86" s="344"/>
      <c r="IT86" s="344"/>
      <c r="IU86" s="344"/>
      <c r="IV86" s="344"/>
      <c r="IW86" s="344"/>
    </row>
    <row r="87" customFormat="false" ht="12.75" hidden="false" customHeight="false" outlineLevel="0" collapsed="false">
      <c r="A87" s="190"/>
      <c r="B87" s="190"/>
      <c r="C87" s="345"/>
      <c r="D87" s="345"/>
      <c r="E87" s="345"/>
      <c r="F87" s="489"/>
      <c r="G87" s="489"/>
      <c r="H87" s="489"/>
      <c r="I87" s="489"/>
      <c r="J87" s="489"/>
      <c r="K87" s="489"/>
      <c r="L87" s="489"/>
      <c r="M87" s="489"/>
      <c r="N87" s="489"/>
      <c r="O87" s="489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572"/>
      <c r="AJ87" s="572"/>
      <c r="AK87" s="572"/>
      <c r="AL87" s="572"/>
      <c r="AM87" s="302"/>
      <c r="AN87" s="302"/>
      <c r="AO87" s="302"/>
      <c r="AP87" s="302"/>
      <c r="AQ87" s="302"/>
      <c r="AR87" s="302"/>
      <c r="AS87" s="302"/>
      <c r="AT87" s="302"/>
      <c r="AU87" s="302"/>
      <c r="AV87" s="302"/>
      <c r="AW87" s="302"/>
      <c r="AX87" s="302"/>
      <c r="AY87" s="302"/>
    </row>
    <row r="88" customFormat="false" ht="12.75" hidden="false" customHeight="false" outlineLevel="0" collapsed="false">
      <c r="A88" s="190"/>
      <c r="B88" s="190"/>
      <c r="C88" s="345"/>
      <c r="D88" s="345"/>
      <c r="E88" s="345"/>
      <c r="F88" s="489"/>
      <c r="G88" s="489"/>
      <c r="H88" s="489"/>
      <c r="I88" s="489"/>
      <c r="J88" s="489"/>
      <c r="K88" s="489"/>
      <c r="L88" s="489"/>
      <c r="M88" s="489"/>
      <c r="N88" s="489"/>
      <c r="O88" s="489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572"/>
      <c r="AJ88" s="572"/>
      <c r="AK88" s="572"/>
      <c r="AL88" s="572"/>
      <c r="AM88" s="302"/>
      <c r="AN88" s="302"/>
      <c r="AO88" s="302"/>
      <c r="AP88" s="302"/>
      <c r="AQ88" s="302"/>
      <c r="AR88" s="302"/>
      <c r="AS88" s="302"/>
      <c r="AT88" s="302"/>
      <c r="AU88" s="302"/>
      <c r="AV88" s="302"/>
      <c r="AW88" s="302"/>
      <c r="AX88" s="302"/>
      <c r="AY88" s="302"/>
    </row>
    <row r="89" customFormat="false" ht="12.75" hidden="false" customHeight="false" outlineLevel="0" collapsed="false">
      <c r="A89" s="190"/>
      <c r="B89" s="565"/>
      <c r="C89" s="566"/>
      <c r="D89" s="566"/>
      <c r="E89" s="566"/>
      <c r="F89" s="346"/>
      <c r="G89" s="346"/>
      <c r="H89" s="346"/>
      <c r="I89" s="346"/>
      <c r="J89" s="346"/>
      <c r="K89" s="346"/>
      <c r="L89" s="346"/>
      <c r="M89" s="346"/>
      <c r="N89" s="346"/>
      <c r="O89" s="346"/>
      <c r="P89" s="565"/>
      <c r="Q89" s="565"/>
      <c r="R89" s="565"/>
      <c r="S89" s="565"/>
      <c r="T89" s="565"/>
      <c r="U89" s="565"/>
      <c r="V89" s="565"/>
      <c r="W89" s="565"/>
      <c r="X89" s="565"/>
      <c r="Y89" s="565"/>
      <c r="Z89" s="565"/>
      <c r="AA89" s="565"/>
      <c r="AB89" s="565"/>
      <c r="AC89" s="565"/>
      <c r="AD89" s="565"/>
      <c r="AE89" s="565"/>
      <c r="AF89" s="148"/>
      <c r="AG89" s="148"/>
      <c r="AH89" s="148"/>
      <c r="AI89" s="574"/>
      <c r="AJ89" s="574"/>
      <c r="AK89" s="574"/>
      <c r="AL89" s="574"/>
      <c r="AM89" s="574"/>
      <c r="AN89" s="574"/>
      <c r="AO89" s="574"/>
      <c r="AP89" s="574"/>
      <c r="AQ89" s="574"/>
      <c r="AR89" s="574"/>
      <c r="AS89" s="574"/>
      <c r="AT89" s="574"/>
      <c r="AU89" s="574"/>
      <c r="AV89" s="574"/>
      <c r="AW89" s="574"/>
      <c r="AX89" s="574"/>
      <c r="AY89" s="574"/>
      <c r="AZ89" s="344"/>
      <c r="BA89" s="344"/>
      <c r="BB89" s="344"/>
      <c r="BC89" s="344"/>
      <c r="BD89" s="344"/>
      <c r="BE89" s="344"/>
      <c r="BF89" s="344"/>
      <c r="BG89" s="344"/>
      <c r="BH89" s="344"/>
      <c r="BI89" s="344"/>
      <c r="BJ89" s="344"/>
      <c r="BK89" s="344"/>
      <c r="BL89" s="344"/>
      <c r="BM89" s="344"/>
      <c r="BN89" s="344"/>
      <c r="BO89" s="344"/>
      <c r="BP89" s="344"/>
      <c r="BQ89" s="344"/>
      <c r="BR89" s="344"/>
      <c r="BS89" s="344"/>
      <c r="BT89" s="344"/>
      <c r="BU89" s="344"/>
      <c r="BV89" s="344"/>
      <c r="BW89" s="344"/>
      <c r="BX89" s="344"/>
      <c r="BY89" s="344"/>
      <c r="BZ89" s="344"/>
      <c r="CA89" s="344"/>
      <c r="CB89" s="344"/>
      <c r="CC89" s="344"/>
      <c r="CD89" s="344"/>
      <c r="CE89" s="344"/>
      <c r="CF89" s="344"/>
      <c r="CG89" s="344"/>
      <c r="CH89" s="344"/>
      <c r="CI89" s="344"/>
      <c r="CJ89" s="344"/>
      <c r="CK89" s="344"/>
      <c r="CL89" s="344"/>
      <c r="CM89" s="344"/>
      <c r="CN89" s="344"/>
      <c r="CO89" s="344"/>
      <c r="CP89" s="344"/>
      <c r="CQ89" s="344"/>
      <c r="CR89" s="344"/>
      <c r="CS89" s="344"/>
      <c r="CT89" s="344"/>
      <c r="CU89" s="344"/>
      <c r="CV89" s="344"/>
      <c r="CW89" s="344"/>
      <c r="CX89" s="344"/>
      <c r="CY89" s="344"/>
      <c r="CZ89" s="344"/>
      <c r="DA89" s="344"/>
      <c r="DB89" s="344"/>
      <c r="DC89" s="344"/>
      <c r="DD89" s="344"/>
      <c r="DE89" s="344"/>
      <c r="DF89" s="344"/>
      <c r="DG89" s="344"/>
      <c r="DH89" s="344"/>
      <c r="DI89" s="344"/>
      <c r="DJ89" s="344"/>
      <c r="DK89" s="344"/>
      <c r="DL89" s="344"/>
      <c r="DM89" s="344"/>
      <c r="DN89" s="344"/>
      <c r="DO89" s="344"/>
      <c r="DP89" s="344"/>
      <c r="DQ89" s="344"/>
      <c r="DR89" s="344"/>
      <c r="DS89" s="344"/>
      <c r="DT89" s="344"/>
      <c r="DU89" s="344"/>
      <c r="DV89" s="344"/>
      <c r="DW89" s="344"/>
      <c r="DX89" s="344"/>
      <c r="DY89" s="344"/>
      <c r="DZ89" s="344"/>
      <c r="EA89" s="344"/>
      <c r="EB89" s="344"/>
      <c r="EC89" s="344"/>
      <c r="ED89" s="344"/>
      <c r="EE89" s="344"/>
      <c r="EF89" s="344"/>
      <c r="EG89" s="344"/>
      <c r="EH89" s="344"/>
      <c r="EI89" s="344"/>
      <c r="EJ89" s="344"/>
      <c r="EK89" s="344"/>
      <c r="EL89" s="344"/>
      <c r="EM89" s="344"/>
      <c r="EN89" s="344"/>
      <c r="EO89" s="344"/>
      <c r="EP89" s="344"/>
      <c r="EQ89" s="344"/>
      <c r="ER89" s="344"/>
      <c r="ES89" s="344"/>
      <c r="ET89" s="344"/>
      <c r="EU89" s="344"/>
      <c r="EV89" s="344"/>
      <c r="EW89" s="344"/>
      <c r="EX89" s="344"/>
      <c r="EY89" s="344"/>
      <c r="EZ89" s="344"/>
      <c r="FA89" s="344"/>
      <c r="FB89" s="344"/>
      <c r="FC89" s="344"/>
      <c r="FD89" s="344"/>
      <c r="FE89" s="344"/>
      <c r="FF89" s="344"/>
      <c r="FG89" s="344"/>
      <c r="FH89" s="344"/>
      <c r="FI89" s="344"/>
      <c r="FJ89" s="344"/>
      <c r="FK89" s="344"/>
      <c r="FL89" s="344"/>
      <c r="FM89" s="344"/>
      <c r="FN89" s="344"/>
      <c r="FO89" s="344"/>
      <c r="FP89" s="344"/>
      <c r="FQ89" s="344"/>
      <c r="FR89" s="344"/>
      <c r="FS89" s="344"/>
      <c r="FT89" s="344"/>
      <c r="FU89" s="344"/>
      <c r="FV89" s="344"/>
      <c r="FW89" s="344"/>
      <c r="FX89" s="344"/>
      <c r="FY89" s="344"/>
      <c r="FZ89" s="344"/>
      <c r="GA89" s="344"/>
      <c r="GB89" s="344"/>
      <c r="GC89" s="344"/>
      <c r="GD89" s="344"/>
      <c r="GE89" s="344"/>
      <c r="GF89" s="344"/>
      <c r="GG89" s="344"/>
      <c r="GH89" s="344"/>
      <c r="GI89" s="344"/>
      <c r="GJ89" s="344"/>
      <c r="GK89" s="344"/>
      <c r="GL89" s="344"/>
      <c r="GM89" s="344"/>
      <c r="GN89" s="344"/>
      <c r="GO89" s="344"/>
      <c r="GP89" s="344"/>
      <c r="GQ89" s="344"/>
      <c r="GR89" s="344"/>
      <c r="GS89" s="344"/>
      <c r="GT89" s="344"/>
      <c r="GU89" s="344"/>
      <c r="GV89" s="344"/>
      <c r="GW89" s="344"/>
      <c r="GX89" s="344"/>
      <c r="GY89" s="344"/>
      <c r="GZ89" s="344"/>
      <c r="HA89" s="344"/>
      <c r="HB89" s="344"/>
      <c r="HC89" s="344"/>
      <c r="HD89" s="344"/>
      <c r="HE89" s="344"/>
      <c r="HF89" s="344"/>
      <c r="HG89" s="344"/>
      <c r="HH89" s="344"/>
      <c r="HI89" s="344"/>
      <c r="HJ89" s="344"/>
      <c r="HK89" s="344"/>
      <c r="HL89" s="344"/>
      <c r="HM89" s="344"/>
      <c r="HN89" s="344"/>
      <c r="HO89" s="344"/>
      <c r="HP89" s="344"/>
      <c r="HQ89" s="344"/>
      <c r="HR89" s="344"/>
      <c r="HS89" s="344"/>
      <c r="HT89" s="344"/>
      <c r="HU89" s="344"/>
      <c r="HV89" s="344"/>
      <c r="HW89" s="344"/>
      <c r="HX89" s="344"/>
      <c r="HY89" s="344"/>
      <c r="HZ89" s="344"/>
      <c r="IA89" s="344"/>
      <c r="IB89" s="344"/>
      <c r="IC89" s="344"/>
      <c r="ID89" s="344"/>
      <c r="IE89" s="344"/>
      <c r="IF89" s="344"/>
      <c r="IG89" s="344"/>
      <c r="IH89" s="344"/>
      <c r="II89" s="344"/>
      <c r="IJ89" s="344"/>
      <c r="IK89" s="344"/>
      <c r="IL89" s="344"/>
      <c r="IM89" s="344"/>
      <c r="IN89" s="344"/>
      <c r="IO89" s="344"/>
      <c r="IP89" s="344"/>
      <c r="IQ89" s="344"/>
      <c r="IR89" s="344"/>
      <c r="IS89" s="344"/>
      <c r="IT89" s="344"/>
      <c r="IU89" s="344"/>
      <c r="IV89" s="344"/>
      <c r="IW89" s="344"/>
    </row>
    <row r="90" customFormat="false" ht="12.75" hidden="false" customHeight="false" outlineLevel="0" collapsed="false">
      <c r="A90" s="190"/>
      <c r="B90" s="565"/>
      <c r="C90" s="566"/>
      <c r="D90" s="566"/>
      <c r="E90" s="566"/>
      <c r="F90" s="346"/>
      <c r="G90" s="346"/>
      <c r="H90" s="346"/>
      <c r="I90" s="346"/>
      <c r="J90" s="346"/>
      <c r="K90" s="346"/>
      <c r="L90" s="346"/>
      <c r="M90" s="346"/>
      <c r="N90" s="346"/>
      <c r="O90" s="346"/>
      <c r="P90" s="565"/>
      <c r="Q90" s="565"/>
      <c r="R90" s="565"/>
      <c r="S90" s="565"/>
      <c r="T90" s="565"/>
      <c r="U90" s="565"/>
      <c r="V90" s="565"/>
      <c r="W90" s="565"/>
      <c r="X90" s="565"/>
      <c r="Y90" s="565"/>
      <c r="Z90" s="565"/>
      <c r="AA90" s="565"/>
      <c r="AB90" s="565"/>
      <c r="AC90" s="565"/>
      <c r="AD90" s="565"/>
      <c r="AE90" s="565"/>
      <c r="AF90" s="148"/>
      <c r="AG90" s="148"/>
      <c r="AH90" s="148"/>
      <c r="AI90" s="574"/>
      <c r="AJ90" s="574"/>
      <c r="AK90" s="574"/>
      <c r="AL90" s="574"/>
      <c r="AM90" s="574"/>
      <c r="AN90" s="574"/>
      <c r="AO90" s="574"/>
      <c r="AP90" s="574"/>
      <c r="AQ90" s="574"/>
      <c r="AR90" s="574"/>
      <c r="AS90" s="574"/>
      <c r="AT90" s="574"/>
      <c r="AU90" s="574"/>
      <c r="AV90" s="574"/>
      <c r="AW90" s="574"/>
      <c r="AX90" s="574"/>
      <c r="AY90" s="574"/>
      <c r="AZ90" s="344"/>
      <c r="BA90" s="344"/>
      <c r="BB90" s="344"/>
      <c r="BC90" s="344"/>
      <c r="BD90" s="344"/>
      <c r="BE90" s="344"/>
      <c r="BF90" s="344"/>
      <c r="BG90" s="344"/>
      <c r="BH90" s="344"/>
      <c r="BI90" s="344"/>
      <c r="BJ90" s="344"/>
      <c r="BK90" s="344"/>
      <c r="BL90" s="344"/>
      <c r="BM90" s="344"/>
      <c r="BN90" s="344"/>
      <c r="BO90" s="344"/>
      <c r="BP90" s="344"/>
      <c r="BQ90" s="344"/>
      <c r="BR90" s="344"/>
      <c r="BS90" s="344"/>
      <c r="BT90" s="344"/>
      <c r="BU90" s="344"/>
      <c r="BV90" s="344"/>
      <c r="BW90" s="344"/>
      <c r="BX90" s="344"/>
      <c r="BY90" s="344"/>
      <c r="BZ90" s="344"/>
      <c r="CA90" s="344"/>
      <c r="CB90" s="344"/>
      <c r="CC90" s="344"/>
      <c r="CD90" s="344"/>
      <c r="CE90" s="344"/>
      <c r="CF90" s="344"/>
      <c r="CG90" s="344"/>
      <c r="CH90" s="344"/>
      <c r="CI90" s="344"/>
      <c r="CJ90" s="344"/>
      <c r="CK90" s="344"/>
      <c r="CL90" s="344"/>
      <c r="CM90" s="344"/>
      <c r="CN90" s="344"/>
      <c r="CO90" s="344"/>
      <c r="CP90" s="344"/>
      <c r="CQ90" s="344"/>
      <c r="CR90" s="344"/>
      <c r="CS90" s="344"/>
      <c r="CT90" s="344"/>
      <c r="CU90" s="344"/>
      <c r="CV90" s="344"/>
      <c r="CW90" s="344"/>
      <c r="CX90" s="344"/>
      <c r="CY90" s="344"/>
      <c r="CZ90" s="344"/>
      <c r="DA90" s="344"/>
      <c r="DB90" s="344"/>
      <c r="DC90" s="344"/>
      <c r="DD90" s="344"/>
      <c r="DE90" s="344"/>
      <c r="DF90" s="344"/>
      <c r="DG90" s="344"/>
      <c r="DH90" s="344"/>
      <c r="DI90" s="344"/>
      <c r="DJ90" s="344"/>
      <c r="DK90" s="344"/>
      <c r="DL90" s="344"/>
      <c r="DM90" s="344"/>
      <c r="DN90" s="344"/>
      <c r="DO90" s="344"/>
      <c r="DP90" s="344"/>
      <c r="DQ90" s="344"/>
      <c r="DR90" s="344"/>
      <c r="DS90" s="344"/>
      <c r="DT90" s="344"/>
      <c r="DU90" s="344"/>
      <c r="DV90" s="344"/>
      <c r="DW90" s="344"/>
      <c r="DX90" s="344"/>
      <c r="DY90" s="344"/>
      <c r="DZ90" s="344"/>
      <c r="EA90" s="344"/>
      <c r="EB90" s="344"/>
      <c r="EC90" s="344"/>
      <c r="ED90" s="344"/>
      <c r="EE90" s="344"/>
      <c r="EF90" s="344"/>
      <c r="EG90" s="344"/>
      <c r="EH90" s="344"/>
      <c r="EI90" s="344"/>
      <c r="EJ90" s="344"/>
      <c r="EK90" s="344"/>
      <c r="EL90" s="344"/>
      <c r="EM90" s="344"/>
      <c r="EN90" s="344"/>
      <c r="EO90" s="344"/>
      <c r="EP90" s="344"/>
      <c r="EQ90" s="344"/>
      <c r="ER90" s="344"/>
      <c r="ES90" s="344"/>
      <c r="ET90" s="344"/>
      <c r="EU90" s="344"/>
      <c r="EV90" s="344"/>
      <c r="EW90" s="344"/>
      <c r="EX90" s="344"/>
      <c r="EY90" s="344"/>
      <c r="EZ90" s="344"/>
      <c r="FA90" s="344"/>
      <c r="FB90" s="344"/>
      <c r="FC90" s="344"/>
      <c r="FD90" s="344"/>
      <c r="FE90" s="344"/>
      <c r="FF90" s="344"/>
      <c r="FG90" s="344"/>
      <c r="FH90" s="344"/>
      <c r="FI90" s="344"/>
      <c r="FJ90" s="344"/>
      <c r="FK90" s="344"/>
      <c r="FL90" s="344"/>
      <c r="FM90" s="344"/>
      <c r="FN90" s="344"/>
      <c r="FO90" s="344"/>
      <c r="FP90" s="344"/>
      <c r="FQ90" s="344"/>
      <c r="FR90" s="344"/>
      <c r="FS90" s="344"/>
      <c r="FT90" s="344"/>
      <c r="FU90" s="344"/>
      <c r="FV90" s="344"/>
      <c r="FW90" s="344"/>
      <c r="FX90" s="344"/>
      <c r="FY90" s="344"/>
      <c r="FZ90" s="344"/>
      <c r="GA90" s="344"/>
      <c r="GB90" s="344"/>
      <c r="GC90" s="344"/>
      <c r="GD90" s="344"/>
      <c r="GE90" s="344"/>
      <c r="GF90" s="344"/>
      <c r="GG90" s="344"/>
      <c r="GH90" s="344"/>
      <c r="GI90" s="344"/>
      <c r="GJ90" s="344"/>
      <c r="GK90" s="344"/>
      <c r="GL90" s="344"/>
      <c r="GM90" s="344"/>
      <c r="GN90" s="344"/>
      <c r="GO90" s="344"/>
      <c r="GP90" s="344"/>
      <c r="GQ90" s="344"/>
      <c r="GR90" s="344"/>
      <c r="GS90" s="344"/>
      <c r="GT90" s="344"/>
      <c r="GU90" s="344"/>
      <c r="GV90" s="344"/>
      <c r="GW90" s="344"/>
      <c r="GX90" s="344"/>
      <c r="GY90" s="344"/>
      <c r="GZ90" s="344"/>
      <c r="HA90" s="344"/>
      <c r="HB90" s="344"/>
      <c r="HC90" s="344"/>
      <c r="HD90" s="344"/>
      <c r="HE90" s="344"/>
      <c r="HF90" s="344"/>
      <c r="HG90" s="344"/>
      <c r="HH90" s="344"/>
      <c r="HI90" s="344"/>
      <c r="HJ90" s="344"/>
      <c r="HK90" s="344"/>
      <c r="HL90" s="344"/>
      <c r="HM90" s="344"/>
      <c r="HN90" s="344"/>
      <c r="HO90" s="344"/>
      <c r="HP90" s="344"/>
      <c r="HQ90" s="344"/>
      <c r="HR90" s="344"/>
      <c r="HS90" s="344"/>
      <c r="HT90" s="344"/>
      <c r="HU90" s="344"/>
      <c r="HV90" s="344"/>
      <c r="HW90" s="344"/>
      <c r="HX90" s="344"/>
      <c r="HY90" s="344"/>
      <c r="HZ90" s="344"/>
      <c r="IA90" s="344"/>
      <c r="IB90" s="344"/>
      <c r="IC90" s="344"/>
      <c r="ID90" s="344"/>
      <c r="IE90" s="344"/>
      <c r="IF90" s="344"/>
      <c r="IG90" s="344"/>
      <c r="IH90" s="344"/>
      <c r="II90" s="344"/>
      <c r="IJ90" s="344"/>
      <c r="IK90" s="344"/>
      <c r="IL90" s="344"/>
      <c r="IM90" s="344"/>
      <c r="IN90" s="344"/>
      <c r="IO90" s="344"/>
      <c r="IP90" s="344"/>
      <c r="IQ90" s="344"/>
      <c r="IR90" s="344"/>
      <c r="IS90" s="344"/>
      <c r="IT90" s="344"/>
      <c r="IU90" s="344"/>
      <c r="IV90" s="344"/>
      <c r="IW90" s="344"/>
    </row>
    <row r="91" customFormat="false" ht="12.75" hidden="false" customHeight="false" outlineLevel="0" collapsed="false">
      <c r="A91" s="190"/>
      <c r="B91" s="190"/>
      <c r="C91" s="345"/>
      <c r="D91" s="345"/>
      <c r="E91" s="345"/>
      <c r="F91" s="489"/>
      <c r="G91" s="489"/>
      <c r="H91" s="489"/>
      <c r="I91" s="489"/>
      <c r="J91" s="489"/>
      <c r="K91" s="489"/>
      <c r="L91" s="489"/>
      <c r="M91" s="489"/>
      <c r="N91" s="489"/>
      <c r="O91" s="489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4"/>
      <c r="AG91" s="14"/>
      <c r="AH91" s="14"/>
      <c r="AI91" s="302"/>
      <c r="AJ91" s="302"/>
      <c r="AK91" s="302"/>
      <c r="AL91" s="302"/>
      <c r="AM91" s="302"/>
      <c r="AN91" s="302"/>
      <c r="AO91" s="302"/>
      <c r="AP91" s="302"/>
      <c r="AQ91" s="302"/>
      <c r="AR91" s="302"/>
      <c r="AS91" s="302"/>
      <c r="AT91" s="302"/>
      <c r="AU91" s="302"/>
      <c r="AV91" s="302"/>
      <c r="AW91" s="302"/>
      <c r="AX91" s="302"/>
      <c r="AY91" s="302"/>
    </row>
    <row r="92" customFormat="false" ht="12.75" hidden="false" customHeight="false" outlineLevel="0" collapsed="false">
      <c r="A92" s="190"/>
      <c r="B92" s="190"/>
      <c r="C92" s="345"/>
      <c r="D92" s="345"/>
      <c r="E92" s="345"/>
      <c r="F92" s="345"/>
      <c r="G92" s="345"/>
      <c r="H92" s="345"/>
      <c r="I92" s="345"/>
      <c r="J92" s="345"/>
      <c r="K92" s="345"/>
      <c r="L92" s="345"/>
      <c r="M92" s="345"/>
      <c r="N92" s="345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4"/>
      <c r="AG92" s="14"/>
      <c r="AH92" s="14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</row>
    <row r="93" customFormat="false" ht="12.75" hidden="false" customHeight="false" outlineLevel="0" collapsed="false">
      <c r="A93" s="190"/>
      <c r="B93" s="190"/>
      <c r="C93" s="345"/>
      <c r="D93" s="345"/>
      <c r="E93" s="345"/>
      <c r="F93" s="345"/>
      <c r="G93" s="345"/>
      <c r="H93" s="345"/>
      <c r="I93" s="345"/>
      <c r="J93" s="345"/>
      <c r="K93" s="345"/>
      <c r="L93" s="345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4"/>
      <c r="AG93" s="14"/>
      <c r="AH93" s="14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</row>
    <row r="94" customFormat="false" ht="12.75" hidden="false" customHeight="false" outlineLevel="0" collapsed="false">
      <c r="A94" s="190"/>
      <c r="B94" s="190"/>
      <c r="C94" s="570"/>
      <c r="D94" s="570"/>
      <c r="E94" s="345"/>
      <c r="F94" s="345"/>
      <c r="G94" s="345"/>
      <c r="H94" s="190"/>
      <c r="I94" s="56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</row>
    <row r="95" customFormat="false" ht="15" hidden="false" customHeight="false" outlineLevel="0" collapsed="false">
      <c r="A95" s="190"/>
      <c r="B95" s="190"/>
      <c r="C95" s="345"/>
      <c r="D95" s="345"/>
      <c r="E95" s="345"/>
      <c r="F95" s="345"/>
      <c r="G95" s="345"/>
      <c r="H95" s="190"/>
      <c r="I95" s="56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4"/>
      <c r="AG95" s="14"/>
      <c r="AH95" s="14"/>
      <c r="AI95" s="540"/>
      <c r="AJ95" s="540"/>
      <c r="AK95" s="540"/>
      <c r="AL95" s="540"/>
      <c r="AM95" s="540"/>
      <c r="AN95" s="540"/>
      <c r="AO95" s="540"/>
      <c r="AP95" s="540"/>
      <c r="AQ95" s="540"/>
      <c r="AR95" s="540"/>
      <c r="AS95" s="540"/>
      <c r="AT95" s="540"/>
      <c r="AU95" s="540"/>
      <c r="AV95" s="14"/>
    </row>
    <row r="96" customFormat="false" ht="12.75" hidden="false" customHeight="false" outlineLevel="0" collapsed="false">
      <c r="A96" s="499"/>
      <c r="B96" s="499"/>
      <c r="C96" s="575"/>
      <c r="D96" s="575"/>
      <c r="E96" s="575"/>
      <c r="F96" s="14"/>
      <c r="G96" s="345"/>
      <c r="H96" s="190"/>
      <c r="I96" s="56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4"/>
      <c r="AG96" s="14"/>
      <c r="AH96" s="14"/>
      <c r="AI96" s="398"/>
      <c r="AJ96" s="398"/>
      <c r="AK96" s="398"/>
      <c r="AL96" s="398"/>
      <c r="AM96" s="398"/>
      <c r="AN96" s="398"/>
      <c r="AO96" s="398"/>
      <c r="AP96" s="398"/>
      <c r="AQ96" s="398"/>
      <c r="AR96" s="398"/>
      <c r="AS96" s="398"/>
      <c r="AT96" s="398"/>
      <c r="AU96" s="398"/>
      <c r="AV96" s="14"/>
    </row>
    <row r="97" customFormat="false" ht="12.75" hidden="false" customHeight="false" outlineLevel="0" collapsed="false">
      <c r="A97" s="190"/>
      <c r="B97" s="190"/>
      <c r="C97" s="345"/>
      <c r="D97" s="345"/>
      <c r="E97" s="345"/>
      <c r="F97" s="345"/>
      <c r="G97" s="345"/>
      <c r="H97" s="190"/>
      <c r="I97" s="56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</row>
    <row r="98" customFormat="false" ht="15" hidden="false" customHeight="false" outlineLevel="0" collapsed="false">
      <c r="A98" s="190"/>
      <c r="B98" s="190"/>
      <c r="C98" s="345"/>
      <c r="D98" s="345"/>
      <c r="E98" s="345"/>
      <c r="F98" s="345"/>
      <c r="G98" s="345"/>
      <c r="H98" s="190"/>
      <c r="I98" s="56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4"/>
      <c r="AG98" s="14"/>
      <c r="AH98" s="14"/>
      <c r="AI98" s="131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4"/>
    </row>
    <row r="99" customFormat="false" ht="12.75" hidden="false" customHeight="false" outlineLevel="0" collapsed="false">
      <c r="A99" s="190"/>
      <c r="B99" s="190"/>
      <c r="C99" s="345"/>
      <c r="D99" s="345"/>
      <c r="E99" s="345"/>
      <c r="F99" s="345"/>
      <c r="G99" s="345"/>
      <c r="H99" s="190"/>
      <c r="I99" s="56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</row>
    <row r="100" customFormat="false" ht="12.75" hidden="false" customHeight="false" outlineLevel="0" collapsed="false">
      <c r="A100" s="190"/>
      <c r="B100" s="190"/>
      <c r="C100" s="345"/>
      <c r="D100" s="345"/>
      <c r="E100" s="345"/>
      <c r="F100" s="345"/>
      <c r="G100" s="345"/>
      <c r="H100" s="15"/>
      <c r="I100" s="576"/>
      <c r="J100" s="15"/>
      <c r="K100" s="15"/>
      <c r="L100" s="15"/>
      <c r="M100" s="15"/>
      <c r="N100" s="15"/>
      <c r="O100" s="15"/>
      <c r="P100" s="15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4"/>
      <c r="AG100" s="14"/>
      <c r="AH100" s="14"/>
      <c r="AI100" s="398"/>
      <c r="AJ100" s="398"/>
      <c r="AK100" s="398"/>
      <c r="AL100" s="398"/>
      <c r="AM100" s="398"/>
      <c r="AN100" s="398"/>
      <c r="AO100" s="398"/>
      <c r="AP100" s="398"/>
      <c r="AQ100" s="398"/>
      <c r="AR100" s="398"/>
      <c r="AS100" s="398"/>
      <c r="AT100" s="398"/>
      <c r="AU100" s="398"/>
      <c r="AV100" s="14"/>
    </row>
    <row r="101" customFormat="false" ht="12.75" hidden="false" customHeight="false" outlineLevel="0" collapsed="false">
      <c r="A101" s="190"/>
      <c r="B101" s="190"/>
      <c r="C101" s="345"/>
      <c r="D101" s="345"/>
      <c r="E101" s="345"/>
      <c r="F101" s="345"/>
      <c r="G101" s="345"/>
      <c r="H101" s="15"/>
      <c r="I101" s="576"/>
      <c r="J101" s="15"/>
      <c r="K101" s="15"/>
      <c r="L101" s="15"/>
      <c r="M101" s="15"/>
      <c r="N101" s="15"/>
      <c r="O101" s="15"/>
      <c r="P101" s="15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</row>
    <row r="102" customFormat="false" ht="12.75" hidden="false" customHeight="false" outlineLevel="0" collapsed="false">
      <c r="A102" s="499"/>
      <c r="B102" s="190"/>
      <c r="C102" s="345"/>
      <c r="D102" s="345"/>
      <c r="E102" s="345"/>
      <c r="F102" s="577"/>
      <c r="G102" s="577"/>
      <c r="H102" s="577"/>
      <c r="I102" s="14"/>
      <c r="J102" s="14"/>
      <c r="K102" s="14"/>
      <c r="L102" s="14"/>
      <c r="M102" s="14"/>
      <c r="N102" s="14"/>
      <c r="O102" s="14"/>
      <c r="P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</row>
    <row r="103" customFormat="false" ht="12.75" hidden="false" customHeight="false" outlineLevel="0" collapsed="false">
      <c r="A103" s="499"/>
      <c r="B103" s="190"/>
      <c r="C103" s="561"/>
      <c r="D103" s="561"/>
      <c r="E103" s="345"/>
      <c r="F103" s="577"/>
      <c r="G103" s="577"/>
      <c r="H103" s="577"/>
      <c r="I103" s="577"/>
      <c r="J103" s="577"/>
      <c r="K103" s="577"/>
      <c r="L103" s="577"/>
      <c r="M103" s="577"/>
      <c r="N103" s="577"/>
      <c r="O103" s="577"/>
      <c r="P103" s="577"/>
      <c r="Q103" s="577"/>
      <c r="R103" s="577"/>
      <c r="S103" s="577"/>
      <c r="T103" s="577"/>
      <c r="U103" s="577"/>
      <c r="V103" s="577"/>
      <c r="W103" s="577"/>
      <c r="X103" s="577"/>
      <c r="Y103" s="577"/>
      <c r="Z103" s="577"/>
      <c r="AA103" s="577"/>
      <c r="AB103" s="577"/>
      <c r="AC103" s="577"/>
      <c r="AD103" s="577"/>
      <c r="AE103" s="577"/>
      <c r="AF103" s="14"/>
      <c r="AG103" s="14"/>
      <c r="AH103" s="295"/>
      <c r="AI103" s="295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</row>
    <row r="104" customFormat="false" ht="12.75" hidden="false" customHeight="false" outlineLevel="0" collapsed="false">
      <c r="A104" s="499"/>
      <c r="B104" s="190"/>
      <c r="C104" s="345"/>
      <c r="D104" s="345"/>
      <c r="E104" s="345"/>
      <c r="F104" s="345"/>
      <c r="G104" s="345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4"/>
      <c r="AG104" s="14"/>
      <c r="AH104" s="14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"/>
    </row>
    <row r="105" customFormat="false" ht="12.75" hidden="false" customHeight="false" outlineLevel="0" collapsed="false">
      <c r="A105" s="190"/>
      <c r="B105" s="190"/>
      <c r="C105" s="345"/>
      <c r="D105" s="345"/>
      <c r="E105" s="345"/>
      <c r="F105" s="345"/>
      <c r="G105" s="34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  <c r="T105" s="489"/>
      <c r="U105" s="489"/>
      <c r="V105" s="489"/>
      <c r="W105" s="489"/>
      <c r="X105" s="489"/>
      <c r="Y105" s="489"/>
      <c r="Z105" s="489"/>
      <c r="AA105" s="489"/>
      <c r="AB105" s="489"/>
      <c r="AC105" s="489"/>
      <c r="AD105" s="489"/>
      <c r="AE105" s="489"/>
      <c r="AF105" s="14"/>
      <c r="AG105" s="14"/>
      <c r="AH105" s="14"/>
      <c r="AI105" s="493"/>
      <c r="AJ105" s="493"/>
      <c r="AK105" s="493"/>
      <c r="AL105" s="493"/>
      <c r="AM105" s="493"/>
      <c r="AN105" s="493"/>
      <c r="AO105" s="493"/>
      <c r="AP105" s="493"/>
      <c r="AQ105" s="493"/>
      <c r="AR105" s="493"/>
      <c r="AS105" s="493"/>
      <c r="AT105" s="493"/>
      <c r="AU105" s="493"/>
      <c r="AV105" s="14"/>
    </row>
    <row r="106" customFormat="false" ht="12.75" hidden="false" customHeight="false" outlineLevel="0" collapsed="false">
      <c r="A106" s="190"/>
      <c r="B106" s="14"/>
      <c r="C106" s="190"/>
      <c r="D106" s="190"/>
      <c r="E106" s="190"/>
      <c r="F106" s="489"/>
      <c r="G106" s="489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  <c r="T106" s="489"/>
      <c r="U106" s="489"/>
      <c r="V106" s="489"/>
      <c r="W106" s="489"/>
      <c r="X106" s="489"/>
      <c r="Y106" s="489"/>
      <c r="Z106" s="489"/>
      <c r="AA106" s="489"/>
      <c r="AB106" s="489"/>
      <c r="AC106" s="489"/>
      <c r="AD106" s="489"/>
      <c r="AE106" s="489"/>
      <c r="AF106" s="14"/>
      <c r="AG106" s="14"/>
      <c r="AH106" s="14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"/>
    </row>
    <row r="107" customFormat="false" ht="12.75" hidden="false" customHeight="false" outlineLevel="0" collapsed="false">
      <c r="A107" s="190"/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564"/>
      <c r="R107" s="564"/>
      <c r="S107" s="564"/>
      <c r="T107" s="564"/>
      <c r="U107" s="564"/>
      <c r="V107" s="564"/>
      <c r="W107" s="564"/>
      <c r="X107" s="564"/>
      <c r="Y107" s="564"/>
      <c r="Z107" s="564"/>
      <c r="AA107" s="564"/>
      <c r="AB107" s="564"/>
      <c r="AC107" s="564"/>
      <c r="AD107" s="564"/>
      <c r="AE107" s="564"/>
      <c r="AF107" s="14"/>
      <c r="AG107" s="14"/>
      <c r="AH107" s="14"/>
      <c r="AI107" s="302"/>
      <c r="AJ107" s="302"/>
      <c r="AK107" s="302"/>
      <c r="AL107" s="302"/>
      <c r="AM107" s="302"/>
      <c r="AN107" s="302"/>
      <c r="AO107" s="302"/>
      <c r="AP107" s="302"/>
      <c r="AQ107" s="302"/>
      <c r="AR107" s="302"/>
      <c r="AS107" s="302"/>
      <c r="AT107" s="302"/>
      <c r="AU107" s="302"/>
      <c r="AV107" s="14"/>
    </row>
    <row r="108" customFormat="false" ht="15" hidden="false" customHeight="false" outlineLevel="0" collapsed="false">
      <c r="A108" s="301"/>
      <c r="B108" s="301"/>
      <c r="C108" s="578"/>
      <c r="D108" s="578"/>
      <c r="E108" s="578"/>
      <c r="F108" s="578"/>
      <c r="G108" s="578"/>
      <c r="H108" s="578"/>
      <c r="I108" s="578"/>
      <c r="J108" s="578"/>
      <c r="K108" s="578"/>
      <c r="L108" s="578"/>
      <c r="M108" s="578"/>
      <c r="N108" s="578"/>
      <c r="O108" s="578"/>
      <c r="P108" s="578"/>
      <c r="Q108" s="578"/>
      <c r="R108" s="578"/>
      <c r="S108" s="578"/>
      <c r="T108" s="578"/>
      <c r="U108" s="578"/>
      <c r="V108" s="578"/>
      <c r="W108" s="578"/>
      <c r="X108" s="578"/>
      <c r="Y108" s="578"/>
      <c r="Z108" s="578"/>
      <c r="AA108" s="578"/>
      <c r="AB108" s="578"/>
      <c r="AC108" s="578"/>
      <c r="AD108" s="578"/>
      <c r="AE108" s="578"/>
      <c r="AF108" s="14"/>
      <c r="AG108" s="14"/>
      <c r="AH108" s="14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"/>
    </row>
    <row r="109" customFormat="false" ht="12.75" hidden="false" customHeight="false" outlineLevel="0" collapsed="false">
      <c r="A109" s="190"/>
      <c r="B109" s="301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4"/>
      <c r="AG109" s="14"/>
      <c r="AH109" s="14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4"/>
    </row>
    <row r="110" customFormat="false" ht="12.75" hidden="false" customHeight="false" outlineLevel="0" collapsed="false">
      <c r="A110" s="190"/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301"/>
      <c r="N110" s="301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</row>
    <row r="111" customFormat="false" ht="15" hidden="false" customHeight="false" outlineLevel="0" collapsed="false">
      <c r="A111" s="190"/>
      <c r="B111" s="301"/>
      <c r="C111" s="301"/>
      <c r="D111" s="301"/>
      <c r="E111" s="301"/>
      <c r="F111" s="301"/>
      <c r="G111" s="579"/>
      <c r="H111" s="579"/>
      <c r="I111" s="579"/>
      <c r="J111" s="579"/>
      <c r="K111" s="579"/>
      <c r="L111" s="579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14"/>
      <c r="AG111" s="14"/>
      <c r="AH111" s="14"/>
      <c r="AI111" s="540"/>
      <c r="AJ111" s="540"/>
      <c r="AK111" s="540"/>
      <c r="AL111" s="540"/>
      <c r="AM111" s="540"/>
      <c r="AN111" s="540"/>
      <c r="AO111" s="540"/>
      <c r="AP111" s="540"/>
      <c r="AQ111" s="540"/>
      <c r="AR111" s="540"/>
      <c r="AS111" s="540"/>
      <c r="AT111" s="540"/>
      <c r="AU111" s="540"/>
      <c r="AV111" s="14"/>
    </row>
    <row r="112" customFormat="false" ht="12.75" hidden="false" customHeight="false" outlineLevel="0" collapsed="false">
      <c r="A112" s="190"/>
      <c r="B112" s="301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F112" s="14"/>
      <c r="AG112" s="14"/>
      <c r="AH112" s="14"/>
      <c r="AI112" s="398"/>
      <c r="AJ112" s="398"/>
      <c r="AK112" s="398"/>
      <c r="AL112" s="398"/>
      <c r="AM112" s="398"/>
      <c r="AN112" s="398"/>
      <c r="AO112" s="398"/>
      <c r="AP112" s="398"/>
      <c r="AQ112" s="398"/>
      <c r="AR112" s="398"/>
      <c r="AS112" s="398"/>
      <c r="AT112" s="398"/>
      <c r="AU112" s="398"/>
      <c r="AV112" s="14"/>
    </row>
    <row r="113" customFormat="false" ht="12.75" hidden="false" customHeight="false" outlineLevel="0" collapsed="false">
      <c r="A113" s="190"/>
      <c r="B113" s="301"/>
      <c r="C113" s="343"/>
      <c r="D113" s="343"/>
      <c r="E113" s="343"/>
      <c r="F113" s="343"/>
      <c r="G113" s="343"/>
      <c r="H113" s="343"/>
      <c r="I113" s="343"/>
      <c r="J113" s="343"/>
      <c r="K113" s="343"/>
      <c r="L113" s="343"/>
      <c r="M113" s="343"/>
      <c r="N113" s="343"/>
      <c r="O113" s="343"/>
      <c r="P113" s="343"/>
      <c r="Q113" s="343"/>
      <c r="R113" s="343"/>
      <c r="S113" s="343"/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</row>
    <row r="114" customFormat="false" ht="15" hidden="false" customHeight="false" outlineLevel="0" collapsed="false">
      <c r="A114" s="190"/>
      <c r="B114" s="301"/>
      <c r="C114" s="580"/>
      <c r="D114" s="580"/>
      <c r="E114" s="580"/>
      <c r="F114" s="580"/>
      <c r="G114" s="580"/>
      <c r="H114" s="580"/>
      <c r="I114" s="580"/>
      <c r="J114" s="580"/>
      <c r="K114" s="580"/>
      <c r="L114" s="580"/>
      <c r="M114" s="580"/>
      <c r="N114" s="580"/>
      <c r="O114" s="580"/>
      <c r="P114" s="580"/>
      <c r="Q114" s="580"/>
      <c r="R114" s="580"/>
      <c r="S114" s="580"/>
      <c r="T114" s="580"/>
      <c r="U114" s="580"/>
      <c r="V114" s="580"/>
      <c r="W114" s="580"/>
      <c r="X114" s="580"/>
      <c r="Y114" s="580"/>
      <c r="Z114" s="580"/>
      <c r="AA114" s="580"/>
      <c r="AB114" s="580"/>
      <c r="AC114" s="580"/>
      <c r="AD114" s="580"/>
      <c r="AE114" s="580"/>
      <c r="AF114" s="14"/>
      <c r="AG114" s="14"/>
      <c r="AH114" s="14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4"/>
    </row>
    <row r="115" customFormat="false" ht="12.75" hidden="false" customHeight="false" outlineLevel="0" collapsed="false">
      <c r="A115" s="190"/>
      <c r="B115" s="301"/>
      <c r="C115" s="301"/>
      <c r="D115" s="301"/>
      <c r="E115" s="301"/>
      <c r="F115" s="301"/>
      <c r="G115" s="301"/>
      <c r="H115" s="301"/>
      <c r="I115" s="301"/>
      <c r="J115" s="301"/>
      <c r="K115" s="301"/>
      <c r="L115" s="301"/>
      <c r="M115" s="301"/>
      <c r="N115" s="301"/>
      <c r="O115" s="301"/>
      <c r="P115" s="301"/>
      <c r="Q115" s="301"/>
      <c r="R115" s="301"/>
      <c r="S115" s="301"/>
      <c r="T115" s="301"/>
      <c r="U115" s="301"/>
      <c r="V115" s="301"/>
      <c r="W115" s="301"/>
      <c r="X115" s="301"/>
      <c r="Y115" s="301"/>
      <c r="Z115" s="301"/>
      <c r="AA115" s="301"/>
      <c r="AB115" s="301"/>
      <c r="AC115" s="301"/>
      <c r="AD115" s="301"/>
      <c r="AE115" s="301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</row>
    <row r="116" customFormat="false" ht="15" hidden="false" customHeight="false" outlineLevel="0" collapsed="false">
      <c r="A116" s="190"/>
      <c r="B116" s="301"/>
      <c r="C116" s="581"/>
      <c r="D116" s="581"/>
      <c r="E116" s="581"/>
      <c r="F116" s="581"/>
      <c r="G116" s="581"/>
      <c r="H116" s="581"/>
      <c r="I116" s="581"/>
      <c r="J116" s="581"/>
      <c r="K116" s="581"/>
      <c r="L116" s="581"/>
      <c r="M116" s="581"/>
      <c r="N116" s="581"/>
      <c r="O116" s="581"/>
      <c r="P116" s="581"/>
      <c r="Q116" s="581"/>
      <c r="R116" s="581"/>
      <c r="S116" s="581"/>
      <c r="T116" s="581"/>
      <c r="U116" s="581"/>
      <c r="V116" s="581"/>
      <c r="W116" s="581"/>
      <c r="X116" s="581"/>
      <c r="Y116" s="581"/>
      <c r="Z116" s="581"/>
      <c r="AA116" s="581"/>
      <c r="AB116" s="581"/>
      <c r="AC116" s="581"/>
      <c r="AD116" s="581"/>
      <c r="AE116" s="581"/>
      <c r="AF116" s="14"/>
      <c r="AG116" s="14"/>
      <c r="AH116" s="14"/>
      <c r="AI116" s="398"/>
      <c r="AJ116" s="398"/>
      <c r="AK116" s="398"/>
      <c r="AL116" s="398"/>
      <c r="AM116" s="398"/>
      <c r="AN116" s="398"/>
      <c r="AO116" s="398"/>
      <c r="AP116" s="398"/>
      <c r="AQ116" s="398"/>
      <c r="AR116" s="398"/>
      <c r="AS116" s="398"/>
      <c r="AT116" s="398"/>
      <c r="AU116" s="398"/>
      <c r="AV116" s="14"/>
    </row>
    <row r="117" customFormat="false" ht="12.75" hidden="false" customHeight="false" outlineLevel="0" collapsed="false">
      <c r="A117" s="190"/>
      <c r="B117" s="301"/>
      <c r="C117" s="580"/>
      <c r="D117" s="580"/>
      <c r="E117" s="301"/>
      <c r="F117" s="301"/>
      <c r="G117" s="180"/>
      <c r="H117" s="180"/>
      <c r="I117" s="180"/>
      <c r="J117" s="180"/>
      <c r="K117" s="180"/>
      <c r="L117" s="180"/>
      <c r="M117" s="301"/>
      <c r="N117" s="301"/>
      <c r="O117" s="301"/>
      <c r="P117" s="301"/>
      <c r="Q117" s="301"/>
      <c r="R117" s="301"/>
      <c r="S117" s="301"/>
      <c r="T117" s="301"/>
      <c r="U117" s="301"/>
      <c r="V117" s="301"/>
      <c r="W117" s="301"/>
      <c r="X117" s="301"/>
      <c r="Y117" s="301"/>
      <c r="Z117" s="301"/>
      <c r="AA117" s="301"/>
      <c r="AB117" s="301"/>
      <c r="AC117" s="301"/>
      <c r="AD117" s="301"/>
      <c r="AE117" s="301"/>
    </row>
    <row r="118" customFormat="false" ht="12.75" hidden="false" customHeight="false" outlineLevel="0" collapsed="false">
      <c r="A118" s="190"/>
      <c r="B118" s="301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</row>
    <row r="119" customFormat="false" ht="12.75" hidden="false" customHeight="false" outlineLevel="0" collapsed="false">
      <c r="A119" s="190"/>
      <c r="B119" s="301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</row>
    <row r="120" customFormat="false" ht="12.75" hidden="false" customHeight="false" outlineLevel="0" collapsed="false">
      <c r="A120" s="190"/>
      <c r="B120" s="301"/>
      <c r="C120" s="580"/>
      <c r="D120" s="580"/>
      <c r="E120" s="301"/>
      <c r="F120" s="301"/>
      <c r="G120" s="301"/>
      <c r="H120" s="301"/>
      <c r="I120" s="301"/>
      <c r="J120" s="301"/>
      <c r="K120" s="301"/>
      <c r="L120" s="301"/>
      <c r="M120" s="301"/>
      <c r="N120" s="301"/>
      <c r="O120" s="301"/>
      <c r="P120" s="301"/>
      <c r="Q120" s="301"/>
      <c r="R120" s="301"/>
      <c r="S120" s="301"/>
      <c r="T120" s="301"/>
      <c r="U120" s="301"/>
      <c r="V120" s="301"/>
      <c r="W120" s="301"/>
      <c r="X120" s="301"/>
      <c r="Y120" s="301"/>
      <c r="Z120" s="301"/>
      <c r="AA120" s="301"/>
      <c r="AB120" s="301"/>
      <c r="AC120" s="301"/>
      <c r="AD120" s="301"/>
      <c r="AE120" s="301"/>
    </row>
    <row r="121" customFormat="false" ht="12.75" hidden="false" customHeight="false" outlineLevel="0" collapsed="false">
      <c r="A121" s="190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</row>
    <row r="122" customFormat="false" ht="12.75" hidden="false" customHeight="false" outlineLevel="0" collapsed="false">
      <c r="A122" s="190"/>
      <c r="B122" s="301"/>
      <c r="C122" s="301"/>
      <c r="D122" s="301"/>
      <c r="E122" s="301"/>
      <c r="F122" s="301"/>
      <c r="G122" s="301"/>
      <c r="H122" s="301"/>
      <c r="I122" s="301"/>
      <c r="J122" s="301"/>
      <c r="K122" s="301"/>
      <c r="L122" s="301"/>
      <c r="M122" s="301"/>
      <c r="N122" s="301"/>
      <c r="O122" s="301"/>
      <c r="P122" s="301"/>
      <c r="Q122" s="301"/>
      <c r="R122" s="301"/>
      <c r="S122" s="301"/>
      <c r="T122" s="301"/>
      <c r="U122" s="301"/>
      <c r="V122" s="301"/>
      <c r="W122" s="301"/>
      <c r="X122" s="301"/>
      <c r="Y122" s="301"/>
      <c r="Z122" s="301"/>
      <c r="AA122" s="301"/>
      <c r="AB122" s="301"/>
      <c r="AC122" s="301"/>
      <c r="AD122" s="301"/>
      <c r="AE122" s="301"/>
    </row>
    <row r="123" customFormat="false" ht="12.75" hidden="false" customHeight="false" outlineLevel="0" collapsed="false">
      <c r="A123" s="190"/>
      <c r="B123" s="301"/>
      <c r="C123" s="301"/>
      <c r="D123" s="301"/>
      <c r="E123" s="301"/>
      <c r="F123" s="180"/>
      <c r="G123" s="180"/>
      <c r="H123" s="180"/>
      <c r="I123" s="180"/>
      <c r="J123" s="180"/>
      <c r="K123" s="180"/>
      <c r="L123" s="180"/>
      <c r="M123" s="301"/>
      <c r="N123" s="301"/>
      <c r="O123" s="301"/>
      <c r="P123" s="301"/>
      <c r="Q123" s="301"/>
      <c r="R123" s="301"/>
      <c r="S123" s="301"/>
      <c r="T123" s="301"/>
      <c r="U123" s="301"/>
      <c r="V123" s="301"/>
      <c r="W123" s="301"/>
      <c r="X123" s="301"/>
      <c r="Y123" s="301"/>
      <c r="Z123" s="301"/>
      <c r="AA123" s="301"/>
      <c r="AB123" s="301"/>
      <c r="AC123" s="301"/>
      <c r="AD123" s="301"/>
      <c r="AE123" s="301"/>
    </row>
    <row r="124" customFormat="false" ht="12.75" hidden="false" customHeight="false" outlineLevel="0" collapsed="false">
      <c r="A124" s="190"/>
      <c r="B124" s="301"/>
      <c r="C124" s="301"/>
      <c r="D124" s="301"/>
      <c r="E124" s="301"/>
      <c r="F124" s="180"/>
      <c r="G124" s="180"/>
      <c r="H124" s="180"/>
      <c r="I124" s="180"/>
      <c r="J124" s="180"/>
      <c r="K124" s="180"/>
      <c r="L124" s="180"/>
      <c r="M124" s="301"/>
      <c r="N124" s="301"/>
      <c r="O124" s="301"/>
      <c r="P124" s="301"/>
      <c r="Q124" s="301"/>
      <c r="R124" s="301"/>
      <c r="S124" s="301"/>
      <c r="T124" s="301"/>
      <c r="U124" s="301"/>
      <c r="V124" s="301"/>
      <c r="W124" s="301"/>
      <c r="X124" s="301"/>
      <c r="Y124" s="301"/>
      <c r="Z124" s="301"/>
      <c r="AA124" s="301"/>
      <c r="AB124" s="301"/>
      <c r="AC124" s="301"/>
      <c r="AD124" s="301"/>
      <c r="AE124" s="301"/>
    </row>
    <row r="125" customFormat="false" ht="12.75" hidden="false" customHeight="false" outlineLevel="0" collapsed="false">
      <c r="A125" s="190"/>
      <c r="B125" s="301"/>
      <c r="C125" s="301"/>
      <c r="D125" s="301"/>
      <c r="E125" s="301"/>
      <c r="F125" s="180"/>
      <c r="G125" s="180"/>
      <c r="H125" s="180"/>
      <c r="I125" s="180"/>
      <c r="J125" s="180"/>
      <c r="K125" s="180"/>
      <c r="L125" s="180"/>
      <c r="M125" s="301"/>
      <c r="N125" s="301"/>
      <c r="O125" s="301"/>
      <c r="P125" s="301"/>
      <c r="Q125" s="301"/>
      <c r="R125" s="301"/>
      <c r="S125" s="301"/>
      <c r="T125" s="301"/>
      <c r="U125" s="301"/>
      <c r="V125" s="301"/>
      <c r="W125" s="301"/>
      <c r="X125" s="301"/>
      <c r="Y125" s="301"/>
      <c r="Z125" s="301"/>
      <c r="AA125" s="301"/>
      <c r="AB125" s="301"/>
      <c r="AC125" s="301"/>
      <c r="AD125" s="301"/>
      <c r="AE125" s="301"/>
    </row>
    <row r="126" customFormat="false" ht="12.75" hidden="false" customHeight="false" outlineLevel="0" collapsed="false">
      <c r="A126" s="190"/>
      <c r="B126" s="301"/>
      <c r="C126" s="301"/>
      <c r="D126" s="301"/>
      <c r="E126" s="301"/>
      <c r="F126" s="180"/>
      <c r="G126" s="180"/>
      <c r="H126" s="180"/>
      <c r="I126" s="180"/>
      <c r="J126" s="180"/>
      <c r="K126" s="180"/>
      <c r="L126" s="180"/>
      <c r="M126" s="301"/>
      <c r="N126" s="301"/>
      <c r="O126" s="301"/>
      <c r="P126" s="301"/>
      <c r="Q126" s="301"/>
      <c r="R126" s="301"/>
      <c r="S126" s="301"/>
      <c r="T126" s="301"/>
      <c r="U126" s="301"/>
      <c r="V126" s="301"/>
      <c r="W126" s="301"/>
      <c r="X126" s="301"/>
      <c r="Y126" s="301"/>
      <c r="Z126" s="301"/>
      <c r="AA126" s="301"/>
      <c r="AB126" s="301"/>
      <c r="AC126" s="301"/>
      <c r="AD126" s="301"/>
      <c r="AE126" s="301"/>
    </row>
    <row r="127" customFormat="false" ht="12.75" hidden="false" customHeight="false" outlineLevel="0" collapsed="false">
      <c r="A127" s="190"/>
      <c r="B127" s="301"/>
      <c r="C127" s="301"/>
      <c r="D127" s="301"/>
      <c r="E127" s="301"/>
      <c r="F127" s="180"/>
      <c r="G127" s="180"/>
      <c r="H127" s="180"/>
      <c r="I127" s="180"/>
      <c r="J127" s="180"/>
      <c r="K127" s="180"/>
      <c r="L127" s="180"/>
      <c r="M127" s="301"/>
      <c r="N127" s="301"/>
      <c r="O127" s="301"/>
      <c r="P127" s="301"/>
      <c r="Q127" s="301"/>
      <c r="R127" s="301"/>
      <c r="S127" s="301"/>
      <c r="T127" s="301"/>
      <c r="U127" s="301"/>
      <c r="V127" s="301"/>
      <c r="W127" s="301"/>
      <c r="X127" s="301"/>
      <c r="Y127" s="301"/>
      <c r="Z127" s="301"/>
      <c r="AA127" s="301"/>
      <c r="AB127" s="301"/>
      <c r="AC127" s="301"/>
      <c r="AD127" s="301"/>
      <c r="AE127" s="301"/>
    </row>
    <row r="128" customFormat="false" ht="12.75" hidden="false" customHeight="false" outlineLevel="0" collapsed="false">
      <c r="A128" s="190"/>
      <c r="B128" s="301"/>
      <c r="C128" s="301"/>
      <c r="D128" s="301"/>
      <c r="E128" s="301"/>
      <c r="F128" s="180"/>
      <c r="G128" s="301"/>
      <c r="H128" s="301"/>
      <c r="I128" s="301"/>
      <c r="J128" s="301"/>
      <c r="K128" s="301"/>
      <c r="L128" s="301"/>
      <c r="M128" s="301"/>
      <c r="N128" s="301"/>
      <c r="O128" s="301"/>
      <c r="P128" s="301"/>
      <c r="Q128" s="301"/>
      <c r="R128" s="301"/>
      <c r="S128" s="301"/>
      <c r="T128" s="301"/>
      <c r="U128" s="301"/>
      <c r="V128" s="301"/>
      <c r="W128" s="301"/>
      <c r="X128" s="301"/>
      <c r="Y128" s="301"/>
      <c r="Z128" s="301"/>
      <c r="AA128" s="301"/>
      <c r="AB128" s="301"/>
      <c r="AC128" s="301"/>
      <c r="AD128" s="301"/>
      <c r="AE128" s="301"/>
    </row>
    <row r="129" customFormat="false" ht="12.75" hidden="false" customHeight="false" outlineLevel="0" collapsed="false">
      <c r="A129" s="190"/>
      <c r="B129" s="301"/>
      <c r="C129" s="580"/>
      <c r="D129" s="580"/>
      <c r="E129" s="301"/>
      <c r="F129" s="301"/>
      <c r="G129" s="301"/>
      <c r="H129" s="301"/>
      <c r="I129" s="301"/>
      <c r="J129" s="301"/>
      <c r="K129" s="301"/>
      <c r="L129" s="301"/>
      <c r="M129" s="301"/>
      <c r="N129" s="301"/>
      <c r="O129" s="301"/>
      <c r="P129" s="301"/>
      <c r="Q129" s="301"/>
      <c r="R129" s="301"/>
      <c r="S129" s="301"/>
      <c r="T129" s="301"/>
      <c r="U129" s="301"/>
      <c r="V129" s="301"/>
      <c r="W129" s="301"/>
      <c r="X129" s="301"/>
      <c r="Y129" s="301"/>
      <c r="Z129" s="301"/>
      <c r="AA129" s="301"/>
      <c r="AB129" s="301"/>
      <c r="AC129" s="301"/>
      <c r="AD129" s="301"/>
      <c r="AE129" s="301"/>
    </row>
    <row r="130" customFormat="false" ht="12.75" hidden="false" customHeight="false" outlineLevel="0" collapsed="false">
      <c r="A130" s="190"/>
      <c r="B130" s="301"/>
      <c r="C130" s="301"/>
      <c r="D130" s="301"/>
      <c r="E130" s="301"/>
      <c r="F130" s="301"/>
      <c r="G130" s="301"/>
      <c r="H130" s="301"/>
      <c r="I130" s="301"/>
      <c r="J130" s="301"/>
      <c r="K130" s="301"/>
      <c r="L130" s="301"/>
      <c r="M130" s="301"/>
      <c r="N130" s="301"/>
      <c r="O130" s="301"/>
      <c r="P130" s="301"/>
      <c r="Q130" s="301"/>
      <c r="R130" s="301"/>
      <c r="S130" s="301"/>
      <c r="T130" s="301"/>
      <c r="U130" s="301"/>
      <c r="V130" s="301"/>
      <c r="W130" s="301"/>
      <c r="X130" s="301"/>
      <c r="Y130" s="301"/>
      <c r="Z130" s="301"/>
      <c r="AA130" s="301"/>
      <c r="AB130" s="301"/>
      <c r="AC130" s="301"/>
      <c r="AD130" s="301"/>
      <c r="AE130" s="301"/>
    </row>
    <row r="131" customFormat="false" ht="12.75" hidden="false" customHeight="false" outlineLevel="0" collapsed="false">
      <c r="A131" s="15"/>
      <c r="B131" s="582"/>
      <c r="C131" s="583"/>
      <c r="D131" s="583"/>
      <c r="E131" s="583"/>
      <c r="F131" s="582"/>
      <c r="G131" s="582"/>
      <c r="H131" s="582"/>
      <c r="I131" s="582"/>
      <c r="J131" s="582"/>
      <c r="K131" s="582"/>
      <c r="L131" s="582"/>
      <c r="M131" s="582"/>
      <c r="N131" s="582"/>
      <c r="O131" s="582"/>
      <c r="P131" s="582"/>
      <c r="Q131" s="301"/>
      <c r="R131" s="301"/>
      <c r="S131" s="301"/>
      <c r="T131" s="301"/>
      <c r="U131" s="301"/>
      <c r="V131" s="301"/>
      <c r="W131" s="301"/>
      <c r="X131" s="301"/>
      <c r="Y131" s="301"/>
      <c r="Z131" s="301"/>
      <c r="AA131" s="301"/>
      <c r="AB131" s="301"/>
      <c r="AC131" s="301"/>
      <c r="AD131" s="301"/>
      <c r="AE131" s="301"/>
    </row>
    <row r="132" customFormat="false" ht="12.75" hidden="false" customHeight="false" outlineLevel="0" collapsed="false">
      <c r="A132" s="15"/>
      <c r="B132" s="582"/>
      <c r="C132" s="582"/>
      <c r="D132" s="582"/>
      <c r="E132" s="582"/>
      <c r="F132" s="582"/>
      <c r="G132" s="582"/>
      <c r="H132" s="582"/>
      <c r="I132" s="582"/>
      <c r="J132" s="582"/>
      <c r="K132" s="582"/>
      <c r="L132" s="582"/>
      <c r="M132" s="582"/>
      <c r="N132" s="582"/>
      <c r="O132" s="582"/>
      <c r="P132" s="582"/>
      <c r="Q132" s="301"/>
      <c r="R132" s="301"/>
      <c r="S132" s="301"/>
      <c r="T132" s="301"/>
      <c r="U132" s="301"/>
      <c r="V132" s="301"/>
      <c r="W132" s="301"/>
      <c r="X132" s="301"/>
      <c r="Y132" s="301"/>
      <c r="Z132" s="301"/>
      <c r="AA132" s="301"/>
      <c r="AB132" s="301"/>
      <c r="AC132" s="301"/>
      <c r="AD132" s="301"/>
      <c r="AE132" s="301"/>
    </row>
    <row r="133" customFormat="false" ht="12.75" hidden="false" customHeight="false" outlineLevel="0" collapsed="false">
      <c r="A133" s="15"/>
      <c r="B133" s="582"/>
      <c r="C133" s="582"/>
      <c r="D133" s="582"/>
      <c r="E133" s="582"/>
      <c r="F133" s="582"/>
      <c r="G133" s="582"/>
      <c r="H133" s="582"/>
      <c r="I133" s="582"/>
      <c r="J133" s="582"/>
      <c r="K133" s="582"/>
      <c r="L133" s="582"/>
      <c r="M133" s="582"/>
      <c r="N133" s="582"/>
      <c r="O133" s="582"/>
      <c r="P133" s="582"/>
      <c r="Q133" s="301"/>
      <c r="R133" s="301"/>
      <c r="S133" s="301"/>
      <c r="T133" s="301"/>
      <c r="U133" s="301"/>
      <c r="V133" s="301"/>
      <c r="W133" s="301"/>
      <c r="X133" s="301"/>
      <c r="Y133" s="301"/>
      <c r="Z133" s="301"/>
      <c r="AA133" s="301"/>
      <c r="AB133" s="301"/>
      <c r="AC133" s="301"/>
      <c r="AD133" s="301"/>
      <c r="AE133" s="301"/>
    </row>
    <row r="134" customFormat="false" ht="12.75" hidden="false" customHeight="false" outlineLevel="0" collapsed="false">
      <c r="A134" s="15"/>
      <c r="B134" s="582"/>
      <c r="C134" s="582"/>
      <c r="D134" s="582"/>
      <c r="E134" s="582"/>
      <c r="F134" s="582"/>
      <c r="G134" s="582"/>
      <c r="H134" s="582"/>
      <c r="I134" s="582"/>
      <c r="J134" s="582"/>
      <c r="K134" s="582"/>
      <c r="L134" s="582"/>
      <c r="M134" s="582"/>
      <c r="N134" s="582"/>
      <c r="O134" s="582"/>
      <c r="P134" s="582"/>
      <c r="Q134" s="301"/>
      <c r="R134" s="301"/>
      <c r="S134" s="301"/>
      <c r="T134" s="301"/>
      <c r="U134" s="301"/>
      <c r="V134" s="301"/>
      <c r="W134" s="301"/>
      <c r="X134" s="301"/>
      <c r="Y134" s="301"/>
      <c r="Z134" s="301"/>
      <c r="AA134" s="301"/>
      <c r="AB134" s="301"/>
      <c r="AC134" s="301"/>
      <c r="AD134" s="301"/>
      <c r="AE134" s="301"/>
    </row>
    <row r="135" customFormat="false" ht="12.75" hidden="false" customHeight="false" outlineLevel="0" collapsed="false">
      <c r="A135" s="15"/>
      <c r="B135" s="582"/>
      <c r="C135" s="582"/>
      <c r="D135" s="582"/>
      <c r="E135" s="582"/>
      <c r="F135" s="582"/>
      <c r="G135" s="582"/>
      <c r="H135" s="582"/>
      <c r="I135" s="582"/>
      <c r="J135" s="582"/>
      <c r="K135" s="582"/>
      <c r="L135" s="582"/>
      <c r="M135" s="582"/>
      <c r="N135" s="582"/>
      <c r="O135" s="582"/>
      <c r="P135" s="582"/>
      <c r="Q135" s="301"/>
      <c r="R135" s="301"/>
      <c r="S135" s="301"/>
      <c r="T135" s="301"/>
      <c r="U135" s="301"/>
      <c r="V135" s="301"/>
      <c r="W135" s="301"/>
      <c r="X135" s="301"/>
      <c r="Y135" s="301"/>
      <c r="Z135" s="301"/>
      <c r="AA135" s="301"/>
      <c r="AB135" s="301"/>
      <c r="AC135" s="301"/>
      <c r="AD135" s="301"/>
      <c r="AE135" s="301"/>
    </row>
    <row r="136" customFormat="false" ht="12.75" hidden="false" customHeight="false" outlineLevel="0" collapsed="false">
      <c r="A136" s="15"/>
      <c r="B136" s="582"/>
      <c r="C136" s="582"/>
      <c r="D136" s="582"/>
      <c r="E136" s="582"/>
      <c r="F136" s="582"/>
      <c r="G136" s="582"/>
      <c r="H136" s="582"/>
      <c r="I136" s="582"/>
      <c r="J136" s="582"/>
      <c r="K136" s="582"/>
      <c r="L136" s="582"/>
      <c r="M136" s="582"/>
      <c r="N136" s="582"/>
      <c r="O136" s="582"/>
      <c r="P136" s="582"/>
      <c r="Q136" s="301"/>
      <c r="R136" s="301"/>
      <c r="S136" s="301"/>
      <c r="T136" s="301"/>
      <c r="U136" s="301"/>
      <c r="V136" s="301"/>
      <c r="W136" s="301"/>
      <c r="X136" s="301"/>
      <c r="Y136" s="301"/>
      <c r="Z136" s="301"/>
      <c r="AA136" s="301"/>
      <c r="AB136" s="301"/>
      <c r="AC136" s="301"/>
      <c r="AD136" s="301"/>
      <c r="AE136" s="301"/>
    </row>
    <row r="137" customFormat="false" ht="12.75" hidden="false" customHeight="false" outlineLevel="0" collapsed="false">
      <c r="A137" s="15"/>
      <c r="B137" s="582"/>
      <c r="C137" s="582"/>
      <c r="D137" s="582"/>
      <c r="E137" s="582"/>
      <c r="F137" s="582"/>
      <c r="G137" s="582"/>
      <c r="H137" s="582"/>
      <c r="I137" s="582"/>
      <c r="J137" s="582"/>
      <c r="K137" s="582"/>
      <c r="L137" s="582"/>
      <c r="M137" s="582"/>
      <c r="N137" s="582"/>
      <c r="O137" s="582"/>
      <c r="P137" s="582"/>
      <c r="Q137" s="301"/>
      <c r="R137" s="301"/>
      <c r="S137" s="301"/>
      <c r="T137" s="301"/>
      <c r="U137" s="301"/>
      <c r="V137" s="301"/>
      <c r="W137" s="301"/>
      <c r="X137" s="301"/>
      <c r="Y137" s="301"/>
      <c r="Z137" s="301"/>
      <c r="AA137" s="301"/>
      <c r="AB137" s="301"/>
      <c r="AC137" s="301"/>
      <c r="AD137" s="301"/>
      <c r="AE137" s="301"/>
    </row>
    <row r="138" customFormat="false" ht="12.75" hidden="false" customHeight="false" outlineLevel="0" collapsed="false">
      <c r="A138" s="15"/>
      <c r="B138" s="582"/>
      <c r="C138" s="582"/>
      <c r="D138" s="582"/>
      <c r="E138" s="582"/>
      <c r="F138" s="582"/>
      <c r="G138" s="582"/>
      <c r="H138" s="582"/>
      <c r="I138" s="582"/>
      <c r="J138" s="582"/>
      <c r="K138" s="582"/>
      <c r="L138" s="582"/>
      <c r="M138" s="582"/>
      <c r="N138" s="582"/>
      <c r="O138" s="582"/>
      <c r="P138" s="582"/>
      <c r="Q138" s="301"/>
      <c r="R138" s="301"/>
      <c r="S138" s="301"/>
      <c r="T138" s="301"/>
      <c r="U138" s="301"/>
      <c r="V138" s="301"/>
      <c r="W138" s="301"/>
      <c r="X138" s="301"/>
      <c r="Y138" s="301"/>
      <c r="Z138" s="301"/>
      <c r="AA138" s="301"/>
      <c r="AB138" s="301"/>
      <c r="AC138" s="301"/>
      <c r="AD138" s="301"/>
      <c r="AE138" s="301"/>
    </row>
    <row r="139" customFormat="false" ht="12.75" hidden="false" customHeight="false" outlineLevel="0" collapsed="false">
      <c r="A139" s="15"/>
      <c r="B139" s="582"/>
      <c r="C139" s="582"/>
      <c r="D139" s="582"/>
      <c r="E139" s="582"/>
      <c r="F139" s="582"/>
      <c r="G139" s="582"/>
      <c r="H139" s="582"/>
      <c r="I139" s="582"/>
      <c r="J139" s="582"/>
      <c r="K139" s="582"/>
      <c r="L139" s="582"/>
      <c r="M139" s="582"/>
      <c r="N139" s="582"/>
      <c r="O139" s="582"/>
      <c r="P139" s="582"/>
      <c r="Q139" s="301"/>
      <c r="R139" s="301"/>
      <c r="S139" s="301"/>
      <c r="T139" s="301"/>
      <c r="U139" s="301"/>
      <c r="V139" s="301"/>
      <c r="W139" s="301"/>
      <c r="X139" s="301"/>
      <c r="Y139" s="301"/>
      <c r="Z139" s="301"/>
      <c r="AA139" s="301"/>
      <c r="AB139" s="301"/>
      <c r="AC139" s="301"/>
      <c r="AD139" s="301"/>
      <c r="AE139" s="301"/>
    </row>
    <row r="140" customFormat="false" ht="12.75" hidden="false" customHeight="false" outlineLevel="0" collapsed="false">
      <c r="A140" s="15"/>
      <c r="B140" s="582"/>
      <c r="C140" s="582"/>
      <c r="D140" s="582"/>
      <c r="E140" s="582"/>
      <c r="F140" s="582"/>
      <c r="G140" s="582"/>
      <c r="H140" s="582"/>
      <c r="I140" s="582"/>
      <c r="J140" s="582"/>
      <c r="K140" s="582"/>
      <c r="L140" s="582"/>
      <c r="M140" s="582"/>
      <c r="N140" s="582"/>
      <c r="O140" s="582"/>
      <c r="P140" s="582"/>
      <c r="Q140" s="301"/>
      <c r="R140" s="301"/>
      <c r="S140" s="301"/>
      <c r="T140" s="301"/>
      <c r="U140" s="301"/>
      <c r="V140" s="301"/>
      <c r="W140" s="301"/>
      <c r="X140" s="301"/>
      <c r="Y140" s="301"/>
      <c r="Z140" s="301"/>
      <c r="AA140" s="301"/>
      <c r="AB140" s="301"/>
      <c r="AC140" s="301"/>
      <c r="AD140" s="301"/>
      <c r="AE140" s="301"/>
    </row>
    <row r="141" customFormat="false" ht="12.75" hidden="false" customHeight="false" outlineLevel="0" collapsed="false">
      <c r="A141" s="15"/>
      <c r="B141" s="582"/>
      <c r="C141" s="582"/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301"/>
      <c r="R141" s="301"/>
      <c r="S141" s="301"/>
      <c r="T141" s="301"/>
      <c r="U141" s="301"/>
      <c r="V141" s="301"/>
      <c r="W141" s="301"/>
      <c r="X141" s="301"/>
      <c r="Y141" s="301"/>
      <c r="Z141" s="301"/>
      <c r="AA141" s="301"/>
      <c r="AB141" s="301"/>
      <c r="AC141" s="301"/>
      <c r="AD141" s="301"/>
      <c r="AE141" s="301"/>
    </row>
    <row r="142" customFormat="false" ht="12.75" hidden="false" customHeight="false" outlineLevel="0" collapsed="false">
      <c r="A142" s="15"/>
      <c r="B142" s="582"/>
      <c r="C142" s="582"/>
      <c r="D142" s="582"/>
      <c r="E142" s="582"/>
      <c r="F142" s="582"/>
      <c r="G142" s="582"/>
      <c r="H142" s="582"/>
      <c r="I142" s="582"/>
      <c r="J142" s="582"/>
      <c r="K142" s="582"/>
      <c r="L142" s="582"/>
      <c r="M142" s="582"/>
      <c r="N142" s="582"/>
      <c r="O142" s="582"/>
      <c r="P142" s="582"/>
      <c r="Q142" s="301"/>
      <c r="R142" s="301"/>
      <c r="S142" s="301"/>
      <c r="T142" s="301"/>
      <c r="U142" s="301"/>
      <c r="V142" s="301"/>
      <c r="W142" s="301"/>
      <c r="X142" s="301"/>
      <c r="Y142" s="301"/>
      <c r="Z142" s="301"/>
      <c r="AA142" s="301"/>
      <c r="AB142" s="301"/>
      <c r="AC142" s="301"/>
      <c r="AD142" s="301"/>
      <c r="AE142" s="301"/>
    </row>
    <row r="143" customFormat="false" ht="12.75" hidden="false" customHeight="false" outlineLevel="0" collapsed="false">
      <c r="A143" s="15"/>
      <c r="B143" s="582"/>
      <c r="C143" s="582"/>
      <c r="D143" s="582"/>
      <c r="E143" s="582"/>
      <c r="F143" s="582"/>
      <c r="G143" s="582"/>
      <c r="H143" s="582"/>
      <c r="I143" s="582"/>
      <c r="J143" s="582"/>
      <c r="K143" s="582"/>
      <c r="L143" s="582"/>
      <c r="M143" s="582"/>
      <c r="N143" s="582"/>
      <c r="O143" s="582"/>
      <c r="P143" s="582"/>
      <c r="Q143" s="301"/>
      <c r="R143" s="301"/>
      <c r="S143" s="301"/>
      <c r="T143" s="301"/>
      <c r="U143" s="301"/>
      <c r="V143" s="301"/>
      <c r="W143" s="301"/>
      <c r="X143" s="301"/>
      <c r="Y143" s="301"/>
      <c r="Z143" s="301"/>
      <c r="AA143" s="301"/>
      <c r="AB143" s="301"/>
      <c r="AC143" s="301"/>
      <c r="AD143" s="301"/>
      <c r="AE143" s="301"/>
    </row>
    <row r="144" customFormat="false" ht="12.75" hidden="false" customHeight="false" outlineLevel="0" collapsed="false">
      <c r="A144" s="15"/>
      <c r="B144" s="582"/>
      <c r="C144" s="582"/>
      <c r="D144" s="582"/>
      <c r="E144" s="582"/>
      <c r="F144" s="582"/>
      <c r="G144" s="582"/>
      <c r="H144" s="582"/>
      <c r="I144" s="582"/>
      <c r="J144" s="582"/>
      <c r="K144" s="582"/>
      <c r="L144" s="582"/>
      <c r="M144" s="582"/>
      <c r="N144" s="582"/>
      <c r="O144" s="582"/>
      <c r="P144" s="582"/>
      <c r="Q144" s="301"/>
      <c r="R144" s="301"/>
      <c r="S144" s="301"/>
      <c r="T144" s="301"/>
      <c r="U144" s="301"/>
      <c r="V144" s="301"/>
      <c r="W144" s="301"/>
      <c r="X144" s="301"/>
      <c r="Y144" s="301"/>
      <c r="Z144" s="301"/>
      <c r="AA144" s="301"/>
      <c r="AB144" s="301"/>
      <c r="AC144" s="301"/>
      <c r="AD144" s="301"/>
      <c r="AE144" s="301"/>
    </row>
    <row r="145" customFormat="false" ht="12.75" hidden="false" customHeight="false" outlineLevel="0" collapsed="false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</row>
    <row r="146" customFormat="false" ht="12.75" hidden="false" customHeight="false" outlineLevel="0" collapsed="false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</row>
    <row r="147" customFormat="false" ht="12.75" hidden="false" customHeight="false" outlineLevel="0" collapsed="false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</row>
    <row r="148" customFormat="false" ht="12.75" hidden="false" customHeight="false" outlineLevel="0" collapsed="false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</row>
    <row r="149" customFormat="false" ht="12.75" hidden="false" customHeight="false" outlineLevel="0" collapsed="false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</row>
    <row r="150" customFormat="false" ht="12.75" hidden="false" customHeight="false" outlineLevel="0" collapsed="false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</row>
    <row r="151" customFormat="false" ht="12.75" hidden="false" customHeight="false" outlineLevel="0" collapsed="false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</row>
    <row r="152" customFormat="false" ht="12.75" hidden="false" customHeight="false" outlineLevel="0" collapsed="false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</row>
    <row r="153" customFormat="false" ht="12.75" hidden="false" customHeight="false" outlineLevel="0" collapsed="false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</row>
    <row r="154" customFormat="false" ht="12.75" hidden="false" customHeight="false" outlineLevel="0" collapsed="false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</row>
    <row r="155" customFormat="false" ht="12.75" hidden="false" customHeight="false" outlineLevel="0" collapsed="false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</row>
    <row r="156" customFormat="false" ht="12.75" hidden="false" customHeight="false" outlineLevel="0" collapsed="false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4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9.32421875" defaultRowHeight="12.75" customHeight="true" zeroHeight="false" outlineLevelRow="1" outlineLevelCol="1"/>
  <cols>
    <col collapsed="false" customWidth="true" hidden="false" outlineLevel="0" max="1" min="1" style="1" width="33.65"/>
    <col collapsed="false" customWidth="true" hidden="false" outlineLevel="0" max="2" min="2" style="1" width="15.99"/>
    <col collapsed="false" customWidth="true" hidden="false" outlineLevel="0" max="27" min="3" style="1" width="12.82"/>
    <col collapsed="false" customWidth="true" hidden="false" outlineLevel="1" max="38" min="28" style="1" width="12.82"/>
    <col collapsed="false" customWidth="true" hidden="false" outlineLevel="0" max="39" min="39" style="1" width="13.99"/>
    <col collapsed="false" customWidth="true" hidden="false" outlineLevel="0" max="40" min="40" style="1" width="14.32"/>
    <col collapsed="false" customWidth="false" hidden="false" outlineLevel="0" max="44" min="41" style="1" width="9.32"/>
    <col collapsed="false" customWidth="true" hidden="false" outlineLevel="0" max="45" min="45" style="1" width="20.49"/>
    <col collapsed="false" customWidth="false" hidden="false" outlineLevel="0" max="257" min="46" style="1" width="9.32"/>
  </cols>
  <sheetData>
    <row r="1" customFormat="false" ht="15.75" hidden="false" customHeight="false" outlineLevel="0" collapsed="false">
      <c r="A1" s="2" t="str">
        <f aca="false">+Assumpt!A1</f>
        <v>Panama Regas Terminal</v>
      </c>
      <c r="B1" s="3"/>
      <c r="C1" s="3"/>
      <c r="D1" s="4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N1" s="395"/>
      <c r="AO1" s="395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395"/>
      <c r="CK1" s="395"/>
      <c r="CL1" s="395"/>
      <c r="CM1" s="395"/>
      <c r="CN1" s="395"/>
      <c r="CO1" s="395"/>
      <c r="CP1" s="395"/>
      <c r="CQ1" s="395"/>
      <c r="CR1" s="395"/>
      <c r="CS1" s="395"/>
      <c r="CT1" s="395"/>
      <c r="CU1" s="395"/>
      <c r="CV1" s="395"/>
      <c r="CW1" s="395"/>
      <c r="CX1" s="395"/>
      <c r="CY1" s="395"/>
      <c r="CZ1" s="395"/>
      <c r="DA1" s="395"/>
      <c r="DB1" s="395"/>
      <c r="DC1" s="395"/>
      <c r="DD1" s="395"/>
      <c r="DE1" s="395"/>
      <c r="DF1" s="395"/>
      <c r="DG1" s="395"/>
      <c r="DH1" s="395"/>
      <c r="DI1" s="395"/>
      <c r="DJ1" s="395"/>
      <c r="DK1" s="395"/>
      <c r="DL1" s="395"/>
      <c r="DM1" s="395"/>
      <c r="DN1" s="395"/>
      <c r="DO1" s="395"/>
      <c r="DP1" s="395"/>
      <c r="DQ1" s="395"/>
      <c r="DR1" s="395"/>
      <c r="DS1" s="395"/>
      <c r="DT1" s="395"/>
      <c r="DU1" s="395"/>
      <c r="DV1" s="395"/>
      <c r="DW1" s="395"/>
      <c r="DX1" s="395"/>
      <c r="DY1" s="395"/>
      <c r="DZ1" s="395"/>
      <c r="EA1" s="395"/>
      <c r="EB1" s="395"/>
      <c r="EC1" s="395"/>
      <c r="ED1" s="395"/>
      <c r="EE1" s="395"/>
      <c r="EF1" s="395"/>
      <c r="EG1" s="395"/>
      <c r="EH1" s="395"/>
      <c r="EI1" s="395"/>
      <c r="EJ1" s="395"/>
      <c r="EK1" s="395"/>
      <c r="EL1" s="395"/>
      <c r="EM1" s="395"/>
      <c r="EN1" s="395"/>
      <c r="EO1" s="395"/>
      <c r="EP1" s="395"/>
      <c r="EQ1" s="395"/>
      <c r="ER1" s="395"/>
      <c r="ES1" s="395"/>
      <c r="ET1" s="395"/>
      <c r="EU1" s="395"/>
      <c r="EV1" s="395"/>
      <c r="EW1" s="395"/>
      <c r="EX1" s="395"/>
      <c r="EY1" s="395"/>
      <c r="EZ1" s="395"/>
      <c r="FA1" s="395"/>
      <c r="FB1" s="395"/>
      <c r="FC1" s="395"/>
      <c r="FD1" s="395"/>
      <c r="FE1" s="395"/>
      <c r="FF1" s="395"/>
      <c r="FG1" s="395"/>
      <c r="FH1" s="395"/>
      <c r="FI1" s="395"/>
      <c r="FJ1" s="395"/>
      <c r="FK1" s="395"/>
      <c r="FL1" s="395"/>
      <c r="FM1" s="395"/>
      <c r="FN1" s="395"/>
      <c r="FO1" s="395"/>
      <c r="FP1" s="395"/>
      <c r="FQ1" s="395"/>
      <c r="FR1" s="395"/>
      <c r="FS1" s="395"/>
      <c r="FT1" s="395"/>
      <c r="FU1" s="395"/>
      <c r="FV1" s="395"/>
      <c r="FW1" s="395"/>
      <c r="FX1" s="395"/>
      <c r="FY1" s="395"/>
      <c r="FZ1" s="395"/>
      <c r="GA1" s="395"/>
      <c r="GB1" s="395"/>
      <c r="GC1" s="395"/>
      <c r="GD1" s="395"/>
      <c r="GE1" s="395"/>
      <c r="GF1" s="395"/>
      <c r="GG1" s="395"/>
      <c r="GH1" s="395"/>
      <c r="GI1" s="395"/>
      <c r="GJ1" s="395"/>
      <c r="GK1" s="395"/>
      <c r="GL1" s="395"/>
      <c r="GM1" s="395"/>
      <c r="GN1" s="395"/>
      <c r="GO1" s="395"/>
      <c r="GP1" s="395"/>
      <c r="GQ1" s="395"/>
      <c r="GR1" s="395"/>
      <c r="GS1" s="395"/>
      <c r="GT1" s="395"/>
      <c r="GU1" s="395"/>
      <c r="GV1" s="395"/>
      <c r="GW1" s="395"/>
      <c r="GX1" s="395"/>
      <c r="GY1" s="395"/>
      <c r="GZ1" s="395"/>
      <c r="HA1" s="395"/>
      <c r="HB1" s="395"/>
      <c r="HC1" s="395"/>
      <c r="HD1" s="395"/>
      <c r="HE1" s="395"/>
      <c r="HF1" s="395"/>
      <c r="HG1" s="395"/>
      <c r="HH1" s="395"/>
      <c r="HI1" s="395"/>
      <c r="HJ1" s="395"/>
      <c r="HK1" s="395"/>
      <c r="HL1" s="395"/>
      <c r="HM1" s="395"/>
      <c r="HN1" s="395"/>
      <c r="HO1" s="395"/>
      <c r="HP1" s="395"/>
      <c r="HQ1" s="395"/>
      <c r="HR1" s="395"/>
      <c r="HS1" s="395"/>
      <c r="HT1" s="395"/>
      <c r="HU1" s="395"/>
      <c r="HV1" s="395"/>
      <c r="HW1" s="395"/>
      <c r="HX1" s="395"/>
      <c r="HY1" s="395"/>
      <c r="HZ1" s="395"/>
      <c r="IA1" s="395"/>
      <c r="IB1" s="395"/>
      <c r="IC1" s="395"/>
      <c r="ID1" s="395"/>
      <c r="IE1" s="395"/>
      <c r="IF1" s="395"/>
      <c r="IG1" s="395"/>
      <c r="IH1" s="395"/>
      <c r="II1" s="395"/>
      <c r="IJ1" s="395"/>
      <c r="IK1" s="395"/>
      <c r="IL1" s="395"/>
      <c r="IM1" s="395"/>
      <c r="IN1" s="395"/>
      <c r="IO1" s="395"/>
      <c r="IP1" s="395"/>
      <c r="IQ1" s="395"/>
      <c r="IR1" s="395"/>
      <c r="IS1" s="395"/>
      <c r="IT1" s="395"/>
      <c r="IU1" s="395"/>
      <c r="IV1" s="395"/>
      <c r="IW1" s="395"/>
    </row>
    <row r="2" customFormat="false" ht="15.75" hidden="false" customHeight="false" outlineLevel="0" collapsed="false">
      <c r="A2" s="6" t="str">
        <f aca="false">+Assumpt!A2</f>
        <v>Enron International</v>
      </c>
      <c r="B2" s="7"/>
      <c r="C2" s="7"/>
      <c r="D2" s="8"/>
      <c r="G2" s="265" t="s">
        <v>223</v>
      </c>
      <c r="H2" s="265"/>
      <c r="I2" s="107"/>
      <c r="J2" s="107" t="n">
        <f aca="false">+Assumpt!$S$28</f>
        <v>138040.425</v>
      </c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</row>
    <row r="3" customFormat="false" ht="16.5" hidden="false" customHeight="false" outlineLevel="0" collapsed="false">
      <c r="A3" s="10" t="s">
        <v>224</v>
      </c>
      <c r="B3" s="11"/>
      <c r="C3" s="11"/>
      <c r="D3" s="12"/>
      <c r="G3" s="265" t="s">
        <v>225</v>
      </c>
      <c r="H3" s="265"/>
      <c r="I3" s="265"/>
      <c r="J3" s="107" t="n">
        <f aca="false">estcost-Assumpt!$S$28-estidc</f>
        <v>13692.8326807169</v>
      </c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</row>
    <row r="4" customFormat="false" ht="12.75" hidden="false" customHeight="false" outlineLevel="0" collapsed="false">
      <c r="G4" s="265" t="s">
        <v>226</v>
      </c>
      <c r="H4" s="265"/>
      <c r="I4" s="265"/>
      <c r="J4" s="426" t="n">
        <f aca="false">estdebt-estidc*debtamt</f>
        <v>113800.234937136</v>
      </c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</row>
    <row r="5" customFormat="false" ht="12.75" hidden="false" customHeight="false" outlineLevel="0" collapsed="false">
      <c r="A5" s="297" t="s">
        <v>227</v>
      </c>
      <c r="B5" s="298"/>
      <c r="C5" s="584" t="n">
        <v>1</v>
      </c>
      <c r="D5" s="584" t="n">
        <f aca="false">MIN(C5+1,constmonths)</f>
        <v>2</v>
      </c>
      <c r="E5" s="584" t="n">
        <f aca="false">MIN(D5+1,constmonths)</f>
        <v>3</v>
      </c>
      <c r="F5" s="584" t="n">
        <f aca="false">MIN(E5+1,constmonths)</f>
        <v>4</v>
      </c>
      <c r="G5" s="584" t="n">
        <f aca="false">MIN(F5+1,constmonths)</f>
        <v>5</v>
      </c>
      <c r="H5" s="584" t="n">
        <f aca="false">MIN(G5+1,constmonths)</f>
        <v>6</v>
      </c>
      <c r="I5" s="584" t="n">
        <f aca="false">MIN(H5+1,constmonths)</f>
        <v>7</v>
      </c>
      <c r="J5" s="584" t="n">
        <f aca="false">MIN(I5+1,constmonths)</f>
        <v>8</v>
      </c>
      <c r="K5" s="584" t="n">
        <f aca="false">MIN(J5+1,constmonths)</f>
        <v>9</v>
      </c>
      <c r="L5" s="584" t="n">
        <f aca="false">MIN(K5+1,constmonths)</f>
        <v>10</v>
      </c>
      <c r="M5" s="584" t="n">
        <f aca="false">MIN(L5+1,constmonths)</f>
        <v>11</v>
      </c>
      <c r="N5" s="584" t="n">
        <f aca="false">MIN(M5+1,constmonths)</f>
        <v>12</v>
      </c>
      <c r="O5" s="584" t="n">
        <f aca="false">MIN(N5+1,constmonths)</f>
        <v>13</v>
      </c>
      <c r="P5" s="584" t="n">
        <f aca="false">MIN(O5+1,constmonths)</f>
        <v>14</v>
      </c>
      <c r="Q5" s="584" t="n">
        <f aca="false">MIN(P5+1,constmonths)</f>
        <v>15</v>
      </c>
      <c r="R5" s="584" t="n">
        <f aca="false">MIN(Q5+1,constmonths)</f>
        <v>16</v>
      </c>
      <c r="S5" s="584" t="n">
        <f aca="false">MIN(R5+1,constmonths)</f>
        <v>17</v>
      </c>
      <c r="T5" s="584" t="n">
        <f aca="false">MIN(S5+1,constmonths)</f>
        <v>18</v>
      </c>
      <c r="U5" s="584" t="n">
        <f aca="false">MIN(T5+1,constmonths)</f>
        <v>19</v>
      </c>
      <c r="V5" s="584" t="n">
        <f aca="false">MIN(U5+1,constmonths)</f>
        <v>20</v>
      </c>
      <c r="W5" s="584" t="n">
        <f aca="false">MIN(V5+1,constmonths)</f>
        <v>21</v>
      </c>
      <c r="X5" s="584" t="n">
        <f aca="false">MIN(W5+1,constmonths)</f>
        <v>22</v>
      </c>
      <c r="Y5" s="584" t="n">
        <f aca="false">MIN(X5+1,constmonths)</f>
        <v>23</v>
      </c>
      <c r="Z5" s="584" t="n">
        <f aca="false">MIN(Y5+1,constmonths)</f>
        <v>24</v>
      </c>
      <c r="AA5" s="584" t="n">
        <f aca="false">MIN(Z5+1,constmonths)</f>
        <v>25</v>
      </c>
      <c r="AB5" s="584" t="n">
        <f aca="false">MIN(AA5+1,constmonths)</f>
        <v>26</v>
      </c>
      <c r="AC5" s="584" t="n">
        <f aca="false">MIN(AB5+1,constmonths)</f>
        <v>27</v>
      </c>
      <c r="AD5" s="584" t="n">
        <f aca="false">MIN(AC5+1,constmonths)</f>
        <v>28</v>
      </c>
      <c r="AE5" s="584" t="n">
        <f aca="false">MIN(AD5+1,constmonths)</f>
        <v>29</v>
      </c>
      <c r="AF5" s="584" t="n">
        <f aca="false">MIN(AE5+1,constmonths)</f>
        <v>30</v>
      </c>
      <c r="AG5" s="584" t="n">
        <f aca="false">MIN(AF5+1,constmonths)</f>
        <v>31</v>
      </c>
      <c r="AH5" s="584" t="n">
        <f aca="false">MIN(AG5+1,constmonths)</f>
        <v>32</v>
      </c>
      <c r="AI5" s="584" t="n">
        <f aca="false">MIN(AH5+1,constmonths)</f>
        <v>33</v>
      </c>
      <c r="AJ5" s="584" t="n">
        <f aca="false">MIN(AI5+1,constmonths)</f>
        <v>34</v>
      </c>
      <c r="AK5" s="584" t="n">
        <f aca="false">MIN(AJ5+1,constmonths)</f>
        <v>35</v>
      </c>
      <c r="AL5" s="584" t="n">
        <f aca="false">MIN(AK5+1,constmonths)</f>
        <v>36</v>
      </c>
      <c r="AM5" s="542"/>
      <c r="AP5" s="14"/>
      <c r="AQ5" s="14"/>
      <c r="AR5" s="14"/>
      <c r="AS5" s="585"/>
      <c r="AT5" s="585"/>
      <c r="AU5" s="585"/>
      <c r="AV5" s="585"/>
      <c r="AW5" s="585"/>
      <c r="AX5" s="585"/>
      <c r="AY5" s="585"/>
      <c r="AZ5" s="585"/>
      <c r="BA5" s="585"/>
      <c r="BB5" s="585"/>
      <c r="BC5" s="585"/>
      <c r="BD5" s="585"/>
      <c r="BE5" s="585"/>
      <c r="BF5" s="585"/>
      <c r="BG5" s="585"/>
      <c r="BH5" s="585"/>
      <c r="BI5" s="585"/>
      <c r="BJ5" s="585"/>
      <c r="BK5" s="585"/>
      <c r="BL5" s="585"/>
      <c r="BM5" s="585"/>
      <c r="BN5" s="585"/>
      <c r="BO5" s="585"/>
      <c r="BP5" s="585"/>
      <c r="BQ5" s="585"/>
      <c r="BR5" s="585"/>
      <c r="BS5" s="585"/>
      <c r="BT5" s="585"/>
      <c r="BU5" s="585"/>
      <c r="BV5" s="585"/>
      <c r="BW5" s="585"/>
      <c r="BX5" s="585"/>
      <c r="BY5" s="585"/>
      <c r="BZ5" s="585"/>
      <c r="CA5" s="585"/>
      <c r="CB5" s="585"/>
      <c r="CC5" s="14"/>
      <c r="CD5" s="14"/>
      <c r="CE5" s="14"/>
      <c r="CF5" s="14"/>
      <c r="CG5" s="14"/>
      <c r="CH5" s="14"/>
      <c r="CI5" s="14"/>
    </row>
    <row r="6" customFormat="false" ht="12.75" hidden="false" customHeight="false" outlineLevel="0" collapsed="false">
      <c r="A6" s="406" t="s">
        <v>228</v>
      </c>
      <c r="B6" s="407"/>
      <c r="C6" s="586" t="n">
        <f aca="false">+Assumpt!E16</f>
        <v>36526</v>
      </c>
      <c r="D6" s="586" t="n">
        <f aca="false">+EDATE(C6,1)</f>
        <v>36557</v>
      </c>
      <c r="E6" s="586" t="n">
        <f aca="false">+EDATE(D6,1)</f>
        <v>36586</v>
      </c>
      <c r="F6" s="586" t="n">
        <f aca="false">+EDATE(E6,1)</f>
        <v>36617</v>
      </c>
      <c r="G6" s="586" t="n">
        <f aca="false">+EDATE(F6,1)</f>
        <v>36647</v>
      </c>
      <c r="H6" s="586" t="n">
        <f aca="false">+EDATE(G6,1)</f>
        <v>36678</v>
      </c>
      <c r="I6" s="586" t="n">
        <f aca="false">+EDATE(H6,1)</f>
        <v>36708</v>
      </c>
      <c r="J6" s="586" t="n">
        <f aca="false">+EDATE(I6,1)</f>
        <v>36739</v>
      </c>
      <c r="K6" s="586" t="n">
        <f aca="false">+EDATE(J6,1)</f>
        <v>36770</v>
      </c>
      <c r="L6" s="586" t="n">
        <f aca="false">+EDATE(K6,1)</f>
        <v>36800</v>
      </c>
      <c r="M6" s="586" t="n">
        <f aca="false">+EDATE(L6,1)</f>
        <v>36831</v>
      </c>
      <c r="N6" s="586" t="n">
        <f aca="false">+EDATE(M6,1)</f>
        <v>36861</v>
      </c>
      <c r="O6" s="586" t="n">
        <f aca="false">+EDATE(N6,1)</f>
        <v>36892</v>
      </c>
      <c r="P6" s="586" t="n">
        <f aca="false">+EDATE(O6,1)</f>
        <v>36923</v>
      </c>
      <c r="Q6" s="586" t="n">
        <f aca="false">+EDATE(P6,1)</f>
        <v>36951</v>
      </c>
      <c r="R6" s="586" t="n">
        <f aca="false">+EDATE(Q6,1)</f>
        <v>36982</v>
      </c>
      <c r="S6" s="586" t="n">
        <f aca="false">+EDATE(R6,1)</f>
        <v>37012</v>
      </c>
      <c r="T6" s="586" t="n">
        <f aca="false">+EDATE(S6,1)</f>
        <v>37043</v>
      </c>
      <c r="U6" s="586" t="n">
        <f aca="false">+EDATE(T6,1)</f>
        <v>37073</v>
      </c>
      <c r="V6" s="586" t="n">
        <f aca="false">+EDATE(U6,1)</f>
        <v>37104</v>
      </c>
      <c r="W6" s="586" t="n">
        <f aca="false">+EDATE(V6,1)</f>
        <v>37135</v>
      </c>
      <c r="X6" s="586" t="n">
        <f aca="false">+EDATE(W6,1)</f>
        <v>37165</v>
      </c>
      <c r="Y6" s="586" t="n">
        <f aca="false">+EDATE(X6,1)</f>
        <v>37196</v>
      </c>
      <c r="Z6" s="586" t="n">
        <f aca="false">+EDATE(Y6,1)</f>
        <v>37226</v>
      </c>
      <c r="AA6" s="586" t="n">
        <f aca="false">+EDATE(Z6,1)</f>
        <v>37257</v>
      </c>
      <c r="AB6" s="586" t="n">
        <f aca="false">+EDATE(AA6,1)</f>
        <v>37288</v>
      </c>
      <c r="AC6" s="586" t="n">
        <f aca="false">+EDATE(AB6,1)</f>
        <v>37316</v>
      </c>
      <c r="AD6" s="586" t="n">
        <f aca="false">+EDATE(AC6,1)</f>
        <v>37347</v>
      </c>
      <c r="AE6" s="586" t="n">
        <f aca="false">+EDATE(AD6,1)</f>
        <v>37377</v>
      </c>
      <c r="AF6" s="586" t="n">
        <f aca="false">+EDATE(AE6,1)</f>
        <v>37408</v>
      </c>
      <c r="AG6" s="586" t="n">
        <f aca="false">+EDATE(AF6,1)</f>
        <v>37438</v>
      </c>
      <c r="AH6" s="586" t="n">
        <f aca="false">+EDATE(AG6,1)</f>
        <v>37469</v>
      </c>
      <c r="AI6" s="586" t="n">
        <f aca="false">+EDATE(AH6,1)</f>
        <v>37500</v>
      </c>
      <c r="AJ6" s="586" t="n">
        <f aca="false">+EDATE(AI6,1)</f>
        <v>37530</v>
      </c>
      <c r="AK6" s="586" t="n">
        <f aca="false">+EDATE(AJ6,1)</f>
        <v>37561</v>
      </c>
      <c r="AL6" s="586" t="n">
        <f aca="false">+EDATE(AK6,1)</f>
        <v>37591</v>
      </c>
      <c r="AM6" s="587" t="s">
        <v>229</v>
      </c>
      <c r="AN6" s="295"/>
      <c r="AO6" s="20" t="n">
        <v>1</v>
      </c>
      <c r="AP6" s="295"/>
      <c r="AQ6" s="295"/>
      <c r="AR6" s="295"/>
      <c r="AS6" s="588"/>
      <c r="AT6" s="588"/>
      <c r="AU6" s="588"/>
      <c r="AV6" s="588"/>
      <c r="AW6" s="588"/>
      <c r="AX6" s="588"/>
      <c r="AY6" s="588"/>
      <c r="AZ6" s="588"/>
      <c r="BA6" s="588"/>
      <c r="BB6" s="588"/>
      <c r="BC6" s="588"/>
      <c r="BD6" s="588"/>
      <c r="BE6" s="588"/>
      <c r="BF6" s="588"/>
      <c r="BG6" s="588"/>
      <c r="BH6" s="588"/>
      <c r="BI6" s="588"/>
      <c r="BJ6" s="588"/>
      <c r="BK6" s="588"/>
      <c r="BL6" s="588"/>
      <c r="BM6" s="588"/>
      <c r="BN6" s="588"/>
      <c r="BO6" s="588"/>
      <c r="BP6" s="588"/>
      <c r="BQ6" s="588"/>
      <c r="BR6" s="588"/>
      <c r="BS6" s="588"/>
      <c r="BT6" s="588"/>
      <c r="BU6" s="588"/>
      <c r="BV6" s="588"/>
      <c r="BW6" s="588"/>
      <c r="BX6" s="588"/>
      <c r="BY6" s="588"/>
      <c r="BZ6" s="588"/>
      <c r="CA6" s="588"/>
      <c r="CB6" s="588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/>
      <c r="DR6" s="296"/>
      <c r="DS6" s="296"/>
      <c r="DT6" s="296"/>
      <c r="DU6" s="296"/>
      <c r="DV6" s="296"/>
      <c r="DW6" s="296"/>
      <c r="DX6" s="296"/>
      <c r="DY6" s="296"/>
      <c r="DZ6" s="296"/>
      <c r="EA6" s="296"/>
      <c r="EB6" s="296"/>
      <c r="EC6" s="296"/>
      <c r="ED6" s="296"/>
      <c r="EE6" s="296"/>
      <c r="EF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6"/>
      <c r="FF6" s="296"/>
      <c r="FG6" s="296"/>
      <c r="FH6" s="296"/>
      <c r="FI6" s="296"/>
      <c r="FJ6" s="296"/>
      <c r="FK6" s="296"/>
      <c r="FL6" s="296"/>
      <c r="FM6" s="296"/>
      <c r="FN6" s="296"/>
      <c r="FO6" s="296"/>
      <c r="FP6" s="296"/>
      <c r="FQ6" s="296"/>
      <c r="FR6" s="296"/>
      <c r="FS6" s="296"/>
      <c r="FT6" s="296"/>
      <c r="FU6" s="296"/>
      <c r="FV6" s="296"/>
      <c r="FW6" s="296"/>
      <c r="FX6" s="296"/>
      <c r="FY6" s="296"/>
      <c r="FZ6" s="296"/>
      <c r="GA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GP6" s="296"/>
      <c r="GQ6" s="296"/>
      <c r="GR6" s="296"/>
      <c r="GS6" s="296"/>
      <c r="GT6" s="296"/>
      <c r="GU6" s="296"/>
      <c r="GV6" s="296"/>
      <c r="GW6" s="296"/>
      <c r="GX6" s="296"/>
      <c r="GY6" s="296"/>
      <c r="GZ6" s="296"/>
      <c r="HA6" s="296"/>
      <c r="HB6" s="296"/>
      <c r="HC6" s="296"/>
      <c r="HD6" s="296"/>
      <c r="HE6" s="296"/>
      <c r="HF6" s="296"/>
      <c r="HG6" s="296"/>
      <c r="HH6" s="296"/>
      <c r="HI6" s="296"/>
      <c r="HJ6" s="296"/>
      <c r="HK6" s="296"/>
      <c r="HL6" s="296"/>
      <c r="HM6" s="296"/>
      <c r="HN6" s="296"/>
      <c r="HO6" s="296"/>
      <c r="HP6" s="296"/>
      <c r="HQ6" s="296"/>
      <c r="HR6" s="296"/>
      <c r="HS6" s="296"/>
      <c r="HT6" s="296"/>
      <c r="HU6" s="296"/>
      <c r="HV6" s="296"/>
      <c r="HW6" s="296"/>
      <c r="HX6" s="296"/>
      <c r="HY6" s="296"/>
      <c r="HZ6" s="296"/>
      <c r="IA6" s="296"/>
      <c r="IB6" s="296"/>
      <c r="IC6" s="296"/>
      <c r="ID6" s="296"/>
      <c r="IE6" s="296"/>
      <c r="IF6" s="296"/>
      <c r="IG6" s="296"/>
      <c r="IH6" s="296"/>
      <c r="II6" s="296"/>
      <c r="IJ6" s="296"/>
      <c r="IK6" s="296"/>
      <c r="IL6" s="296"/>
      <c r="IM6" s="296"/>
      <c r="IN6" s="296"/>
      <c r="IO6" s="296"/>
      <c r="IP6" s="296"/>
      <c r="IQ6" s="296"/>
      <c r="IR6" s="296"/>
      <c r="IS6" s="296"/>
      <c r="IT6" s="296"/>
      <c r="IU6" s="296"/>
      <c r="IV6" s="296"/>
      <c r="IW6" s="296"/>
    </row>
    <row r="7" customFormat="false" ht="12.75" hidden="false" customHeight="false" outlineLevel="0" collapsed="false"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  <c r="AC7" s="589"/>
      <c r="AD7" s="589"/>
      <c r="AE7" s="589"/>
      <c r="AF7" s="589"/>
      <c r="AG7" s="589"/>
      <c r="AH7" s="589"/>
      <c r="AI7" s="589"/>
      <c r="AJ7" s="589"/>
      <c r="AK7" s="589"/>
      <c r="AL7" s="589"/>
      <c r="AM7" s="277"/>
      <c r="AN7" s="14"/>
      <c r="AO7" s="20" t="n">
        <f aca="false">+AO6+1</f>
        <v>2</v>
      </c>
      <c r="AP7" s="14"/>
      <c r="AQ7" s="14"/>
      <c r="AR7" s="14"/>
      <c r="AS7" s="589"/>
      <c r="AT7" s="589"/>
      <c r="AU7" s="589"/>
      <c r="AV7" s="589"/>
      <c r="AW7" s="589"/>
      <c r="AX7" s="589"/>
      <c r="AY7" s="589"/>
      <c r="AZ7" s="589"/>
      <c r="BA7" s="589"/>
      <c r="BB7" s="589"/>
      <c r="BC7" s="589"/>
      <c r="BD7" s="589"/>
      <c r="BE7" s="589"/>
      <c r="BF7" s="589"/>
      <c r="BG7" s="589"/>
      <c r="BH7" s="589"/>
      <c r="BI7" s="589"/>
      <c r="BJ7" s="589"/>
      <c r="BK7" s="589"/>
      <c r="BL7" s="589"/>
      <c r="BM7" s="589"/>
      <c r="BN7" s="589"/>
      <c r="BO7" s="589"/>
      <c r="BP7" s="589"/>
      <c r="BQ7" s="589"/>
      <c r="BR7" s="589"/>
      <c r="BS7" s="589"/>
      <c r="BT7" s="589"/>
      <c r="BU7" s="589"/>
      <c r="BV7" s="589"/>
      <c r="BW7" s="589"/>
      <c r="BX7" s="589"/>
      <c r="BY7" s="589"/>
      <c r="BZ7" s="589"/>
      <c r="CA7" s="589"/>
      <c r="CB7" s="589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</row>
    <row r="8" customFormat="false" ht="12.75" hidden="false" customHeight="false" outlineLevel="0" collapsed="false">
      <c r="A8" s="590" t="s">
        <v>230</v>
      </c>
      <c r="B8" s="395"/>
      <c r="C8" s="591" t="n">
        <f aca="false">1/constmonths</f>
        <v>0.0277777777777778</v>
      </c>
      <c r="D8" s="591" t="n">
        <f aca="false">1/constmonths</f>
        <v>0.0277777777777778</v>
      </c>
      <c r="E8" s="591" t="n">
        <f aca="false">1/constmonths</f>
        <v>0.0277777777777778</v>
      </c>
      <c r="F8" s="591" t="n">
        <f aca="false">1/constmonths</f>
        <v>0.0277777777777778</v>
      </c>
      <c r="G8" s="591" t="n">
        <f aca="false">1/constmonths</f>
        <v>0.0277777777777778</v>
      </c>
      <c r="H8" s="591" t="n">
        <f aca="false">1/constmonths</f>
        <v>0.0277777777777778</v>
      </c>
      <c r="I8" s="591" t="n">
        <f aca="false">1/constmonths</f>
        <v>0.0277777777777778</v>
      </c>
      <c r="J8" s="591" t="n">
        <f aca="false">1/constmonths</f>
        <v>0.0277777777777778</v>
      </c>
      <c r="K8" s="591" t="n">
        <f aca="false">1/constmonths</f>
        <v>0.0277777777777778</v>
      </c>
      <c r="L8" s="591" t="n">
        <f aca="false">1/constmonths</f>
        <v>0.0277777777777778</v>
      </c>
      <c r="M8" s="591" t="n">
        <f aca="false">1/constmonths</f>
        <v>0.0277777777777778</v>
      </c>
      <c r="N8" s="591" t="n">
        <f aca="false">1/constmonths</f>
        <v>0.0277777777777778</v>
      </c>
      <c r="O8" s="591" t="n">
        <f aca="false">1/constmonths</f>
        <v>0.0277777777777778</v>
      </c>
      <c r="P8" s="591" t="n">
        <f aca="false">1/constmonths</f>
        <v>0.0277777777777778</v>
      </c>
      <c r="Q8" s="591" t="n">
        <f aca="false">1/constmonths</f>
        <v>0.0277777777777778</v>
      </c>
      <c r="R8" s="591" t="n">
        <f aca="false">1/constmonths</f>
        <v>0.0277777777777778</v>
      </c>
      <c r="S8" s="591" t="n">
        <f aca="false">1/constmonths</f>
        <v>0.0277777777777778</v>
      </c>
      <c r="T8" s="591" t="n">
        <f aca="false">1/constmonths</f>
        <v>0.0277777777777778</v>
      </c>
      <c r="U8" s="591" t="n">
        <f aca="false">1/constmonths</f>
        <v>0.0277777777777778</v>
      </c>
      <c r="V8" s="591" t="n">
        <f aca="false">1/constmonths</f>
        <v>0.0277777777777778</v>
      </c>
      <c r="W8" s="591" t="n">
        <f aca="false">1/constmonths</f>
        <v>0.0277777777777778</v>
      </c>
      <c r="X8" s="591" t="n">
        <f aca="false">1/constmonths</f>
        <v>0.0277777777777778</v>
      </c>
      <c r="Y8" s="591" t="n">
        <f aca="false">1/constmonths</f>
        <v>0.0277777777777778</v>
      </c>
      <c r="Z8" s="591" t="n">
        <f aca="false">1/constmonths</f>
        <v>0.0277777777777778</v>
      </c>
      <c r="AA8" s="591" t="n">
        <f aca="false">1/constmonths</f>
        <v>0.0277777777777778</v>
      </c>
      <c r="AB8" s="591" t="n">
        <f aca="false">1/constmonths</f>
        <v>0.0277777777777778</v>
      </c>
      <c r="AC8" s="591" t="n">
        <f aca="false">1/constmonths</f>
        <v>0.0277777777777778</v>
      </c>
      <c r="AD8" s="591" t="n">
        <f aca="false">1/constmonths</f>
        <v>0.0277777777777778</v>
      </c>
      <c r="AE8" s="591" t="n">
        <f aca="false">1/constmonths</f>
        <v>0.0277777777777778</v>
      </c>
      <c r="AF8" s="591" t="n">
        <f aca="false">1/constmonths</f>
        <v>0.0277777777777778</v>
      </c>
      <c r="AG8" s="591" t="n">
        <f aca="false">1/constmonths</f>
        <v>0.0277777777777778</v>
      </c>
      <c r="AH8" s="591" t="n">
        <f aca="false">1/constmonths</f>
        <v>0.0277777777777778</v>
      </c>
      <c r="AI8" s="591" t="n">
        <f aca="false">1/constmonths</f>
        <v>0.0277777777777778</v>
      </c>
      <c r="AJ8" s="591" t="n">
        <f aca="false">1/constmonths</f>
        <v>0.0277777777777778</v>
      </c>
      <c r="AK8" s="591" t="n">
        <f aca="false">1/constmonths</f>
        <v>0.0277777777777778</v>
      </c>
      <c r="AL8" s="591" t="n">
        <f aca="false">1/constmonths</f>
        <v>0.0277777777777778</v>
      </c>
      <c r="AM8" s="592" t="n">
        <f aca="false">SUM(C8:AL8)</f>
        <v>1</v>
      </c>
      <c r="AN8" s="14"/>
      <c r="AO8" s="20" t="n">
        <f aca="false">+AO7+1</f>
        <v>3</v>
      </c>
      <c r="AP8" s="14"/>
      <c r="AQ8" s="277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</row>
    <row r="9" customFormat="false" ht="12.75" hidden="false" customHeight="false" outlineLevel="0" collapsed="false">
      <c r="A9" s="593" t="s">
        <v>231</v>
      </c>
      <c r="B9" s="148"/>
      <c r="C9" s="594" t="n">
        <f aca="false">1/constmonths</f>
        <v>0.0277777777777778</v>
      </c>
      <c r="D9" s="594" t="n">
        <f aca="false">1/constmonths</f>
        <v>0.0277777777777778</v>
      </c>
      <c r="E9" s="594" t="n">
        <f aca="false">1/constmonths</f>
        <v>0.0277777777777778</v>
      </c>
      <c r="F9" s="594" t="n">
        <f aca="false">1/constmonths</f>
        <v>0.0277777777777778</v>
      </c>
      <c r="G9" s="594" t="n">
        <f aca="false">1/constmonths</f>
        <v>0.0277777777777778</v>
      </c>
      <c r="H9" s="594" t="n">
        <f aca="false">1/constmonths</f>
        <v>0.0277777777777778</v>
      </c>
      <c r="I9" s="594" t="n">
        <f aca="false">1/constmonths</f>
        <v>0.0277777777777778</v>
      </c>
      <c r="J9" s="594" t="n">
        <f aca="false">1/constmonths</f>
        <v>0.0277777777777778</v>
      </c>
      <c r="K9" s="594" t="n">
        <f aca="false">1/constmonths</f>
        <v>0.0277777777777778</v>
      </c>
      <c r="L9" s="594" t="n">
        <f aca="false">1/constmonths</f>
        <v>0.0277777777777778</v>
      </c>
      <c r="M9" s="594" t="n">
        <f aca="false">1/constmonths</f>
        <v>0.0277777777777778</v>
      </c>
      <c r="N9" s="594" t="n">
        <f aca="false">1/constmonths</f>
        <v>0.0277777777777778</v>
      </c>
      <c r="O9" s="594" t="n">
        <f aca="false">1/constmonths</f>
        <v>0.0277777777777778</v>
      </c>
      <c r="P9" s="594" t="n">
        <f aca="false">1/constmonths</f>
        <v>0.0277777777777778</v>
      </c>
      <c r="Q9" s="594" t="n">
        <f aca="false">1/constmonths</f>
        <v>0.0277777777777778</v>
      </c>
      <c r="R9" s="594" t="n">
        <f aca="false">1/constmonths</f>
        <v>0.0277777777777778</v>
      </c>
      <c r="S9" s="594" t="n">
        <f aca="false">1/constmonths</f>
        <v>0.0277777777777778</v>
      </c>
      <c r="T9" s="594" t="n">
        <f aca="false">1/constmonths</f>
        <v>0.0277777777777778</v>
      </c>
      <c r="U9" s="594" t="n">
        <f aca="false">1/constmonths</f>
        <v>0.0277777777777778</v>
      </c>
      <c r="V9" s="594" t="n">
        <f aca="false">1/constmonths</f>
        <v>0.0277777777777778</v>
      </c>
      <c r="W9" s="594" t="n">
        <f aca="false">1/constmonths</f>
        <v>0.0277777777777778</v>
      </c>
      <c r="X9" s="594" t="n">
        <f aca="false">1/constmonths</f>
        <v>0.0277777777777778</v>
      </c>
      <c r="Y9" s="594" t="n">
        <f aca="false">1/constmonths</f>
        <v>0.0277777777777778</v>
      </c>
      <c r="Z9" s="594" t="n">
        <f aca="false">1/constmonths</f>
        <v>0.0277777777777778</v>
      </c>
      <c r="AA9" s="594" t="n">
        <f aca="false">1/constmonths</f>
        <v>0.0277777777777778</v>
      </c>
      <c r="AB9" s="594" t="n">
        <f aca="false">1/constmonths</f>
        <v>0.0277777777777778</v>
      </c>
      <c r="AC9" s="594" t="n">
        <f aca="false">1/constmonths</f>
        <v>0.0277777777777778</v>
      </c>
      <c r="AD9" s="594" t="n">
        <f aca="false">1/constmonths</f>
        <v>0.0277777777777778</v>
      </c>
      <c r="AE9" s="594" t="n">
        <f aca="false">1/constmonths</f>
        <v>0.0277777777777778</v>
      </c>
      <c r="AF9" s="594" t="n">
        <f aca="false">1/constmonths</f>
        <v>0.0277777777777778</v>
      </c>
      <c r="AG9" s="594" t="n">
        <f aca="false">1/constmonths</f>
        <v>0.0277777777777778</v>
      </c>
      <c r="AH9" s="594" t="n">
        <f aca="false">1/constmonths</f>
        <v>0.0277777777777778</v>
      </c>
      <c r="AI9" s="594" t="n">
        <f aca="false">1/constmonths</f>
        <v>0.0277777777777778</v>
      </c>
      <c r="AJ9" s="594" t="n">
        <f aca="false">1/constmonths</f>
        <v>0.0277777777777778</v>
      </c>
      <c r="AK9" s="594" t="n">
        <f aca="false">1/constmonths</f>
        <v>0.0277777777777778</v>
      </c>
      <c r="AL9" s="594" t="n">
        <f aca="false">1/constmonths</f>
        <v>0.0277777777777778</v>
      </c>
      <c r="AM9" s="595" t="n">
        <f aca="false">SUM(C9:AL9)</f>
        <v>1</v>
      </c>
      <c r="AN9" s="148"/>
      <c r="AO9" s="20" t="n">
        <f aca="false">+AO8+1</f>
        <v>4</v>
      </c>
      <c r="AP9" s="148"/>
      <c r="AQ9" s="178"/>
      <c r="AR9" s="462"/>
      <c r="AS9" s="596"/>
      <c r="AT9" s="596"/>
      <c r="AU9" s="596"/>
      <c r="AV9" s="596"/>
      <c r="AW9" s="596"/>
      <c r="AX9" s="596"/>
      <c r="AY9" s="596"/>
      <c r="AZ9" s="596"/>
      <c r="BA9" s="596"/>
      <c r="BB9" s="462"/>
      <c r="BC9" s="462"/>
      <c r="BD9" s="462"/>
      <c r="BE9" s="462"/>
      <c r="BF9" s="462"/>
      <c r="BG9" s="462"/>
      <c r="BH9" s="462"/>
      <c r="BI9" s="462"/>
      <c r="BJ9" s="462"/>
      <c r="BK9" s="462"/>
      <c r="BL9" s="462"/>
      <c r="BM9" s="462"/>
      <c r="BN9" s="462"/>
      <c r="BO9" s="462"/>
      <c r="BP9" s="462"/>
      <c r="BQ9" s="462"/>
      <c r="BR9" s="462"/>
      <c r="BS9" s="462"/>
      <c r="BT9" s="462"/>
      <c r="BU9" s="462"/>
      <c r="BV9" s="462"/>
      <c r="BW9" s="462"/>
      <c r="BX9" s="462"/>
      <c r="BY9" s="462"/>
      <c r="BZ9" s="462"/>
      <c r="CA9" s="462"/>
      <c r="CB9" s="462"/>
      <c r="CC9" s="462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344"/>
      <c r="CQ9" s="344"/>
      <c r="CR9" s="344"/>
      <c r="CS9" s="344"/>
      <c r="CT9" s="344"/>
      <c r="CU9" s="344"/>
      <c r="CV9" s="344"/>
      <c r="CW9" s="344"/>
      <c r="CX9" s="344"/>
      <c r="CY9" s="344"/>
      <c r="CZ9" s="344"/>
      <c r="DA9" s="344"/>
      <c r="DB9" s="344"/>
      <c r="DC9" s="344"/>
      <c r="DD9" s="344"/>
      <c r="DE9" s="344"/>
      <c r="DF9" s="344"/>
      <c r="DG9" s="344"/>
      <c r="DH9" s="344"/>
      <c r="DI9" s="344"/>
      <c r="DJ9" s="344"/>
      <c r="DK9" s="344"/>
      <c r="DL9" s="344"/>
      <c r="DM9" s="344"/>
      <c r="DN9" s="344"/>
      <c r="DO9" s="344"/>
      <c r="DP9" s="344"/>
      <c r="DQ9" s="344"/>
      <c r="DR9" s="344"/>
      <c r="DS9" s="344"/>
      <c r="DT9" s="344"/>
      <c r="DU9" s="344"/>
      <c r="DV9" s="344"/>
      <c r="DW9" s="344"/>
      <c r="DX9" s="344"/>
      <c r="DY9" s="344"/>
      <c r="DZ9" s="344"/>
      <c r="EA9" s="344"/>
      <c r="EB9" s="344"/>
      <c r="EC9" s="344"/>
      <c r="ED9" s="344"/>
      <c r="EE9" s="344"/>
      <c r="EF9" s="344"/>
      <c r="EG9" s="344"/>
      <c r="EH9" s="344"/>
      <c r="EI9" s="344"/>
      <c r="EJ9" s="344"/>
      <c r="EK9" s="344"/>
      <c r="EL9" s="344"/>
      <c r="EM9" s="344"/>
      <c r="EN9" s="344"/>
      <c r="EO9" s="344"/>
      <c r="EP9" s="344"/>
      <c r="EQ9" s="344"/>
      <c r="ER9" s="344"/>
      <c r="ES9" s="344"/>
      <c r="ET9" s="344"/>
      <c r="EU9" s="344"/>
      <c r="EV9" s="344"/>
      <c r="EW9" s="344"/>
      <c r="EX9" s="344"/>
      <c r="EY9" s="344"/>
      <c r="EZ9" s="344"/>
      <c r="FA9" s="344"/>
      <c r="FB9" s="344"/>
      <c r="FC9" s="344"/>
      <c r="FD9" s="344"/>
      <c r="FE9" s="344"/>
      <c r="FF9" s="344"/>
      <c r="FG9" s="344"/>
      <c r="FH9" s="344"/>
      <c r="FI9" s="344"/>
      <c r="FJ9" s="344"/>
      <c r="FK9" s="344"/>
      <c r="FL9" s="344"/>
      <c r="FM9" s="344"/>
      <c r="FN9" s="344"/>
      <c r="FO9" s="344"/>
      <c r="FP9" s="344"/>
      <c r="FQ9" s="344"/>
      <c r="FR9" s="344"/>
      <c r="FS9" s="344"/>
      <c r="FT9" s="344"/>
      <c r="FU9" s="344"/>
      <c r="FV9" s="344"/>
      <c r="FW9" s="344"/>
      <c r="FX9" s="344"/>
      <c r="FY9" s="344"/>
      <c r="FZ9" s="344"/>
      <c r="GA9" s="344"/>
      <c r="GB9" s="344"/>
      <c r="GC9" s="344"/>
      <c r="GD9" s="344"/>
      <c r="GE9" s="344"/>
      <c r="GF9" s="344"/>
      <c r="GG9" s="344"/>
      <c r="GH9" s="344"/>
      <c r="GI9" s="344"/>
      <c r="GJ9" s="344"/>
      <c r="GK9" s="344"/>
      <c r="GL9" s="344"/>
      <c r="GM9" s="344"/>
      <c r="GN9" s="344"/>
      <c r="GO9" s="344"/>
      <c r="GP9" s="344"/>
      <c r="GQ9" s="344"/>
      <c r="GR9" s="344"/>
      <c r="GS9" s="344"/>
      <c r="GT9" s="344"/>
      <c r="GU9" s="344"/>
      <c r="GV9" s="344"/>
      <c r="GW9" s="344"/>
      <c r="GX9" s="344"/>
      <c r="GY9" s="344"/>
      <c r="GZ9" s="344"/>
      <c r="HA9" s="344"/>
      <c r="HB9" s="344"/>
      <c r="HC9" s="344"/>
      <c r="HD9" s="344"/>
      <c r="HE9" s="344"/>
      <c r="HF9" s="344"/>
      <c r="HG9" s="344"/>
      <c r="HH9" s="344"/>
      <c r="HI9" s="344"/>
      <c r="HJ9" s="344"/>
      <c r="HK9" s="344"/>
      <c r="HL9" s="344"/>
      <c r="HM9" s="344"/>
      <c r="HN9" s="344"/>
      <c r="HO9" s="344"/>
      <c r="HP9" s="344"/>
      <c r="HQ9" s="344"/>
      <c r="HR9" s="344"/>
      <c r="HS9" s="344"/>
      <c r="HT9" s="344"/>
      <c r="HU9" s="344"/>
      <c r="HV9" s="344"/>
      <c r="HW9" s="344"/>
      <c r="HX9" s="344"/>
      <c r="HY9" s="344"/>
      <c r="HZ9" s="344"/>
      <c r="IA9" s="344"/>
      <c r="IB9" s="344"/>
      <c r="IC9" s="344"/>
      <c r="ID9" s="344"/>
      <c r="IE9" s="344"/>
      <c r="IF9" s="344"/>
      <c r="IG9" s="344"/>
      <c r="IH9" s="344"/>
      <c r="II9" s="344"/>
      <c r="IJ9" s="344"/>
      <c r="IK9" s="344"/>
      <c r="IL9" s="344"/>
      <c r="IM9" s="344"/>
      <c r="IN9" s="344"/>
      <c r="IO9" s="344"/>
      <c r="IP9" s="344"/>
      <c r="IQ9" s="344"/>
      <c r="IR9" s="344"/>
      <c r="IS9" s="344"/>
      <c r="IT9" s="344"/>
      <c r="IU9" s="344"/>
      <c r="IV9" s="344"/>
      <c r="IW9" s="344"/>
    </row>
    <row r="10" customFormat="false" ht="12.75" hidden="false" customHeight="false" outlineLevel="0" collapsed="false">
      <c r="A10" s="372" t="s">
        <v>232</v>
      </c>
      <c r="B10" s="14"/>
      <c r="C10" s="492" t="n">
        <f aca="false">+SUM($C$8:C$9)/SUM($AM$8:$AM$9)</f>
        <v>0.0277777777777778</v>
      </c>
      <c r="D10" s="492" t="n">
        <f aca="false">+SUM($C$8:D$9)/SUM($AM$8:$AM$9)</f>
        <v>0.0555555555555556</v>
      </c>
      <c r="E10" s="492" t="n">
        <f aca="false">+SUM($C$8:E$9)/SUM($AM$8:$AM$9)</f>
        <v>0.0833333333333333</v>
      </c>
      <c r="F10" s="492" t="n">
        <f aca="false">+SUM($C$8:F$9)/SUM($AM$8:$AM$9)</f>
        <v>0.111111111111111</v>
      </c>
      <c r="G10" s="492" t="n">
        <f aca="false">+SUM($C$8:G$9)/SUM($AM$8:$AM$9)</f>
        <v>0.138888888888889</v>
      </c>
      <c r="H10" s="492" t="n">
        <f aca="false">+SUM($C$8:H$9)/SUM($AM$8:$AM$9)</f>
        <v>0.166666666666667</v>
      </c>
      <c r="I10" s="492" t="n">
        <f aca="false">+SUM($C$8:I$9)/SUM($AM$8:$AM$9)</f>
        <v>0.194444444444444</v>
      </c>
      <c r="J10" s="492" t="n">
        <f aca="false">+SUM($C$8:J$9)/SUM($AM$8:$AM$9)</f>
        <v>0.222222222222222</v>
      </c>
      <c r="K10" s="492" t="n">
        <f aca="false">+SUM($C$8:K$9)/SUM($AM$8:$AM$9)</f>
        <v>0.25</v>
      </c>
      <c r="L10" s="492" t="n">
        <f aca="false">+SUM($C$8:L$9)/SUM($AM$8:$AM$9)</f>
        <v>0.277777777777778</v>
      </c>
      <c r="M10" s="492" t="n">
        <f aca="false">+SUM($C$8:M$9)/SUM($AM$8:$AM$9)</f>
        <v>0.305555555555556</v>
      </c>
      <c r="N10" s="492" t="n">
        <f aca="false">+SUM($C$8:N$9)/SUM($AM$8:$AM$9)</f>
        <v>0.333333333333333</v>
      </c>
      <c r="O10" s="492" t="n">
        <f aca="false">+SUM($C$8:O$9)/SUM($AM$8:$AM$9)</f>
        <v>0.361111111111111</v>
      </c>
      <c r="P10" s="492" t="n">
        <f aca="false">+SUM($C$8:P$9)/SUM($AM$8:$AM$9)</f>
        <v>0.388888888888889</v>
      </c>
      <c r="Q10" s="492" t="n">
        <f aca="false">+SUM($C$8:Q$9)/SUM($AM$8:$AM$9)</f>
        <v>0.416666666666667</v>
      </c>
      <c r="R10" s="492" t="n">
        <f aca="false">+SUM($C$8:R$9)/SUM($AM$8:$AM$9)</f>
        <v>0.444444444444444</v>
      </c>
      <c r="S10" s="492" t="n">
        <f aca="false">+SUM($C$8:S$9)/SUM($AM$8:$AM$9)</f>
        <v>0.472222222222222</v>
      </c>
      <c r="T10" s="492" t="n">
        <f aca="false">+SUM($C$8:T$9)/SUM($AM$8:$AM$9)</f>
        <v>0.5</v>
      </c>
      <c r="U10" s="492" t="n">
        <f aca="false">+SUM($C$8:U$9)/SUM($AM$8:$AM$9)</f>
        <v>0.527777777777778</v>
      </c>
      <c r="V10" s="492" t="n">
        <f aca="false">+SUM($C$8:V$9)/SUM($AM$8:$AM$9)</f>
        <v>0.555555555555556</v>
      </c>
      <c r="W10" s="492" t="n">
        <f aca="false">+SUM($C$8:W$9)/SUM($AM$8:$AM$9)</f>
        <v>0.583333333333333</v>
      </c>
      <c r="X10" s="492" t="n">
        <f aca="false">+SUM($C$8:X$9)/SUM($AM$8:$AM$9)</f>
        <v>0.611111111111111</v>
      </c>
      <c r="Y10" s="492" t="n">
        <f aca="false">+SUM($C$8:Y$9)/SUM($AM$8:$AM$9)</f>
        <v>0.638888888888889</v>
      </c>
      <c r="Z10" s="492" t="n">
        <f aca="false">+SUM($C$8:Z$9)/SUM($AM$8:$AM$9)</f>
        <v>0.666666666666667</v>
      </c>
      <c r="AA10" s="492" t="n">
        <f aca="false">+SUM($C$8:AA$9)/SUM($AM$8:$AM$9)</f>
        <v>0.694444444444444</v>
      </c>
      <c r="AB10" s="492" t="n">
        <f aca="false">+SUM($C$8:AB$9)/SUM($AM$8:$AM$9)</f>
        <v>0.722222222222222</v>
      </c>
      <c r="AC10" s="492" t="n">
        <f aca="false">+SUM($C$8:AC$9)/SUM($AM$8:$AM$9)</f>
        <v>0.75</v>
      </c>
      <c r="AD10" s="492" t="n">
        <f aca="false">+SUM($C$8:AD$9)/SUM($AM$8:$AM$9)</f>
        <v>0.777777777777778</v>
      </c>
      <c r="AE10" s="492" t="n">
        <f aca="false">+SUM($C$8:AE$9)/SUM($AM$8:$AM$9)</f>
        <v>0.805555555555556</v>
      </c>
      <c r="AF10" s="492" t="n">
        <f aca="false">+SUM($C$8:AF$9)/SUM($AM$8:$AM$9)</f>
        <v>0.833333333333333</v>
      </c>
      <c r="AG10" s="492" t="n">
        <f aca="false">+SUM($C$8:AG$9)/SUM($AM$8:$AM$9)</f>
        <v>0.861111111111111</v>
      </c>
      <c r="AH10" s="492" t="n">
        <f aca="false">+SUM($C$8:AH$9)/SUM($AM$8:$AM$9)</f>
        <v>0.888888888888889</v>
      </c>
      <c r="AI10" s="492" t="n">
        <f aca="false">+SUM($C$8:AI$9)/SUM($AM$8:$AM$9)</f>
        <v>0.916666666666667</v>
      </c>
      <c r="AJ10" s="492" t="n">
        <f aca="false">+SUM($C$8:AJ$9)/SUM($AM$8:$AM$9)</f>
        <v>0.944444444444444</v>
      </c>
      <c r="AK10" s="492" t="n">
        <f aca="false">+SUM($C$8:AK$9)/SUM($AM$8:$AM$9)</f>
        <v>0.972222222222222</v>
      </c>
      <c r="AL10" s="492" t="n">
        <f aca="false">+SUM($C$8:AL$9)/SUM($AM$8:$AM$9)</f>
        <v>1</v>
      </c>
      <c r="AM10" s="389"/>
      <c r="AN10" s="14"/>
      <c r="AO10" s="20" t="n">
        <f aca="false">+AO9+1</f>
        <v>5</v>
      </c>
      <c r="AP10" s="14"/>
      <c r="AQ10" s="597"/>
      <c r="AR10" s="122"/>
      <c r="AS10" s="598"/>
      <c r="AT10" s="598"/>
      <c r="AU10" s="598"/>
      <c r="AV10" s="598"/>
      <c r="AW10" s="598"/>
      <c r="AX10" s="598"/>
      <c r="AY10" s="598"/>
      <c r="AZ10" s="598"/>
      <c r="BA10" s="598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</row>
    <row r="11" customFormat="false" ht="12.75" hidden="false" customHeight="false" outlineLevel="0" collapsed="false">
      <c r="A11" s="37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389"/>
      <c r="AN11" s="14"/>
      <c r="AO11" s="20" t="n">
        <f aca="false">+AO10+1</f>
        <v>6</v>
      </c>
      <c r="AP11" s="14"/>
      <c r="AQ11" s="14"/>
      <c r="AR11" s="49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</row>
    <row r="12" customFormat="false" ht="12.75" hidden="false" customHeight="false" outlineLevel="0" collapsed="false">
      <c r="A12" s="366" t="s">
        <v>233</v>
      </c>
      <c r="B12" s="14"/>
      <c r="C12" s="107" t="n">
        <f aca="false">+C8*$J$2</f>
        <v>3834.45625</v>
      </c>
      <c r="D12" s="107" t="n">
        <f aca="false">+D8*$J$2</f>
        <v>3834.45625</v>
      </c>
      <c r="E12" s="107" t="n">
        <f aca="false">+E8*$J$2</f>
        <v>3834.45625</v>
      </c>
      <c r="F12" s="107" t="n">
        <f aca="false">+F8*$J$2</f>
        <v>3834.45625</v>
      </c>
      <c r="G12" s="107" t="n">
        <f aca="false">+G8*$J$2</f>
        <v>3834.45625</v>
      </c>
      <c r="H12" s="107" t="n">
        <f aca="false">+H8*$J$2</f>
        <v>3834.45625</v>
      </c>
      <c r="I12" s="107" t="n">
        <f aca="false">+I8*$J$2</f>
        <v>3834.45625</v>
      </c>
      <c r="J12" s="107" t="n">
        <f aca="false">+J8*$J$2</f>
        <v>3834.45625</v>
      </c>
      <c r="K12" s="107" t="n">
        <f aca="false">+K8*$J$2</f>
        <v>3834.45625</v>
      </c>
      <c r="L12" s="107" t="n">
        <f aca="false">+L8*$J$2</f>
        <v>3834.45625</v>
      </c>
      <c r="M12" s="107" t="n">
        <f aca="false">+M8*$J$2</f>
        <v>3834.45625</v>
      </c>
      <c r="N12" s="107" t="n">
        <f aca="false">+N8*$J$2</f>
        <v>3834.45625</v>
      </c>
      <c r="O12" s="107" t="n">
        <f aca="false">+O8*$J$2</f>
        <v>3834.45625</v>
      </c>
      <c r="P12" s="107" t="n">
        <f aca="false">+P8*$J$2</f>
        <v>3834.45625</v>
      </c>
      <c r="Q12" s="107" t="n">
        <f aca="false">+Q8*$J$2</f>
        <v>3834.45625</v>
      </c>
      <c r="R12" s="107" t="n">
        <f aca="false">+R8*$J$2</f>
        <v>3834.45625</v>
      </c>
      <c r="S12" s="107" t="n">
        <f aca="false">+S8*$J$2</f>
        <v>3834.45625</v>
      </c>
      <c r="T12" s="107" t="n">
        <f aca="false">+T8*$J$2</f>
        <v>3834.45625</v>
      </c>
      <c r="U12" s="107" t="n">
        <f aca="false">+U8*$J$2</f>
        <v>3834.45625</v>
      </c>
      <c r="V12" s="107" t="n">
        <f aca="false">+V8*$J$2</f>
        <v>3834.45625</v>
      </c>
      <c r="W12" s="107" t="n">
        <f aca="false">+W8*$J$2</f>
        <v>3834.45625</v>
      </c>
      <c r="X12" s="107" t="n">
        <f aca="false">+X8*$J$2</f>
        <v>3834.45625</v>
      </c>
      <c r="Y12" s="107" t="n">
        <f aca="false">+Y8*$J$2</f>
        <v>3834.45625</v>
      </c>
      <c r="Z12" s="107" t="n">
        <f aca="false">+Z8*$J$2</f>
        <v>3834.45625</v>
      </c>
      <c r="AA12" s="107" t="n">
        <f aca="false">+AA8*$J$2</f>
        <v>3834.45625</v>
      </c>
      <c r="AB12" s="107" t="n">
        <f aca="false">+AB8*$J$2</f>
        <v>3834.45625</v>
      </c>
      <c r="AC12" s="107" t="n">
        <f aca="false">+AC8*$J$2</f>
        <v>3834.45625</v>
      </c>
      <c r="AD12" s="107" t="n">
        <f aca="false">+AD8*$J$2</f>
        <v>3834.45625</v>
      </c>
      <c r="AE12" s="107" t="n">
        <f aca="false">+AE8*$J$2</f>
        <v>3834.45625</v>
      </c>
      <c r="AF12" s="107" t="n">
        <f aca="false">+AF8*$J$2</f>
        <v>3834.45625</v>
      </c>
      <c r="AG12" s="107" t="n">
        <f aca="false">+AG8*$J$2</f>
        <v>3834.45625</v>
      </c>
      <c r="AH12" s="107" t="n">
        <f aca="false">+AH8*$J$2</f>
        <v>3834.45625</v>
      </c>
      <c r="AI12" s="107" t="n">
        <f aca="false">+AI8*$J$2</f>
        <v>3834.45625</v>
      </c>
      <c r="AJ12" s="107" t="n">
        <f aca="false">+AJ8*$J$2</f>
        <v>3834.45625</v>
      </c>
      <c r="AK12" s="107" t="n">
        <f aca="false">+AK8*$J$2</f>
        <v>3834.45625</v>
      </c>
      <c r="AL12" s="107" t="n">
        <f aca="false">+AL8*$J$2</f>
        <v>3834.45625</v>
      </c>
      <c r="AM12" s="479" t="n">
        <f aca="false">SUM(C12:AL12)</f>
        <v>138040.425</v>
      </c>
      <c r="AN12" s="14"/>
      <c r="AO12" s="20" t="n">
        <f aca="false">+AO11+1</f>
        <v>7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</row>
    <row r="13" customFormat="false" ht="12.75" hidden="false" customHeight="false" outlineLevel="0" collapsed="false">
      <c r="A13" s="367" t="s">
        <v>234</v>
      </c>
      <c r="B13" s="148"/>
      <c r="C13" s="131" t="n">
        <f aca="false">+C9*$J$3</f>
        <v>380.356463353248</v>
      </c>
      <c r="D13" s="131" t="n">
        <f aca="false">+D9*$J$3</f>
        <v>380.356463353248</v>
      </c>
      <c r="E13" s="131" t="n">
        <f aca="false">+E9*$J$3</f>
        <v>380.356463353248</v>
      </c>
      <c r="F13" s="131" t="n">
        <f aca="false">+F9*$J$3</f>
        <v>380.356463353248</v>
      </c>
      <c r="G13" s="131" t="n">
        <f aca="false">+G9*$J$3</f>
        <v>380.356463353248</v>
      </c>
      <c r="H13" s="131" t="n">
        <f aca="false">+H9*$J$3</f>
        <v>380.356463353248</v>
      </c>
      <c r="I13" s="131" t="n">
        <f aca="false">+I9*$J$3</f>
        <v>380.356463353248</v>
      </c>
      <c r="J13" s="131" t="n">
        <f aca="false">+J9*$J$3</f>
        <v>380.356463353248</v>
      </c>
      <c r="K13" s="131" t="n">
        <f aca="false">+K9*$J$3</f>
        <v>380.356463353248</v>
      </c>
      <c r="L13" s="131" t="n">
        <f aca="false">+L9*$J$3</f>
        <v>380.356463353248</v>
      </c>
      <c r="M13" s="131" t="n">
        <f aca="false">+M9*$J$3</f>
        <v>380.356463353248</v>
      </c>
      <c r="N13" s="131" t="n">
        <f aca="false">+N9*$J$3</f>
        <v>380.356463353248</v>
      </c>
      <c r="O13" s="131" t="n">
        <f aca="false">+O9*$J$3</f>
        <v>380.356463353248</v>
      </c>
      <c r="P13" s="131" t="n">
        <f aca="false">+P9*$J$3</f>
        <v>380.356463353248</v>
      </c>
      <c r="Q13" s="131" t="n">
        <f aca="false">+Q9*$J$3</f>
        <v>380.356463353248</v>
      </c>
      <c r="R13" s="131" t="n">
        <f aca="false">+R9*$J$3</f>
        <v>380.356463353248</v>
      </c>
      <c r="S13" s="131" t="n">
        <f aca="false">+S9*$J$3</f>
        <v>380.356463353248</v>
      </c>
      <c r="T13" s="131" t="n">
        <f aca="false">+T9*$J$3</f>
        <v>380.356463353248</v>
      </c>
      <c r="U13" s="131" t="n">
        <f aca="false">+U9*$J$3</f>
        <v>380.356463353248</v>
      </c>
      <c r="V13" s="131" t="n">
        <f aca="false">+V9*$J$3</f>
        <v>380.356463353248</v>
      </c>
      <c r="W13" s="131" t="n">
        <f aca="false">+W9*$J$3</f>
        <v>380.356463353248</v>
      </c>
      <c r="X13" s="131" t="n">
        <f aca="false">+X9*$J$3</f>
        <v>380.356463353248</v>
      </c>
      <c r="Y13" s="131" t="n">
        <f aca="false">+Y9*$J$3</f>
        <v>380.356463353248</v>
      </c>
      <c r="Z13" s="131" t="n">
        <f aca="false">+Z9*$J$3</f>
        <v>380.356463353248</v>
      </c>
      <c r="AA13" s="131" t="n">
        <f aca="false">+AA9*$J$3</f>
        <v>380.356463353248</v>
      </c>
      <c r="AB13" s="131" t="n">
        <f aca="false">+AB9*$J$3</f>
        <v>380.356463353248</v>
      </c>
      <c r="AC13" s="131" t="n">
        <f aca="false">+AC9*$J$3</f>
        <v>380.356463353248</v>
      </c>
      <c r="AD13" s="131" t="n">
        <f aca="false">+AD9*$J$3</f>
        <v>380.356463353248</v>
      </c>
      <c r="AE13" s="131" t="n">
        <f aca="false">+AE9*$J$3</f>
        <v>380.356463353248</v>
      </c>
      <c r="AF13" s="131" t="n">
        <f aca="false">+AF9*$J$3</f>
        <v>380.356463353248</v>
      </c>
      <c r="AG13" s="131" t="n">
        <f aca="false">+AG9*$J$3</f>
        <v>380.356463353248</v>
      </c>
      <c r="AH13" s="131" t="n">
        <f aca="false">+AH9*$J$3</f>
        <v>380.356463353248</v>
      </c>
      <c r="AI13" s="131" t="n">
        <f aca="false">+AI9*$J$3</f>
        <v>380.356463353248</v>
      </c>
      <c r="AJ13" s="131" t="n">
        <f aca="false">+AJ9*$J$3</f>
        <v>380.356463353248</v>
      </c>
      <c r="AK13" s="131" t="n">
        <f aca="false">+AK9*$J$3</f>
        <v>380.356463353248</v>
      </c>
      <c r="AL13" s="131" t="n">
        <f aca="false">+AL9*$J$3</f>
        <v>380.356463353248</v>
      </c>
      <c r="AM13" s="599" t="n">
        <f aca="false">SUM(C13:AL13)</f>
        <v>13692.8326807169</v>
      </c>
      <c r="AN13" s="148"/>
      <c r="AO13" s="20" t="n">
        <f aca="false">+AO12+1</f>
        <v>8</v>
      </c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344"/>
      <c r="CQ13" s="344"/>
      <c r="CR13" s="344"/>
      <c r="CS13" s="344"/>
      <c r="CT13" s="344"/>
      <c r="CU13" s="344"/>
      <c r="CV13" s="344"/>
      <c r="CW13" s="344"/>
      <c r="CX13" s="344"/>
      <c r="CY13" s="344"/>
      <c r="CZ13" s="344"/>
      <c r="DA13" s="344"/>
      <c r="DB13" s="344"/>
      <c r="DC13" s="344"/>
      <c r="DD13" s="344"/>
      <c r="DE13" s="344"/>
      <c r="DF13" s="344"/>
      <c r="DG13" s="344"/>
      <c r="DH13" s="344"/>
      <c r="DI13" s="344"/>
      <c r="DJ13" s="344"/>
      <c r="DK13" s="344"/>
      <c r="DL13" s="344"/>
      <c r="DM13" s="344"/>
      <c r="DN13" s="344"/>
      <c r="DO13" s="344"/>
      <c r="DP13" s="344"/>
      <c r="DQ13" s="344"/>
      <c r="DR13" s="344"/>
      <c r="DS13" s="344"/>
      <c r="DT13" s="344"/>
      <c r="DU13" s="344"/>
      <c r="DV13" s="344"/>
      <c r="DW13" s="344"/>
      <c r="DX13" s="344"/>
      <c r="DY13" s="344"/>
      <c r="DZ13" s="344"/>
      <c r="EA13" s="344"/>
      <c r="EB13" s="344"/>
      <c r="EC13" s="344"/>
      <c r="ED13" s="344"/>
      <c r="EE13" s="344"/>
      <c r="EF13" s="344"/>
      <c r="EG13" s="344"/>
      <c r="EH13" s="344"/>
      <c r="EI13" s="344"/>
      <c r="EJ13" s="344"/>
      <c r="EK13" s="344"/>
      <c r="EL13" s="344"/>
      <c r="EM13" s="344"/>
      <c r="EN13" s="344"/>
      <c r="EO13" s="344"/>
      <c r="EP13" s="344"/>
      <c r="EQ13" s="344"/>
      <c r="ER13" s="344"/>
      <c r="ES13" s="344"/>
      <c r="ET13" s="344"/>
      <c r="EU13" s="344"/>
      <c r="EV13" s="344"/>
      <c r="EW13" s="344"/>
      <c r="EX13" s="344"/>
      <c r="EY13" s="344"/>
      <c r="EZ13" s="344"/>
      <c r="FA13" s="344"/>
      <c r="FB13" s="344"/>
      <c r="FC13" s="344"/>
      <c r="FD13" s="344"/>
      <c r="FE13" s="344"/>
      <c r="FF13" s="344"/>
      <c r="FG13" s="344"/>
      <c r="FH13" s="344"/>
      <c r="FI13" s="344"/>
      <c r="FJ13" s="344"/>
      <c r="FK13" s="344"/>
      <c r="FL13" s="344"/>
      <c r="FM13" s="344"/>
      <c r="FN13" s="344"/>
      <c r="FO13" s="344"/>
      <c r="FP13" s="344"/>
      <c r="FQ13" s="344"/>
      <c r="FR13" s="344"/>
      <c r="FS13" s="344"/>
      <c r="FT13" s="344"/>
      <c r="FU13" s="344"/>
      <c r="FV13" s="344"/>
      <c r="FW13" s="344"/>
      <c r="FX13" s="344"/>
      <c r="FY13" s="344"/>
      <c r="FZ13" s="344"/>
      <c r="GA13" s="344"/>
      <c r="GB13" s="344"/>
      <c r="GC13" s="344"/>
      <c r="GD13" s="344"/>
      <c r="GE13" s="344"/>
      <c r="GF13" s="344"/>
      <c r="GG13" s="344"/>
      <c r="GH13" s="344"/>
      <c r="GI13" s="344"/>
      <c r="GJ13" s="344"/>
      <c r="GK13" s="344"/>
      <c r="GL13" s="344"/>
      <c r="GM13" s="344"/>
      <c r="GN13" s="344"/>
      <c r="GO13" s="344"/>
      <c r="GP13" s="344"/>
      <c r="GQ13" s="344"/>
      <c r="GR13" s="344"/>
      <c r="GS13" s="344"/>
      <c r="GT13" s="344"/>
      <c r="GU13" s="344"/>
      <c r="GV13" s="344"/>
      <c r="GW13" s="344"/>
      <c r="GX13" s="344"/>
      <c r="GY13" s="344"/>
      <c r="GZ13" s="344"/>
      <c r="HA13" s="344"/>
      <c r="HB13" s="344"/>
      <c r="HC13" s="344"/>
      <c r="HD13" s="344"/>
      <c r="HE13" s="344"/>
      <c r="HF13" s="344"/>
      <c r="HG13" s="344"/>
      <c r="HH13" s="344"/>
      <c r="HI13" s="344"/>
      <c r="HJ13" s="344"/>
      <c r="HK13" s="344"/>
      <c r="HL13" s="344"/>
      <c r="HM13" s="344"/>
      <c r="HN13" s="344"/>
      <c r="HO13" s="344"/>
      <c r="HP13" s="344"/>
      <c r="HQ13" s="344"/>
      <c r="HR13" s="344"/>
      <c r="HS13" s="344"/>
      <c r="HT13" s="344"/>
      <c r="HU13" s="344"/>
      <c r="HV13" s="344"/>
      <c r="HW13" s="344"/>
      <c r="HX13" s="344"/>
      <c r="HY13" s="344"/>
      <c r="HZ13" s="344"/>
      <c r="IA13" s="344"/>
      <c r="IB13" s="344"/>
      <c r="IC13" s="344"/>
      <c r="ID13" s="344"/>
      <c r="IE13" s="344"/>
      <c r="IF13" s="344"/>
      <c r="IG13" s="344"/>
      <c r="IH13" s="344"/>
      <c r="II13" s="344"/>
      <c r="IJ13" s="344"/>
      <c r="IK13" s="344"/>
      <c r="IL13" s="344"/>
      <c r="IM13" s="344"/>
      <c r="IN13" s="344"/>
      <c r="IO13" s="344"/>
      <c r="IP13" s="344"/>
      <c r="IQ13" s="344"/>
      <c r="IR13" s="344"/>
      <c r="IS13" s="344"/>
      <c r="IT13" s="344"/>
      <c r="IU13" s="344"/>
      <c r="IV13" s="344"/>
      <c r="IW13" s="344"/>
    </row>
    <row r="14" customFormat="false" ht="12.75" hidden="false" customHeight="false" outlineLevel="0" collapsed="false">
      <c r="A14" s="366" t="s">
        <v>235</v>
      </c>
      <c r="B14" s="14"/>
      <c r="C14" s="398" t="n">
        <f aca="false">SUM(C12:C13)</f>
        <v>4214.81271335325</v>
      </c>
      <c r="D14" s="398" t="n">
        <f aca="false">SUM(D12:D13)</f>
        <v>4214.81271335325</v>
      </c>
      <c r="E14" s="398" t="n">
        <f aca="false">SUM(E12:E13)</f>
        <v>4214.81271335325</v>
      </c>
      <c r="F14" s="398" t="n">
        <f aca="false">SUM(F12:F13)</f>
        <v>4214.81271335325</v>
      </c>
      <c r="G14" s="398" t="n">
        <f aca="false">SUM(G12:G13)</f>
        <v>4214.81271335325</v>
      </c>
      <c r="H14" s="398" t="n">
        <f aca="false">SUM(H12:H13)</f>
        <v>4214.81271335325</v>
      </c>
      <c r="I14" s="398" t="n">
        <f aca="false">SUM(I12:I13)</f>
        <v>4214.81271335325</v>
      </c>
      <c r="J14" s="398" t="n">
        <f aca="false">SUM(J12:J13)</f>
        <v>4214.81271335325</v>
      </c>
      <c r="K14" s="398" t="n">
        <f aca="false">SUM(K12:K13)</f>
        <v>4214.81271335325</v>
      </c>
      <c r="L14" s="398" t="n">
        <f aca="false">SUM(L12:L13)</f>
        <v>4214.81271335325</v>
      </c>
      <c r="M14" s="398" t="n">
        <f aca="false">SUM(M12:M13)</f>
        <v>4214.81271335325</v>
      </c>
      <c r="N14" s="398" t="n">
        <f aca="false">SUM(N12:N13)</f>
        <v>4214.81271335325</v>
      </c>
      <c r="O14" s="398" t="n">
        <f aca="false">SUM(O12:O13)</f>
        <v>4214.81271335325</v>
      </c>
      <c r="P14" s="398" t="n">
        <f aca="false">SUM(P12:P13)</f>
        <v>4214.81271335325</v>
      </c>
      <c r="Q14" s="398" t="n">
        <f aca="false">SUM(Q12:Q13)</f>
        <v>4214.81271335325</v>
      </c>
      <c r="R14" s="398" t="n">
        <f aca="false">SUM(R12:R13)</f>
        <v>4214.81271335325</v>
      </c>
      <c r="S14" s="398" t="n">
        <f aca="false">SUM(S12:S13)</f>
        <v>4214.81271335325</v>
      </c>
      <c r="T14" s="398" t="n">
        <f aca="false">SUM(T12:T13)</f>
        <v>4214.81271335325</v>
      </c>
      <c r="U14" s="398" t="n">
        <f aca="false">SUM(U12:U13)</f>
        <v>4214.81271335325</v>
      </c>
      <c r="V14" s="398" t="n">
        <f aca="false">SUM(V12:V13)</f>
        <v>4214.81271335325</v>
      </c>
      <c r="W14" s="398" t="n">
        <f aca="false">SUM(W12:W13)</f>
        <v>4214.81271335325</v>
      </c>
      <c r="X14" s="398" t="n">
        <f aca="false">SUM(X12:X13)</f>
        <v>4214.81271335325</v>
      </c>
      <c r="Y14" s="398" t="n">
        <f aca="false">SUM(Y12:Y13)</f>
        <v>4214.81271335325</v>
      </c>
      <c r="Z14" s="398" t="n">
        <f aca="false">SUM(Z12:Z13)</f>
        <v>4214.81271335325</v>
      </c>
      <c r="AA14" s="398" t="n">
        <f aca="false">SUM(AA12:AA13)</f>
        <v>4214.81271335325</v>
      </c>
      <c r="AB14" s="398" t="n">
        <f aca="false">SUM(AB12:AB13)</f>
        <v>4214.81271335325</v>
      </c>
      <c r="AC14" s="398" t="n">
        <f aca="false">SUM(AC12:AC13)</f>
        <v>4214.81271335325</v>
      </c>
      <c r="AD14" s="398" t="n">
        <f aca="false">SUM(AD12:AD13)</f>
        <v>4214.81271335325</v>
      </c>
      <c r="AE14" s="398" t="n">
        <f aca="false">SUM(AE12:AE13)</f>
        <v>4214.81271335325</v>
      </c>
      <c r="AF14" s="398" t="n">
        <f aca="false">SUM(AF12:AF13)</f>
        <v>4214.81271335325</v>
      </c>
      <c r="AG14" s="398" t="n">
        <f aca="false">SUM(AG12:AG13)</f>
        <v>4214.81271335325</v>
      </c>
      <c r="AH14" s="398" t="n">
        <f aca="false">SUM(AH12:AH13)</f>
        <v>4214.81271335325</v>
      </c>
      <c r="AI14" s="398" t="n">
        <f aca="false">SUM(AI12:AI13)</f>
        <v>4214.81271335325</v>
      </c>
      <c r="AJ14" s="398" t="n">
        <f aca="false">SUM(AJ12:AJ13)</f>
        <v>4214.81271335325</v>
      </c>
      <c r="AK14" s="398" t="n">
        <f aca="false">SUM(AK12:AK13)</f>
        <v>4214.81271335325</v>
      </c>
      <c r="AL14" s="398" t="n">
        <f aca="false">SUM(AL12:AL13)</f>
        <v>4214.81271335325</v>
      </c>
      <c r="AM14" s="479" t="n">
        <f aca="false">+SUM(AM12:AM13)</f>
        <v>151733.257680717</v>
      </c>
      <c r="AN14" s="398" t="n">
        <f aca="false">+AM14+AM43</f>
        <v>170048.82225813</v>
      </c>
      <c r="AO14" s="20" t="n">
        <f aca="false">+AO13+1</f>
        <v>9</v>
      </c>
      <c r="AP14" s="600"/>
      <c r="AQ14" s="14"/>
      <c r="AR14" s="14"/>
      <c r="AS14" s="107"/>
      <c r="AT14" s="398"/>
      <c r="AU14" s="398"/>
      <c r="AV14" s="398"/>
      <c r="AW14" s="398"/>
      <c r="AX14" s="398"/>
      <c r="AY14" s="398"/>
      <c r="AZ14" s="398"/>
      <c r="BA14" s="398"/>
      <c r="BB14" s="398"/>
      <c r="BC14" s="398"/>
      <c r="BD14" s="398"/>
      <c r="BE14" s="398"/>
      <c r="BF14" s="398"/>
      <c r="BG14" s="398"/>
      <c r="BH14" s="398"/>
      <c r="BI14" s="398"/>
      <c r="BJ14" s="398"/>
      <c r="BK14" s="398"/>
      <c r="BL14" s="398"/>
      <c r="BM14" s="398"/>
      <c r="BN14" s="398"/>
      <c r="BO14" s="398"/>
      <c r="BP14" s="398"/>
      <c r="BQ14" s="398"/>
      <c r="BR14" s="398"/>
      <c r="BS14" s="398"/>
      <c r="BT14" s="398"/>
      <c r="BU14" s="398"/>
      <c r="BV14" s="398"/>
      <c r="BW14" s="398"/>
      <c r="BX14" s="398"/>
      <c r="BY14" s="398"/>
      <c r="BZ14" s="398"/>
      <c r="CA14" s="398"/>
      <c r="CB14" s="398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</row>
    <row r="15" customFormat="false" ht="12.75" hidden="false" customHeight="false" outlineLevel="0" collapsed="false">
      <c r="A15" s="601" t="s">
        <v>236</v>
      </c>
      <c r="B15" s="602"/>
      <c r="C15" s="528" t="n">
        <f aca="false">SUM($C$14:C14)</f>
        <v>4214.81271335325</v>
      </c>
      <c r="D15" s="528" t="n">
        <f aca="false">SUM($C$14:D14)</f>
        <v>8429.6254267065</v>
      </c>
      <c r="E15" s="528" t="n">
        <f aca="false">SUM($C$14:E14)</f>
        <v>12644.4381400597</v>
      </c>
      <c r="F15" s="528" t="n">
        <f aca="false">SUM($C$14:F14)</f>
        <v>16859.250853413</v>
      </c>
      <c r="G15" s="528" t="n">
        <f aca="false">SUM($C$14:G14)</f>
        <v>21074.0635667662</v>
      </c>
      <c r="H15" s="528" t="n">
        <f aca="false">SUM($C$14:H14)</f>
        <v>25288.8762801195</v>
      </c>
      <c r="I15" s="528" t="n">
        <f aca="false">SUM($C$14:I14)</f>
        <v>29503.6889934727</v>
      </c>
      <c r="J15" s="528" t="n">
        <f aca="false">SUM($C$14:J14)</f>
        <v>33718.501706826</v>
      </c>
      <c r="K15" s="528" t="n">
        <f aca="false">SUM($C$14:K14)</f>
        <v>37933.3144201792</v>
      </c>
      <c r="L15" s="528" t="n">
        <f aca="false">SUM($C$14:L14)</f>
        <v>42148.1271335325</v>
      </c>
      <c r="M15" s="528" t="n">
        <f aca="false">SUM($C$14:M14)</f>
        <v>46362.9398468857</v>
      </c>
      <c r="N15" s="528" t="n">
        <f aca="false">SUM($C$14:N14)</f>
        <v>50577.752560239</v>
      </c>
      <c r="O15" s="528" t="n">
        <f aca="false">SUM($C$14:O14)</f>
        <v>54792.5652735922</v>
      </c>
      <c r="P15" s="528" t="n">
        <f aca="false">SUM($C$14:P14)</f>
        <v>59007.3779869455</v>
      </c>
      <c r="Q15" s="528" t="n">
        <f aca="false">SUM($C$14:Q14)</f>
        <v>63222.1907002987</v>
      </c>
      <c r="R15" s="528" t="n">
        <f aca="false">SUM($C$14:R14)</f>
        <v>67437.003413652</v>
      </c>
      <c r="S15" s="528" t="n">
        <f aca="false">SUM($C$14:S14)</f>
        <v>71651.8161270052</v>
      </c>
      <c r="T15" s="528" t="n">
        <f aca="false">SUM($C$14:T14)</f>
        <v>75866.6288403585</v>
      </c>
      <c r="U15" s="528" t="n">
        <f aca="false">SUM($C$14:U14)</f>
        <v>80081.4415537117</v>
      </c>
      <c r="V15" s="528" t="n">
        <f aca="false">SUM($C$14:V14)</f>
        <v>84296.254267065</v>
      </c>
      <c r="W15" s="528" t="n">
        <f aca="false">SUM($C$14:W14)</f>
        <v>88511.0669804182</v>
      </c>
      <c r="X15" s="528" t="n">
        <f aca="false">SUM($C$14:X14)</f>
        <v>92725.8796937715</v>
      </c>
      <c r="Y15" s="528" t="n">
        <f aca="false">SUM($C$14:Y14)</f>
        <v>96940.6924071247</v>
      </c>
      <c r="Z15" s="528" t="n">
        <f aca="false">SUM($C$14:Z14)</f>
        <v>101155.505120478</v>
      </c>
      <c r="AA15" s="528" t="n">
        <f aca="false">SUM($C$14:AA14)</f>
        <v>105370.317833831</v>
      </c>
      <c r="AB15" s="528" t="n">
        <f aca="false">SUM($C$14:AB14)</f>
        <v>109585.130547184</v>
      </c>
      <c r="AC15" s="528" t="n">
        <f aca="false">SUM($C$14:AC14)</f>
        <v>113799.943260538</v>
      </c>
      <c r="AD15" s="528" t="n">
        <f aca="false">SUM($C$14:AD14)</f>
        <v>118014.755973891</v>
      </c>
      <c r="AE15" s="528" t="n">
        <f aca="false">SUM($C$14:AE14)</f>
        <v>122229.568687244</v>
      </c>
      <c r="AF15" s="528" t="n">
        <f aca="false">SUM($C$14:AF14)</f>
        <v>126444.381400597</v>
      </c>
      <c r="AG15" s="528" t="n">
        <f aca="false">SUM($C$14:AG14)</f>
        <v>130659.194113951</v>
      </c>
      <c r="AH15" s="528" t="n">
        <f aca="false">SUM($C$14:AH14)</f>
        <v>134874.006827304</v>
      </c>
      <c r="AI15" s="528" t="n">
        <f aca="false">SUM($C$14:AI14)</f>
        <v>139088.819540657</v>
      </c>
      <c r="AJ15" s="528" t="n">
        <f aca="false">SUM($C$14:AJ14)</f>
        <v>143303.63225401</v>
      </c>
      <c r="AK15" s="528" t="n">
        <f aca="false">SUM($C$14:AK14)</f>
        <v>147518.444967364</v>
      </c>
      <c r="AL15" s="528" t="n">
        <f aca="false">SUM($C$14:AL14)</f>
        <v>151733.257680717</v>
      </c>
      <c r="AM15" s="603" t="n">
        <f aca="false">+AM13+AM12</f>
        <v>151733.257680717</v>
      </c>
      <c r="AN15" s="85"/>
      <c r="AO15" s="20" t="n">
        <f aca="false">+AO14+1</f>
        <v>10</v>
      </c>
      <c r="AP15" s="85"/>
      <c r="AQ15" s="85"/>
      <c r="AR15" s="85"/>
      <c r="AS15" s="604"/>
      <c r="AT15" s="604"/>
      <c r="AU15" s="604"/>
      <c r="AV15" s="604"/>
      <c r="AW15" s="604"/>
      <c r="AX15" s="604"/>
      <c r="AY15" s="604"/>
      <c r="AZ15" s="604"/>
      <c r="BA15" s="604"/>
      <c r="BB15" s="604"/>
      <c r="BC15" s="604"/>
      <c r="BD15" s="604"/>
      <c r="BE15" s="604"/>
      <c r="BF15" s="604"/>
      <c r="BG15" s="604"/>
      <c r="BH15" s="604"/>
      <c r="BI15" s="604"/>
      <c r="BJ15" s="604"/>
      <c r="BK15" s="604"/>
      <c r="BL15" s="604"/>
      <c r="BM15" s="604"/>
      <c r="BN15" s="604"/>
      <c r="BO15" s="604"/>
      <c r="BP15" s="604"/>
      <c r="BQ15" s="604"/>
      <c r="BR15" s="604"/>
      <c r="BS15" s="604"/>
      <c r="BT15" s="604"/>
      <c r="BU15" s="604"/>
      <c r="BV15" s="604"/>
      <c r="BW15" s="604"/>
      <c r="BX15" s="604"/>
      <c r="BY15" s="604"/>
      <c r="BZ15" s="604"/>
      <c r="CA15" s="604"/>
      <c r="CB15" s="604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329"/>
      <c r="CQ15" s="329"/>
      <c r="CR15" s="329"/>
      <c r="CS15" s="329"/>
      <c r="CT15" s="329"/>
      <c r="CU15" s="329"/>
      <c r="CV15" s="329"/>
      <c r="CW15" s="329"/>
      <c r="CX15" s="329"/>
      <c r="CY15" s="329"/>
      <c r="CZ15" s="329"/>
      <c r="DA15" s="329"/>
      <c r="DB15" s="329"/>
      <c r="DC15" s="329"/>
      <c r="DD15" s="329"/>
      <c r="DE15" s="329"/>
      <c r="DF15" s="329"/>
      <c r="DG15" s="329"/>
      <c r="DH15" s="329"/>
      <c r="DI15" s="329"/>
      <c r="DJ15" s="329"/>
      <c r="DK15" s="329"/>
      <c r="DL15" s="329"/>
      <c r="DM15" s="329"/>
      <c r="DN15" s="329"/>
      <c r="DO15" s="329"/>
      <c r="DP15" s="329"/>
      <c r="DQ15" s="329"/>
      <c r="DR15" s="329"/>
      <c r="DS15" s="329"/>
      <c r="DT15" s="329"/>
      <c r="DU15" s="329"/>
      <c r="DV15" s="329"/>
      <c r="DW15" s="329"/>
      <c r="DX15" s="329"/>
      <c r="DY15" s="329"/>
      <c r="DZ15" s="329"/>
      <c r="EA15" s="329"/>
      <c r="EB15" s="329"/>
      <c r="EC15" s="329"/>
      <c r="ED15" s="329"/>
      <c r="EE15" s="329"/>
      <c r="EF15" s="329"/>
      <c r="EG15" s="329"/>
      <c r="EH15" s="329"/>
      <c r="EI15" s="329"/>
      <c r="EJ15" s="329"/>
      <c r="EK15" s="329"/>
      <c r="EL15" s="329"/>
      <c r="EM15" s="329"/>
      <c r="EN15" s="329"/>
      <c r="EO15" s="329"/>
      <c r="EP15" s="329"/>
      <c r="EQ15" s="329"/>
      <c r="ER15" s="329"/>
      <c r="ES15" s="329"/>
      <c r="ET15" s="329"/>
      <c r="EU15" s="329"/>
      <c r="EV15" s="329"/>
      <c r="EW15" s="329"/>
      <c r="EX15" s="329"/>
      <c r="EY15" s="329"/>
      <c r="EZ15" s="329"/>
      <c r="FA15" s="329"/>
      <c r="FB15" s="329"/>
      <c r="FC15" s="329"/>
      <c r="FD15" s="329"/>
      <c r="FE15" s="329"/>
      <c r="FF15" s="329"/>
      <c r="FG15" s="329"/>
      <c r="FH15" s="329"/>
      <c r="FI15" s="329"/>
      <c r="FJ15" s="329"/>
      <c r="FK15" s="329"/>
      <c r="FL15" s="329"/>
      <c r="FM15" s="329"/>
      <c r="FN15" s="329"/>
      <c r="FO15" s="329"/>
      <c r="FP15" s="329"/>
      <c r="FQ15" s="329"/>
      <c r="FR15" s="329"/>
      <c r="FS15" s="329"/>
      <c r="FT15" s="329"/>
      <c r="FU15" s="329"/>
      <c r="FV15" s="329"/>
      <c r="FW15" s="329"/>
      <c r="FX15" s="329"/>
      <c r="FY15" s="329"/>
      <c r="FZ15" s="329"/>
      <c r="GA15" s="329"/>
      <c r="GB15" s="329"/>
      <c r="GC15" s="329"/>
      <c r="GD15" s="329"/>
      <c r="GE15" s="329"/>
      <c r="GF15" s="329"/>
      <c r="GG15" s="329"/>
      <c r="GH15" s="329"/>
      <c r="GI15" s="329"/>
      <c r="GJ15" s="329"/>
      <c r="GK15" s="329"/>
      <c r="GL15" s="329"/>
      <c r="GM15" s="329"/>
      <c r="GN15" s="329"/>
      <c r="GO15" s="329"/>
      <c r="GP15" s="329"/>
      <c r="GQ15" s="329"/>
      <c r="GR15" s="329"/>
      <c r="GS15" s="329"/>
      <c r="GT15" s="329"/>
      <c r="GU15" s="329"/>
      <c r="GV15" s="329"/>
      <c r="GW15" s="329"/>
      <c r="GX15" s="329"/>
      <c r="GY15" s="329"/>
      <c r="GZ15" s="329"/>
      <c r="HA15" s="329"/>
      <c r="HB15" s="329"/>
      <c r="HC15" s="329"/>
      <c r="HD15" s="329"/>
      <c r="HE15" s="329"/>
      <c r="HF15" s="329"/>
      <c r="HG15" s="329"/>
      <c r="HH15" s="329"/>
      <c r="HI15" s="329"/>
      <c r="HJ15" s="329"/>
      <c r="HK15" s="329"/>
      <c r="HL15" s="329"/>
      <c r="HM15" s="329"/>
      <c r="HN15" s="329"/>
      <c r="HO15" s="329"/>
      <c r="HP15" s="329"/>
      <c r="HQ15" s="329"/>
      <c r="HR15" s="329"/>
      <c r="HS15" s="329"/>
      <c r="HT15" s="329"/>
      <c r="HU15" s="329"/>
      <c r="HV15" s="329"/>
      <c r="HW15" s="329"/>
      <c r="HX15" s="329"/>
      <c r="HY15" s="329"/>
      <c r="HZ15" s="329"/>
      <c r="IA15" s="329"/>
      <c r="IB15" s="329"/>
      <c r="IC15" s="329"/>
      <c r="ID15" s="329"/>
      <c r="IE15" s="329"/>
      <c r="IF15" s="329"/>
      <c r="IG15" s="329"/>
      <c r="IH15" s="329"/>
      <c r="II15" s="329"/>
      <c r="IJ15" s="329"/>
      <c r="IK15" s="329"/>
      <c r="IL15" s="329"/>
      <c r="IM15" s="329"/>
      <c r="IN15" s="329"/>
      <c r="IO15" s="329"/>
      <c r="IP15" s="329"/>
      <c r="IQ15" s="329"/>
      <c r="IR15" s="329"/>
      <c r="IS15" s="329"/>
      <c r="IT15" s="329"/>
      <c r="IU15" s="329"/>
      <c r="IV15" s="329"/>
      <c r="IW15" s="329"/>
    </row>
    <row r="16" customFormat="false" ht="12.75" hidden="false" customHeight="false" outlineLevel="0" collapsed="false">
      <c r="A16" s="601" t="s">
        <v>237</v>
      </c>
      <c r="B16" s="85"/>
      <c r="C16" s="537" t="n">
        <f aca="false">+C15/($J$2+$J$3)</f>
        <v>0.0277777777777778</v>
      </c>
      <c r="D16" s="537" t="n">
        <f aca="false">+D15/($J$2+$J$3)</f>
        <v>0.0555555555555555</v>
      </c>
      <c r="E16" s="537" t="n">
        <f aca="false">+E15/($J$2+$J$3)</f>
        <v>0.0833333333333333</v>
      </c>
      <c r="F16" s="537" t="n">
        <f aca="false">+F15/($J$2+$J$3)</f>
        <v>0.111111111111111</v>
      </c>
      <c r="G16" s="537" t="n">
        <f aca="false">+G15/($J$2+$J$3)</f>
        <v>0.138888888888889</v>
      </c>
      <c r="H16" s="537" t="n">
        <f aca="false">+H15/($J$2+$J$3)</f>
        <v>0.166666666666667</v>
      </c>
      <c r="I16" s="537" t="n">
        <f aca="false">+I15/($J$2+$J$3)</f>
        <v>0.194444444444444</v>
      </c>
      <c r="J16" s="537" t="n">
        <f aca="false">+J15/($J$2+$J$3)</f>
        <v>0.222222222222222</v>
      </c>
      <c r="K16" s="537" t="n">
        <f aca="false">+K15/($J$2+$J$3)</f>
        <v>0.25</v>
      </c>
      <c r="L16" s="537" t="n">
        <f aca="false">+L15/($J$2+$J$3)</f>
        <v>0.277777777777778</v>
      </c>
      <c r="M16" s="537" t="n">
        <f aca="false">+M15/($J$2+$J$3)</f>
        <v>0.305555555555555</v>
      </c>
      <c r="N16" s="537" t="n">
        <f aca="false">+N15/($J$2+$J$3)</f>
        <v>0.333333333333333</v>
      </c>
      <c r="O16" s="537" t="n">
        <f aca="false">+O15/($J$2+$J$3)</f>
        <v>0.361111111111111</v>
      </c>
      <c r="P16" s="537" t="n">
        <f aca="false">+P15/($J$2+$J$3)</f>
        <v>0.388888888888889</v>
      </c>
      <c r="Q16" s="537" t="n">
        <f aca="false">+Q15/($J$2+$J$3)</f>
        <v>0.416666666666667</v>
      </c>
      <c r="R16" s="537" t="n">
        <f aca="false">+R15/($J$2+$J$3)</f>
        <v>0.444444444444444</v>
      </c>
      <c r="S16" s="537" t="n">
        <f aca="false">+S15/($J$2+$J$3)</f>
        <v>0.472222222222222</v>
      </c>
      <c r="T16" s="537" t="n">
        <f aca="false">+T15/($J$2+$J$3)</f>
        <v>0.5</v>
      </c>
      <c r="U16" s="537" t="n">
        <f aca="false">+U15/($J$2+$J$3)</f>
        <v>0.527777777777778</v>
      </c>
      <c r="V16" s="537" t="n">
        <f aca="false">+V15/($J$2+$J$3)</f>
        <v>0.555555555555556</v>
      </c>
      <c r="W16" s="537" t="n">
        <f aca="false">+W15/($J$2+$J$3)</f>
        <v>0.583333333333333</v>
      </c>
      <c r="X16" s="537" t="n">
        <f aca="false">+X15/($J$2+$J$3)</f>
        <v>0.611111111111111</v>
      </c>
      <c r="Y16" s="537" t="n">
        <f aca="false">+Y15/($J$2+$J$3)</f>
        <v>0.638888888888889</v>
      </c>
      <c r="Z16" s="537" t="n">
        <f aca="false">+Z15/($J$2+$J$3)</f>
        <v>0.666666666666667</v>
      </c>
      <c r="AA16" s="537" t="n">
        <f aca="false">+AA15/($J$2+$J$3)</f>
        <v>0.694444444444444</v>
      </c>
      <c r="AB16" s="537" t="n">
        <f aca="false">+AB15/($J$2+$J$3)</f>
        <v>0.722222222222222</v>
      </c>
      <c r="AC16" s="537" t="n">
        <f aca="false">+AC15/($J$2+$J$3)</f>
        <v>0.75</v>
      </c>
      <c r="AD16" s="537" t="n">
        <f aca="false">+AD15/($J$2+$J$3)</f>
        <v>0.777777777777778</v>
      </c>
      <c r="AE16" s="537" t="n">
        <f aca="false">+AE15/($J$2+$J$3)</f>
        <v>0.805555555555556</v>
      </c>
      <c r="AF16" s="537" t="n">
        <f aca="false">+AF15/($J$2+$J$3)</f>
        <v>0.833333333333333</v>
      </c>
      <c r="AG16" s="537" t="n">
        <f aca="false">+AG15/($J$2+$J$3)</f>
        <v>0.861111111111111</v>
      </c>
      <c r="AH16" s="537" t="n">
        <f aca="false">+AH15/($J$2+$J$3)</f>
        <v>0.888888888888889</v>
      </c>
      <c r="AI16" s="537" t="n">
        <f aca="false">+AI15/($J$2+$J$3)</f>
        <v>0.916666666666667</v>
      </c>
      <c r="AJ16" s="537" t="n">
        <f aca="false">+AJ15/($J$2+$J$3)</f>
        <v>0.944444444444444</v>
      </c>
      <c r="AK16" s="537" t="n">
        <f aca="false">+AK15/($J$2+$J$3)</f>
        <v>0.972222222222222</v>
      </c>
      <c r="AL16" s="537" t="n">
        <f aca="false">+AL15/($J$2+$J$3)</f>
        <v>1</v>
      </c>
      <c r="AM16" s="605" t="n">
        <f aca="false">+AL16</f>
        <v>1</v>
      </c>
      <c r="AN16" s="85"/>
      <c r="AO16" s="20" t="n">
        <f aca="false">+AO15+1</f>
        <v>11</v>
      </c>
      <c r="AP16" s="85"/>
      <c r="AQ16" s="85"/>
      <c r="AR16" s="85"/>
      <c r="AS16" s="528"/>
      <c r="AT16" s="528"/>
      <c r="AU16" s="528"/>
      <c r="AV16" s="528"/>
      <c r="AW16" s="528"/>
      <c r="AX16" s="528"/>
      <c r="AY16" s="528"/>
      <c r="AZ16" s="528"/>
      <c r="BA16" s="528"/>
      <c r="BB16" s="528"/>
      <c r="BC16" s="528"/>
      <c r="BD16" s="528"/>
      <c r="BE16" s="528"/>
      <c r="BF16" s="528"/>
      <c r="BG16" s="528"/>
      <c r="BH16" s="528"/>
      <c r="BI16" s="528"/>
      <c r="BJ16" s="528"/>
      <c r="BK16" s="528"/>
      <c r="BL16" s="528"/>
      <c r="BM16" s="528"/>
      <c r="BN16" s="528"/>
      <c r="BO16" s="528"/>
      <c r="BP16" s="528"/>
      <c r="BQ16" s="528"/>
      <c r="BR16" s="528"/>
      <c r="BS16" s="528"/>
      <c r="BT16" s="528"/>
      <c r="BU16" s="528"/>
      <c r="BV16" s="528"/>
      <c r="BW16" s="528"/>
      <c r="BX16" s="528"/>
      <c r="BY16" s="528"/>
      <c r="BZ16" s="528"/>
      <c r="CA16" s="528"/>
      <c r="CB16" s="528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329"/>
      <c r="CQ16" s="329"/>
      <c r="CR16" s="329"/>
      <c r="CS16" s="329"/>
      <c r="CT16" s="329"/>
      <c r="CU16" s="329"/>
      <c r="CV16" s="329"/>
      <c r="CW16" s="329"/>
      <c r="CX16" s="329"/>
      <c r="CY16" s="329"/>
      <c r="CZ16" s="329"/>
      <c r="DA16" s="329"/>
      <c r="DB16" s="329"/>
      <c r="DC16" s="329"/>
      <c r="DD16" s="329"/>
      <c r="DE16" s="329"/>
      <c r="DF16" s="329"/>
      <c r="DG16" s="329"/>
      <c r="DH16" s="329"/>
      <c r="DI16" s="329"/>
      <c r="DJ16" s="329"/>
      <c r="DK16" s="329"/>
      <c r="DL16" s="329"/>
      <c r="DM16" s="329"/>
      <c r="DN16" s="329"/>
      <c r="DO16" s="329"/>
      <c r="DP16" s="329"/>
      <c r="DQ16" s="329"/>
      <c r="DR16" s="329"/>
      <c r="DS16" s="329"/>
      <c r="DT16" s="329"/>
      <c r="DU16" s="329"/>
      <c r="DV16" s="329"/>
      <c r="DW16" s="329"/>
      <c r="DX16" s="329"/>
      <c r="DY16" s="329"/>
      <c r="DZ16" s="329"/>
      <c r="EA16" s="329"/>
      <c r="EB16" s="329"/>
      <c r="EC16" s="329"/>
      <c r="ED16" s="329"/>
      <c r="EE16" s="329"/>
      <c r="EF16" s="329"/>
      <c r="EG16" s="329"/>
      <c r="EH16" s="329"/>
      <c r="EI16" s="329"/>
      <c r="EJ16" s="329"/>
      <c r="EK16" s="329"/>
      <c r="EL16" s="329"/>
      <c r="EM16" s="329"/>
      <c r="EN16" s="329"/>
      <c r="EO16" s="329"/>
      <c r="EP16" s="329"/>
      <c r="EQ16" s="329"/>
      <c r="ER16" s="329"/>
      <c r="ES16" s="329"/>
      <c r="ET16" s="329"/>
      <c r="EU16" s="329"/>
      <c r="EV16" s="329"/>
      <c r="EW16" s="329"/>
      <c r="EX16" s="329"/>
      <c r="EY16" s="329"/>
      <c r="EZ16" s="329"/>
      <c r="FA16" s="329"/>
      <c r="FB16" s="329"/>
      <c r="FC16" s="329"/>
      <c r="FD16" s="329"/>
      <c r="FE16" s="329"/>
      <c r="FF16" s="329"/>
      <c r="FG16" s="329"/>
      <c r="FH16" s="329"/>
      <c r="FI16" s="329"/>
      <c r="FJ16" s="329"/>
      <c r="FK16" s="329"/>
      <c r="FL16" s="329"/>
      <c r="FM16" s="329"/>
      <c r="FN16" s="329"/>
      <c r="FO16" s="329"/>
      <c r="FP16" s="329"/>
      <c r="FQ16" s="329"/>
      <c r="FR16" s="329"/>
      <c r="FS16" s="329"/>
      <c r="FT16" s="329"/>
      <c r="FU16" s="329"/>
      <c r="FV16" s="329"/>
      <c r="FW16" s="329"/>
      <c r="FX16" s="329"/>
      <c r="FY16" s="329"/>
      <c r="FZ16" s="329"/>
      <c r="GA16" s="329"/>
      <c r="GB16" s="329"/>
      <c r="GC16" s="329"/>
      <c r="GD16" s="329"/>
      <c r="GE16" s="329"/>
      <c r="GF16" s="329"/>
      <c r="GG16" s="329"/>
      <c r="GH16" s="329"/>
      <c r="GI16" s="329"/>
      <c r="GJ16" s="329"/>
      <c r="GK16" s="329"/>
      <c r="GL16" s="329"/>
      <c r="GM16" s="329"/>
      <c r="GN16" s="329"/>
      <c r="GO16" s="329"/>
      <c r="GP16" s="329"/>
      <c r="GQ16" s="329"/>
      <c r="GR16" s="329"/>
      <c r="GS16" s="329"/>
      <c r="GT16" s="329"/>
      <c r="GU16" s="329"/>
      <c r="GV16" s="329"/>
      <c r="GW16" s="329"/>
      <c r="GX16" s="329"/>
      <c r="GY16" s="329"/>
      <c r="GZ16" s="329"/>
      <c r="HA16" s="329"/>
      <c r="HB16" s="329"/>
      <c r="HC16" s="329"/>
      <c r="HD16" s="329"/>
      <c r="HE16" s="329"/>
      <c r="HF16" s="329"/>
      <c r="HG16" s="329"/>
      <c r="HH16" s="329"/>
      <c r="HI16" s="329"/>
      <c r="HJ16" s="329"/>
      <c r="HK16" s="329"/>
      <c r="HL16" s="329"/>
      <c r="HM16" s="329"/>
      <c r="HN16" s="329"/>
      <c r="HO16" s="329"/>
      <c r="HP16" s="329"/>
      <c r="HQ16" s="329"/>
      <c r="HR16" s="329"/>
      <c r="HS16" s="329"/>
      <c r="HT16" s="329"/>
      <c r="HU16" s="329"/>
      <c r="HV16" s="329"/>
      <c r="HW16" s="329"/>
      <c r="HX16" s="329"/>
      <c r="HY16" s="329"/>
      <c r="HZ16" s="329"/>
      <c r="IA16" s="329"/>
      <c r="IB16" s="329"/>
      <c r="IC16" s="329"/>
      <c r="ID16" s="329"/>
      <c r="IE16" s="329"/>
      <c r="IF16" s="329"/>
      <c r="IG16" s="329"/>
      <c r="IH16" s="329"/>
      <c r="II16" s="329"/>
      <c r="IJ16" s="329"/>
      <c r="IK16" s="329"/>
      <c r="IL16" s="329"/>
      <c r="IM16" s="329"/>
      <c r="IN16" s="329"/>
      <c r="IO16" s="329"/>
      <c r="IP16" s="329"/>
      <c r="IQ16" s="329"/>
      <c r="IR16" s="329"/>
      <c r="IS16" s="329"/>
      <c r="IT16" s="329"/>
      <c r="IU16" s="329"/>
      <c r="IV16" s="329"/>
      <c r="IW16" s="329"/>
    </row>
    <row r="17" customFormat="false" ht="12.75" hidden="false" customHeight="false" outlineLevel="0" collapsed="false">
      <c r="A17" s="372"/>
      <c r="B17" s="14"/>
      <c r="C17" s="14"/>
      <c r="D17" s="14"/>
      <c r="E17" s="14"/>
      <c r="F17" s="14"/>
      <c r="G17" s="14"/>
      <c r="H17" s="14"/>
      <c r="I17" s="398"/>
      <c r="J17" s="398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389"/>
      <c r="AN17" s="14"/>
      <c r="AO17" s="20" t="n">
        <f aca="false">+AO16+1</f>
        <v>12</v>
      </c>
      <c r="AP17" s="14"/>
      <c r="AQ17" s="14"/>
      <c r="AR17" s="14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</row>
    <row r="18" customFormat="false" ht="12.75" hidden="false" customHeight="false" outlineLevel="0" collapsed="false">
      <c r="A18" s="606" t="s">
        <v>238</v>
      </c>
      <c r="B18" s="14"/>
      <c r="C18" s="107" t="n">
        <f aca="false">+Assumpt!S7-(eqamt*estidc)</f>
        <v>37933.3144201792</v>
      </c>
      <c r="D18" s="398" t="n">
        <f aca="false">+C18-C22</f>
        <v>36879.6112418409</v>
      </c>
      <c r="E18" s="398" t="n">
        <f aca="false">+D18-D22</f>
        <v>35825.9080635026</v>
      </c>
      <c r="F18" s="398" t="n">
        <f aca="false">+E18-E22</f>
        <v>34772.2048851643</v>
      </c>
      <c r="G18" s="398" t="n">
        <f aca="false">+F18-F22</f>
        <v>33718.501706826</v>
      </c>
      <c r="H18" s="398" t="n">
        <f aca="false">+G18-G22</f>
        <v>32664.7985284877</v>
      </c>
      <c r="I18" s="398" t="n">
        <f aca="false">+H18-H22</f>
        <v>31611.0953501494</v>
      </c>
      <c r="J18" s="398" t="n">
        <f aca="false">+I18-I22</f>
        <v>30557.392171811</v>
      </c>
      <c r="K18" s="398" t="n">
        <f aca="false">+J18-J22</f>
        <v>29503.6889934727</v>
      </c>
      <c r="L18" s="398" t="n">
        <f aca="false">+K18-K22</f>
        <v>28449.9858151344</v>
      </c>
      <c r="M18" s="398" t="n">
        <f aca="false">+L18-L22</f>
        <v>27396.2826367961</v>
      </c>
      <c r="N18" s="398" t="n">
        <f aca="false">+M18-M22</f>
        <v>26342.5794584578</v>
      </c>
      <c r="O18" s="398" t="n">
        <f aca="false">+N18-N22</f>
        <v>25288.8762801195</v>
      </c>
      <c r="P18" s="398" t="n">
        <f aca="false">+O18-O22</f>
        <v>24235.1731017812</v>
      </c>
      <c r="Q18" s="398" t="n">
        <f aca="false">+P18-P22</f>
        <v>23181.4699234428</v>
      </c>
      <c r="R18" s="398" t="n">
        <f aca="false">+Q18-Q22</f>
        <v>22127.7667451045</v>
      </c>
      <c r="S18" s="398" t="n">
        <f aca="false">+R18-R22</f>
        <v>21074.0635667662</v>
      </c>
      <c r="T18" s="398" t="n">
        <f aca="false">+S18-S22</f>
        <v>20020.3603884279</v>
      </c>
      <c r="U18" s="398" t="n">
        <f aca="false">+T18-T22</f>
        <v>18966.6572100896</v>
      </c>
      <c r="V18" s="398" t="n">
        <f aca="false">+U18-U22</f>
        <v>17912.9540317513</v>
      </c>
      <c r="W18" s="398" t="n">
        <f aca="false">+V18-V22</f>
        <v>16859.250853413</v>
      </c>
      <c r="X18" s="398" t="n">
        <f aca="false">+W18-W22</f>
        <v>15805.5476750747</v>
      </c>
      <c r="Y18" s="398" t="n">
        <f aca="false">+X18-X22</f>
        <v>14751.8444967363</v>
      </c>
      <c r="Z18" s="398" t="n">
        <f aca="false">+Y18-Y22</f>
        <v>13698.141318398</v>
      </c>
      <c r="AA18" s="398" t="n">
        <f aca="false">+Z18-Z22</f>
        <v>12644.4381400597</v>
      </c>
      <c r="AB18" s="398" t="n">
        <f aca="false">+AA18-AA22</f>
        <v>11590.7349617214</v>
      </c>
      <c r="AC18" s="398" t="n">
        <f aca="false">+AB18-AB22</f>
        <v>10537.0317833831</v>
      </c>
      <c r="AD18" s="398" t="n">
        <f aca="false">+AC18-AC22</f>
        <v>9483.32860504478</v>
      </c>
      <c r="AE18" s="398" t="n">
        <f aca="false">+AD18-AD22</f>
        <v>8429.62542670647</v>
      </c>
      <c r="AF18" s="398" t="n">
        <f aca="false">+AE18-AE22</f>
        <v>7375.92224836816</v>
      </c>
      <c r="AG18" s="398" t="n">
        <f aca="false">+AF18-AF22</f>
        <v>6322.21907002985</v>
      </c>
      <c r="AH18" s="398" t="n">
        <f aca="false">+AG18-AG22</f>
        <v>5268.51589169154</v>
      </c>
      <c r="AI18" s="398" t="n">
        <f aca="false">+AH18-AH22</f>
        <v>4214.81271335323</v>
      </c>
      <c r="AJ18" s="398" t="n">
        <f aca="false">+AI18-AI22</f>
        <v>3161.10953501491</v>
      </c>
      <c r="AK18" s="398" t="n">
        <f aca="false">+AJ18-AJ22</f>
        <v>2107.4063566766</v>
      </c>
      <c r="AL18" s="398" t="n">
        <f aca="false">+AK18-AK22</f>
        <v>1053.70317833829</v>
      </c>
      <c r="AM18" s="479"/>
      <c r="AN18" s="14"/>
      <c r="AO18" s="20" t="n">
        <f aca="false">+AO17+1</f>
        <v>13</v>
      </c>
      <c r="AP18" s="14"/>
      <c r="AQ18" s="14"/>
      <c r="AR18" s="14"/>
      <c r="AS18" s="14"/>
      <c r="AT18" s="180"/>
      <c r="AU18" s="14"/>
      <c r="AV18" s="14"/>
      <c r="AW18" s="301"/>
      <c r="AX18" s="301"/>
      <c r="AY18" s="301"/>
      <c r="AZ18" s="14"/>
      <c r="BA18" s="301"/>
      <c r="BB18" s="301"/>
      <c r="BC18" s="301"/>
      <c r="BD18" s="14"/>
      <c r="BE18" s="301"/>
      <c r="BF18" s="301"/>
      <c r="BG18" s="301"/>
      <c r="BH18" s="301"/>
      <c r="BI18" s="14"/>
      <c r="BJ18" s="301"/>
      <c r="BK18" s="14"/>
      <c r="BL18" s="398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</row>
    <row r="19" customFormat="false" ht="12.75" hidden="true" customHeight="false" outlineLevel="1" collapsed="false">
      <c r="A19" s="312" t="s">
        <v>239</v>
      </c>
      <c r="B19" s="607" t="n">
        <f aca="false">+drawtrigger</f>
        <v>0</v>
      </c>
      <c r="C19" s="608" t="n">
        <f aca="false">C14*eqamt</f>
        <v>1053.70317833831</v>
      </c>
      <c r="D19" s="608" t="n">
        <f aca="false">D14*eqamt</f>
        <v>1053.70317833831</v>
      </c>
      <c r="E19" s="608" t="n">
        <f aca="false">E14*eqamt</f>
        <v>1053.70317833831</v>
      </c>
      <c r="F19" s="608" t="n">
        <f aca="false">F14*eqamt</f>
        <v>1053.70317833831</v>
      </c>
      <c r="G19" s="608" t="n">
        <f aca="false">G14*eqamt</f>
        <v>1053.70317833831</v>
      </c>
      <c r="H19" s="608" t="n">
        <f aca="false">H14*eqamt</f>
        <v>1053.70317833831</v>
      </c>
      <c r="I19" s="608" t="n">
        <f aca="false">I14*eqamt</f>
        <v>1053.70317833831</v>
      </c>
      <c r="J19" s="608" t="n">
        <f aca="false">J14*eqamt</f>
        <v>1053.70317833831</v>
      </c>
      <c r="K19" s="608" t="n">
        <f aca="false">K14*eqamt</f>
        <v>1053.70317833831</v>
      </c>
      <c r="L19" s="608" t="n">
        <f aca="false">L14*eqamt</f>
        <v>1053.70317833831</v>
      </c>
      <c r="M19" s="608" t="n">
        <f aca="false">M14*eqamt</f>
        <v>1053.70317833831</v>
      </c>
      <c r="N19" s="608" t="n">
        <f aca="false">N14*eqamt</f>
        <v>1053.70317833831</v>
      </c>
      <c r="O19" s="608" t="n">
        <f aca="false">O14*eqamt</f>
        <v>1053.70317833831</v>
      </c>
      <c r="P19" s="608" t="n">
        <f aca="false">P14*eqamt</f>
        <v>1053.70317833831</v>
      </c>
      <c r="Q19" s="608" t="n">
        <f aca="false">Q14*eqamt</f>
        <v>1053.70317833831</v>
      </c>
      <c r="R19" s="608" t="n">
        <f aca="false">R14*eqamt</f>
        <v>1053.70317833831</v>
      </c>
      <c r="S19" s="608" t="n">
        <f aca="false">S14*eqamt</f>
        <v>1053.70317833831</v>
      </c>
      <c r="T19" s="608" t="n">
        <f aca="false">T14*eqamt</f>
        <v>1053.70317833831</v>
      </c>
      <c r="U19" s="608" t="n">
        <f aca="false">U14*eqamt</f>
        <v>1053.70317833831</v>
      </c>
      <c r="V19" s="608" t="n">
        <f aca="false">V14*eqamt</f>
        <v>1053.70317833831</v>
      </c>
      <c r="W19" s="608" t="n">
        <f aca="false">W14*eqamt</f>
        <v>1053.70317833831</v>
      </c>
      <c r="X19" s="608" t="n">
        <f aca="false">X14*eqamt</f>
        <v>1053.70317833831</v>
      </c>
      <c r="Y19" s="608" t="n">
        <f aca="false">Y14*eqamt</f>
        <v>1053.70317833831</v>
      </c>
      <c r="Z19" s="608" t="n">
        <f aca="false">Z14*eqamt</f>
        <v>1053.70317833831</v>
      </c>
      <c r="AA19" s="608" t="n">
        <f aca="false">AA14*eqamt</f>
        <v>1053.70317833831</v>
      </c>
      <c r="AB19" s="608" t="n">
        <f aca="false">AB14*eqamt</f>
        <v>1053.70317833831</v>
      </c>
      <c r="AC19" s="608" t="n">
        <f aca="false">AC14*eqamt</f>
        <v>1053.70317833831</v>
      </c>
      <c r="AD19" s="608" t="n">
        <f aca="false">AD14*eqamt</f>
        <v>1053.70317833831</v>
      </c>
      <c r="AE19" s="608" t="n">
        <f aca="false">AE14*eqamt</f>
        <v>1053.70317833831</v>
      </c>
      <c r="AF19" s="608" t="n">
        <f aca="false">AF14*eqamt</f>
        <v>1053.70317833831</v>
      </c>
      <c r="AG19" s="608" t="n">
        <f aca="false">AG14*eqamt</f>
        <v>1053.70317833831</v>
      </c>
      <c r="AH19" s="608" t="n">
        <f aca="false">AH14*eqamt</f>
        <v>1053.70317833831</v>
      </c>
      <c r="AI19" s="608" t="n">
        <f aca="false">AI14*eqamt</f>
        <v>1053.70317833831</v>
      </c>
      <c r="AJ19" s="608" t="n">
        <f aca="false">AJ14*eqamt</f>
        <v>1053.70317833831</v>
      </c>
      <c r="AK19" s="608" t="n">
        <f aca="false">AK14*eqamt</f>
        <v>1053.70317833831</v>
      </c>
      <c r="AL19" s="608" t="n">
        <f aca="false">AL14*eqamt</f>
        <v>1053.70317833831</v>
      </c>
      <c r="AM19" s="609" t="n">
        <f aca="false">+SUM(C19:AL19)</f>
        <v>37933.3144201792</v>
      </c>
      <c r="AN19" s="7"/>
      <c r="AO19" s="20" t="n">
        <f aca="false">+AO18+1</f>
        <v>14</v>
      </c>
      <c r="AP19" s="7"/>
      <c r="AQ19" s="7"/>
      <c r="AR19" s="7"/>
      <c r="AS19" s="7"/>
      <c r="AT19" s="313"/>
      <c r="AU19" s="7"/>
      <c r="AV19" s="7"/>
      <c r="AW19" s="610"/>
      <c r="AX19" s="610"/>
      <c r="AY19" s="610"/>
      <c r="AZ19" s="7"/>
      <c r="BA19" s="610"/>
      <c r="BB19" s="610"/>
      <c r="BC19" s="610"/>
      <c r="BD19" s="7"/>
      <c r="BE19" s="610"/>
      <c r="BF19" s="610"/>
      <c r="BG19" s="610"/>
      <c r="BH19" s="610"/>
      <c r="BI19" s="7"/>
      <c r="BJ19" s="610"/>
      <c r="BK19" s="7"/>
      <c r="BL19" s="608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611"/>
      <c r="CQ19" s="611"/>
      <c r="CR19" s="611"/>
      <c r="CS19" s="611"/>
      <c r="CT19" s="611"/>
      <c r="CU19" s="611"/>
      <c r="CV19" s="611"/>
      <c r="CW19" s="611"/>
      <c r="CX19" s="611"/>
      <c r="CY19" s="611"/>
      <c r="CZ19" s="611"/>
      <c r="DA19" s="611"/>
      <c r="DB19" s="611"/>
      <c r="DC19" s="611"/>
      <c r="DD19" s="611"/>
      <c r="DE19" s="611"/>
      <c r="DF19" s="611"/>
      <c r="DG19" s="611"/>
      <c r="DH19" s="611"/>
      <c r="DI19" s="611"/>
      <c r="DJ19" s="611"/>
      <c r="DK19" s="611"/>
      <c r="DL19" s="611"/>
      <c r="DM19" s="611"/>
      <c r="DN19" s="611"/>
      <c r="DO19" s="611"/>
      <c r="DP19" s="611"/>
      <c r="DQ19" s="611"/>
      <c r="DR19" s="611"/>
      <c r="DS19" s="611"/>
      <c r="DT19" s="611"/>
      <c r="DU19" s="611"/>
      <c r="DV19" s="611"/>
      <c r="DW19" s="611"/>
      <c r="DX19" s="611"/>
      <c r="DY19" s="611"/>
      <c r="DZ19" s="611"/>
      <c r="EA19" s="611"/>
      <c r="EB19" s="611"/>
      <c r="EC19" s="611"/>
      <c r="ED19" s="611"/>
      <c r="EE19" s="611"/>
      <c r="EF19" s="611"/>
      <c r="EG19" s="611"/>
      <c r="EH19" s="611"/>
      <c r="EI19" s="611"/>
      <c r="EJ19" s="611"/>
      <c r="EK19" s="611"/>
      <c r="EL19" s="611"/>
      <c r="EM19" s="611"/>
      <c r="EN19" s="611"/>
      <c r="EO19" s="611"/>
      <c r="EP19" s="611"/>
      <c r="EQ19" s="611"/>
      <c r="ER19" s="611"/>
      <c r="ES19" s="611"/>
      <c r="ET19" s="611"/>
      <c r="EU19" s="611"/>
      <c r="EV19" s="611"/>
      <c r="EW19" s="611"/>
      <c r="EX19" s="611"/>
      <c r="EY19" s="611"/>
      <c r="EZ19" s="611"/>
      <c r="FA19" s="611"/>
      <c r="FB19" s="611"/>
      <c r="FC19" s="611"/>
      <c r="FD19" s="611"/>
      <c r="FE19" s="611"/>
      <c r="FF19" s="611"/>
      <c r="FG19" s="611"/>
      <c r="FH19" s="611"/>
      <c r="FI19" s="611"/>
      <c r="FJ19" s="611"/>
      <c r="FK19" s="611"/>
      <c r="FL19" s="611"/>
      <c r="FM19" s="611"/>
      <c r="FN19" s="611"/>
      <c r="FO19" s="611"/>
      <c r="FP19" s="611"/>
      <c r="FQ19" s="611"/>
      <c r="FR19" s="611"/>
      <c r="FS19" s="611"/>
      <c r="FT19" s="611"/>
      <c r="FU19" s="611"/>
      <c r="FV19" s="611"/>
      <c r="FW19" s="611"/>
      <c r="FX19" s="611"/>
      <c r="FY19" s="611"/>
      <c r="FZ19" s="611"/>
      <c r="GA19" s="611"/>
      <c r="GB19" s="611"/>
      <c r="GC19" s="611"/>
      <c r="GD19" s="611"/>
      <c r="GE19" s="611"/>
      <c r="GF19" s="611"/>
      <c r="GG19" s="611"/>
      <c r="GH19" s="611"/>
      <c r="GI19" s="611"/>
      <c r="GJ19" s="611"/>
      <c r="GK19" s="611"/>
      <c r="GL19" s="611"/>
      <c r="GM19" s="611"/>
      <c r="GN19" s="611"/>
      <c r="GO19" s="611"/>
      <c r="GP19" s="611"/>
      <c r="GQ19" s="611"/>
      <c r="GR19" s="611"/>
      <c r="GS19" s="611"/>
      <c r="GT19" s="611"/>
      <c r="GU19" s="611"/>
      <c r="GV19" s="611"/>
      <c r="GW19" s="611"/>
      <c r="GX19" s="611"/>
      <c r="GY19" s="611"/>
      <c r="GZ19" s="611"/>
      <c r="HA19" s="611"/>
      <c r="HB19" s="611"/>
      <c r="HC19" s="611"/>
      <c r="HD19" s="611"/>
      <c r="HE19" s="611"/>
      <c r="HF19" s="611"/>
      <c r="HG19" s="611"/>
      <c r="HH19" s="611"/>
      <c r="HI19" s="611"/>
      <c r="HJ19" s="611"/>
      <c r="HK19" s="611"/>
      <c r="HL19" s="611"/>
      <c r="HM19" s="611"/>
      <c r="HN19" s="611"/>
      <c r="HO19" s="611"/>
      <c r="HP19" s="611"/>
      <c r="HQ19" s="611"/>
      <c r="HR19" s="611"/>
      <c r="HS19" s="611"/>
      <c r="HT19" s="611"/>
      <c r="HU19" s="611"/>
      <c r="HV19" s="611"/>
      <c r="HW19" s="611"/>
      <c r="HX19" s="611"/>
      <c r="HY19" s="611"/>
      <c r="HZ19" s="611"/>
      <c r="IA19" s="611"/>
      <c r="IB19" s="611"/>
      <c r="IC19" s="611"/>
      <c r="ID19" s="611"/>
      <c r="IE19" s="611"/>
      <c r="IF19" s="611"/>
      <c r="IG19" s="611"/>
      <c r="IH19" s="611"/>
      <c r="II19" s="611"/>
      <c r="IJ19" s="611"/>
      <c r="IK19" s="611"/>
      <c r="IL19" s="611"/>
      <c r="IM19" s="611"/>
      <c r="IN19" s="611"/>
      <c r="IO19" s="611"/>
      <c r="IP19" s="611"/>
      <c r="IQ19" s="611"/>
      <c r="IR19" s="611"/>
      <c r="IS19" s="611"/>
      <c r="IT19" s="611"/>
      <c r="IU19" s="611"/>
      <c r="IV19" s="611"/>
      <c r="IW19" s="611"/>
    </row>
    <row r="20" customFormat="false" ht="12.75" hidden="true" customHeight="false" outlineLevel="1" collapsed="false">
      <c r="A20" s="312" t="s">
        <v>240</v>
      </c>
      <c r="B20" s="7"/>
      <c r="C20" s="612" t="n">
        <f aca="false">+C14</f>
        <v>4214.81271335325</v>
      </c>
      <c r="D20" s="608" t="n">
        <f aca="false">+D14</f>
        <v>4214.81271335325</v>
      </c>
      <c r="E20" s="608" t="n">
        <f aca="false">+E14</f>
        <v>4214.81271335325</v>
      </c>
      <c r="F20" s="608" t="n">
        <f aca="false">+F14</f>
        <v>4214.81271335325</v>
      </c>
      <c r="G20" s="608" t="n">
        <f aca="false">+G14</f>
        <v>4214.81271335325</v>
      </c>
      <c r="H20" s="608" t="n">
        <f aca="false">+H14</f>
        <v>4214.81271335325</v>
      </c>
      <c r="I20" s="608" t="n">
        <f aca="false">+I14</f>
        <v>4214.81271335325</v>
      </c>
      <c r="J20" s="608" t="n">
        <f aca="false">+J14</f>
        <v>4214.81271335325</v>
      </c>
      <c r="K20" s="608" t="n">
        <f aca="false">+K14</f>
        <v>4214.81271335325</v>
      </c>
      <c r="L20" s="608" t="n">
        <f aca="false">+L14</f>
        <v>4214.81271335325</v>
      </c>
      <c r="M20" s="608" t="n">
        <f aca="false">+M14</f>
        <v>4214.81271335325</v>
      </c>
      <c r="N20" s="608" t="n">
        <f aca="false">+N14</f>
        <v>4214.81271335325</v>
      </c>
      <c r="O20" s="608" t="n">
        <f aca="false">+O14</f>
        <v>4214.81271335325</v>
      </c>
      <c r="P20" s="608" t="n">
        <f aca="false">+P14</f>
        <v>4214.81271335325</v>
      </c>
      <c r="Q20" s="608" t="n">
        <f aca="false">+Q14</f>
        <v>4214.81271335325</v>
      </c>
      <c r="R20" s="608" t="n">
        <f aca="false">+R14</f>
        <v>4214.81271335325</v>
      </c>
      <c r="S20" s="608" t="n">
        <f aca="false">+S14</f>
        <v>4214.81271335325</v>
      </c>
      <c r="T20" s="608" t="n">
        <f aca="false">+T14</f>
        <v>4214.81271335325</v>
      </c>
      <c r="U20" s="608" t="n">
        <f aca="false">+U14</f>
        <v>4214.81271335325</v>
      </c>
      <c r="V20" s="608" t="n">
        <f aca="false">+V14</f>
        <v>4214.81271335325</v>
      </c>
      <c r="W20" s="608" t="n">
        <f aca="false">+W14</f>
        <v>4214.81271335325</v>
      </c>
      <c r="X20" s="608" t="n">
        <f aca="false">+X14</f>
        <v>4214.81271335325</v>
      </c>
      <c r="Y20" s="608" t="n">
        <f aca="false">+Y14</f>
        <v>4214.81271335325</v>
      </c>
      <c r="Z20" s="608" t="n">
        <f aca="false">+Z14</f>
        <v>4214.81271335325</v>
      </c>
      <c r="AA20" s="608" t="n">
        <f aca="false">+AA14</f>
        <v>4214.81271335325</v>
      </c>
      <c r="AB20" s="608" t="n">
        <f aca="false">+AB14</f>
        <v>4214.81271335325</v>
      </c>
      <c r="AC20" s="608" t="n">
        <f aca="false">+AC14</f>
        <v>4214.81271335325</v>
      </c>
      <c r="AD20" s="608" t="n">
        <f aca="false">+AD14</f>
        <v>4214.81271335325</v>
      </c>
      <c r="AE20" s="608" t="n">
        <f aca="false">+AE14</f>
        <v>4214.81271335325</v>
      </c>
      <c r="AF20" s="608" t="n">
        <f aca="false">+AF14</f>
        <v>4214.81271335325</v>
      </c>
      <c r="AG20" s="608" t="n">
        <f aca="false">+AG14</f>
        <v>4214.81271335325</v>
      </c>
      <c r="AH20" s="608" t="n">
        <f aca="false">+AH14</f>
        <v>4214.81271335325</v>
      </c>
      <c r="AI20" s="608" t="n">
        <f aca="false">+AI14</f>
        <v>4214.81271335325</v>
      </c>
      <c r="AJ20" s="608" t="n">
        <f aca="false">+AJ14</f>
        <v>4214.81271335325</v>
      </c>
      <c r="AK20" s="608" t="n">
        <f aca="false">+AK14</f>
        <v>4214.81271335325</v>
      </c>
      <c r="AL20" s="608" t="n">
        <f aca="false">+AL14</f>
        <v>4214.81271335325</v>
      </c>
      <c r="AM20" s="609" t="n">
        <f aca="false">+SUM(C20:AL20)</f>
        <v>151733.257680717</v>
      </c>
      <c r="AN20" s="7"/>
      <c r="AO20" s="20" t="n">
        <f aca="false">+AO19+1</f>
        <v>15</v>
      </c>
      <c r="AP20" s="7"/>
      <c r="AQ20" s="7"/>
      <c r="AR20" s="7"/>
      <c r="AS20" s="7"/>
      <c r="AT20" s="313"/>
      <c r="AU20" s="7"/>
      <c r="AV20" s="7"/>
      <c r="AW20" s="610"/>
      <c r="AX20" s="610"/>
      <c r="AY20" s="610"/>
      <c r="AZ20" s="7"/>
      <c r="BA20" s="610"/>
      <c r="BB20" s="610"/>
      <c r="BC20" s="610"/>
      <c r="BD20" s="7"/>
      <c r="BE20" s="610"/>
      <c r="BF20" s="610"/>
      <c r="BG20" s="610"/>
      <c r="BH20" s="610"/>
      <c r="BI20" s="7"/>
      <c r="BJ20" s="610"/>
      <c r="BK20" s="7"/>
      <c r="BL20" s="608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611"/>
      <c r="CQ20" s="611"/>
      <c r="CR20" s="611"/>
      <c r="CS20" s="611"/>
      <c r="CT20" s="611"/>
      <c r="CU20" s="611"/>
      <c r="CV20" s="611"/>
      <c r="CW20" s="611"/>
      <c r="CX20" s="611"/>
      <c r="CY20" s="611"/>
      <c r="CZ20" s="611"/>
      <c r="DA20" s="611"/>
      <c r="DB20" s="611"/>
      <c r="DC20" s="611"/>
      <c r="DD20" s="611"/>
      <c r="DE20" s="611"/>
      <c r="DF20" s="611"/>
      <c r="DG20" s="611"/>
      <c r="DH20" s="611"/>
      <c r="DI20" s="611"/>
      <c r="DJ20" s="611"/>
      <c r="DK20" s="611"/>
      <c r="DL20" s="611"/>
      <c r="DM20" s="611"/>
      <c r="DN20" s="611"/>
      <c r="DO20" s="611"/>
      <c r="DP20" s="611"/>
      <c r="DQ20" s="611"/>
      <c r="DR20" s="611"/>
      <c r="DS20" s="611"/>
      <c r="DT20" s="611"/>
      <c r="DU20" s="611"/>
      <c r="DV20" s="611"/>
      <c r="DW20" s="611"/>
      <c r="DX20" s="611"/>
      <c r="DY20" s="611"/>
      <c r="DZ20" s="611"/>
      <c r="EA20" s="611"/>
      <c r="EB20" s="611"/>
      <c r="EC20" s="611"/>
      <c r="ED20" s="611"/>
      <c r="EE20" s="611"/>
      <c r="EF20" s="611"/>
      <c r="EG20" s="611"/>
      <c r="EH20" s="611"/>
      <c r="EI20" s="611"/>
      <c r="EJ20" s="611"/>
      <c r="EK20" s="611"/>
      <c r="EL20" s="611"/>
      <c r="EM20" s="611"/>
      <c r="EN20" s="611"/>
      <c r="EO20" s="611"/>
      <c r="EP20" s="611"/>
      <c r="EQ20" s="611"/>
      <c r="ER20" s="611"/>
      <c r="ES20" s="611"/>
      <c r="ET20" s="611"/>
      <c r="EU20" s="611"/>
      <c r="EV20" s="611"/>
      <c r="EW20" s="611"/>
      <c r="EX20" s="611"/>
      <c r="EY20" s="611"/>
      <c r="EZ20" s="611"/>
      <c r="FA20" s="611"/>
      <c r="FB20" s="611"/>
      <c r="FC20" s="611"/>
      <c r="FD20" s="611"/>
      <c r="FE20" s="611"/>
      <c r="FF20" s="611"/>
      <c r="FG20" s="611"/>
      <c r="FH20" s="611"/>
      <c r="FI20" s="611"/>
      <c r="FJ20" s="611"/>
      <c r="FK20" s="611"/>
      <c r="FL20" s="611"/>
      <c r="FM20" s="611"/>
      <c r="FN20" s="611"/>
      <c r="FO20" s="611"/>
      <c r="FP20" s="611"/>
      <c r="FQ20" s="611"/>
      <c r="FR20" s="611"/>
      <c r="FS20" s="611"/>
      <c r="FT20" s="611"/>
      <c r="FU20" s="611"/>
      <c r="FV20" s="611"/>
      <c r="FW20" s="611"/>
      <c r="FX20" s="611"/>
      <c r="FY20" s="611"/>
      <c r="FZ20" s="611"/>
      <c r="GA20" s="611"/>
      <c r="GB20" s="611"/>
      <c r="GC20" s="611"/>
      <c r="GD20" s="611"/>
      <c r="GE20" s="611"/>
      <c r="GF20" s="611"/>
      <c r="GG20" s="611"/>
      <c r="GH20" s="611"/>
      <c r="GI20" s="611"/>
      <c r="GJ20" s="611"/>
      <c r="GK20" s="611"/>
      <c r="GL20" s="611"/>
      <c r="GM20" s="611"/>
      <c r="GN20" s="611"/>
      <c r="GO20" s="611"/>
      <c r="GP20" s="611"/>
      <c r="GQ20" s="611"/>
      <c r="GR20" s="611"/>
      <c r="GS20" s="611"/>
      <c r="GT20" s="611"/>
      <c r="GU20" s="611"/>
      <c r="GV20" s="611"/>
      <c r="GW20" s="611"/>
      <c r="GX20" s="611"/>
      <c r="GY20" s="611"/>
      <c r="GZ20" s="611"/>
      <c r="HA20" s="611"/>
      <c r="HB20" s="611"/>
      <c r="HC20" s="611"/>
      <c r="HD20" s="611"/>
      <c r="HE20" s="611"/>
      <c r="HF20" s="611"/>
      <c r="HG20" s="611"/>
      <c r="HH20" s="611"/>
      <c r="HI20" s="611"/>
      <c r="HJ20" s="611"/>
      <c r="HK20" s="611"/>
      <c r="HL20" s="611"/>
      <c r="HM20" s="611"/>
      <c r="HN20" s="611"/>
      <c r="HO20" s="611"/>
      <c r="HP20" s="611"/>
      <c r="HQ20" s="611"/>
      <c r="HR20" s="611"/>
      <c r="HS20" s="611"/>
      <c r="HT20" s="611"/>
      <c r="HU20" s="611"/>
      <c r="HV20" s="611"/>
      <c r="HW20" s="611"/>
      <c r="HX20" s="611"/>
      <c r="HY20" s="611"/>
      <c r="HZ20" s="611"/>
      <c r="IA20" s="611"/>
      <c r="IB20" s="611"/>
      <c r="IC20" s="611"/>
      <c r="ID20" s="611"/>
      <c r="IE20" s="611"/>
      <c r="IF20" s="611"/>
      <c r="IG20" s="611"/>
      <c r="IH20" s="611"/>
      <c r="II20" s="611"/>
      <c r="IJ20" s="611"/>
      <c r="IK20" s="611"/>
      <c r="IL20" s="611"/>
      <c r="IM20" s="611"/>
      <c r="IN20" s="611"/>
      <c r="IO20" s="611"/>
      <c r="IP20" s="611"/>
      <c r="IQ20" s="611"/>
      <c r="IR20" s="611"/>
      <c r="IS20" s="611"/>
      <c r="IT20" s="611"/>
      <c r="IU20" s="611"/>
      <c r="IV20" s="611"/>
      <c r="IW20" s="611"/>
    </row>
    <row r="21" customFormat="false" ht="12.75" hidden="true" customHeight="false" outlineLevel="1" collapsed="false">
      <c r="A21" s="312" t="s">
        <v>241</v>
      </c>
      <c r="B21" s="7"/>
      <c r="C21" s="612" t="n">
        <f aca="false">+IF(AND($J$4-C$15&lt;0,$J$4-B$15&gt;0),C$14-($J$4-B$15),IF($J$4-C$15&gt;0,0,C$14))</f>
        <v>0</v>
      </c>
      <c r="D21" s="612" t="n">
        <f aca="false">+IF(AND($J$4-D$15&lt;0,$J$4-C$15&gt;0),D$14-($J$4-C$15),IF($J$4-D$15&gt;0,0,D$14))</f>
        <v>0</v>
      </c>
      <c r="E21" s="612" t="n">
        <f aca="false">+IF(AND($J$4-E$15&lt;0,$J$4-D$15&gt;0),E$14-($J$4-D$15),IF($J$4-E$15&gt;0,0,E$14))</f>
        <v>0</v>
      </c>
      <c r="F21" s="612" t="n">
        <f aca="false">+IF(AND($J$4-F$15&lt;0,$J$4-E$15&gt;0),F$14-($J$4-E$15),IF($J$4-F$15&gt;0,0,F$14))</f>
        <v>0</v>
      </c>
      <c r="G21" s="612" t="n">
        <f aca="false">+IF(AND($J$4-G$15&lt;0,$J$4-F$15&gt;0),G$14-($J$4-F$15),IF($J$4-G$15&gt;0,0,G$14))</f>
        <v>0</v>
      </c>
      <c r="H21" s="612" t="n">
        <f aca="false">+IF(AND($J$4-H$15&lt;0,$J$4-G$15&gt;0),H$14-($J$4-G$15),IF($J$4-H$15&gt;0,0,H$14))</f>
        <v>0</v>
      </c>
      <c r="I21" s="612" t="n">
        <f aca="false">+IF(AND($J$4-I$15&lt;0,$J$4-H$15&gt;0),I$14-($J$4-H$15),IF($J$4-I$15&gt;0,0,I$14))</f>
        <v>0</v>
      </c>
      <c r="J21" s="612" t="n">
        <f aca="false">+IF(AND($J$4-J$15&lt;0,$J$4-I$15&gt;0),J$14-($J$4-I$15),IF($J$4-J$15&gt;0,0,J$14))</f>
        <v>0</v>
      </c>
      <c r="K21" s="612" t="n">
        <f aca="false">+IF(AND($J$4-K$15&lt;0,$J$4-J$15&gt;0),K$14-($J$4-J$15),IF($J$4-K$15&gt;0,0,K$14))</f>
        <v>0</v>
      </c>
      <c r="L21" s="612" t="n">
        <f aca="false">+IF(AND($J$4-L$15&lt;0,$J$4-K$15&gt;0),L$14-($J$4-K$15),IF($J$4-L$15&gt;0,0,L$14))</f>
        <v>0</v>
      </c>
      <c r="M21" s="612" t="n">
        <f aca="false">+IF(AND($J$4-M$15&lt;0,$J$4-L$15&gt;0),M$14-($J$4-L$15),IF($J$4-M$15&gt;0,0,M$14))</f>
        <v>0</v>
      </c>
      <c r="N21" s="612" t="n">
        <f aca="false">+IF(AND($J$4-N$15&lt;0,$J$4-M$15&gt;0),N$14-($J$4-M$15),IF($J$4-N$15&gt;0,0,N$14))</f>
        <v>0</v>
      </c>
      <c r="O21" s="612" t="n">
        <f aca="false">+IF(AND($J$4-O$15&lt;0,$J$4-N$15&gt;0),O$14-($J$4-N$15),IF($J$4-O$15&gt;0,0,O$14))</f>
        <v>0</v>
      </c>
      <c r="P21" s="612" t="n">
        <f aca="false">+IF(AND($J$4-P$15&lt;0,$J$4-O$15&gt;0),P$14-($J$4-O$15),IF($J$4-P$15&gt;0,0,P$14))</f>
        <v>0</v>
      </c>
      <c r="Q21" s="612" t="n">
        <f aca="false">+IF(AND($J$4-Q$15&lt;0,$J$4-P$15&gt;0),Q$14-($J$4-P$15),IF($J$4-Q$15&gt;0,0,Q$14))</f>
        <v>0</v>
      </c>
      <c r="R21" s="612" t="n">
        <f aca="false">+IF(AND($J$4-R$15&lt;0,$J$4-Q$15&gt;0),R$14-($J$4-Q$15),IF($J$4-R$15&gt;0,0,R$14))</f>
        <v>0</v>
      </c>
      <c r="S21" s="612" t="n">
        <f aca="false">+IF(AND($J$4-S$15&lt;0,$J$4-R$15&gt;0),S$14-($J$4-R$15),IF($J$4-S$15&gt;0,0,S$14))</f>
        <v>0</v>
      </c>
      <c r="T21" s="612" t="n">
        <f aca="false">+IF(AND($J$4-T$15&lt;0,$J$4-S$15&gt;0),T$14-($J$4-S$15),IF($J$4-T$15&gt;0,0,T$14))</f>
        <v>0</v>
      </c>
      <c r="U21" s="612" t="n">
        <f aca="false">+IF(AND($J$4-U$15&lt;0,$J$4-T$15&gt;0),U$14-($J$4-T$15),IF($J$4-U$15&gt;0,0,U$14))</f>
        <v>0</v>
      </c>
      <c r="V21" s="612" t="n">
        <f aca="false">+IF(AND($J$4-V$15&lt;0,$J$4-U$15&gt;0),V$14-($J$4-U$15),IF($J$4-V$15&gt;0,0,V$14))</f>
        <v>0</v>
      </c>
      <c r="W21" s="612" t="n">
        <f aca="false">+IF(AND($J$4-W$15&lt;0,$J$4-V$15&gt;0),W$14-($J$4-V$15),IF($J$4-W$15&gt;0,0,W$14))</f>
        <v>0</v>
      </c>
      <c r="X21" s="612" t="n">
        <f aca="false">+IF(AND($J$4-X$15&lt;0,$J$4-W$15&gt;0),X$14-($J$4-W$15),IF($J$4-X$15&gt;0,0,X$14))</f>
        <v>0</v>
      </c>
      <c r="Y21" s="612" t="n">
        <f aca="false">+IF(AND($J$4-Y$15&lt;0,$J$4-X$15&gt;0),Y$14-($J$4-X$15),IF($J$4-Y$15&gt;0,0,Y$14))</f>
        <v>0</v>
      </c>
      <c r="Z21" s="612" t="n">
        <f aca="false">+IF(AND($J$4-Z$15&lt;0,$J$4-Y$15&gt;0),Z$14-($J$4-Y$15),IF($J$4-Z$15&gt;0,0,Z$14))</f>
        <v>0</v>
      </c>
      <c r="AA21" s="612" t="n">
        <f aca="false">+IF(AND($J$4-AA$15&lt;0,$J$4-Z$15&gt;0),AA$14-($J$4-Z$15),IF($J$4-AA$15&gt;0,0,AA$14))</f>
        <v>0</v>
      </c>
      <c r="AB21" s="612" t="n">
        <f aca="false">+IF(AND($J$4-AB$15&lt;0,$J$4-AA$15&gt;0),AB$14-($J$4-AA$15),IF($J$4-AB$15&gt;0,0,AB$14))</f>
        <v>0</v>
      </c>
      <c r="AC21" s="612" t="n">
        <f aca="false">+IF(AND($J$4-AC$15&lt;0,$J$4-AB$15&gt;0),AC$14-($J$4-AB$15),IF($J$4-AC$15&gt;0,0,AC$14))</f>
        <v>0</v>
      </c>
      <c r="AD21" s="612" t="n">
        <f aca="false">+IF(AND($J$4-AD$15&lt;0,$J$4-AC$15&gt;0),AD$14-($J$4-AC$15),IF($J$4-AD$15&gt;0,0,AD$14))</f>
        <v>4214.52103675485</v>
      </c>
      <c r="AE21" s="612" t="n">
        <f aca="false">+IF(AND($J$4-AE$15&lt;0,$J$4-AD$15&gt;0),AE$14-($J$4-AD$15),IF($J$4-AE$15&gt;0,0,AE$14))</f>
        <v>4214.81271335325</v>
      </c>
      <c r="AF21" s="612" t="n">
        <f aca="false">+IF(AND($J$4-AF$15&lt;0,$J$4-AE$15&gt;0),AF$14-($J$4-AE$15),IF($J$4-AF$15&gt;0,0,AF$14))</f>
        <v>4214.81271335325</v>
      </c>
      <c r="AG21" s="608" t="n">
        <f aca="false">+IF(AND($J$4-AG$15&lt;0,$J$4-AF$15&gt;0),AG$14-($J$4-AF$15),IF($J$4-AG$15&gt;0,0,AG$14))</f>
        <v>4214.81271335325</v>
      </c>
      <c r="AH21" s="608" t="n">
        <f aca="false">+IF(AND($J$4-AH$15&lt;0,$J$4-AG$15&gt;0),AH$14-($J$4-AG$15),IF($J$4-AH$15&gt;0,0,AH$14))</f>
        <v>4214.81271335325</v>
      </c>
      <c r="AI21" s="608" t="n">
        <f aca="false">+IF(AND($J$4-AI$15&lt;0,$J$4-AH$15&gt;0),AI$14-($J$4-AH$15),IF($J$4-AI$15&gt;0,0,AI$14))</f>
        <v>4214.81271335325</v>
      </c>
      <c r="AJ21" s="608" t="n">
        <f aca="false">+IF(AND($J$4-AJ$15&lt;0,$J$4-AI$15&gt;0),AJ$14-($J$4-AI$15),IF($J$4-AJ$15&gt;0,0,AJ$14))</f>
        <v>4214.81271335325</v>
      </c>
      <c r="AK21" s="608" t="n">
        <f aca="false">+IF(AND($J$4-AK$15&lt;0,$J$4-AJ$15&gt;0),AK$14-($J$4-AJ$15),IF($J$4-AK$15&gt;0,0,AK$14))</f>
        <v>4214.81271335325</v>
      </c>
      <c r="AL21" s="608" t="n">
        <f aca="false">+IF(AND($J$4-AL$15&lt;0,$J$4-AK$15&gt;0),AL$14-($J$4-AK$15),IF($J$4-AL$15&gt;0,0,AL$14))</f>
        <v>4214.81271335325</v>
      </c>
      <c r="AM21" s="609" t="n">
        <f aca="false">+SUM(C21:AL21)</f>
        <v>37933.0227435808</v>
      </c>
      <c r="AN21" s="7"/>
      <c r="AO21" s="20" t="n">
        <f aca="false">+AO20+1</f>
        <v>16</v>
      </c>
      <c r="AP21" s="7"/>
      <c r="AQ21" s="7"/>
      <c r="AR21" s="7"/>
      <c r="AS21" s="7"/>
      <c r="AT21" s="313"/>
      <c r="AU21" s="7"/>
      <c r="AV21" s="7"/>
      <c r="AW21" s="610"/>
      <c r="AX21" s="610"/>
      <c r="AY21" s="610"/>
      <c r="AZ21" s="7"/>
      <c r="BA21" s="610"/>
      <c r="BB21" s="610"/>
      <c r="BC21" s="610"/>
      <c r="BD21" s="7"/>
      <c r="BE21" s="610"/>
      <c r="BF21" s="610"/>
      <c r="BG21" s="610"/>
      <c r="BH21" s="610"/>
      <c r="BI21" s="7"/>
      <c r="BJ21" s="610"/>
      <c r="BK21" s="7"/>
      <c r="BL21" s="608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611"/>
      <c r="CQ21" s="611"/>
      <c r="CR21" s="611"/>
      <c r="CS21" s="611"/>
      <c r="CT21" s="611"/>
      <c r="CU21" s="611"/>
      <c r="CV21" s="611"/>
      <c r="CW21" s="611"/>
      <c r="CX21" s="611"/>
      <c r="CY21" s="611"/>
      <c r="CZ21" s="611"/>
      <c r="DA21" s="611"/>
      <c r="DB21" s="611"/>
      <c r="DC21" s="611"/>
      <c r="DD21" s="611"/>
      <c r="DE21" s="611"/>
      <c r="DF21" s="611"/>
      <c r="DG21" s="611"/>
      <c r="DH21" s="611"/>
      <c r="DI21" s="611"/>
      <c r="DJ21" s="611"/>
      <c r="DK21" s="611"/>
      <c r="DL21" s="611"/>
      <c r="DM21" s="611"/>
      <c r="DN21" s="611"/>
      <c r="DO21" s="611"/>
      <c r="DP21" s="611"/>
      <c r="DQ21" s="611"/>
      <c r="DR21" s="611"/>
      <c r="DS21" s="611"/>
      <c r="DT21" s="611"/>
      <c r="DU21" s="611"/>
      <c r="DV21" s="611"/>
      <c r="DW21" s="611"/>
      <c r="DX21" s="611"/>
      <c r="DY21" s="611"/>
      <c r="DZ21" s="611"/>
      <c r="EA21" s="611"/>
      <c r="EB21" s="611"/>
      <c r="EC21" s="611"/>
      <c r="ED21" s="611"/>
      <c r="EE21" s="611"/>
      <c r="EF21" s="611"/>
      <c r="EG21" s="611"/>
      <c r="EH21" s="611"/>
      <c r="EI21" s="611"/>
      <c r="EJ21" s="611"/>
      <c r="EK21" s="611"/>
      <c r="EL21" s="611"/>
      <c r="EM21" s="611"/>
      <c r="EN21" s="611"/>
      <c r="EO21" s="611"/>
      <c r="EP21" s="611"/>
      <c r="EQ21" s="611"/>
      <c r="ER21" s="611"/>
      <c r="ES21" s="611"/>
      <c r="ET21" s="611"/>
      <c r="EU21" s="611"/>
      <c r="EV21" s="611"/>
      <c r="EW21" s="611"/>
      <c r="EX21" s="611"/>
      <c r="EY21" s="611"/>
      <c r="EZ21" s="611"/>
      <c r="FA21" s="611"/>
      <c r="FB21" s="611"/>
      <c r="FC21" s="611"/>
      <c r="FD21" s="611"/>
      <c r="FE21" s="611"/>
      <c r="FF21" s="611"/>
      <c r="FG21" s="611"/>
      <c r="FH21" s="611"/>
      <c r="FI21" s="611"/>
      <c r="FJ21" s="611"/>
      <c r="FK21" s="611"/>
      <c r="FL21" s="611"/>
      <c r="FM21" s="611"/>
      <c r="FN21" s="611"/>
      <c r="FO21" s="611"/>
      <c r="FP21" s="611"/>
      <c r="FQ21" s="611"/>
      <c r="FR21" s="611"/>
      <c r="FS21" s="611"/>
      <c r="FT21" s="611"/>
      <c r="FU21" s="611"/>
      <c r="FV21" s="611"/>
      <c r="FW21" s="611"/>
      <c r="FX21" s="611"/>
      <c r="FY21" s="611"/>
      <c r="FZ21" s="611"/>
      <c r="GA21" s="611"/>
      <c r="GB21" s="611"/>
      <c r="GC21" s="611"/>
      <c r="GD21" s="611"/>
      <c r="GE21" s="611"/>
      <c r="GF21" s="611"/>
      <c r="GG21" s="611"/>
      <c r="GH21" s="611"/>
      <c r="GI21" s="611"/>
      <c r="GJ21" s="611"/>
      <c r="GK21" s="611"/>
      <c r="GL21" s="611"/>
      <c r="GM21" s="611"/>
      <c r="GN21" s="611"/>
      <c r="GO21" s="611"/>
      <c r="GP21" s="611"/>
      <c r="GQ21" s="611"/>
      <c r="GR21" s="611"/>
      <c r="GS21" s="611"/>
      <c r="GT21" s="611"/>
      <c r="GU21" s="611"/>
      <c r="GV21" s="611"/>
      <c r="GW21" s="611"/>
      <c r="GX21" s="611"/>
      <c r="GY21" s="611"/>
      <c r="GZ21" s="611"/>
      <c r="HA21" s="611"/>
      <c r="HB21" s="611"/>
      <c r="HC21" s="611"/>
      <c r="HD21" s="611"/>
      <c r="HE21" s="611"/>
      <c r="HF21" s="611"/>
      <c r="HG21" s="611"/>
      <c r="HH21" s="611"/>
      <c r="HI21" s="611"/>
      <c r="HJ21" s="611"/>
      <c r="HK21" s="611"/>
      <c r="HL21" s="611"/>
      <c r="HM21" s="611"/>
      <c r="HN21" s="611"/>
      <c r="HO21" s="611"/>
      <c r="HP21" s="611"/>
      <c r="HQ21" s="611"/>
      <c r="HR21" s="611"/>
      <c r="HS21" s="611"/>
      <c r="HT21" s="611"/>
      <c r="HU21" s="611"/>
      <c r="HV21" s="611"/>
      <c r="HW21" s="611"/>
      <c r="HX21" s="611"/>
      <c r="HY21" s="611"/>
      <c r="HZ21" s="611"/>
      <c r="IA21" s="611"/>
      <c r="IB21" s="611"/>
      <c r="IC21" s="611"/>
      <c r="ID21" s="611"/>
      <c r="IE21" s="611"/>
      <c r="IF21" s="611"/>
      <c r="IG21" s="611"/>
      <c r="IH21" s="611"/>
      <c r="II21" s="611"/>
      <c r="IJ21" s="611"/>
      <c r="IK21" s="611"/>
      <c r="IL21" s="611"/>
      <c r="IM21" s="611"/>
      <c r="IN21" s="611"/>
      <c r="IO21" s="611"/>
      <c r="IP21" s="611"/>
      <c r="IQ21" s="611"/>
      <c r="IR21" s="611"/>
      <c r="IS21" s="611"/>
      <c r="IT21" s="611"/>
      <c r="IU21" s="611"/>
      <c r="IV21" s="611"/>
      <c r="IW21" s="611"/>
    </row>
    <row r="22" customFormat="false" ht="12.75" hidden="false" customHeight="false" outlineLevel="0" collapsed="false">
      <c r="A22" s="385" t="s">
        <v>242</v>
      </c>
      <c r="B22" s="291"/>
      <c r="C22" s="613" t="n">
        <f aca="false">+IF($B$19=0,MIN(C$18,C19),0)+IF($B$19=1,MIN(C$18,C20),0)+IF($B$19=2,C21)</f>
        <v>1053.70317833831</v>
      </c>
      <c r="D22" s="613" t="n">
        <f aca="false">+IF($B$19=0,MIN(D$18,D19),0)+IF($B$19=1,MIN(D$18,D20),0)+IF($B$19=2,D21)</f>
        <v>1053.70317833831</v>
      </c>
      <c r="E22" s="613" t="n">
        <f aca="false">+IF($B$19=0,MIN(E$18,E19),0)+IF($B$19=1,MIN(E$18,E20),0)+IF($B$19=2,E21)</f>
        <v>1053.70317833831</v>
      </c>
      <c r="F22" s="613" t="n">
        <f aca="false">+IF($B$19=0,MIN(F$18,F19),0)+IF($B$19=1,MIN(F$18,F20),0)+IF($B$19=2,F21)</f>
        <v>1053.70317833831</v>
      </c>
      <c r="G22" s="613" t="n">
        <f aca="false">+IF($B$19=0,MIN(G$18,G19),0)+IF($B$19=1,MIN(G$18,G20),0)+IF($B$19=2,G21)</f>
        <v>1053.70317833831</v>
      </c>
      <c r="H22" s="613" t="n">
        <f aca="false">+IF($B$19=0,MIN(H$18,H19),0)+IF($B$19=1,MIN(H$18,H20),0)+IF($B$19=2,H21)</f>
        <v>1053.70317833831</v>
      </c>
      <c r="I22" s="613" t="n">
        <f aca="false">+IF($B$19=0,MIN(I$18,I19),0)+IF($B$19=1,MIN(I$18,I20),0)+IF($B$19=2,I21)</f>
        <v>1053.70317833831</v>
      </c>
      <c r="J22" s="613" t="n">
        <f aca="false">+IF($B$19=0,MIN(J$18,J19),0)+IF($B$19=1,MIN(J$18,J20),0)+IF($B$19=2,J21)</f>
        <v>1053.70317833831</v>
      </c>
      <c r="K22" s="613" t="n">
        <f aca="false">+IF($B$19=0,MIN(K$18,K19),0)+IF($B$19=1,MIN(K$18,K20),0)+IF($B$19=2,K21)</f>
        <v>1053.70317833831</v>
      </c>
      <c r="L22" s="613" t="n">
        <f aca="false">+IF($B$19=0,MIN(L$18,L19),0)+IF($B$19=1,MIN(L$18,L20),0)+IF($B$19=2,L21)</f>
        <v>1053.70317833831</v>
      </c>
      <c r="M22" s="613" t="n">
        <f aca="false">+IF($B$19=0,MIN(M$18,M19),0)+IF($B$19=1,MIN(M$18,M20),0)+IF($B$19=2,M21)</f>
        <v>1053.70317833831</v>
      </c>
      <c r="N22" s="613" t="n">
        <f aca="false">+IF($B$19=0,MIN(N$18,N19),0)+IF($B$19=1,MIN(N$18,N20),0)+IF($B$19=2,N21)</f>
        <v>1053.70317833831</v>
      </c>
      <c r="O22" s="613" t="n">
        <f aca="false">+IF($B$19=0,MIN(O$18,O19),0)+IF($B$19=1,MIN(O$18,O20),0)+IF($B$19=2,O21)</f>
        <v>1053.70317833831</v>
      </c>
      <c r="P22" s="613" t="n">
        <f aca="false">+IF($B$19=0,MIN(P$18,P19),0)+IF($B$19=1,MIN(P$18,P20),0)+IF($B$19=2,P21)</f>
        <v>1053.70317833831</v>
      </c>
      <c r="Q22" s="613" t="n">
        <f aca="false">+IF($B$19=0,MIN(Q$18,Q19),0)+IF($B$19=1,MIN(Q$18,Q20),0)+IF($B$19=2,Q21)</f>
        <v>1053.70317833831</v>
      </c>
      <c r="R22" s="613" t="n">
        <f aca="false">+IF($B$19=0,MIN(R$18,R19),0)+IF($B$19=1,MIN(R$18,R20),0)+IF($B$19=2,R21)</f>
        <v>1053.70317833831</v>
      </c>
      <c r="S22" s="613" t="n">
        <f aca="false">+IF($B$19=0,MIN(S$18,S19),0)+IF($B$19=1,MIN(S$18,S20),0)+IF($B$19=2,S21)</f>
        <v>1053.70317833831</v>
      </c>
      <c r="T22" s="613" t="n">
        <f aca="false">+IF($B$19=0,MIN(T$18,T19),0)+IF($B$19=1,MIN(T$18,T20),0)+IF($B$19=2,T21)</f>
        <v>1053.70317833831</v>
      </c>
      <c r="U22" s="613" t="n">
        <f aca="false">+IF($B$19=0,MIN(U$18,U19),0)+IF($B$19=1,MIN(U$18,U20),0)+IF($B$19=2,U21)</f>
        <v>1053.70317833831</v>
      </c>
      <c r="V22" s="613" t="n">
        <f aca="false">+IF($B$19=0,MIN(V$18,V19),0)+IF($B$19=1,MIN(V$18,V20),0)+IF($B$19=2,V21)</f>
        <v>1053.70317833831</v>
      </c>
      <c r="W22" s="613" t="n">
        <f aca="false">+IF($B$19=0,MIN(W$18,W19),0)+IF($B$19=1,MIN(W$18,W20),0)+IF($B$19=2,W21)</f>
        <v>1053.70317833831</v>
      </c>
      <c r="X22" s="613" t="n">
        <f aca="false">+IF($B$19=0,MIN(X$18,X19),0)+IF($B$19=1,MIN(X$18,X20),0)+IF($B$19=2,X21)</f>
        <v>1053.70317833831</v>
      </c>
      <c r="Y22" s="613" t="n">
        <f aca="false">+IF($B$19=0,MIN(Y$18,Y19),0)+IF($B$19=1,MIN(Y$18,Y20),0)+IF($B$19=2,Y21)</f>
        <v>1053.70317833831</v>
      </c>
      <c r="Z22" s="613" t="n">
        <f aca="false">+IF($B$19=0,MIN(Z$18,Z19),0)+IF($B$19=1,MIN(Z$18,Z20),0)+IF($B$19=2,Z21)</f>
        <v>1053.70317833831</v>
      </c>
      <c r="AA22" s="613" t="n">
        <f aca="false">+IF($B$19=0,MIN(AA$18,AA19),0)+IF($B$19=1,MIN(AA$18,AA20),0)+IF($B$19=2,AA21)</f>
        <v>1053.70317833831</v>
      </c>
      <c r="AB22" s="613" t="n">
        <f aca="false">+IF($B$19=0,MIN(AB$18,AB19),0)+IF($B$19=1,MIN(AB$18,AB20),0)+IF($B$19=2,AB21)</f>
        <v>1053.70317833831</v>
      </c>
      <c r="AC22" s="613" t="n">
        <f aca="false">+IF($B$19=0,MIN(AC$18,AC19),0)+IF($B$19=1,MIN(AC$18,AC20),0)+IF($B$19=2,AC21)</f>
        <v>1053.70317833831</v>
      </c>
      <c r="AD22" s="613" t="n">
        <f aca="false">+IF($B$19=0,MIN(AD$18,AD19),0)+IF($B$19=1,MIN(AD$18,AD20),0)+IF($B$19=2,AD21)</f>
        <v>1053.70317833831</v>
      </c>
      <c r="AE22" s="613" t="n">
        <f aca="false">+IF($B$19=0,MIN(AE$18,AE19),0)+IF($B$19=1,MIN(AE$18,AE20),0)+IF($B$19=2,AE21)</f>
        <v>1053.70317833831</v>
      </c>
      <c r="AF22" s="613" t="n">
        <f aca="false">+IF($B$19=0,MIN(AF$18,AF19),0)+IF($B$19=1,MIN(AF$18,AF20),0)+IF($B$19=2,AF21)</f>
        <v>1053.70317833831</v>
      </c>
      <c r="AG22" s="613" t="n">
        <f aca="false">+IF($B$19=0,MIN(AG$18,AG19),0)+IF($B$19=1,MIN(AG$18,AG20),0)+IF($B$19=2,AG21)</f>
        <v>1053.70317833831</v>
      </c>
      <c r="AH22" s="613" t="n">
        <f aca="false">+IF($B$19=0,MIN(AH$18,AH19),0)+IF($B$19=1,MIN(AH$18,AH20),0)+IF($B$19=2,AH21)</f>
        <v>1053.70317833831</v>
      </c>
      <c r="AI22" s="613" t="n">
        <f aca="false">+IF($B$19=0,MIN(AI$18,AI19),0)+IF($B$19=1,MIN(AI$18,AI20),0)+IF($B$19=2,AI21)</f>
        <v>1053.70317833831</v>
      </c>
      <c r="AJ22" s="613" t="n">
        <f aca="false">+IF($B$19=0,MIN(AJ$18,AJ19),0)+IF($B$19=1,MIN(AJ$18,AJ20),0)+IF($B$19=2,AJ21)</f>
        <v>1053.70317833831</v>
      </c>
      <c r="AK22" s="613" t="n">
        <f aca="false">+IF($B$19=0,MIN(AK$18,AK19),0)+IF($B$19=1,MIN(AK$18,AK20),0)+IF($B$19=2,AK21)</f>
        <v>1053.70317833831</v>
      </c>
      <c r="AL22" s="613" t="n">
        <f aca="false">+IF($B$19=0,MIN(AL$18,AL19),0)+IF($B$19=1,MIN(AL$18,AL20),0)+IF($B$19=2,AL21)</f>
        <v>1053.70317833829</v>
      </c>
      <c r="AM22" s="614" t="n">
        <f aca="false">SUM(C22:AL22)</f>
        <v>37933.3144201792</v>
      </c>
      <c r="AN22" s="419" t="n">
        <f aca="false">+AM22+AM43*eqamt</f>
        <v>42512.2055645324</v>
      </c>
      <c r="AO22" s="20" t="n">
        <f aca="false">+AO21+1</f>
        <v>17</v>
      </c>
      <c r="AP22" s="600"/>
      <c r="AQ22" s="14"/>
      <c r="AR22" s="14"/>
      <c r="AS22" s="107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398"/>
      <c r="BJ22" s="398"/>
      <c r="BK22" s="398"/>
      <c r="BL22" s="398"/>
      <c r="BM22" s="398"/>
      <c r="BN22" s="398"/>
      <c r="BO22" s="398"/>
      <c r="BP22" s="398"/>
      <c r="BQ22" s="398"/>
      <c r="BR22" s="398"/>
      <c r="BS22" s="398"/>
      <c r="BT22" s="398"/>
      <c r="BU22" s="398"/>
      <c r="BV22" s="398"/>
      <c r="BW22" s="398"/>
      <c r="BX22" s="398"/>
      <c r="BY22" s="398"/>
      <c r="BZ22" s="398"/>
      <c r="CA22" s="398"/>
      <c r="CB22" s="398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</row>
    <row r="23" customFormat="false" ht="12.75" hidden="false" customHeight="false" outlineLevel="0" collapsed="false">
      <c r="A23" s="372" t="s">
        <v>243</v>
      </c>
      <c r="B23" s="14"/>
      <c r="C23" s="398" t="n">
        <f aca="false">SUM($C$22:C22)</f>
        <v>1053.70317833831</v>
      </c>
      <c r="D23" s="398" t="n">
        <f aca="false">SUM($C$22:D22)</f>
        <v>2107.40635667662</v>
      </c>
      <c r="E23" s="398" t="n">
        <f aca="false">SUM($C$22:E22)</f>
        <v>3161.10953501494</v>
      </c>
      <c r="F23" s="398" t="n">
        <f aca="false">SUM($C$22:F22)</f>
        <v>4214.81271335325</v>
      </c>
      <c r="G23" s="398" t="n">
        <f aca="false">SUM($C$22:G22)</f>
        <v>5268.51589169156</v>
      </c>
      <c r="H23" s="398" t="n">
        <f aca="false">SUM($C$22:H22)</f>
        <v>6322.21907002987</v>
      </c>
      <c r="I23" s="398" t="n">
        <f aca="false">SUM($C$22:I22)</f>
        <v>7375.92224836818</v>
      </c>
      <c r="J23" s="398" t="n">
        <f aca="false">SUM($C$22:J22)</f>
        <v>8429.6254267065</v>
      </c>
      <c r="K23" s="398" t="n">
        <f aca="false">SUM($C$22:K22)</f>
        <v>9483.32860504481</v>
      </c>
      <c r="L23" s="398" t="n">
        <f aca="false">SUM($C$22:L22)</f>
        <v>10537.0317833831</v>
      </c>
      <c r="M23" s="398" t="n">
        <f aca="false">SUM($C$22:M22)</f>
        <v>11590.7349617214</v>
      </c>
      <c r="N23" s="398" t="n">
        <f aca="false">SUM($C$22:N22)</f>
        <v>12644.4381400597</v>
      </c>
      <c r="O23" s="398" t="n">
        <f aca="false">SUM($C$22:O22)</f>
        <v>13698.1413183981</v>
      </c>
      <c r="P23" s="398" t="n">
        <f aca="false">SUM($C$22:P22)</f>
        <v>14751.8444967364</v>
      </c>
      <c r="Q23" s="398" t="n">
        <f aca="false">SUM($C$22:Q22)</f>
        <v>15805.5476750747</v>
      </c>
      <c r="R23" s="398" t="n">
        <f aca="false">SUM($C$22:R22)</f>
        <v>16859.250853413</v>
      </c>
      <c r="S23" s="398" t="n">
        <f aca="false">SUM($C$22:S22)</f>
        <v>17912.9540317513</v>
      </c>
      <c r="T23" s="398" t="n">
        <f aca="false">SUM($C$22:T22)</f>
        <v>18966.6572100896</v>
      </c>
      <c r="U23" s="398" t="n">
        <f aca="false">SUM($C$22:U22)</f>
        <v>20020.3603884279</v>
      </c>
      <c r="V23" s="398" t="n">
        <f aca="false">SUM($C$22:V22)</f>
        <v>21074.0635667662</v>
      </c>
      <c r="W23" s="398" t="n">
        <f aca="false">SUM($C$22:W22)</f>
        <v>22127.7667451046</v>
      </c>
      <c r="X23" s="398" t="n">
        <f aca="false">SUM($C$22:X22)</f>
        <v>23181.4699234429</v>
      </c>
      <c r="Y23" s="398" t="n">
        <f aca="false">SUM($C$22:Y22)</f>
        <v>24235.1731017812</v>
      </c>
      <c r="Z23" s="398" t="n">
        <f aca="false">SUM($C$22:Z22)</f>
        <v>25288.8762801195</v>
      </c>
      <c r="AA23" s="398" t="n">
        <f aca="false">SUM($C$22:AA22)</f>
        <v>26342.5794584578</v>
      </c>
      <c r="AB23" s="398" t="n">
        <f aca="false">SUM($C$22:AB22)</f>
        <v>27396.2826367961</v>
      </c>
      <c r="AC23" s="398" t="n">
        <f aca="false">SUM($C$22:AC22)</f>
        <v>28449.9858151344</v>
      </c>
      <c r="AD23" s="398" t="n">
        <f aca="false">SUM($C$22:AD22)</f>
        <v>29503.6889934727</v>
      </c>
      <c r="AE23" s="398" t="n">
        <f aca="false">SUM($C$22:AE22)</f>
        <v>30557.3921718111</v>
      </c>
      <c r="AF23" s="398" t="n">
        <f aca="false">SUM($C$22:AF22)</f>
        <v>31611.0953501494</v>
      </c>
      <c r="AG23" s="398" t="n">
        <f aca="false">SUM($C$22:AG22)</f>
        <v>32664.7985284877</v>
      </c>
      <c r="AH23" s="398" t="n">
        <f aca="false">SUM($C$22:AH22)</f>
        <v>33718.501706826</v>
      </c>
      <c r="AI23" s="398" t="n">
        <f aca="false">SUM($C$22:AI22)</f>
        <v>34772.2048851643</v>
      </c>
      <c r="AJ23" s="398" t="n">
        <f aca="false">SUM($C$22:AJ22)</f>
        <v>35825.9080635026</v>
      </c>
      <c r="AK23" s="398" t="n">
        <f aca="false">SUM($C$22:AK22)</f>
        <v>36879.6112418409</v>
      </c>
      <c r="AL23" s="398" t="n">
        <f aca="false">SUM($C$22:AL22)</f>
        <v>37933.3144201792</v>
      </c>
      <c r="AM23" s="389"/>
      <c r="AN23" s="14"/>
      <c r="AO23" s="20" t="n">
        <f aca="false">+AO22+1</f>
        <v>18</v>
      </c>
      <c r="AP23" s="14"/>
      <c r="AQ23" s="14"/>
      <c r="AR23" s="14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</row>
    <row r="24" customFormat="false" ht="12.75" hidden="false" customHeight="false" outlineLevel="0" collapsed="false">
      <c r="A24" s="372"/>
      <c r="B24" s="14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389"/>
      <c r="AN24" s="14"/>
      <c r="AO24" s="20" t="n">
        <f aca="false">+AO23+1</f>
        <v>19</v>
      </c>
      <c r="AP24" s="14"/>
      <c r="AQ24" s="14"/>
      <c r="AR24" s="14"/>
      <c r="AS24" s="398"/>
      <c r="AT24" s="398"/>
      <c r="AU24" s="398"/>
      <c r="AV24" s="398"/>
      <c r="AW24" s="398"/>
      <c r="AX24" s="398"/>
      <c r="AY24" s="398"/>
      <c r="AZ24" s="398"/>
      <c r="BA24" s="398"/>
      <c r="BB24" s="398"/>
      <c r="BC24" s="398"/>
      <c r="BD24" s="398"/>
      <c r="BE24" s="398"/>
      <c r="BF24" s="398"/>
      <c r="BG24" s="398"/>
      <c r="BH24" s="398"/>
      <c r="BI24" s="398"/>
      <c r="BJ24" s="398"/>
      <c r="BK24" s="398"/>
      <c r="BL24" s="398"/>
      <c r="BM24" s="398"/>
      <c r="BN24" s="398"/>
      <c r="BO24" s="398"/>
      <c r="BP24" s="398"/>
      <c r="BQ24" s="398"/>
      <c r="BR24" s="398"/>
      <c r="BS24" s="398"/>
      <c r="BT24" s="398"/>
      <c r="BU24" s="398"/>
      <c r="BV24" s="398"/>
      <c r="BW24" s="398"/>
      <c r="BX24" s="398"/>
      <c r="BY24" s="398"/>
      <c r="BZ24" s="398"/>
      <c r="CA24" s="398"/>
      <c r="CB24" s="398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</row>
    <row r="25" customFormat="false" ht="12.75" hidden="false" customHeight="false" outlineLevel="0" collapsed="false">
      <c r="A25" s="363" t="s">
        <v>244</v>
      </c>
      <c r="B25" s="295"/>
      <c r="C25" s="615" t="n">
        <f aca="false">MAX(+C14-C22,0)</f>
        <v>3161.10953501494</v>
      </c>
      <c r="D25" s="615" t="n">
        <f aca="false">MAX(+D14-D22,0)</f>
        <v>3161.10953501494</v>
      </c>
      <c r="E25" s="615" t="n">
        <f aca="false">MAX(+E14-E22,0)</f>
        <v>3161.10953501494</v>
      </c>
      <c r="F25" s="615" t="n">
        <f aca="false">MAX(+F14-F22,0)</f>
        <v>3161.10953501494</v>
      </c>
      <c r="G25" s="615" t="n">
        <f aca="false">MAX(+G14-G22,0)</f>
        <v>3161.10953501494</v>
      </c>
      <c r="H25" s="615" t="n">
        <f aca="false">MAX(+H14-H22,0)</f>
        <v>3161.10953501494</v>
      </c>
      <c r="I25" s="615" t="n">
        <f aca="false">MAX(+I14-I22,0)</f>
        <v>3161.10953501494</v>
      </c>
      <c r="J25" s="615" t="n">
        <f aca="false">MAX(+J14-J22,0)</f>
        <v>3161.10953501494</v>
      </c>
      <c r="K25" s="615" t="n">
        <f aca="false">MAX(+K14-K22,0)</f>
        <v>3161.10953501494</v>
      </c>
      <c r="L25" s="615" t="n">
        <f aca="false">MAX(+L14-L22,0)</f>
        <v>3161.10953501494</v>
      </c>
      <c r="M25" s="615" t="n">
        <f aca="false">MAX(+M14-M22,0)</f>
        <v>3161.10953501494</v>
      </c>
      <c r="N25" s="615" t="n">
        <f aca="false">MAX(+N14-N22,0)</f>
        <v>3161.10953501494</v>
      </c>
      <c r="O25" s="615" t="n">
        <f aca="false">MAX(+O14-O22,0)</f>
        <v>3161.10953501494</v>
      </c>
      <c r="P25" s="615" t="n">
        <f aca="false">MAX(+P14-P22,0)</f>
        <v>3161.10953501494</v>
      </c>
      <c r="Q25" s="615" t="n">
        <f aca="false">MAX(+Q14-Q22,0)</f>
        <v>3161.10953501494</v>
      </c>
      <c r="R25" s="615" t="n">
        <f aca="false">MAX(+R14-R22,0)</f>
        <v>3161.10953501494</v>
      </c>
      <c r="S25" s="615" t="n">
        <f aca="false">MAX(+S14-S22,0)</f>
        <v>3161.10953501494</v>
      </c>
      <c r="T25" s="615" t="n">
        <f aca="false">MAX(+T14-T22,0)</f>
        <v>3161.10953501494</v>
      </c>
      <c r="U25" s="615" t="n">
        <f aca="false">MAX(+U14-U22,0)</f>
        <v>3161.10953501494</v>
      </c>
      <c r="V25" s="615" t="n">
        <f aca="false">MAX(+V14-V22,0)</f>
        <v>3161.10953501494</v>
      </c>
      <c r="W25" s="615" t="n">
        <f aca="false">MAX(+W14-W22,0)</f>
        <v>3161.10953501494</v>
      </c>
      <c r="X25" s="615" t="n">
        <f aca="false">MAX(+X14-X22,0)</f>
        <v>3161.10953501494</v>
      </c>
      <c r="Y25" s="615" t="n">
        <f aca="false">MAX(+Y14-Y22,0)</f>
        <v>3161.10953501494</v>
      </c>
      <c r="Z25" s="615" t="n">
        <f aca="false">MAX(+Z14-Z22,0)</f>
        <v>3161.10953501494</v>
      </c>
      <c r="AA25" s="615" t="n">
        <f aca="false">MAX(+AA14-AA22,0)</f>
        <v>3161.10953501494</v>
      </c>
      <c r="AB25" s="615" t="n">
        <f aca="false">MAX(+AB14-AB22,0)</f>
        <v>3161.10953501494</v>
      </c>
      <c r="AC25" s="615" t="n">
        <f aca="false">MAX(+AC14-AC22,0)</f>
        <v>3161.10953501494</v>
      </c>
      <c r="AD25" s="615" t="n">
        <f aca="false">MAX(+AD14-AD22,0)</f>
        <v>3161.10953501494</v>
      </c>
      <c r="AE25" s="615" t="n">
        <f aca="false">MAX(+AE14-AE22,0)</f>
        <v>3161.10953501494</v>
      </c>
      <c r="AF25" s="615" t="n">
        <f aca="false">MAX(+AF14-AF22,0)</f>
        <v>3161.10953501494</v>
      </c>
      <c r="AG25" s="615" t="n">
        <f aca="false">MAX(+AG14-AG22,0)</f>
        <v>3161.10953501494</v>
      </c>
      <c r="AH25" s="615" t="n">
        <f aca="false">MAX(+AH14-AH22,0)</f>
        <v>3161.10953501494</v>
      </c>
      <c r="AI25" s="615" t="n">
        <f aca="false">MAX(+AI14-AI22,0)</f>
        <v>3161.10953501494</v>
      </c>
      <c r="AJ25" s="615" t="n">
        <f aca="false">MAX(+AJ14-AJ22,0)</f>
        <v>3161.10953501494</v>
      </c>
      <c r="AK25" s="615" t="n">
        <f aca="false">MAX(+AK14-AK22,0)</f>
        <v>3161.10953501494</v>
      </c>
      <c r="AL25" s="615" t="n">
        <f aca="false">MAX(+AL14-AL22,0)</f>
        <v>3161.10953501496</v>
      </c>
      <c r="AM25" s="616" t="n">
        <f aca="false">SUM(C25:AL25)</f>
        <v>113799.943260538</v>
      </c>
      <c r="AN25" s="353" t="n">
        <f aca="false">+AM25+AM43*debtamt</f>
        <v>127536.616693597</v>
      </c>
      <c r="AO25" s="20" t="n">
        <f aca="false">+AO24+1</f>
        <v>20</v>
      </c>
      <c r="AP25" s="295"/>
      <c r="AQ25" s="295"/>
      <c r="AR25" s="295"/>
      <c r="AS25" s="353"/>
      <c r="AT25" s="353"/>
      <c r="AU25" s="353"/>
      <c r="AV25" s="353"/>
      <c r="AW25" s="353"/>
      <c r="AX25" s="353"/>
      <c r="AY25" s="353"/>
      <c r="AZ25" s="353"/>
      <c r="BA25" s="353"/>
      <c r="BB25" s="353"/>
      <c r="BC25" s="353"/>
      <c r="BD25" s="353"/>
      <c r="BE25" s="353"/>
      <c r="BF25" s="353"/>
      <c r="BG25" s="353"/>
      <c r="BH25" s="353"/>
      <c r="BI25" s="353"/>
      <c r="BJ25" s="353"/>
      <c r="BK25" s="353"/>
      <c r="BL25" s="353"/>
      <c r="BM25" s="353"/>
      <c r="BN25" s="353"/>
      <c r="BO25" s="353"/>
      <c r="BP25" s="353"/>
      <c r="BQ25" s="353"/>
      <c r="BR25" s="353"/>
      <c r="BS25" s="353"/>
      <c r="BT25" s="353"/>
      <c r="BU25" s="353"/>
      <c r="BV25" s="353"/>
      <c r="BW25" s="353"/>
      <c r="BX25" s="353"/>
      <c r="BY25" s="353"/>
      <c r="BZ25" s="353"/>
      <c r="CA25" s="353"/>
      <c r="CB25" s="353"/>
      <c r="CC25" s="353"/>
      <c r="CD25" s="295"/>
      <c r="CE25" s="295"/>
      <c r="CF25" s="295"/>
      <c r="CG25" s="295"/>
      <c r="CH25" s="295"/>
      <c r="CI25" s="295"/>
      <c r="CJ25" s="295"/>
      <c r="CK25" s="295"/>
      <c r="CL25" s="295"/>
      <c r="CM25" s="295"/>
      <c r="CN25" s="295"/>
      <c r="CO25" s="295"/>
      <c r="CP25" s="296"/>
      <c r="CQ25" s="296"/>
      <c r="CR25" s="296"/>
      <c r="CS25" s="296"/>
      <c r="CT25" s="296"/>
      <c r="CU25" s="296"/>
      <c r="CV25" s="296"/>
      <c r="CW25" s="296"/>
      <c r="CX25" s="296"/>
      <c r="CY25" s="296"/>
      <c r="CZ25" s="296"/>
      <c r="DA25" s="296"/>
      <c r="DB25" s="296"/>
      <c r="DC25" s="296"/>
      <c r="DD25" s="296"/>
      <c r="DE25" s="296"/>
      <c r="DF25" s="296"/>
      <c r="DG25" s="296"/>
      <c r="DH25" s="296"/>
      <c r="DI25" s="296"/>
      <c r="DJ25" s="296"/>
      <c r="DK25" s="296"/>
      <c r="DL25" s="296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6"/>
      <c r="FF25" s="296"/>
      <c r="FG25" s="296"/>
      <c r="FH25" s="296"/>
      <c r="FI25" s="296"/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  <c r="GX25" s="296"/>
      <c r="GY25" s="296"/>
      <c r="GZ25" s="296"/>
      <c r="HA25" s="296"/>
      <c r="HB25" s="296"/>
      <c r="HC25" s="296"/>
      <c r="HD25" s="296"/>
      <c r="HE25" s="296"/>
      <c r="HF25" s="296"/>
      <c r="HG25" s="296"/>
      <c r="HH25" s="296"/>
      <c r="HI25" s="296"/>
      <c r="HJ25" s="296"/>
      <c r="HK25" s="296"/>
      <c r="HL25" s="296"/>
      <c r="HM25" s="296"/>
      <c r="HN25" s="296"/>
      <c r="HO25" s="296"/>
      <c r="HP25" s="296"/>
      <c r="HQ25" s="296"/>
      <c r="HR25" s="296"/>
      <c r="HS25" s="296"/>
      <c r="HT25" s="296"/>
      <c r="HU25" s="296"/>
      <c r="HV25" s="296"/>
      <c r="HW25" s="296"/>
      <c r="HX25" s="296"/>
      <c r="HY25" s="296"/>
      <c r="HZ25" s="296"/>
      <c r="IA25" s="296"/>
      <c r="IB25" s="296"/>
      <c r="IC25" s="296"/>
      <c r="ID25" s="296"/>
      <c r="IE25" s="296"/>
      <c r="IF25" s="296"/>
      <c r="IG25" s="296"/>
      <c r="IH25" s="296"/>
      <c r="II25" s="296"/>
      <c r="IJ25" s="296"/>
      <c r="IK25" s="296"/>
      <c r="IL25" s="296"/>
      <c r="IM25" s="296"/>
      <c r="IN25" s="296"/>
      <c r="IO25" s="296"/>
      <c r="IP25" s="296"/>
      <c r="IQ25" s="296"/>
      <c r="IR25" s="296"/>
      <c r="IS25" s="296"/>
      <c r="IT25" s="296"/>
      <c r="IU25" s="296"/>
      <c r="IV25" s="296"/>
      <c r="IW25" s="296"/>
    </row>
    <row r="26" customFormat="false" ht="12.75" hidden="false" customHeight="false" outlineLevel="0" collapsed="false">
      <c r="A26" s="37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389"/>
      <c r="AN26" s="14"/>
      <c r="AO26" s="20" t="n">
        <f aca="false">+AO25+1</f>
        <v>21</v>
      </c>
      <c r="AP26" s="492"/>
      <c r="AQ26" s="492"/>
      <c r="AR26" s="492"/>
      <c r="AS26" s="492"/>
      <c r="AT26" s="580"/>
      <c r="AU26" s="14"/>
      <c r="AV26" s="14"/>
      <c r="AW26" s="580"/>
      <c r="AX26" s="580"/>
      <c r="AY26" s="580"/>
      <c r="AZ26" s="14"/>
      <c r="BA26" s="580"/>
      <c r="BB26" s="580"/>
      <c r="BC26" s="580"/>
      <c r="BD26" s="14"/>
      <c r="BE26" s="580"/>
      <c r="BF26" s="580"/>
      <c r="BG26" s="580"/>
      <c r="BH26" s="580"/>
      <c r="BI26" s="14"/>
      <c r="BJ26" s="580"/>
      <c r="BK26" s="14"/>
      <c r="BL26" s="398"/>
      <c r="BM26" s="398"/>
      <c r="BN26" s="492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</row>
    <row r="27" customFormat="false" ht="12.75" hidden="true" customHeight="false" outlineLevel="1" collapsed="false">
      <c r="A27" s="617" t="s">
        <v>245</v>
      </c>
      <c r="B27" s="618" t="n">
        <v>0</v>
      </c>
      <c r="C27" s="619" t="n">
        <f aca="false">IF(C5&gt;=Assumpt!$E$49,0,IDC!C25)</f>
        <v>0</v>
      </c>
      <c r="D27" s="619" t="n">
        <f aca="false">IF(D5&gt;=Assumpt!$E$49,0,IDC!D25)</f>
        <v>0</v>
      </c>
      <c r="E27" s="619" t="n">
        <f aca="false">IF(E5&gt;=Assumpt!$E$49,0,IDC!E25)</f>
        <v>0</v>
      </c>
      <c r="F27" s="619" t="n">
        <f aca="false">IF(F5&gt;=Assumpt!$E$49,0,IDC!F25)</f>
        <v>0</v>
      </c>
      <c r="G27" s="619" t="n">
        <f aca="false">IF(G5&gt;=Assumpt!$E$49,0,IDC!G25)</f>
        <v>0</v>
      </c>
      <c r="H27" s="619" t="n">
        <f aca="false">IF(H5&gt;=Assumpt!$E$49,0,IDC!H25)</f>
        <v>0</v>
      </c>
      <c r="I27" s="619" t="n">
        <f aca="false">IF(I5&gt;=Assumpt!$E$49,0,IDC!I25)</f>
        <v>0</v>
      </c>
      <c r="J27" s="619" t="n">
        <f aca="false">IF(J5&gt;=Assumpt!$E$49,0,IDC!J25)</f>
        <v>0</v>
      </c>
      <c r="K27" s="619" t="n">
        <f aca="false">IF(K5&gt;=Assumpt!$E$49,0,IDC!K25)</f>
        <v>0</v>
      </c>
      <c r="L27" s="619" t="n">
        <f aca="false">IF(L5&gt;=Assumpt!$E$49,0,IDC!L25)</f>
        <v>0</v>
      </c>
      <c r="M27" s="619" t="n">
        <f aca="false">IF(M5&gt;=Assumpt!$E$49,0,IDC!M25)</f>
        <v>0</v>
      </c>
      <c r="N27" s="619" t="n">
        <f aca="false">IF(N5&gt;=Assumpt!$E$49,0,IDC!N25)</f>
        <v>0</v>
      </c>
      <c r="O27" s="619" t="n">
        <f aca="false">IF(O5&gt;=Assumpt!$E$49,0,IDC!O25)</f>
        <v>0</v>
      </c>
      <c r="P27" s="619" t="n">
        <f aca="false">IF(P5&gt;=Assumpt!$E$49,0,IDC!P25)</f>
        <v>0</v>
      </c>
      <c r="Q27" s="619" t="n">
        <f aca="false">IF(Q5&gt;=Assumpt!$E$49,0,IDC!Q25)</f>
        <v>0</v>
      </c>
      <c r="R27" s="619" t="n">
        <f aca="false">IF(R5&gt;=Assumpt!$E$49,0,IDC!R25)</f>
        <v>0</v>
      </c>
      <c r="S27" s="619" t="n">
        <f aca="false">IF(S5&gt;=Assumpt!$E$49,0,IDC!S25)</f>
        <v>0</v>
      </c>
      <c r="T27" s="619" t="n">
        <f aca="false">IF(T5&gt;=Assumpt!$E$49,0,IDC!T25)</f>
        <v>0</v>
      </c>
      <c r="U27" s="619" t="n">
        <f aca="false">IF(U5&gt;=Assumpt!$E$49,0,IDC!U25)</f>
        <v>0</v>
      </c>
      <c r="V27" s="619" t="n">
        <f aca="false">IF(V5&gt;=Assumpt!$E$49,0,IDC!V25)</f>
        <v>0</v>
      </c>
      <c r="W27" s="619" t="n">
        <f aca="false">IF(W5&gt;=Assumpt!$E$49,0,IDC!W25)</f>
        <v>0</v>
      </c>
      <c r="X27" s="619" t="n">
        <f aca="false">IF(X5&gt;=Assumpt!$E$49,0,IDC!X25)</f>
        <v>0</v>
      </c>
      <c r="Y27" s="619" t="n">
        <f aca="false">IF(Y5&gt;=Assumpt!$E$49,0,IDC!Y25)</f>
        <v>0</v>
      </c>
      <c r="Z27" s="619" t="n">
        <f aca="false">IF(Z5&gt;=Assumpt!$E$49,0,IDC!Z25)</f>
        <v>0</v>
      </c>
      <c r="AA27" s="619" t="n">
        <f aca="false">IF(AA5&gt;=Assumpt!$E$49,0,IDC!AA25)</f>
        <v>0</v>
      </c>
      <c r="AB27" s="619" t="n">
        <f aca="false">IF(AB5&gt;=Assumpt!$E$49,0,IDC!AB25)</f>
        <v>0</v>
      </c>
      <c r="AC27" s="619" t="n">
        <f aca="false">IF(AC5&gt;=Assumpt!$E$49,0,IDC!AC25)</f>
        <v>0</v>
      </c>
      <c r="AD27" s="619" t="n">
        <f aca="false">IF(AD5&gt;=Assumpt!$E$49,0,IDC!AD25)</f>
        <v>0</v>
      </c>
      <c r="AE27" s="619" t="n">
        <f aca="false">IF(AE5&gt;=Assumpt!$E$49,0,IDC!AE25)</f>
        <v>0</v>
      </c>
      <c r="AF27" s="619" t="n">
        <f aca="false">IF(AF5&gt;=Assumpt!$E$49,0,IDC!AF25)</f>
        <v>0</v>
      </c>
      <c r="AG27" s="619" t="n">
        <f aca="false">IF(AG5&gt;=Assumpt!$E$49,0,IDC!AG25)</f>
        <v>0</v>
      </c>
      <c r="AH27" s="619" t="n">
        <f aca="false">IF(AH5&gt;=Assumpt!$E$49,0,IDC!AH25)</f>
        <v>0</v>
      </c>
      <c r="AI27" s="619" t="n">
        <f aca="false">IF(AI5&gt;=Assumpt!$E$49,0,IDC!AI25)</f>
        <v>0</v>
      </c>
      <c r="AJ27" s="619" t="n">
        <f aca="false">IF(AJ5&gt;=Assumpt!$E$49,0,IDC!AJ25)</f>
        <v>0</v>
      </c>
      <c r="AK27" s="619" t="n">
        <f aca="false">IF(AK5&gt;=Assumpt!$E$49,0,IDC!AK25)</f>
        <v>0</v>
      </c>
      <c r="AL27" s="619" t="n">
        <f aca="false">IF(AL5&gt;=Assumpt!$E$49,0,IDC!AL25)</f>
        <v>0</v>
      </c>
      <c r="AM27" s="620" t="n">
        <f aca="false">SUM(C27:AF27)</f>
        <v>0</v>
      </c>
      <c r="AN27" s="621"/>
      <c r="AO27" s="20" t="n">
        <f aca="false">+AO26+1</f>
        <v>22</v>
      </c>
      <c r="AP27" s="622"/>
      <c r="AQ27" s="621"/>
      <c r="AR27" s="621"/>
      <c r="AS27" s="619"/>
      <c r="AT27" s="623"/>
      <c r="AU27" s="623"/>
      <c r="AV27" s="623"/>
      <c r="AW27" s="623"/>
      <c r="AX27" s="623"/>
      <c r="AY27" s="623"/>
      <c r="AZ27" s="623"/>
      <c r="BA27" s="623"/>
      <c r="BB27" s="623"/>
      <c r="BC27" s="623"/>
      <c r="BD27" s="623"/>
      <c r="BE27" s="623"/>
      <c r="BF27" s="623"/>
      <c r="BG27" s="623"/>
      <c r="BH27" s="623"/>
      <c r="BI27" s="623"/>
      <c r="BJ27" s="623"/>
      <c r="BK27" s="623"/>
      <c r="BL27" s="623"/>
      <c r="BM27" s="623"/>
      <c r="BN27" s="623"/>
      <c r="BO27" s="623"/>
      <c r="BP27" s="623"/>
      <c r="BQ27" s="623"/>
      <c r="BR27" s="623"/>
      <c r="BS27" s="623"/>
      <c r="BT27" s="623"/>
      <c r="BU27" s="623"/>
      <c r="BV27" s="623"/>
      <c r="BW27" s="623"/>
      <c r="BX27" s="623"/>
      <c r="BY27" s="623"/>
      <c r="BZ27" s="623"/>
      <c r="CA27" s="623"/>
      <c r="CB27" s="623"/>
      <c r="CC27" s="621"/>
      <c r="CD27" s="624"/>
      <c r="CE27" s="624"/>
      <c r="CF27" s="624"/>
      <c r="CG27" s="624"/>
      <c r="CH27" s="624"/>
      <c r="CI27" s="624"/>
      <c r="CJ27" s="624"/>
      <c r="CK27" s="624"/>
      <c r="CL27" s="624"/>
      <c r="CM27" s="624"/>
      <c r="CN27" s="624"/>
      <c r="CO27" s="624"/>
      <c r="CP27" s="625"/>
      <c r="CQ27" s="625"/>
      <c r="CR27" s="625"/>
      <c r="CS27" s="625"/>
      <c r="CT27" s="625"/>
      <c r="CU27" s="625"/>
      <c r="CV27" s="625"/>
      <c r="CW27" s="625"/>
      <c r="CX27" s="625"/>
      <c r="CY27" s="625"/>
      <c r="CZ27" s="625"/>
      <c r="DA27" s="625"/>
      <c r="DB27" s="625"/>
      <c r="DC27" s="625"/>
      <c r="DD27" s="625"/>
      <c r="DE27" s="625"/>
      <c r="DF27" s="625"/>
      <c r="DG27" s="625"/>
      <c r="DH27" s="625"/>
      <c r="DI27" s="625"/>
      <c r="DJ27" s="625"/>
      <c r="DK27" s="625"/>
      <c r="DL27" s="625"/>
      <c r="DM27" s="625"/>
      <c r="DN27" s="625"/>
      <c r="DO27" s="625"/>
      <c r="DP27" s="625"/>
      <c r="DQ27" s="625"/>
      <c r="DR27" s="625"/>
      <c r="DS27" s="625"/>
      <c r="DT27" s="625"/>
      <c r="DU27" s="625"/>
      <c r="DV27" s="625"/>
      <c r="DW27" s="625"/>
      <c r="DX27" s="625"/>
      <c r="DY27" s="625"/>
      <c r="DZ27" s="625"/>
      <c r="EA27" s="625"/>
      <c r="EB27" s="625"/>
      <c r="EC27" s="625"/>
      <c r="ED27" s="625"/>
      <c r="EE27" s="625"/>
      <c r="EF27" s="625"/>
      <c r="EG27" s="625"/>
      <c r="EH27" s="625"/>
      <c r="EI27" s="625"/>
      <c r="EJ27" s="625"/>
      <c r="EK27" s="625"/>
      <c r="EL27" s="625"/>
      <c r="EM27" s="625"/>
      <c r="EN27" s="625"/>
      <c r="EO27" s="625"/>
      <c r="EP27" s="625"/>
      <c r="EQ27" s="625"/>
      <c r="ER27" s="625"/>
      <c r="ES27" s="625"/>
      <c r="ET27" s="625"/>
      <c r="EU27" s="625"/>
      <c r="EV27" s="625"/>
      <c r="EW27" s="625"/>
      <c r="EX27" s="625"/>
      <c r="EY27" s="625"/>
      <c r="EZ27" s="625"/>
      <c r="FA27" s="625"/>
      <c r="FB27" s="625"/>
      <c r="FC27" s="625"/>
      <c r="FD27" s="625"/>
      <c r="FE27" s="625"/>
      <c r="FF27" s="625"/>
      <c r="FG27" s="625"/>
      <c r="FH27" s="625"/>
      <c r="FI27" s="625"/>
      <c r="FJ27" s="625"/>
      <c r="FK27" s="625"/>
      <c r="FL27" s="625"/>
      <c r="FM27" s="625"/>
      <c r="FN27" s="625"/>
      <c r="FO27" s="625"/>
      <c r="FP27" s="625"/>
      <c r="FQ27" s="625"/>
      <c r="FR27" s="625"/>
      <c r="FS27" s="625"/>
      <c r="FT27" s="625"/>
      <c r="FU27" s="625"/>
      <c r="FV27" s="625"/>
      <c r="FW27" s="625"/>
      <c r="FX27" s="625"/>
      <c r="FY27" s="625"/>
      <c r="FZ27" s="625"/>
      <c r="GA27" s="625"/>
      <c r="GB27" s="625"/>
      <c r="GC27" s="625"/>
      <c r="GD27" s="625"/>
      <c r="GE27" s="625"/>
      <c r="GF27" s="625"/>
      <c r="GG27" s="625"/>
      <c r="GH27" s="625"/>
      <c r="GI27" s="625"/>
      <c r="GJ27" s="625"/>
      <c r="GK27" s="625"/>
      <c r="GL27" s="625"/>
      <c r="GM27" s="625"/>
      <c r="GN27" s="625"/>
      <c r="GO27" s="625"/>
      <c r="GP27" s="625"/>
      <c r="GQ27" s="625"/>
      <c r="GR27" s="625"/>
      <c r="GS27" s="625"/>
      <c r="GT27" s="625"/>
      <c r="GU27" s="625"/>
      <c r="GV27" s="625"/>
      <c r="GW27" s="625"/>
      <c r="GX27" s="625"/>
      <c r="GY27" s="625"/>
      <c r="GZ27" s="625"/>
      <c r="HA27" s="625"/>
      <c r="HB27" s="625"/>
      <c r="HC27" s="625"/>
      <c r="HD27" s="625"/>
      <c r="HE27" s="625"/>
      <c r="HF27" s="625"/>
      <c r="HG27" s="625"/>
      <c r="HH27" s="625"/>
      <c r="HI27" s="625"/>
      <c r="HJ27" s="625"/>
      <c r="HK27" s="625"/>
      <c r="HL27" s="625"/>
      <c r="HM27" s="625"/>
      <c r="HN27" s="625"/>
      <c r="HO27" s="625"/>
      <c r="HP27" s="625"/>
      <c r="HQ27" s="625"/>
      <c r="HR27" s="625"/>
      <c r="HS27" s="625"/>
      <c r="HT27" s="625"/>
      <c r="HU27" s="625"/>
      <c r="HV27" s="625"/>
      <c r="HW27" s="625"/>
      <c r="HX27" s="625"/>
      <c r="HY27" s="625"/>
      <c r="HZ27" s="625"/>
      <c r="IA27" s="625"/>
      <c r="IB27" s="625"/>
      <c r="IC27" s="625"/>
      <c r="ID27" s="625"/>
      <c r="IE27" s="625"/>
      <c r="IF27" s="625"/>
      <c r="IG27" s="625"/>
      <c r="IH27" s="625"/>
      <c r="II27" s="625"/>
      <c r="IJ27" s="625"/>
      <c r="IK27" s="625"/>
      <c r="IL27" s="625"/>
      <c r="IM27" s="625"/>
      <c r="IN27" s="625"/>
      <c r="IO27" s="625"/>
      <c r="IP27" s="625"/>
      <c r="IQ27" s="625"/>
      <c r="IR27" s="625"/>
      <c r="IS27" s="625"/>
      <c r="IT27" s="625"/>
      <c r="IU27" s="625"/>
      <c r="IV27" s="625"/>
      <c r="IW27" s="625"/>
    </row>
    <row r="28" customFormat="false" ht="12.75" hidden="true" customHeight="false" outlineLevel="1" collapsed="false">
      <c r="A28" s="617" t="s">
        <v>246</v>
      </c>
      <c r="B28" s="624" t="n">
        <f aca="false">+Assumpt!P70</f>
        <v>0</v>
      </c>
      <c r="C28" s="623" t="n">
        <f aca="false">IF(C5&gt;=Assumpt!$E$49,0,SUM($C$27:C27))</f>
        <v>0</v>
      </c>
      <c r="D28" s="623" t="n">
        <f aca="false">IF(D5&gt;=Assumpt!$E$49,0,SUM($C$27:D27))</f>
        <v>0</v>
      </c>
      <c r="E28" s="623" t="n">
        <f aca="false">IF(E5&gt;=Assumpt!$E$49,0,SUM($C$27:E27))</f>
        <v>0</v>
      </c>
      <c r="F28" s="623" t="n">
        <f aca="false">IF(F5&gt;=Assumpt!$E$49,0,SUM($C$27:F27))</f>
        <v>0</v>
      </c>
      <c r="G28" s="623" t="n">
        <f aca="false">IF(G5&gt;=Assumpt!$E$49,0,SUM($C$27:G27))</f>
        <v>0</v>
      </c>
      <c r="H28" s="623" t="n">
        <f aca="false">IF(H5&gt;=Assumpt!$E$49,0,SUM($C$27:H27))</f>
        <v>0</v>
      </c>
      <c r="I28" s="623" t="n">
        <f aca="false">IF(I5&gt;=Assumpt!$E$49,0,SUM($C$27:I27))</f>
        <v>0</v>
      </c>
      <c r="J28" s="623" t="n">
        <f aca="false">IF(J5&gt;=Assumpt!$E$49,0,SUM($C$27:J27))</f>
        <v>0</v>
      </c>
      <c r="K28" s="623" t="n">
        <f aca="false">IF(K5&gt;=Assumpt!$E$49,0,SUM($C$27:K27))</f>
        <v>0</v>
      </c>
      <c r="L28" s="623" t="n">
        <f aca="false">IF(L5&gt;=Assumpt!$E$49,0,SUM($C$27:L27))</f>
        <v>0</v>
      </c>
      <c r="M28" s="623" t="n">
        <f aca="false">IF(M5&gt;=Assumpt!$E$49,0,SUM($C$27:M27))</f>
        <v>0</v>
      </c>
      <c r="N28" s="623" t="n">
        <f aca="false">IF(N5&gt;=Assumpt!$E$49,0,SUM($C$27:N27))</f>
        <v>0</v>
      </c>
      <c r="O28" s="623" t="n">
        <f aca="false">IF(O5&gt;=Assumpt!$E$49,0,SUM($C$27:O27))</f>
        <v>0</v>
      </c>
      <c r="P28" s="623" t="n">
        <f aca="false">IF(P5&gt;=Assumpt!$E$49,0,SUM($C$27:P27))</f>
        <v>0</v>
      </c>
      <c r="Q28" s="623" t="n">
        <f aca="false">IF(Q5&gt;=Assumpt!$E$49,0,SUM($C$27:Q27))</f>
        <v>0</v>
      </c>
      <c r="R28" s="623" t="n">
        <f aca="false">IF(R5&gt;=Assumpt!$E$49,0,SUM($C$27:R27))</f>
        <v>0</v>
      </c>
      <c r="S28" s="623" t="n">
        <f aca="false">IF(S5&gt;=Assumpt!$E$49,0,SUM($C$27:S27))</f>
        <v>0</v>
      </c>
      <c r="T28" s="623" t="n">
        <f aca="false">IF(T5&gt;=Assumpt!$E$49,0,SUM($C$27:T27))</f>
        <v>0</v>
      </c>
      <c r="U28" s="623" t="n">
        <f aca="false">IF(U5&gt;=Assumpt!$E$49,0,SUM($C$27:U27))</f>
        <v>0</v>
      </c>
      <c r="V28" s="623" t="n">
        <f aca="false">IF(V5&gt;=Assumpt!$E$49,0,SUM($C$27:V27))</f>
        <v>0</v>
      </c>
      <c r="W28" s="623" t="n">
        <f aca="false">IF(W5&gt;=Assumpt!$E$49,0,SUM($C$27:W27))</f>
        <v>0</v>
      </c>
      <c r="X28" s="623" t="n">
        <f aca="false">IF(X5&gt;=Assumpt!$E$49,0,SUM($C$27:X27))</f>
        <v>0</v>
      </c>
      <c r="Y28" s="623" t="n">
        <f aca="false">IF(Y5&gt;=Assumpt!$E$49,0,SUM($C$27:Y27))</f>
        <v>0</v>
      </c>
      <c r="Z28" s="623" t="n">
        <f aca="false">IF(Z5&gt;=Assumpt!$E$49,0,SUM($C$27:Z27))</f>
        <v>0</v>
      </c>
      <c r="AA28" s="623" t="n">
        <f aca="false">IF(AA5&gt;=Assumpt!$E$49,0,SUM($C$27:AA27))</f>
        <v>0</v>
      </c>
      <c r="AB28" s="623" t="n">
        <f aca="false">IF(AB5&gt;=Assumpt!$E$49,0,SUM($C$27:AB27))</f>
        <v>0</v>
      </c>
      <c r="AC28" s="623" t="n">
        <f aca="false">IF(AC5&gt;=Assumpt!$E$49,0,SUM($C$27:AC27))</f>
        <v>0</v>
      </c>
      <c r="AD28" s="623" t="n">
        <f aca="false">IF(AD5&gt;=Assumpt!$E$49,0,SUM($C$27:AD27))</f>
        <v>0</v>
      </c>
      <c r="AE28" s="623" t="n">
        <f aca="false">IF(AE5&gt;=Assumpt!$E$49,0,SUM($C$27:AE27))</f>
        <v>0</v>
      </c>
      <c r="AF28" s="623" t="n">
        <f aca="false">IF(AF5&gt;=Assumpt!$E$49,0,SUM($C$27:AF27))</f>
        <v>0</v>
      </c>
      <c r="AG28" s="623" t="n">
        <f aca="false">IF(AG5&gt;=Assumpt!$E$49,0,SUM($C$27:AG27))</f>
        <v>0</v>
      </c>
      <c r="AH28" s="623" t="n">
        <f aca="false">IF(AH5&gt;=Assumpt!$E$49,0,SUM($C$27:AH27))</f>
        <v>0</v>
      </c>
      <c r="AI28" s="623" t="n">
        <f aca="false">IF(AI5&gt;=Assumpt!$E$49,0,SUM($C$27:AI27))</f>
        <v>0</v>
      </c>
      <c r="AJ28" s="623" t="n">
        <f aca="false">IF(AJ5&gt;=Assumpt!$E$49,0,SUM($C$27:AJ27))</f>
        <v>0</v>
      </c>
      <c r="AK28" s="623" t="n">
        <f aca="false">IF(AK5&gt;=Assumpt!$E$49,0,SUM($C$27:AK27))</f>
        <v>0</v>
      </c>
      <c r="AL28" s="623" t="n">
        <f aca="false">IF(AL5&gt;=Assumpt!$E$49,0,SUM($C$27:AL27))</f>
        <v>0</v>
      </c>
      <c r="AM28" s="626"/>
      <c r="AN28" s="621"/>
      <c r="AO28" s="20" t="n">
        <f aca="false">+AO27+1</f>
        <v>23</v>
      </c>
      <c r="AP28" s="621"/>
      <c r="AQ28" s="621"/>
      <c r="AR28" s="621"/>
      <c r="AS28" s="627"/>
      <c r="AT28" s="627"/>
      <c r="AU28" s="627"/>
      <c r="AV28" s="627"/>
      <c r="AW28" s="627"/>
      <c r="AX28" s="627"/>
      <c r="AY28" s="627"/>
      <c r="AZ28" s="627"/>
      <c r="BA28" s="627"/>
      <c r="BB28" s="627"/>
      <c r="BC28" s="627"/>
      <c r="BD28" s="627"/>
      <c r="BE28" s="627"/>
      <c r="BF28" s="627"/>
      <c r="BG28" s="627"/>
      <c r="BH28" s="627"/>
      <c r="BI28" s="627"/>
      <c r="BJ28" s="627"/>
      <c r="BK28" s="627"/>
      <c r="BL28" s="627"/>
      <c r="BM28" s="627"/>
      <c r="BN28" s="627"/>
      <c r="BO28" s="627"/>
      <c r="BP28" s="627"/>
      <c r="BQ28" s="627"/>
      <c r="BR28" s="627"/>
      <c r="BS28" s="627"/>
      <c r="BT28" s="627"/>
      <c r="BU28" s="627"/>
      <c r="BV28" s="627"/>
      <c r="BW28" s="627"/>
      <c r="BX28" s="627"/>
      <c r="BY28" s="627"/>
      <c r="BZ28" s="627"/>
      <c r="CA28" s="627"/>
      <c r="CB28" s="627"/>
      <c r="CC28" s="621"/>
      <c r="CD28" s="621"/>
      <c r="CE28" s="621"/>
      <c r="CF28" s="621"/>
      <c r="CG28" s="621"/>
      <c r="CH28" s="621"/>
      <c r="CI28" s="621"/>
      <c r="CJ28" s="621"/>
      <c r="CK28" s="621"/>
      <c r="CL28" s="621"/>
      <c r="CM28" s="621"/>
      <c r="CN28" s="621"/>
      <c r="CO28" s="621"/>
      <c r="CP28" s="628"/>
      <c r="CQ28" s="628"/>
      <c r="CR28" s="628"/>
      <c r="CS28" s="628"/>
      <c r="CT28" s="628"/>
      <c r="CU28" s="628"/>
      <c r="CV28" s="628"/>
      <c r="CW28" s="628"/>
      <c r="CX28" s="628"/>
      <c r="CY28" s="628"/>
      <c r="CZ28" s="628"/>
      <c r="DA28" s="628"/>
      <c r="DB28" s="628"/>
      <c r="DC28" s="628"/>
      <c r="DD28" s="628"/>
      <c r="DE28" s="628"/>
      <c r="DF28" s="628"/>
      <c r="DG28" s="628"/>
      <c r="DH28" s="628"/>
      <c r="DI28" s="628"/>
      <c r="DJ28" s="628"/>
      <c r="DK28" s="628"/>
      <c r="DL28" s="628"/>
      <c r="DM28" s="628"/>
      <c r="DN28" s="628"/>
      <c r="DO28" s="628"/>
      <c r="DP28" s="628"/>
      <c r="DQ28" s="628"/>
      <c r="DR28" s="628"/>
      <c r="DS28" s="628"/>
      <c r="DT28" s="628"/>
      <c r="DU28" s="628"/>
      <c r="DV28" s="628"/>
      <c r="DW28" s="628"/>
      <c r="DX28" s="628"/>
      <c r="DY28" s="628"/>
      <c r="DZ28" s="628"/>
      <c r="EA28" s="628"/>
      <c r="EB28" s="628"/>
      <c r="EC28" s="628"/>
      <c r="ED28" s="628"/>
      <c r="EE28" s="628"/>
      <c r="EF28" s="628"/>
      <c r="EG28" s="628"/>
      <c r="EH28" s="628"/>
      <c r="EI28" s="628"/>
      <c r="EJ28" s="628"/>
      <c r="EK28" s="628"/>
      <c r="EL28" s="628"/>
      <c r="EM28" s="628"/>
      <c r="EN28" s="628"/>
      <c r="EO28" s="628"/>
      <c r="EP28" s="628"/>
      <c r="EQ28" s="628"/>
      <c r="ER28" s="628"/>
      <c r="ES28" s="628"/>
      <c r="ET28" s="628"/>
      <c r="EU28" s="628"/>
      <c r="EV28" s="628"/>
      <c r="EW28" s="628"/>
      <c r="EX28" s="628"/>
      <c r="EY28" s="628"/>
      <c r="EZ28" s="628"/>
      <c r="FA28" s="628"/>
      <c r="FB28" s="628"/>
      <c r="FC28" s="628"/>
      <c r="FD28" s="628"/>
      <c r="FE28" s="628"/>
      <c r="FF28" s="628"/>
      <c r="FG28" s="628"/>
      <c r="FH28" s="628"/>
      <c r="FI28" s="628"/>
      <c r="FJ28" s="628"/>
      <c r="FK28" s="628"/>
      <c r="FL28" s="628"/>
      <c r="FM28" s="628"/>
      <c r="FN28" s="628"/>
      <c r="FO28" s="628"/>
      <c r="FP28" s="628"/>
      <c r="FQ28" s="628"/>
      <c r="FR28" s="628"/>
      <c r="FS28" s="628"/>
      <c r="FT28" s="628"/>
      <c r="FU28" s="628"/>
      <c r="FV28" s="628"/>
      <c r="FW28" s="628"/>
      <c r="FX28" s="628"/>
      <c r="FY28" s="628"/>
      <c r="FZ28" s="628"/>
      <c r="GA28" s="628"/>
      <c r="GB28" s="628"/>
      <c r="GC28" s="628"/>
      <c r="GD28" s="628"/>
      <c r="GE28" s="628"/>
      <c r="GF28" s="628"/>
      <c r="GG28" s="628"/>
      <c r="GH28" s="628"/>
      <c r="GI28" s="628"/>
      <c r="GJ28" s="628"/>
      <c r="GK28" s="628"/>
      <c r="GL28" s="628"/>
      <c r="GM28" s="628"/>
      <c r="GN28" s="628"/>
      <c r="GO28" s="628"/>
      <c r="GP28" s="628"/>
      <c r="GQ28" s="628"/>
      <c r="GR28" s="628"/>
      <c r="GS28" s="628"/>
      <c r="GT28" s="628"/>
      <c r="GU28" s="628"/>
      <c r="GV28" s="628"/>
      <c r="GW28" s="628"/>
      <c r="GX28" s="628"/>
      <c r="GY28" s="628"/>
      <c r="GZ28" s="628"/>
      <c r="HA28" s="628"/>
      <c r="HB28" s="628"/>
      <c r="HC28" s="628"/>
      <c r="HD28" s="628"/>
      <c r="HE28" s="628"/>
      <c r="HF28" s="628"/>
      <c r="HG28" s="628"/>
      <c r="HH28" s="628"/>
      <c r="HI28" s="628"/>
      <c r="HJ28" s="628"/>
      <c r="HK28" s="628"/>
      <c r="HL28" s="628"/>
      <c r="HM28" s="628"/>
      <c r="HN28" s="628"/>
      <c r="HO28" s="628"/>
      <c r="HP28" s="628"/>
      <c r="HQ28" s="628"/>
      <c r="HR28" s="628"/>
      <c r="HS28" s="628"/>
      <c r="HT28" s="628"/>
      <c r="HU28" s="628"/>
      <c r="HV28" s="628"/>
      <c r="HW28" s="628"/>
      <c r="HX28" s="628"/>
      <c r="HY28" s="628"/>
      <c r="HZ28" s="628"/>
      <c r="IA28" s="628"/>
      <c r="IB28" s="628"/>
      <c r="IC28" s="628"/>
      <c r="ID28" s="628"/>
      <c r="IE28" s="628"/>
      <c r="IF28" s="628"/>
      <c r="IG28" s="628"/>
      <c r="IH28" s="628"/>
      <c r="II28" s="628"/>
      <c r="IJ28" s="628"/>
      <c r="IK28" s="628"/>
      <c r="IL28" s="628"/>
      <c r="IM28" s="628"/>
      <c r="IN28" s="628"/>
      <c r="IO28" s="628"/>
      <c r="IP28" s="628"/>
      <c r="IQ28" s="628"/>
      <c r="IR28" s="628"/>
      <c r="IS28" s="628"/>
      <c r="IT28" s="628"/>
      <c r="IU28" s="628"/>
      <c r="IV28" s="628"/>
      <c r="IW28" s="628"/>
    </row>
    <row r="29" customFormat="false" ht="12.75" hidden="true" customHeight="false" outlineLevel="1" collapsed="false">
      <c r="A29" s="617" t="s">
        <v>247</v>
      </c>
      <c r="B29" s="621"/>
      <c r="C29" s="619" t="n">
        <f aca="false">IF(C6&gt;Assumpt!$E$50,0,IF(IDC!C6&gt;Assumpt!$S$70,IDC!C28*IDC!$B$28/12,+C28*$B$27/12))</f>
        <v>0</v>
      </c>
      <c r="D29" s="619" t="n">
        <f aca="false">IF(D6&gt;Assumpt!$E$50,0,IF(IDC!D6&gt;Assumpt!$S$70,IDC!D28*IDC!$B$28/12,+D28*$B$27/12))</f>
        <v>0</v>
      </c>
      <c r="E29" s="619" t="n">
        <f aca="false">IF(E6&gt;Assumpt!$E$50,0,IF(IDC!E6&gt;Assumpt!$S$70,IDC!E28*IDC!$B$28/12,+E28*$B$27/12))</f>
        <v>0</v>
      </c>
      <c r="F29" s="619" t="n">
        <f aca="false">IF(F6&gt;Assumpt!$E$50,0,IF(IDC!F6&gt;Assumpt!$S$70,IDC!F28*IDC!$B$28/12,+F28*$B$27/12))</f>
        <v>0</v>
      </c>
      <c r="G29" s="619" t="n">
        <f aca="false">IF(G6&gt;Assumpt!$E$50,0,IF(IDC!G6&gt;Assumpt!$S$70,IDC!G28*IDC!$B$28/12,+G28*$B$27/12))</f>
        <v>0</v>
      </c>
      <c r="H29" s="619" t="n">
        <f aca="false">IF(H6&gt;Assumpt!$E$50,0,IF(IDC!H6&gt;Assumpt!$S$70,IDC!H28*IDC!$B$28/12,+H28*$B$27/12))</f>
        <v>0</v>
      </c>
      <c r="I29" s="619" t="n">
        <f aca="false">IF(I6&gt;Assumpt!$E$50,0,IF(IDC!I6&gt;Assumpt!$S$70,IDC!I28*IDC!$B$28/12,+I28*$B$27/12))</f>
        <v>0</v>
      </c>
      <c r="J29" s="619" t="n">
        <f aca="false">IF(J6&gt;Assumpt!$E$50,0,IF(IDC!J6&gt;Assumpt!$S$70,IDC!J28*IDC!$B$28/12,+J28*$B$27/12))</f>
        <v>0</v>
      </c>
      <c r="K29" s="619" t="n">
        <f aca="false">IF(K6&gt;Assumpt!$E$50,0,IF(IDC!K6&gt;Assumpt!$S$70,IDC!K28*IDC!$B$28/12,+K28*$B$27/12))</f>
        <v>0</v>
      </c>
      <c r="L29" s="619" t="n">
        <f aca="false">IF(L6&gt;Assumpt!$E$50,0,IF(IDC!L6&gt;Assumpt!$S$70,IDC!L28*IDC!$B$28/12,+L28*$B$27/12))</f>
        <v>0</v>
      </c>
      <c r="M29" s="619" t="n">
        <f aca="false">IF(M6&gt;Assumpt!$E$50,0,IF(IDC!M6&gt;Assumpt!$S$70,IDC!M28*IDC!$B$28/12,+M28*$B$27/12))</f>
        <v>0</v>
      </c>
      <c r="N29" s="619" t="n">
        <f aca="false">IF(N6&gt;Assumpt!$E$50,0,IF(IDC!N6&gt;Assumpt!$S$70,IDC!N28*IDC!$B$28/12,+N28*$B$27/12))</f>
        <v>0</v>
      </c>
      <c r="O29" s="619" t="n">
        <f aca="false">IF(O6&gt;Assumpt!$E$50,0,IF(IDC!O6&gt;Assumpt!$S$70,IDC!O28*IDC!$B$28/12,+O28*$B$27/12))</f>
        <v>0</v>
      </c>
      <c r="P29" s="619" t="n">
        <f aca="false">IF(P6&gt;Assumpt!$E$50,0,IF(IDC!P6&gt;Assumpt!$S$70,IDC!P28*IDC!$B$28/12,+P28*$B$27/12))</f>
        <v>0</v>
      </c>
      <c r="Q29" s="619" t="n">
        <f aca="false">IF(Q6&gt;Assumpt!$E$50,0,IF(IDC!Q6&gt;Assumpt!$S$70,IDC!Q28*IDC!$B$28/12,+Q28*$B$27/12))*10/31</f>
        <v>0</v>
      </c>
      <c r="R29" s="619" t="n">
        <f aca="false">IF(R6&gt;Assumpt!$E$50,0,IF(IDC!R6&gt;Assumpt!$S$70,IDC!R28*IDC!$B$28/12,+R28*$B$27/12))</f>
        <v>0</v>
      </c>
      <c r="S29" s="619" t="n">
        <f aca="false">IF(S6&gt;Assumpt!$E$50,0,IF(IDC!S6&gt;Assumpt!$S$70,IDC!S28*IDC!$B$28/12,+S28*$B$27/12))</f>
        <v>0</v>
      </c>
      <c r="T29" s="619" t="n">
        <f aca="false">IF(T6&gt;Assumpt!$E$50,0,IF(IDC!T6&gt;Assumpt!$S$70,IDC!T28*IDC!$B$28/12,+T28*$B$27/12))</f>
        <v>0</v>
      </c>
      <c r="U29" s="619" t="n">
        <f aca="false">IF(U6&gt;Assumpt!$E$50,0,IF(IDC!U6&gt;Assumpt!$S$70,IDC!U28*IDC!$B$28/12,+U28*$B$27/12))</f>
        <v>0</v>
      </c>
      <c r="V29" s="619" t="n">
        <f aca="false">IF(V6&gt;Assumpt!$E$50,0,IF(IDC!V6&gt;Assumpt!$S$70,IDC!V28*IDC!$B$28/12,+V28*$B$27/12))</f>
        <v>0</v>
      </c>
      <c r="W29" s="619" t="n">
        <f aca="false">IF(W6&gt;Assumpt!$E$50,0,IF(IDC!W6&gt;Assumpt!$S$70,IDC!W28*IDC!$B$28/12,+W28*$B$27/12))</f>
        <v>0</v>
      </c>
      <c r="X29" s="619" t="n">
        <f aca="false">IF(X6&gt;Assumpt!$E$50,0,IF(IDC!X6&gt;Assumpt!$S$70,IDC!X28*IDC!$B$28/12,+X28*$B$27/12))</f>
        <v>0</v>
      </c>
      <c r="Y29" s="619" t="n">
        <f aca="false">IF(Y6&gt;Assumpt!$E$50,0,IF(IDC!Y6&gt;Assumpt!$S$70,IDC!Y28*IDC!$B$28/12,+Y28*$B$27/12))</f>
        <v>0</v>
      </c>
      <c r="Z29" s="619" t="n">
        <f aca="false">IF(Z6&gt;Assumpt!$E$50,0,IF(IDC!Z6&gt;Assumpt!$S$70,IDC!Z28*IDC!$B$28/12,+Z28*$B$27/12))</f>
        <v>0</v>
      </c>
      <c r="AA29" s="619" t="n">
        <f aca="false">IF(AA6&gt;Assumpt!$E$50,0,IF(IDC!AA6&gt;Assumpt!$S$70,IDC!AA28*IDC!$B$28/12,+AA28*$B$27/12))</f>
        <v>0</v>
      </c>
      <c r="AB29" s="619" t="n">
        <f aca="false">IF(AB6&gt;Assumpt!$E$50,0,IF(IDC!AB6&gt;Assumpt!$S$70,IDC!AB28*IDC!$B$28/12,+AB28*$B$27/12))</f>
        <v>0</v>
      </c>
      <c r="AC29" s="619" t="n">
        <f aca="false">IF(AC6&gt;Assumpt!$E$50,0,IF(IDC!AC6&gt;Assumpt!$S$70,IDC!AC28*IDC!$B$28/12,+AC28*$B$27/12))</f>
        <v>0</v>
      </c>
      <c r="AD29" s="619" t="n">
        <f aca="false">IF(AD6&gt;Assumpt!$E$50,0,IF(IDC!AD6&gt;Assumpt!$S$70,IDC!AD28*IDC!$B$28/12,+AD28*$B$27/12))</f>
        <v>0</v>
      </c>
      <c r="AE29" s="619" t="n">
        <f aca="false">IF(AE6&gt;Assumpt!$E$50,0,IF(IDC!AE6&gt;Assumpt!$S$70,IDC!AE28*IDC!$B$28/12,+AE28*$B$27/12))</f>
        <v>0</v>
      </c>
      <c r="AF29" s="619" t="n">
        <f aca="false">IF(AF6&gt;Assumpt!$E$50,0,IF(IDC!AF6&gt;Assumpt!$S$70,IDC!AF28*IDC!$B$28/12,+AF28*$B$27/12))</f>
        <v>0</v>
      </c>
      <c r="AG29" s="619" t="n">
        <f aca="false">IF(AG6&gt;Assumpt!$E$50,0,IF(IDC!AG6&gt;Assumpt!$S$70,IDC!AG28*IDC!$B$28/12,+AG28*$B$27/12))</f>
        <v>0</v>
      </c>
      <c r="AH29" s="619" t="n">
        <f aca="false">IF(AH6&gt;Assumpt!$E$50,0,IF(IDC!AH6&gt;Assumpt!$S$70,IDC!AH28*IDC!$B$28/12,+AH28*$B$27/12))</f>
        <v>0</v>
      </c>
      <c r="AI29" s="619" t="n">
        <f aca="false">IF(AI6&gt;Assumpt!$E$50,0,IF(IDC!AI6&gt;Assumpt!$S$70,IDC!AI28*IDC!$B$28/12,+AI28*$B$27/12))</f>
        <v>0</v>
      </c>
      <c r="AJ29" s="619" t="n">
        <f aca="false">IF(AJ6&gt;Assumpt!$E$50,0,IF(IDC!AJ6&gt;Assumpt!$S$70,IDC!AJ28*IDC!$B$28/12,+AJ28*$B$27/12))</f>
        <v>0</v>
      </c>
      <c r="AK29" s="619" t="n">
        <f aca="false">IF(AK6&gt;Assumpt!$E$50,0,IF(IDC!AK6&gt;Assumpt!$S$70,IDC!AK28*IDC!$B$28/12,+AK28*$B$27/12))</f>
        <v>0</v>
      </c>
      <c r="AL29" s="619" t="n">
        <f aca="false">IF(AL6&gt;Assumpt!$E$50,0,IF(IDC!AL6&gt;Assumpt!$S$70,IDC!AL28*IDC!$B$28/12,+AL28*$B$27/12))</f>
        <v>0</v>
      </c>
      <c r="AM29" s="620" t="n">
        <f aca="false">SUM(C29:AF29)</f>
        <v>0</v>
      </c>
      <c r="AN29" s="621"/>
      <c r="AO29" s="20" t="n">
        <f aca="false">+AO28+1</f>
        <v>24</v>
      </c>
      <c r="AP29" s="621"/>
      <c r="AQ29" s="621"/>
      <c r="AR29" s="621"/>
      <c r="AS29" s="623"/>
      <c r="AT29" s="623"/>
      <c r="AU29" s="623"/>
      <c r="AV29" s="623"/>
      <c r="AW29" s="623"/>
      <c r="AX29" s="623"/>
      <c r="AY29" s="623"/>
      <c r="AZ29" s="623"/>
      <c r="BA29" s="623"/>
      <c r="BB29" s="623"/>
      <c r="BC29" s="623"/>
      <c r="BD29" s="623"/>
      <c r="BE29" s="623"/>
      <c r="BF29" s="623"/>
      <c r="BG29" s="623"/>
      <c r="BH29" s="623"/>
      <c r="BI29" s="623"/>
      <c r="BJ29" s="623"/>
      <c r="BK29" s="623"/>
      <c r="BL29" s="623"/>
      <c r="BM29" s="623"/>
      <c r="BN29" s="623"/>
      <c r="BO29" s="623"/>
      <c r="BP29" s="623"/>
      <c r="BQ29" s="623"/>
      <c r="BR29" s="623"/>
      <c r="BS29" s="623"/>
      <c r="BT29" s="623"/>
      <c r="BU29" s="623"/>
      <c r="BV29" s="623"/>
      <c r="BW29" s="623"/>
      <c r="BX29" s="623"/>
      <c r="BY29" s="623"/>
      <c r="BZ29" s="623"/>
      <c r="CA29" s="623"/>
      <c r="CB29" s="623"/>
      <c r="CC29" s="621"/>
      <c r="CD29" s="621"/>
      <c r="CE29" s="621"/>
      <c r="CF29" s="621"/>
      <c r="CG29" s="621"/>
      <c r="CH29" s="621"/>
      <c r="CI29" s="621"/>
      <c r="CJ29" s="621"/>
      <c r="CK29" s="621"/>
      <c r="CL29" s="621"/>
      <c r="CM29" s="621"/>
      <c r="CN29" s="621"/>
      <c r="CO29" s="621"/>
      <c r="CP29" s="628"/>
      <c r="CQ29" s="628"/>
      <c r="CR29" s="628"/>
      <c r="CS29" s="628"/>
      <c r="CT29" s="628"/>
      <c r="CU29" s="628"/>
      <c r="CV29" s="628"/>
      <c r="CW29" s="628"/>
      <c r="CX29" s="628"/>
      <c r="CY29" s="628"/>
      <c r="CZ29" s="628"/>
      <c r="DA29" s="628"/>
      <c r="DB29" s="628"/>
      <c r="DC29" s="628"/>
      <c r="DD29" s="628"/>
      <c r="DE29" s="628"/>
      <c r="DF29" s="628"/>
      <c r="DG29" s="628"/>
      <c r="DH29" s="628"/>
      <c r="DI29" s="628"/>
      <c r="DJ29" s="628"/>
      <c r="DK29" s="628"/>
      <c r="DL29" s="628"/>
      <c r="DM29" s="628"/>
      <c r="DN29" s="628"/>
      <c r="DO29" s="628"/>
      <c r="DP29" s="628"/>
      <c r="DQ29" s="628"/>
      <c r="DR29" s="628"/>
      <c r="DS29" s="628"/>
      <c r="DT29" s="628"/>
      <c r="DU29" s="628"/>
      <c r="DV29" s="628"/>
      <c r="DW29" s="628"/>
      <c r="DX29" s="628"/>
      <c r="DY29" s="628"/>
      <c r="DZ29" s="628"/>
      <c r="EA29" s="628"/>
      <c r="EB29" s="628"/>
      <c r="EC29" s="628"/>
      <c r="ED29" s="628"/>
      <c r="EE29" s="628"/>
      <c r="EF29" s="628"/>
      <c r="EG29" s="628"/>
      <c r="EH29" s="628"/>
      <c r="EI29" s="628"/>
      <c r="EJ29" s="628"/>
      <c r="EK29" s="628"/>
      <c r="EL29" s="628"/>
      <c r="EM29" s="628"/>
      <c r="EN29" s="628"/>
      <c r="EO29" s="628"/>
      <c r="EP29" s="628"/>
      <c r="EQ29" s="628"/>
      <c r="ER29" s="628"/>
      <c r="ES29" s="628"/>
      <c r="ET29" s="628"/>
      <c r="EU29" s="628"/>
      <c r="EV29" s="628"/>
      <c r="EW29" s="628"/>
      <c r="EX29" s="628"/>
      <c r="EY29" s="628"/>
      <c r="EZ29" s="628"/>
      <c r="FA29" s="628"/>
      <c r="FB29" s="628"/>
      <c r="FC29" s="628"/>
      <c r="FD29" s="628"/>
      <c r="FE29" s="628"/>
      <c r="FF29" s="628"/>
      <c r="FG29" s="628"/>
      <c r="FH29" s="628"/>
      <c r="FI29" s="628"/>
      <c r="FJ29" s="628"/>
      <c r="FK29" s="628"/>
      <c r="FL29" s="628"/>
      <c r="FM29" s="628"/>
      <c r="FN29" s="628"/>
      <c r="FO29" s="628"/>
      <c r="FP29" s="628"/>
      <c r="FQ29" s="628"/>
      <c r="FR29" s="628"/>
      <c r="FS29" s="628"/>
      <c r="FT29" s="628"/>
      <c r="FU29" s="628"/>
      <c r="FV29" s="628"/>
      <c r="FW29" s="628"/>
      <c r="FX29" s="628"/>
      <c r="FY29" s="628"/>
      <c r="FZ29" s="628"/>
      <c r="GA29" s="628"/>
      <c r="GB29" s="628"/>
      <c r="GC29" s="628"/>
      <c r="GD29" s="628"/>
      <c r="GE29" s="628"/>
      <c r="GF29" s="628"/>
      <c r="GG29" s="628"/>
      <c r="GH29" s="628"/>
      <c r="GI29" s="628"/>
      <c r="GJ29" s="628"/>
      <c r="GK29" s="628"/>
      <c r="GL29" s="628"/>
      <c r="GM29" s="628"/>
      <c r="GN29" s="628"/>
      <c r="GO29" s="628"/>
      <c r="GP29" s="628"/>
      <c r="GQ29" s="628"/>
      <c r="GR29" s="628"/>
      <c r="GS29" s="628"/>
      <c r="GT29" s="628"/>
      <c r="GU29" s="628"/>
      <c r="GV29" s="628"/>
      <c r="GW29" s="628"/>
      <c r="GX29" s="628"/>
      <c r="GY29" s="628"/>
      <c r="GZ29" s="628"/>
      <c r="HA29" s="628"/>
      <c r="HB29" s="628"/>
      <c r="HC29" s="628"/>
      <c r="HD29" s="628"/>
      <c r="HE29" s="628"/>
      <c r="HF29" s="628"/>
      <c r="HG29" s="628"/>
      <c r="HH29" s="628"/>
      <c r="HI29" s="628"/>
      <c r="HJ29" s="628"/>
      <c r="HK29" s="628"/>
      <c r="HL29" s="628"/>
      <c r="HM29" s="628"/>
      <c r="HN29" s="628"/>
      <c r="HO29" s="628"/>
      <c r="HP29" s="628"/>
      <c r="HQ29" s="628"/>
      <c r="HR29" s="628"/>
      <c r="HS29" s="628"/>
      <c r="HT29" s="628"/>
      <c r="HU29" s="628"/>
      <c r="HV29" s="628"/>
      <c r="HW29" s="628"/>
      <c r="HX29" s="628"/>
      <c r="HY29" s="628"/>
      <c r="HZ29" s="628"/>
      <c r="IA29" s="628"/>
      <c r="IB29" s="628"/>
      <c r="IC29" s="628"/>
      <c r="ID29" s="628"/>
      <c r="IE29" s="628"/>
      <c r="IF29" s="628"/>
      <c r="IG29" s="628"/>
      <c r="IH29" s="628"/>
      <c r="II29" s="628"/>
      <c r="IJ29" s="628"/>
      <c r="IK29" s="628"/>
      <c r="IL29" s="628"/>
      <c r="IM29" s="628"/>
      <c r="IN29" s="628"/>
      <c r="IO29" s="628"/>
      <c r="IP29" s="628"/>
      <c r="IQ29" s="628"/>
      <c r="IR29" s="628"/>
      <c r="IS29" s="628"/>
      <c r="IT29" s="628"/>
      <c r="IU29" s="628"/>
      <c r="IV29" s="628"/>
      <c r="IW29" s="628"/>
    </row>
    <row r="30" customFormat="false" ht="12.75" hidden="true" customHeight="false" outlineLevel="1" collapsed="false">
      <c r="A30" s="617"/>
      <c r="B30" s="621"/>
      <c r="C30" s="621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  <c r="AC30" s="621"/>
      <c r="AD30" s="621"/>
      <c r="AE30" s="621"/>
      <c r="AF30" s="621"/>
      <c r="AG30" s="621"/>
      <c r="AH30" s="621"/>
      <c r="AI30" s="621"/>
      <c r="AJ30" s="621"/>
      <c r="AK30" s="621"/>
      <c r="AL30" s="621"/>
      <c r="AM30" s="626"/>
      <c r="AN30" s="621"/>
      <c r="AO30" s="20" t="n">
        <f aca="false">+AO29+1</f>
        <v>25</v>
      </c>
      <c r="AP30" s="621"/>
      <c r="AQ30" s="621"/>
      <c r="AR30" s="621"/>
      <c r="AS30" s="619"/>
      <c r="AT30" s="619"/>
      <c r="AU30" s="619"/>
      <c r="AV30" s="619"/>
      <c r="AW30" s="619"/>
      <c r="AX30" s="619"/>
      <c r="AY30" s="619"/>
      <c r="AZ30" s="619"/>
      <c r="BA30" s="619"/>
      <c r="BB30" s="619"/>
      <c r="BC30" s="619"/>
      <c r="BD30" s="619"/>
      <c r="BE30" s="619"/>
      <c r="BF30" s="619"/>
      <c r="BG30" s="619"/>
      <c r="BH30" s="619"/>
      <c r="BI30" s="619"/>
      <c r="BJ30" s="619"/>
      <c r="BK30" s="619"/>
      <c r="BL30" s="619"/>
      <c r="BM30" s="619"/>
      <c r="BN30" s="619"/>
      <c r="BO30" s="619"/>
      <c r="BP30" s="619"/>
      <c r="BQ30" s="619"/>
      <c r="BR30" s="619"/>
      <c r="BS30" s="619"/>
      <c r="BT30" s="619"/>
      <c r="BU30" s="619"/>
      <c r="BV30" s="619"/>
      <c r="BW30" s="619"/>
      <c r="BX30" s="619"/>
      <c r="BY30" s="619"/>
      <c r="BZ30" s="619"/>
      <c r="CA30" s="619"/>
      <c r="CB30" s="619"/>
      <c r="CC30" s="619"/>
      <c r="CD30" s="621"/>
      <c r="CE30" s="621"/>
      <c r="CF30" s="621"/>
      <c r="CG30" s="621"/>
      <c r="CH30" s="621"/>
      <c r="CI30" s="621"/>
      <c r="CJ30" s="621"/>
      <c r="CK30" s="621"/>
      <c r="CL30" s="621"/>
      <c r="CM30" s="621"/>
      <c r="CN30" s="621"/>
      <c r="CO30" s="621"/>
      <c r="CP30" s="628"/>
      <c r="CQ30" s="628"/>
      <c r="CR30" s="628"/>
      <c r="CS30" s="628"/>
      <c r="CT30" s="628"/>
      <c r="CU30" s="628"/>
      <c r="CV30" s="628"/>
      <c r="CW30" s="628"/>
      <c r="CX30" s="628"/>
      <c r="CY30" s="628"/>
      <c r="CZ30" s="628"/>
      <c r="DA30" s="628"/>
      <c r="DB30" s="628"/>
      <c r="DC30" s="628"/>
      <c r="DD30" s="628"/>
      <c r="DE30" s="628"/>
      <c r="DF30" s="628"/>
      <c r="DG30" s="628"/>
      <c r="DH30" s="628"/>
      <c r="DI30" s="628"/>
      <c r="DJ30" s="628"/>
      <c r="DK30" s="628"/>
      <c r="DL30" s="628"/>
      <c r="DM30" s="628"/>
      <c r="DN30" s="628"/>
      <c r="DO30" s="628"/>
      <c r="DP30" s="628"/>
      <c r="DQ30" s="628"/>
      <c r="DR30" s="628"/>
      <c r="DS30" s="628"/>
      <c r="DT30" s="628"/>
      <c r="DU30" s="628"/>
      <c r="DV30" s="628"/>
      <c r="DW30" s="628"/>
      <c r="DX30" s="628"/>
      <c r="DY30" s="628"/>
      <c r="DZ30" s="628"/>
      <c r="EA30" s="628"/>
      <c r="EB30" s="628"/>
      <c r="EC30" s="628"/>
      <c r="ED30" s="628"/>
      <c r="EE30" s="628"/>
      <c r="EF30" s="628"/>
      <c r="EG30" s="628"/>
      <c r="EH30" s="628"/>
      <c r="EI30" s="628"/>
      <c r="EJ30" s="628"/>
      <c r="EK30" s="628"/>
      <c r="EL30" s="628"/>
      <c r="EM30" s="628"/>
      <c r="EN30" s="628"/>
      <c r="EO30" s="628"/>
      <c r="EP30" s="628"/>
      <c r="EQ30" s="628"/>
      <c r="ER30" s="628"/>
      <c r="ES30" s="628"/>
      <c r="ET30" s="628"/>
      <c r="EU30" s="628"/>
      <c r="EV30" s="628"/>
      <c r="EW30" s="628"/>
      <c r="EX30" s="628"/>
      <c r="EY30" s="628"/>
      <c r="EZ30" s="628"/>
      <c r="FA30" s="628"/>
      <c r="FB30" s="628"/>
      <c r="FC30" s="628"/>
      <c r="FD30" s="628"/>
      <c r="FE30" s="628"/>
      <c r="FF30" s="628"/>
      <c r="FG30" s="628"/>
      <c r="FH30" s="628"/>
      <c r="FI30" s="628"/>
      <c r="FJ30" s="628"/>
      <c r="FK30" s="628"/>
      <c r="FL30" s="628"/>
      <c r="FM30" s="628"/>
      <c r="FN30" s="628"/>
      <c r="FO30" s="628"/>
      <c r="FP30" s="628"/>
      <c r="FQ30" s="628"/>
      <c r="FR30" s="628"/>
      <c r="FS30" s="628"/>
      <c r="FT30" s="628"/>
      <c r="FU30" s="628"/>
      <c r="FV30" s="628"/>
      <c r="FW30" s="628"/>
      <c r="FX30" s="628"/>
      <c r="FY30" s="628"/>
      <c r="FZ30" s="628"/>
      <c r="GA30" s="628"/>
      <c r="GB30" s="628"/>
      <c r="GC30" s="628"/>
      <c r="GD30" s="628"/>
      <c r="GE30" s="628"/>
      <c r="GF30" s="628"/>
      <c r="GG30" s="628"/>
      <c r="GH30" s="628"/>
      <c r="GI30" s="628"/>
      <c r="GJ30" s="628"/>
      <c r="GK30" s="628"/>
      <c r="GL30" s="628"/>
      <c r="GM30" s="628"/>
      <c r="GN30" s="628"/>
      <c r="GO30" s="628"/>
      <c r="GP30" s="628"/>
      <c r="GQ30" s="628"/>
      <c r="GR30" s="628"/>
      <c r="GS30" s="628"/>
      <c r="GT30" s="628"/>
      <c r="GU30" s="628"/>
      <c r="GV30" s="628"/>
      <c r="GW30" s="628"/>
      <c r="GX30" s="628"/>
      <c r="GY30" s="628"/>
      <c r="GZ30" s="628"/>
      <c r="HA30" s="628"/>
      <c r="HB30" s="628"/>
      <c r="HC30" s="628"/>
      <c r="HD30" s="628"/>
      <c r="HE30" s="628"/>
      <c r="HF30" s="628"/>
      <c r="HG30" s="628"/>
      <c r="HH30" s="628"/>
      <c r="HI30" s="628"/>
      <c r="HJ30" s="628"/>
      <c r="HK30" s="628"/>
      <c r="HL30" s="628"/>
      <c r="HM30" s="628"/>
      <c r="HN30" s="628"/>
      <c r="HO30" s="628"/>
      <c r="HP30" s="628"/>
      <c r="HQ30" s="628"/>
      <c r="HR30" s="628"/>
      <c r="HS30" s="628"/>
      <c r="HT30" s="628"/>
      <c r="HU30" s="628"/>
      <c r="HV30" s="628"/>
      <c r="HW30" s="628"/>
      <c r="HX30" s="628"/>
      <c r="HY30" s="628"/>
      <c r="HZ30" s="628"/>
      <c r="IA30" s="628"/>
      <c r="IB30" s="628"/>
      <c r="IC30" s="628"/>
      <c r="ID30" s="628"/>
      <c r="IE30" s="628"/>
      <c r="IF30" s="628"/>
      <c r="IG30" s="628"/>
      <c r="IH30" s="628"/>
      <c r="II30" s="628"/>
      <c r="IJ30" s="628"/>
      <c r="IK30" s="628"/>
      <c r="IL30" s="628"/>
      <c r="IM30" s="628"/>
      <c r="IN30" s="628"/>
      <c r="IO30" s="628"/>
      <c r="IP30" s="628"/>
      <c r="IQ30" s="628"/>
      <c r="IR30" s="628"/>
      <c r="IS30" s="628"/>
      <c r="IT30" s="628"/>
      <c r="IU30" s="628"/>
      <c r="IV30" s="628"/>
      <c r="IW30" s="628"/>
    </row>
    <row r="31" customFormat="false" ht="12.75" hidden="false" customHeight="false" outlineLevel="0" collapsed="false">
      <c r="A31" s="385" t="s">
        <v>248</v>
      </c>
      <c r="B31" s="629" t="n">
        <f aca="false">IF(Assumpt!S6=0,0,+Assumpt!G41/Assumpt!S6)</f>
        <v>1</v>
      </c>
      <c r="C31" s="630" t="n">
        <f aca="false">+(C25-C27)*$B$31+IF(C5=Assumpt!$E$49,B28*$B$31,0)</f>
        <v>3161.10953501494</v>
      </c>
      <c r="D31" s="630" t="n">
        <f aca="false">+(D25-D27)*$B$31+IF(D5=Assumpt!$E$49,C28*$B$31,0)</f>
        <v>3161.10953501494</v>
      </c>
      <c r="E31" s="630" t="n">
        <f aca="false">+(E25-E27)*$B$31+IF(E5=Assumpt!$E$49,D28*$B$31,0)</f>
        <v>3161.10953501494</v>
      </c>
      <c r="F31" s="630" t="n">
        <f aca="false">+(F25-F27)*$B$31+IF(F5=Assumpt!$E$49,E28*$B$31,0)</f>
        <v>3161.10953501494</v>
      </c>
      <c r="G31" s="630" t="n">
        <f aca="false">+(G25-G27)*$B$31+IF(G5=Assumpt!$E$49,F28*$B$31,0)</f>
        <v>3161.10953501494</v>
      </c>
      <c r="H31" s="630" t="n">
        <f aca="false">+(H25-H27)*$B$31+IF(H5=Assumpt!$E$49,G28*$B$31,0)</f>
        <v>3161.10953501494</v>
      </c>
      <c r="I31" s="630" t="n">
        <f aca="false">+(I25-I27)*$B$31+IF(I5=Assumpt!$E$49,H28*$B$31,0)</f>
        <v>3161.10953501494</v>
      </c>
      <c r="J31" s="630" t="n">
        <f aca="false">+(J25-J27)*$B$31+IF(J5=Assumpt!$E$49,I28*$B$31,0)</f>
        <v>3161.10953501494</v>
      </c>
      <c r="K31" s="630" t="n">
        <f aca="false">+(K25-K27)*$B$31+IF(K5=Assumpt!$E$49,J28*$B$31,0)</f>
        <v>3161.10953501494</v>
      </c>
      <c r="L31" s="630" t="n">
        <f aca="false">+(L25-L27)*$B$31+IF(L5=Assumpt!$E$49,K28*$B$31,0)</f>
        <v>3161.10953501494</v>
      </c>
      <c r="M31" s="630" t="n">
        <f aca="false">+(M25-M27)*$B$31+IF(M5=Assumpt!$E$49,L28*$B$31,0)</f>
        <v>3161.10953501494</v>
      </c>
      <c r="N31" s="630" t="n">
        <f aca="false">+(N25-N27)*$B$31+IF(N5=Assumpt!$E$49,M28*$B$31,0)</f>
        <v>3161.10953501494</v>
      </c>
      <c r="O31" s="630" t="n">
        <f aca="false">+(O25-O27)*$B$31+IF(O5=Assumpt!$E$49,N28*$B$31,0)</f>
        <v>3161.10953501494</v>
      </c>
      <c r="P31" s="630" t="n">
        <f aca="false">+(P25-P27)*$B$31+IF(P5=Assumpt!$E$49,O28*$B$31,0)</f>
        <v>3161.10953501494</v>
      </c>
      <c r="Q31" s="630" t="n">
        <f aca="false">+(Q25-Q27)*$B$31+IF(Q5=Assumpt!$E$49,P28*$B$31,0)</f>
        <v>3161.10953501494</v>
      </c>
      <c r="R31" s="630" t="n">
        <f aca="false">+(R25-R27)*$B$31+IF(R5=Assumpt!$E$49,Q28*$B$31,0)</f>
        <v>3161.10953501494</v>
      </c>
      <c r="S31" s="630" t="n">
        <f aca="false">+(S25-S27)*$B$31+IF(S5=Assumpt!$E$49,R28*$B$31,0)</f>
        <v>3161.10953501494</v>
      </c>
      <c r="T31" s="630" t="n">
        <f aca="false">+(T25-T27)*$B$31+IF(T5=Assumpt!$E$49,S28*$B$31,0)</f>
        <v>3161.10953501494</v>
      </c>
      <c r="U31" s="630" t="n">
        <f aca="false">+(U25-U27)*$B$31+IF(U5=Assumpt!$E$49,T28*$B$31,0)</f>
        <v>3161.10953501494</v>
      </c>
      <c r="V31" s="630" t="n">
        <f aca="false">+(V25-V27)*$B$31+IF(V5=Assumpt!$E$49,U28*$B$31,0)</f>
        <v>3161.10953501494</v>
      </c>
      <c r="W31" s="630" t="n">
        <f aca="false">+(W25-W27)*$B$31+IF(W5=Assumpt!$E$49,V28*$B$31,0)</f>
        <v>3161.10953501494</v>
      </c>
      <c r="X31" s="630" t="n">
        <f aca="false">+(X25-X27)*$B$31+IF(X5=Assumpt!$E$49,W28*$B$31,0)</f>
        <v>3161.10953501494</v>
      </c>
      <c r="Y31" s="630" t="n">
        <f aca="false">+(Y25-Y27)*$B$31+IF(Y5=Assumpt!$E$49,X28*$B$31,0)</f>
        <v>3161.10953501494</v>
      </c>
      <c r="Z31" s="630" t="n">
        <f aca="false">+(Z25-Z27)*$B$31+IF(Z5=Assumpt!$E$49,Y28*$B$31,0)</f>
        <v>3161.10953501494</v>
      </c>
      <c r="AA31" s="630" t="n">
        <f aca="false">+(AA25-AA27)*$B$31+IF(AA5=Assumpt!$E$49,Z28*$B$31,0)</f>
        <v>3161.10953501494</v>
      </c>
      <c r="AB31" s="630" t="n">
        <f aca="false">+(AB25-AB27)*$B$31+IF(AB5=Assumpt!$E$49,AA28*$B$31,0)</f>
        <v>3161.10953501494</v>
      </c>
      <c r="AC31" s="630" t="n">
        <f aca="false">+(AC25-AC27)*$B$31+IF(AC5=Assumpt!$E$49,AB28*$B$31,0)</f>
        <v>3161.10953501494</v>
      </c>
      <c r="AD31" s="630" t="n">
        <f aca="false">+(AD25-AD27)*$B$31+IF(AD5=Assumpt!$E$49,AC28*$B$31,0)</f>
        <v>3161.10953501494</v>
      </c>
      <c r="AE31" s="630" t="n">
        <f aca="false">+(AE25-AE27)*$B$31+IF(AE5=Assumpt!$E$49,AD28*$B$31,0)</f>
        <v>3161.10953501494</v>
      </c>
      <c r="AF31" s="630" t="n">
        <f aca="false">+(AF25-AF27)*$B$31+IF(AF5=Assumpt!$E$49,AE28*$B$31,0)</f>
        <v>3161.10953501494</v>
      </c>
      <c r="AG31" s="630" t="n">
        <f aca="false">+(AG25-AG27)*$B$31+IF(AG5=Assumpt!$E$49,AF28*$B$31,0)</f>
        <v>3161.10953501494</v>
      </c>
      <c r="AH31" s="630" t="n">
        <f aca="false">+(AH25-AH27)*$B$31+IF(AH5=Assumpt!$E$49,AG28*$B$31,0)</f>
        <v>3161.10953501494</v>
      </c>
      <c r="AI31" s="630" t="n">
        <f aca="false">+(AI25-AI27)*$B$31+IF(AI5=Assumpt!$E$49,AH28*$B$31,0)</f>
        <v>3161.10953501494</v>
      </c>
      <c r="AJ31" s="630" t="n">
        <f aca="false">+(AJ25-AJ27)*$B$31+IF(AJ5=Assumpt!$E$49,AI28*$B$31,0)</f>
        <v>3161.10953501494</v>
      </c>
      <c r="AK31" s="630" t="n">
        <f aca="false">+(AK25-AK27)*$B$31+IF(AK5=Assumpt!$E$49,AJ28*$B$31,0)</f>
        <v>3161.10953501494</v>
      </c>
      <c r="AL31" s="630" t="n">
        <f aca="false">+(AL25-AL27)*$B$31+IF(AL5=Assumpt!$E$49,AK28*$B$31,0)</f>
        <v>3161.10953501496</v>
      </c>
      <c r="AM31" s="631" t="n">
        <f aca="false">SUM(C31:AL31)</f>
        <v>113799.943260538</v>
      </c>
      <c r="AN31" s="398"/>
      <c r="AO31" s="20" t="n">
        <f aca="false">+AO30+1</f>
        <v>26</v>
      </c>
      <c r="AP31" s="14"/>
      <c r="AQ31" s="14"/>
      <c r="AR31" s="14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398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</row>
    <row r="32" customFormat="false" ht="12.75" hidden="false" customHeight="false" outlineLevel="0" collapsed="false">
      <c r="A32" s="606" t="s">
        <v>249</v>
      </c>
      <c r="B32" s="14"/>
      <c r="C32" s="107" t="n">
        <f aca="false">IF(C31=0,0,SUM($C$31:C31))</f>
        <v>3161.10953501494</v>
      </c>
      <c r="D32" s="107" t="n">
        <f aca="false">SUM($C$31:D31)</f>
        <v>6322.21907002987</v>
      </c>
      <c r="E32" s="107" t="n">
        <f aca="false">SUM($C$31:E31)</f>
        <v>9483.32860504481</v>
      </c>
      <c r="F32" s="107" t="n">
        <f aca="false">SUM($C$31:F31)</f>
        <v>12644.4381400597</v>
      </c>
      <c r="G32" s="107" t="n">
        <f aca="false">SUM($C$31:G31)</f>
        <v>15805.5476750747</v>
      </c>
      <c r="H32" s="107" t="n">
        <f aca="false">SUM($C$31:H31)</f>
        <v>18966.6572100896</v>
      </c>
      <c r="I32" s="107" t="n">
        <f aca="false">SUM($C$31:I31)</f>
        <v>22127.7667451046</v>
      </c>
      <c r="J32" s="107" t="n">
        <f aca="false">SUM($C$31:J31)</f>
        <v>25288.8762801195</v>
      </c>
      <c r="K32" s="107" t="n">
        <f aca="false">SUM($C$31:K31)</f>
        <v>28449.9858151344</v>
      </c>
      <c r="L32" s="107" t="n">
        <f aca="false">SUM($C$31:L31)</f>
        <v>31611.0953501494</v>
      </c>
      <c r="M32" s="107" t="n">
        <f aca="false">SUM($C$31:M31)</f>
        <v>34772.2048851643</v>
      </c>
      <c r="N32" s="107" t="n">
        <f aca="false">SUM($C$31:N31)</f>
        <v>37933.3144201792</v>
      </c>
      <c r="O32" s="107" t="n">
        <f aca="false">SUM($C$31:O31)</f>
        <v>41094.4239551942</v>
      </c>
      <c r="P32" s="107" t="n">
        <f aca="false">SUM($C$31:P31)</f>
        <v>44255.5334902091</v>
      </c>
      <c r="Q32" s="107" t="n">
        <f aca="false">SUM($C$31:Q31)</f>
        <v>47416.643025224</v>
      </c>
      <c r="R32" s="107" t="n">
        <f aca="false">SUM($C$31:R31)</f>
        <v>50577.752560239</v>
      </c>
      <c r="S32" s="107" t="n">
        <f aca="false">SUM($C$31:S31)</f>
        <v>53738.8620952539</v>
      </c>
      <c r="T32" s="107" t="n">
        <f aca="false">SUM($C$31:T31)</f>
        <v>56899.9716302689</v>
      </c>
      <c r="U32" s="107" t="n">
        <f aca="false">SUM($C$31:U31)</f>
        <v>60061.0811652838</v>
      </c>
      <c r="V32" s="107" t="n">
        <f aca="false">SUM($C$31:V31)</f>
        <v>63222.1907002987</v>
      </c>
      <c r="W32" s="107" t="n">
        <f aca="false">SUM($C$31:W31)</f>
        <v>66383.3002353137</v>
      </c>
      <c r="X32" s="107" t="n">
        <f aca="false">SUM($C$31:X31)</f>
        <v>69544.4097703286</v>
      </c>
      <c r="Y32" s="107" t="n">
        <f aca="false">SUM($C$31:Y31)</f>
        <v>72705.5193053435</v>
      </c>
      <c r="Z32" s="107" t="n">
        <f aca="false">SUM($C$31:Z31)</f>
        <v>75866.6288403585</v>
      </c>
      <c r="AA32" s="107" t="n">
        <f aca="false">SUM($C$31:AA31)</f>
        <v>79027.7383753734</v>
      </c>
      <c r="AB32" s="107" t="n">
        <f aca="false">SUM($C$31:AB31)</f>
        <v>82188.8479103883</v>
      </c>
      <c r="AC32" s="107" t="n">
        <f aca="false">SUM($C$31:AC31)</f>
        <v>85349.9574454033</v>
      </c>
      <c r="AD32" s="107" t="n">
        <f aca="false">SUM($C$31:AD31)</f>
        <v>88511.0669804182</v>
      </c>
      <c r="AE32" s="107" t="n">
        <f aca="false">SUM($C$31:AE31)</f>
        <v>91672.1765154332</v>
      </c>
      <c r="AF32" s="107" t="n">
        <f aca="false">SUM($C$31:AF31)</f>
        <v>94833.2860504481</v>
      </c>
      <c r="AG32" s="107" t="n">
        <f aca="false">SUM($C$31:AG31)</f>
        <v>97994.395585463</v>
      </c>
      <c r="AH32" s="107" t="n">
        <f aca="false">SUM($C$31:AH31)</f>
        <v>101155.505120478</v>
      </c>
      <c r="AI32" s="107" t="n">
        <f aca="false">SUM($C$31:AI31)</f>
        <v>104316.614655493</v>
      </c>
      <c r="AJ32" s="107" t="n">
        <f aca="false">SUM($C$31:AJ31)</f>
        <v>107477.724190508</v>
      </c>
      <c r="AK32" s="107" t="n">
        <f aca="false">SUM($C$31:AK31)</f>
        <v>110638.833725523</v>
      </c>
      <c r="AL32" s="107" t="n">
        <f aca="false">SUM($C$31:AL31)</f>
        <v>113799.943260538</v>
      </c>
      <c r="AM32" s="478"/>
      <c r="AN32" s="398"/>
      <c r="AO32" s="20" t="n">
        <f aca="false">+AO31+1</f>
        <v>27</v>
      </c>
      <c r="AP32" s="600"/>
      <c r="AQ32" s="14"/>
      <c r="AR32" s="14"/>
      <c r="AS32" s="107"/>
      <c r="AT32" s="398"/>
      <c r="AU32" s="398"/>
      <c r="AV32" s="398"/>
      <c r="AW32" s="398"/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  <c r="BK32" s="398"/>
      <c r="BL32" s="398"/>
      <c r="BM32" s="398"/>
      <c r="BN32" s="398"/>
      <c r="BO32" s="398"/>
      <c r="BP32" s="398"/>
      <c r="BQ32" s="398"/>
      <c r="BR32" s="398"/>
      <c r="BS32" s="398"/>
      <c r="BT32" s="398"/>
      <c r="BU32" s="398"/>
      <c r="BV32" s="398"/>
      <c r="BW32" s="398"/>
      <c r="BX32" s="398"/>
      <c r="BY32" s="398"/>
      <c r="BZ32" s="398"/>
      <c r="CA32" s="398"/>
      <c r="CB32" s="398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</row>
    <row r="33" customFormat="false" ht="12.75" hidden="false" customHeight="false" outlineLevel="0" collapsed="false">
      <c r="A33" s="606" t="s">
        <v>250</v>
      </c>
      <c r="B33" s="492" t="n">
        <f aca="false">+Assumpt!L44</f>
        <v>0.095</v>
      </c>
      <c r="C33" s="107" t="n">
        <f aca="false">+C32*$B$33/12</f>
        <v>25.0254504855349</v>
      </c>
      <c r="D33" s="107" t="n">
        <f aca="false">IF(D6&gt;=Assumpt!$E$50,0,(+D32+SUM($C$33:C33))*$B$33/12)</f>
        <v>50.249019120747</v>
      </c>
      <c r="E33" s="107" t="n">
        <f aca="false">IF(E6&gt;=Assumpt!$E$50,0,(+E32+SUM($C$33:D33))*$B$33/12)</f>
        <v>75.6722743409878</v>
      </c>
      <c r="F33" s="107" t="n">
        <f aca="false">IF(F6&gt;=Assumpt!$E$50,0,(+F32+SUM($C$33:E33))*$B$33/12)</f>
        <v>101.296796998389</v>
      </c>
      <c r="G33" s="107" t="n">
        <f aca="false">IF(G6&gt;=Assumpt!$E$50,0,(+G32+SUM($C$33:F33))*$B$33/12)</f>
        <v>127.124180460161</v>
      </c>
      <c r="H33" s="107" t="n">
        <f aca="false">IF(H6&gt;=Assumpt!$E$50,0,(+H32+SUM($C$33:G33))*$B$33/12)</f>
        <v>153.156030707672</v>
      </c>
      <c r="I33" s="107" t="n">
        <f aca="false">IF(I6&gt;=Assumpt!$E$50,0,(+I32+SUM($C$33:H33))*$B$33/12)</f>
        <v>179.39396643631</v>
      </c>
      <c r="J33" s="107" t="n">
        <f aca="false">IF(J6&gt;=Assumpt!$E$50,0,(+J32+SUM($C$33:I33))*$B$33/12)</f>
        <v>205.839619156132</v>
      </c>
      <c r="K33" s="107" t="n">
        <f aca="false">IF(K6&gt;=Assumpt!$E$50,0,(+K32+SUM($C$33:J33))*$B$33/12)</f>
        <v>232.49463329332</v>
      </c>
      <c r="L33" s="107" t="n">
        <f aca="false">IF(L6&gt;=Assumpt!$E$50,0,(+L32+SUM($C$33:K33))*$B$33/12)</f>
        <v>259.360666292427</v>
      </c>
      <c r="M33" s="107" t="n">
        <f aca="false">IF(M6&gt;=Assumpt!$E$50,0,(+M32+SUM($C$33:L33))*$B$33/12)</f>
        <v>286.439388719443</v>
      </c>
      <c r="N33" s="107" t="n">
        <f aca="false">IF(N6&gt;=Assumpt!$E$50,0,(+N32+SUM($C$33:M33))*$B$33/12)</f>
        <v>313.732484365674</v>
      </c>
      <c r="O33" s="107" t="n">
        <f aca="false">IF(O6&gt;=Assumpt!$E$50,0,(+O32+SUM($C$33:N33))*$B$33/12)</f>
        <v>341.241650352437</v>
      </c>
      <c r="P33" s="107" t="n">
        <f aca="false">IF(P6&gt;=Assumpt!$E$50,0,(+P32+SUM($C$33:O33))*$B$33/12)</f>
        <v>368.968597236595</v>
      </c>
      <c r="Q33" s="107" t="n">
        <f aca="false">IF(Q6&gt;=Assumpt!$E$50,0,(+Q32+SUM($C$33:P33))*$B$33/12)</f>
        <v>396.91504911692</v>
      </c>
      <c r="R33" s="107" t="n">
        <f aca="false">IF(R6&gt;=Assumpt!$E$50,0,(+R32+SUM($C$33:Q33))*$B$33/12)</f>
        <v>425.082743741297</v>
      </c>
      <c r="S33" s="107" t="n">
        <f aca="false">IF(S6&gt;=Assumpt!$E$50,0,(+S32+SUM($C$33:R33))*$B$33/12)</f>
        <v>453.473432614784</v>
      </c>
      <c r="T33" s="107" t="n">
        <f aca="false">IF(T6&gt;=Assumpt!$E$50,0,(+T32+SUM($C$33:S33))*$B$33/12)</f>
        <v>482.088881108519</v>
      </c>
      <c r="U33" s="107" t="n">
        <f aca="false">IF(U6&gt;=Assumpt!$E$50,0,(+U32+SUM($C$33:T33))*$B$33/12)</f>
        <v>510.930868569496</v>
      </c>
      <c r="V33" s="107" t="n">
        <f aca="false">IF(V6&gt;=Assumpt!$E$50,0,(+V32+SUM($C$33:U33))*$B$33/12)</f>
        <v>540.001188431207</v>
      </c>
      <c r="W33" s="107" t="n">
        <f aca="false">IF(W6&gt;=Assumpt!$E$50,0,(+W32+SUM($C$33:V33))*$B$33/12)</f>
        <v>569.301648325155</v>
      </c>
      <c r="X33" s="107" t="n">
        <f aca="false">IF(X6&gt;=Assumpt!$E$50,0,(+X32+SUM($C$33:W33))*$B$33/12)</f>
        <v>598.834070193264</v>
      </c>
      <c r="Y33" s="107" t="n">
        <f aca="false">IF(Y6&gt;=Assumpt!$E$50,0,(+Y32+SUM($C$33:X33))*$B$33/12)</f>
        <v>628.600290401163</v>
      </c>
      <c r="Z33" s="107" t="n">
        <f aca="false">IF(Z6&gt;=Assumpt!$E$50,0,(+Z32+SUM($C$33:Y33))*$B$33/12)</f>
        <v>658.602159852373</v>
      </c>
      <c r="AA33" s="107" t="n">
        <f aca="false">IF(AA6&gt;=Assumpt!$E$50,0,(+AA32+SUM($C$33:Z33))*$B$33/12)</f>
        <v>688.841544103406</v>
      </c>
      <c r="AB33" s="107" t="n">
        <f aca="false">IF(AB6&gt;=Assumpt!$E$50,0,(+AB32+SUM($C$33:AA33))*$B$33/12)</f>
        <v>719.32032347976</v>
      </c>
      <c r="AC33" s="107" t="n">
        <f aca="false">IF(AC6&gt;=Assumpt!$E$50,0,(+AC32+SUM($C$33:AB33))*$B$33/12)</f>
        <v>750.040393192843</v>
      </c>
      <c r="AD33" s="107" t="n">
        <f aca="false">IF(AD6&gt;=Assumpt!$E$50,0,(+AD32+SUM($C$33:AC33))*$B$33/12)</f>
        <v>781.003663457821</v>
      </c>
      <c r="AE33" s="107" t="n">
        <f aca="false">IF(AE6&gt;=Assumpt!$E$50,0,(+AE32+SUM($C$33:AD33))*$B$33/12)</f>
        <v>812.212059612397</v>
      </c>
      <c r="AF33" s="107" t="n">
        <f aca="false">IF(AF6&gt;=Assumpt!$E$50,0,(+AF32+SUM($C$33:AE33))*$B$33/12)</f>
        <v>843.66752223653</v>
      </c>
      <c r="AG33" s="107" t="n">
        <f aca="false">IF(AG6&gt;=Assumpt!$E$50,0,(+AG32+SUM($C$33:AF33))*$B$33/12)</f>
        <v>875.372007273104</v>
      </c>
      <c r="AH33" s="107" t="n">
        <f aca="false">IF(AH6&gt;=Assumpt!$E$50,0,(+AH32+SUM($C$33:AG33))*$B$33/12)</f>
        <v>907.327486149551</v>
      </c>
      <c r="AI33" s="107" t="n">
        <f aca="false">IF(AI6&gt;=Assumpt!$E$50,0,(+AI32+SUM($C$33:AH33))*$B$33/12)</f>
        <v>939.535945900437</v>
      </c>
      <c r="AJ33" s="107" t="n">
        <f aca="false">IF(AJ6&gt;=Assumpt!$E$50,0,(+AJ32+SUM($C$33:AI33))*$B$33/12)</f>
        <v>971.999389291017</v>
      </c>
      <c r="AK33" s="107" t="n">
        <f aca="false">IF(AK6&gt;=Assumpt!$E$50,0,(+AK32+SUM($C$33:AJ33))*$B$33/12)</f>
        <v>1004.71983494177</v>
      </c>
      <c r="AL33" s="107" t="n">
        <f aca="false">IF(AL6&gt;=Assumpt!$E$50,0,(+AL32+SUM($C$33:AK33))*$B$33/12)</f>
        <v>1037.69931745393</v>
      </c>
      <c r="AM33" s="479" t="n">
        <f aca="false">SUM(C33:AL33)</f>
        <v>18315.5645774126</v>
      </c>
      <c r="AN33" s="14"/>
      <c r="AO33" s="20" t="n">
        <f aca="false">+AO32+1</f>
        <v>28</v>
      </c>
      <c r="AP33" s="14"/>
      <c r="AQ33" s="14"/>
      <c r="AR33" s="14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</row>
    <row r="34" customFormat="false" ht="12.75" hidden="false" customHeight="false" outlineLevel="0" collapsed="false">
      <c r="A34" s="37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632"/>
      <c r="AN34" s="14"/>
      <c r="AO34" s="20" t="n">
        <f aca="false">+AO33+1</f>
        <v>29</v>
      </c>
      <c r="AP34" s="14"/>
      <c r="AQ34" s="14"/>
      <c r="AR34" s="14"/>
      <c r="AS34" s="398"/>
      <c r="AT34" s="398"/>
      <c r="AU34" s="398"/>
      <c r="AV34" s="398"/>
      <c r="AW34" s="398"/>
      <c r="AX34" s="398"/>
      <c r="AY34" s="398"/>
      <c r="AZ34" s="398"/>
      <c r="BA34" s="398"/>
      <c r="BB34" s="398"/>
      <c r="BC34" s="398"/>
      <c r="BD34" s="398"/>
      <c r="BE34" s="398"/>
      <c r="BF34" s="398"/>
      <c r="BG34" s="398"/>
      <c r="BH34" s="398"/>
      <c r="BI34" s="398"/>
      <c r="BJ34" s="398"/>
      <c r="BK34" s="398"/>
      <c r="BL34" s="398"/>
      <c r="BM34" s="398"/>
      <c r="BN34" s="398"/>
      <c r="BO34" s="398"/>
      <c r="BP34" s="398"/>
      <c r="BQ34" s="398"/>
      <c r="BR34" s="398"/>
      <c r="BS34" s="398"/>
      <c r="BT34" s="398"/>
      <c r="BU34" s="398"/>
      <c r="BV34" s="398"/>
      <c r="BW34" s="398"/>
      <c r="BX34" s="398"/>
      <c r="BY34" s="398"/>
      <c r="BZ34" s="398"/>
      <c r="CA34" s="398"/>
      <c r="CB34" s="398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</row>
    <row r="35" customFormat="false" ht="12.75" hidden="false" customHeight="false" outlineLevel="0" collapsed="false">
      <c r="A35" s="385" t="s">
        <v>251</v>
      </c>
      <c r="B35" s="629" t="n">
        <f aca="false">IF(Assumpt!S6=0,0,+Assumpt!G50/Assumpt!S6)</f>
        <v>0</v>
      </c>
      <c r="C35" s="630" t="n">
        <f aca="false">+(C25-C27)*$B$35+IF(C5=Assumpt!$E$49,B28*$B$35,0)</f>
        <v>0</v>
      </c>
      <c r="D35" s="630" t="n">
        <f aca="false">+(D25-D27)*$B$35+IF(D5=Assumpt!$E$49,C28*$B$35,0)</f>
        <v>0</v>
      </c>
      <c r="E35" s="630" t="n">
        <f aca="false">+(E25-E27)*$B$35+IF(E5=Assumpt!$E$49,D28*$B$35,0)</f>
        <v>0</v>
      </c>
      <c r="F35" s="630" t="n">
        <f aca="false">+(F25-F27)*$B$35+IF(F5=Assumpt!$E$49,E28*$B$35,0)</f>
        <v>0</v>
      </c>
      <c r="G35" s="630" t="n">
        <f aca="false">+(G25-G27)*$B$35+IF(G5=Assumpt!$E$49,F28*$B$35,0)</f>
        <v>0</v>
      </c>
      <c r="H35" s="630" t="n">
        <f aca="false">+(H25-H27)*$B$35+IF(H5=Assumpt!$E$49,G28*$B$35,0)</f>
        <v>0</v>
      </c>
      <c r="I35" s="630" t="n">
        <f aca="false">+(I25-I27)*$B$35+IF(I5=Assumpt!$E$49,H28*$B$35,0)</f>
        <v>0</v>
      </c>
      <c r="J35" s="630" t="n">
        <f aca="false">+(J25-J27)*$B$35+IF(J5=Assumpt!$E$49,I28*$B$35,0)</f>
        <v>0</v>
      </c>
      <c r="K35" s="630" t="n">
        <f aca="false">+(K25-K27)*$B$35+IF(K5=Assumpt!$E$49,J28*$B$35,0)</f>
        <v>0</v>
      </c>
      <c r="L35" s="630" t="n">
        <f aca="false">+(L25-L27)*$B$35+IF(L5=Assumpt!$E$49,K28*$B$35,0)</f>
        <v>0</v>
      </c>
      <c r="M35" s="630" t="n">
        <f aca="false">+(M25-M27)*$B$35+IF(M5=Assumpt!$E$49,L28*$B$35,0)</f>
        <v>0</v>
      </c>
      <c r="N35" s="630" t="n">
        <f aca="false">+(N25-N27)*$B$35+IF(N5=Assumpt!$E$49,M28*$B$35,0)</f>
        <v>0</v>
      </c>
      <c r="O35" s="630" t="n">
        <f aca="false">+(O25-O27)*$B$35+IF(O5=Assumpt!$E$49,N28*$B$35,0)</f>
        <v>0</v>
      </c>
      <c r="P35" s="630" t="n">
        <f aca="false">+(P25-P27)*$B$35+IF(P5=Assumpt!$E$49,O28*$B$35,0)</f>
        <v>0</v>
      </c>
      <c r="Q35" s="630" t="n">
        <f aca="false">+(Q25-Q27)*$B$35+IF(Q5=Assumpt!$E$49,P28*$B$35,0)</f>
        <v>0</v>
      </c>
      <c r="R35" s="630" t="n">
        <f aca="false">+(R25-R27)*$B$35+IF(R5=Assumpt!$E$49,Q28*$B$35,0)</f>
        <v>0</v>
      </c>
      <c r="S35" s="630" t="n">
        <f aca="false">+(S25-S27)*$B$35+IF(S5=Assumpt!$E$49,R28*$B$35,0)</f>
        <v>0</v>
      </c>
      <c r="T35" s="630" t="n">
        <f aca="false">+(T25-T27)*$B$35+IF(T5=Assumpt!$E$49,S28*$B$35,0)</f>
        <v>0</v>
      </c>
      <c r="U35" s="630" t="n">
        <f aca="false">+(U25-U27)*$B$35+IF(U5=Assumpt!$E$49,T28*$B$35,0)</f>
        <v>0</v>
      </c>
      <c r="V35" s="630" t="n">
        <f aca="false">+(V25-V27)*$B$35+IF(V5=Assumpt!$E$49,U28*$B$35,0)</f>
        <v>0</v>
      </c>
      <c r="W35" s="630" t="n">
        <f aca="false">+(W25-W27)*$B$35+IF(W5=Assumpt!$E$49,V28*$B$35,0)</f>
        <v>0</v>
      </c>
      <c r="X35" s="630" t="n">
        <f aca="false">+(X25-X27)*$B$35+IF(X5=Assumpt!$E$49,W28*$B$35,0)</f>
        <v>0</v>
      </c>
      <c r="Y35" s="630" t="n">
        <f aca="false">+(Y25-Y27)*$B$35+IF(Y5=Assumpt!$E$49,X28*$B$35,0)</f>
        <v>0</v>
      </c>
      <c r="Z35" s="630" t="n">
        <f aca="false">+(Z25-Z27)*$B$35+IF(Z5=Assumpt!$E$49,Y28*$B$35,0)</f>
        <v>0</v>
      </c>
      <c r="AA35" s="630" t="n">
        <f aca="false">+(AA25-AA27)*$B$35+IF(AA5=Assumpt!$E$49,Z28*$B$35,0)</f>
        <v>0</v>
      </c>
      <c r="AB35" s="630" t="n">
        <f aca="false">+(AB25-AB27)*$B$35+IF(AB5=Assumpt!$E$49,AA28*$B$35,0)</f>
        <v>0</v>
      </c>
      <c r="AC35" s="630" t="n">
        <f aca="false">+(AC25-AC27)*$B$35+IF(AC5=Assumpt!$E$49,AB28*$B$35,0)</f>
        <v>0</v>
      </c>
      <c r="AD35" s="630" t="n">
        <f aca="false">+(AD25-AD27)*$B$35+IF(AD5=Assumpt!$E$49,AC28*$B$35,0)</f>
        <v>0</v>
      </c>
      <c r="AE35" s="630" t="n">
        <f aca="false">+(AE25-AE27)*$B$35+IF(AE5=Assumpt!$E$49,AD28*$B$35,0)</f>
        <v>0</v>
      </c>
      <c r="AF35" s="630" t="n">
        <f aca="false">+(AF25-AF27)*$B$35+IF(AF5=Assumpt!$E$49,AE28*$B$35,0)</f>
        <v>0</v>
      </c>
      <c r="AG35" s="630" t="n">
        <f aca="false">+(AG25-AG27)*$B$35+IF(AG5=Assumpt!$E$49,AF28*$B$35,0)</f>
        <v>0</v>
      </c>
      <c r="AH35" s="630" t="n">
        <f aca="false">+(AH25-AH27)*$B$35+IF(AH5=Assumpt!$E$49,AG28*$B$35,0)</f>
        <v>0</v>
      </c>
      <c r="AI35" s="630" t="n">
        <f aca="false">+(AI25-AI27)*$B$35+IF(AI5=Assumpt!$E$49,AH28*$B$35,0)</f>
        <v>0</v>
      </c>
      <c r="AJ35" s="630" t="n">
        <f aca="false">+(AJ25-AJ27)*$B$35+IF(AJ5=Assumpt!$E$49,AI28*$B$35,0)</f>
        <v>0</v>
      </c>
      <c r="AK35" s="630" t="n">
        <f aca="false">+(AK25-AK27)*$B$35+IF(AK5=Assumpt!$E$49,AJ28*$B$35,0)</f>
        <v>0</v>
      </c>
      <c r="AL35" s="630" t="n">
        <f aca="false">+(AL25-AL27)*$B$35+IF(AL5=Assumpt!$E$49,AK28*$B$35,0)</f>
        <v>0</v>
      </c>
      <c r="AM35" s="631" t="n">
        <f aca="false">SUM(C35:AL35)</f>
        <v>0</v>
      </c>
      <c r="AN35" s="14"/>
      <c r="AO35" s="20" t="n">
        <f aca="false">+AO34+1</f>
        <v>30</v>
      </c>
      <c r="AP35" s="14"/>
      <c r="AQ35" s="14"/>
      <c r="AR35" s="14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492"/>
      <c r="CE35" s="492"/>
      <c r="CF35" s="492"/>
      <c r="CG35" s="492"/>
      <c r="CH35" s="492"/>
      <c r="CI35" s="492"/>
      <c r="CJ35" s="492"/>
      <c r="CK35" s="492"/>
      <c r="CL35" s="492"/>
      <c r="CM35" s="492"/>
      <c r="CN35" s="492"/>
      <c r="CO35" s="492"/>
      <c r="CP35" s="501"/>
      <c r="CQ35" s="501"/>
      <c r="CR35" s="501"/>
      <c r="CS35" s="501"/>
      <c r="CT35" s="501"/>
      <c r="CU35" s="501"/>
      <c r="CV35" s="501"/>
      <c r="CW35" s="501"/>
      <c r="CX35" s="501"/>
      <c r="CY35" s="501"/>
      <c r="CZ35" s="501"/>
      <c r="DA35" s="501"/>
      <c r="DB35" s="501"/>
      <c r="DC35" s="501"/>
      <c r="DD35" s="501"/>
      <c r="DE35" s="501"/>
      <c r="DF35" s="501"/>
      <c r="DG35" s="501"/>
      <c r="DH35" s="501"/>
      <c r="DI35" s="501"/>
      <c r="DJ35" s="501"/>
      <c r="DK35" s="501"/>
      <c r="DL35" s="501"/>
      <c r="DM35" s="501"/>
      <c r="DN35" s="501"/>
      <c r="DO35" s="501"/>
      <c r="DP35" s="501"/>
      <c r="DQ35" s="501"/>
      <c r="DR35" s="501"/>
      <c r="DS35" s="501"/>
      <c r="DT35" s="501"/>
      <c r="DU35" s="501"/>
      <c r="DV35" s="501"/>
      <c r="DW35" s="501"/>
      <c r="DX35" s="501"/>
      <c r="DY35" s="501"/>
      <c r="DZ35" s="501"/>
      <c r="EA35" s="501"/>
      <c r="EB35" s="501"/>
      <c r="EC35" s="501"/>
      <c r="ED35" s="501"/>
      <c r="EE35" s="501"/>
      <c r="EF35" s="501"/>
      <c r="EG35" s="501"/>
      <c r="EH35" s="501"/>
      <c r="EI35" s="501"/>
      <c r="EJ35" s="501"/>
      <c r="EK35" s="501"/>
      <c r="EL35" s="501"/>
      <c r="EM35" s="501"/>
      <c r="EN35" s="501"/>
      <c r="EO35" s="501"/>
      <c r="EP35" s="501"/>
      <c r="EQ35" s="501"/>
      <c r="ER35" s="501"/>
      <c r="ES35" s="501"/>
      <c r="ET35" s="501"/>
      <c r="EU35" s="501"/>
      <c r="EV35" s="501"/>
      <c r="EW35" s="501"/>
      <c r="EX35" s="501"/>
      <c r="EY35" s="501"/>
      <c r="EZ35" s="501"/>
      <c r="FA35" s="501"/>
      <c r="FB35" s="501"/>
      <c r="FC35" s="501"/>
      <c r="FD35" s="501"/>
      <c r="FE35" s="501"/>
      <c r="FF35" s="501"/>
      <c r="FG35" s="501"/>
      <c r="FH35" s="501"/>
      <c r="FI35" s="501"/>
      <c r="FJ35" s="501"/>
      <c r="FK35" s="501"/>
      <c r="FL35" s="501"/>
      <c r="FM35" s="501"/>
      <c r="FN35" s="501"/>
      <c r="FO35" s="501"/>
      <c r="FP35" s="501"/>
      <c r="FQ35" s="501"/>
      <c r="FR35" s="501"/>
      <c r="FS35" s="501"/>
      <c r="FT35" s="501"/>
      <c r="FU35" s="501"/>
      <c r="FV35" s="501"/>
      <c r="FW35" s="501"/>
      <c r="FX35" s="501"/>
      <c r="FY35" s="501"/>
      <c r="FZ35" s="501"/>
      <c r="GA35" s="501"/>
      <c r="GB35" s="501"/>
      <c r="GC35" s="501"/>
      <c r="GD35" s="501"/>
      <c r="GE35" s="501"/>
      <c r="GF35" s="501"/>
      <c r="GG35" s="501"/>
      <c r="GH35" s="501"/>
      <c r="GI35" s="501"/>
      <c r="GJ35" s="501"/>
      <c r="GK35" s="501"/>
      <c r="GL35" s="501"/>
      <c r="GM35" s="501"/>
      <c r="GN35" s="501"/>
      <c r="GO35" s="501"/>
      <c r="GP35" s="501"/>
      <c r="GQ35" s="501"/>
      <c r="GR35" s="501"/>
      <c r="GS35" s="501"/>
      <c r="GT35" s="501"/>
      <c r="GU35" s="501"/>
      <c r="GV35" s="501"/>
      <c r="GW35" s="501"/>
      <c r="GX35" s="501"/>
      <c r="GY35" s="501"/>
      <c r="GZ35" s="501"/>
      <c r="HA35" s="501"/>
      <c r="HB35" s="501"/>
      <c r="HC35" s="501"/>
      <c r="HD35" s="501"/>
      <c r="HE35" s="501"/>
      <c r="HF35" s="501"/>
      <c r="HG35" s="501"/>
      <c r="HH35" s="501"/>
      <c r="HI35" s="501"/>
      <c r="HJ35" s="501"/>
      <c r="HK35" s="501"/>
      <c r="HL35" s="501"/>
      <c r="HM35" s="501"/>
      <c r="HN35" s="501"/>
      <c r="HO35" s="501"/>
      <c r="HP35" s="501"/>
      <c r="HQ35" s="501"/>
      <c r="HR35" s="501"/>
      <c r="HS35" s="501"/>
      <c r="HT35" s="501"/>
      <c r="HU35" s="501"/>
      <c r="HV35" s="501"/>
      <c r="HW35" s="501"/>
      <c r="HX35" s="501"/>
      <c r="HY35" s="501"/>
      <c r="HZ35" s="501"/>
      <c r="IA35" s="501"/>
      <c r="IB35" s="501"/>
      <c r="IC35" s="501"/>
      <c r="ID35" s="501"/>
      <c r="IE35" s="501"/>
      <c r="IF35" s="501"/>
      <c r="IG35" s="501"/>
      <c r="IH35" s="501"/>
      <c r="II35" s="501"/>
      <c r="IJ35" s="501"/>
      <c r="IK35" s="501"/>
      <c r="IL35" s="501"/>
      <c r="IM35" s="501"/>
      <c r="IN35" s="501"/>
      <c r="IO35" s="501"/>
      <c r="IP35" s="501"/>
      <c r="IQ35" s="501"/>
      <c r="IR35" s="501"/>
      <c r="IS35" s="501"/>
      <c r="IT35" s="501"/>
      <c r="IU35" s="501"/>
      <c r="IV35" s="501"/>
      <c r="IW35" s="501"/>
    </row>
    <row r="36" customFormat="false" ht="12.75" hidden="false" customHeight="false" outlineLevel="0" collapsed="false">
      <c r="A36" s="372" t="s">
        <v>252</v>
      </c>
      <c r="B36" s="492"/>
      <c r="C36" s="107" t="n">
        <f aca="false">SUM($C$35:C35)</f>
        <v>0</v>
      </c>
      <c r="D36" s="107" t="n">
        <f aca="false">SUM($C$35:D35)</f>
        <v>0</v>
      </c>
      <c r="E36" s="107" t="n">
        <f aca="false">SUM($C$35:E35)</f>
        <v>0</v>
      </c>
      <c r="F36" s="107" t="n">
        <f aca="false">SUM($C$35:F35)</f>
        <v>0</v>
      </c>
      <c r="G36" s="107" t="n">
        <f aca="false">SUM($C$35:G35)</f>
        <v>0</v>
      </c>
      <c r="H36" s="107" t="n">
        <f aca="false">SUM($C$35:H35)</f>
        <v>0</v>
      </c>
      <c r="I36" s="107" t="n">
        <f aca="false">SUM($C$35:I35)</f>
        <v>0</v>
      </c>
      <c r="J36" s="107" t="n">
        <f aca="false">SUM($C$35:J35)</f>
        <v>0</v>
      </c>
      <c r="K36" s="107" t="n">
        <f aca="false">SUM($C$35:K35)</f>
        <v>0</v>
      </c>
      <c r="L36" s="107" t="n">
        <f aca="false">SUM($C$35:L35)</f>
        <v>0</v>
      </c>
      <c r="M36" s="107" t="n">
        <f aca="false">SUM($C$35:M35)</f>
        <v>0</v>
      </c>
      <c r="N36" s="107" t="n">
        <f aca="false">SUM($C$35:N35)</f>
        <v>0</v>
      </c>
      <c r="O36" s="107" t="n">
        <f aca="false">SUM($C$35:O35)</f>
        <v>0</v>
      </c>
      <c r="P36" s="107" t="n">
        <f aca="false">SUM($C$35:P35)</f>
        <v>0</v>
      </c>
      <c r="Q36" s="107" t="n">
        <f aca="false">SUM($C$35:Q35)</f>
        <v>0</v>
      </c>
      <c r="R36" s="107" t="n">
        <f aca="false">SUM($C$35:R35)</f>
        <v>0</v>
      </c>
      <c r="S36" s="107" t="n">
        <f aca="false">SUM($C$35:S35)</f>
        <v>0</v>
      </c>
      <c r="T36" s="107" t="n">
        <f aca="false">SUM($C$35:T35)</f>
        <v>0</v>
      </c>
      <c r="U36" s="107" t="n">
        <f aca="false">SUM($C$35:U35)</f>
        <v>0</v>
      </c>
      <c r="V36" s="107" t="n">
        <f aca="false">SUM($C$35:V35)</f>
        <v>0</v>
      </c>
      <c r="W36" s="107" t="n">
        <f aca="false">SUM($C$35:W35)</f>
        <v>0</v>
      </c>
      <c r="X36" s="107" t="n">
        <f aca="false">SUM($C$35:X35)</f>
        <v>0</v>
      </c>
      <c r="Y36" s="107" t="n">
        <f aca="false">SUM($C$35:Y35)</f>
        <v>0</v>
      </c>
      <c r="Z36" s="107" t="n">
        <f aca="false">SUM($C$35:Z35)</f>
        <v>0</v>
      </c>
      <c r="AA36" s="107" t="n">
        <f aca="false">SUM($C$35:AA35)</f>
        <v>0</v>
      </c>
      <c r="AB36" s="107" t="n">
        <f aca="false">SUM($C$35:AB35)</f>
        <v>0</v>
      </c>
      <c r="AC36" s="107" t="n">
        <f aca="false">SUM($C$35:AC35)</f>
        <v>0</v>
      </c>
      <c r="AD36" s="107" t="n">
        <f aca="false">SUM($C$35:AD35)</f>
        <v>0</v>
      </c>
      <c r="AE36" s="107" t="n">
        <f aca="false">SUM($C$35:AE35)</f>
        <v>0</v>
      </c>
      <c r="AF36" s="107" t="n">
        <f aca="false">SUM($C$35:AF35)</f>
        <v>0</v>
      </c>
      <c r="AG36" s="107" t="n">
        <f aca="false">SUM($C$35:AG35)</f>
        <v>0</v>
      </c>
      <c r="AH36" s="107" t="n">
        <f aca="false">SUM($C$35:AH35)</f>
        <v>0</v>
      </c>
      <c r="AI36" s="107" t="n">
        <f aca="false">SUM($C$35:AI35)</f>
        <v>0</v>
      </c>
      <c r="AJ36" s="107" t="n">
        <f aca="false">SUM($C$35:AJ35)</f>
        <v>0</v>
      </c>
      <c r="AK36" s="107" t="n">
        <f aca="false">SUM($C$35:AK35)</f>
        <v>0</v>
      </c>
      <c r="AL36" s="107" t="n">
        <f aca="false">SUM($C$35:AL35)</f>
        <v>0</v>
      </c>
      <c r="AM36" s="633"/>
      <c r="AN36" s="14"/>
      <c r="AO36" s="20" t="n">
        <f aca="false">+AO35+1</f>
        <v>31</v>
      </c>
      <c r="AP36" s="14"/>
      <c r="AQ36" s="14"/>
      <c r="AR36" s="14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398"/>
      <c r="CD36" s="492"/>
      <c r="CE36" s="492"/>
      <c r="CF36" s="492"/>
      <c r="CG36" s="492"/>
      <c r="CH36" s="492"/>
      <c r="CI36" s="492"/>
      <c r="CJ36" s="492"/>
      <c r="CK36" s="492"/>
      <c r="CL36" s="492"/>
      <c r="CM36" s="492"/>
      <c r="CN36" s="492"/>
      <c r="CO36" s="492"/>
      <c r="CP36" s="501"/>
      <c r="CQ36" s="501"/>
      <c r="CR36" s="501"/>
      <c r="CS36" s="501"/>
      <c r="CT36" s="501"/>
      <c r="CU36" s="501"/>
      <c r="CV36" s="501"/>
      <c r="CW36" s="501"/>
      <c r="CX36" s="501"/>
      <c r="CY36" s="501"/>
      <c r="CZ36" s="501"/>
      <c r="DA36" s="501"/>
      <c r="DB36" s="501"/>
      <c r="DC36" s="501"/>
      <c r="DD36" s="501"/>
      <c r="DE36" s="501"/>
      <c r="DF36" s="501"/>
      <c r="DG36" s="501"/>
      <c r="DH36" s="501"/>
      <c r="DI36" s="501"/>
      <c r="DJ36" s="501"/>
      <c r="DK36" s="501"/>
      <c r="DL36" s="501"/>
      <c r="DM36" s="501"/>
      <c r="DN36" s="501"/>
      <c r="DO36" s="501"/>
      <c r="DP36" s="501"/>
      <c r="DQ36" s="501"/>
      <c r="DR36" s="501"/>
      <c r="DS36" s="501"/>
      <c r="DT36" s="501"/>
      <c r="DU36" s="501"/>
      <c r="DV36" s="501"/>
      <c r="DW36" s="501"/>
      <c r="DX36" s="501"/>
      <c r="DY36" s="501"/>
      <c r="DZ36" s="501"/>
      <c r="EA36" s="501"/>
      <c r="EB36" s="501"/>
      <c r="EC36" s="501"/>
      <c r="ED36" s="501"/>
      <c r="EE36" s="501"/>
      <c r="EF36" s="501"/>
      <c r="EG36" s="501"/>
      <c r="EH36" s="501"/>
      <c r="EI36" s="501"/>
      <c r="EJ36" s="501"/>
      <c r="EK36" s="501"/>
      <c r="EL36" s="501"/>
      <c r="EM36" s="501"/>
      <c r="EN36" s="501"/>
      <c r="EO36" s="501"/>
      <c r="EP36" s="501"/>
      <c r="EQ36" s="501"/>
      <c r="ER36" s="501"/>
      <c r="ES36" s="501"/>
      <c r="ET36" s="501"/>
      <c r="EU36" s="501"/>
      <c r="EV36" s="501"/>
      <c r="EW36" s="501"/>
      <c r="EX36" s="501"/>
      <c r="EY36" s="501"/>
      <c r="EZ36" s="501"/>
      <c r="FA36" s="501"/>
      <c r="FB36" s="501"/>
      <c r="FC36" s="501"/>
      <c r="FD36" s="501"/>
      <c r="FE36" s="501"/>
      <c r="FF36" s="501"/>
      <c r="FG36" s="501"/>
      <c r="FH36" s="501"/>
      <c r="FI36" s="501"/>
      <c r="FJ36" s="501"/>
      <c r="FK36" s="501"/>
      <c r="FL36" s="501"/>
      <c r="FM36" s="501"/>
      <c r="FN36" s="501"/>
      <c r="FO36" s="501"/>
      <c r="FP36" s="501"/>
      <c r="FQ36" s="501"/>
      <c r="FR36" s="501"/>
      <c r="FS36" s="501"/>
      <c r="FT36" s="501"/>
      <c r="FU36" s="501"/>
      <c r="FV36" s="501"/>
      <c r="FW36" s="501"/>
      <c r="FX36" s="501"/>
      <c r="FY36" s="501"/>
      <c r="FZ36" s="501"/>
      <c r="GA36" s="501"/>
      <c r="GB36" s="501"/>
      <c r="GC36" s="501"/>
      <c r="GD36" s="501"/>
      <c r="GE36" s="501"/>
      <c r="GF36" s="501"/>
      <c r="GG36" s="501"/>
      <c r="GH36" s="501"/>
      <c r="GI36" s="501"/>
      <c r="GJ36" s="501"/>
      <c r="GK36" s="501"/>
      <c r="GL36" s="501"/>
      <c r="GM36" s="501"/>
      <c r="GN36" s="501"/>
      <c r="GO36" s="501"/>
      <c r="GP36" s="501"/>
      <c r="GQ36" s="501"/>
      <c r="GR36" s="501"/>
      <c r="GS36" s="501"/>
      <c r="GT36" s="501"/>
      <c r="GU36" s="501"/>
      <c r="GV36" s="501"/>
      <c r="GW36" s="501"/>
      <c r="GX36" s="501"/>
      <c r="GY36" s="501"/>
      <c r="GZ36" s="501"/>
      <c r="HA36" s="501"/>
      <c r="HB36" s="501"/>
      <c r="HC36" s="501"/>
      <c r="HD36" s="501"/>
      <c r="HE36" s="501"/>
      <c r="HF36" s="501"/>
      <c r="HG36" s="501"/>
      <c r="HH36" s="501"/>
      <c r="HI36" s="501"/>
      <c r="HJ36" s="501"/>
      <c r="HK36" s="501"/>
      <c r="HL36" s="501"/>
      <c r="HM36" s="501"/>
      <c r="HN36" s="501"/>
      <c r="HO36" s="501"/>
      <c r="HP36" s="501"/>
      <c r="HQ36" s="501"/>
      <c r="HR36" s="501"/>
      <c r="HS36" s="501"/>
      <c r="HT36" s="501"/>
      <c r="HU36" s="501"/>
      <c r="HV36" s="501"/>
      <c r="HW36" s="501"/>
      <c r="HX36" s="501"/>
      <c r="HY36" s="501"/>
      <c r="HZ36" s="501"/>
      <c r="IA36" s="501"/>
      <c r="IB36" s="501"/>
      <c r="IC36" s="501"/>
      <c r="ID36" s="501"/>
      <c r="IE36" s="501"/>
      <c r="IF36" s="501"/>
      <c r="IG36" s="501"/>
      <c r="IH36" s="501"/>
      <c r="II36" s="501"/>
      <c r="IJ36" s="501"/>
      <c r="IK36" s="501"/>
      <c r="IL36" s="501"/>
      <c r="IM36" s="501"/>
      <c r="IN36" s="501"/>
      <c r="IO36" s="501"/>
      <c r="IP36" s="501"/>
      <c r="IQ36" s="501"/>
      <c r="IR36" s="501"/>
      <c r="IS36" s="501"/>
      <c r="IT36" s="501"/>
      <c r="IU36" s="501"/>
      <c r="IV36" s="501"/>
      <c r="IW36" s="501"/>
    </row>
    <row r="37" customFormat="false" ht="12.75" hidden="false" customHeight="false" outlineLevel="0" collapsed="false">
      <c r="A37" s="372" t="s">
        <v>253</v>
      </c>
      <c r="B37" s="492" t="n">
        <f aca="false">+Assumpt!L53</f>
        <v>0</v>
      </c>
      <c r="C37" s="107" t="n">
        <f aca="false">IF(C6&gt;Assumpt!$E$50,0,C36*$B$37/12)</f>
        <v>0</v>
      </c>
      <c r="D37" s="107" t="n">
        <f aca="false">IF(D6&gt;=Assumpt!$E$50,0,(D36+SUM($C$37:C37))*$B$37/12)</f>
        <v>0</v>
      </c>
      <c r="E37" s="107" t="n">
        <f aca="false">IF(E6&gt;=Assumpt!$E$50,0,(E36+SUM($C$37:D37))*$B$37/12)</f>
        <v>0</v>
      </c>
      <c r="F37" s="107" t="n">
        <f aca="false">IF(F6&gt;=Assumpt!$E$50,0,(F36+SUM($C$37:E37))*$B$37/12)</f>
        <v>0</v>
      </c>
      <c r="G37" s="107" t="n">
        <f aca="false">IF(G6&gt;=Assumpt!$E$50,0,(G36+SUM($C$37:F37))*$B$37/12)</f>
        <v>0</v>
      </c>
      <c r="H37" s="107" t="n">
        <f aca="false">IF(H6&gt;=Assumpt!$E$50,0,(H36+SUM($C$37:G37))*$B$37/12)</f>
        <v>0</v>
      </c>
      <c r="I37" s="107" t="n">
        <f aca="false">IF(I6&gt;=Assumpt!$E$50,0,(I36+SUM($C$37:H37))*$B$37/12)</f>
        <v>0</v>
      </c>
      <c r="J37" s="107" t="n">
        <f aca="false">IF(J6&gt;=Assumpt!$E$50,0,(J36+SUM($C$37:I37))*$B$37/12)</f>
        <v>0</v>
      </c>
      <c r="K37" s="107" t="n">
        <f aca="false">IF(K6&gt;=Assumpt!$E$50,0,(K36+SUM($C$37:J37))*$B$37/12)</f>
        <v>0</v>
      </c>
      <c r="L37" s="107" t="n">
        <f aca="false">IF(L6&gt;=Assumpt!$E$50,0,(L36+SUM($C$37:K37))*$B$37/12)</f>
        <v>0</v>
      </c>
      <c r="M37" s="107" t="n">
        <f aca="false">IF(M6&gt;=Assumpt!$E$50,0,(M36+SUM($C$37:L37))*$B$37/12)</f>
        <v>0</v>
      </c>
      <c r="N37" s="107" t="n">
        <f aca="false">IF(N6&gt;=Assumpt!$E$50,0,(N36+SUM($C$37:M37))*$B$37/12)</f>
        <v>0</v>
      </c>
      <c r="O37" s="107" t="n">
        <f aca="false">IF(O6&gt;=Assumpt!$E$50,0,(O36+SUM($C$37:N37))*$B$37/12)</f>
        <v>0</v>
      </c>
      <c r="P37" s="107" t="n">
        <f aca="false">IF(P6&gt;=Assumpt!$E$50,0,(P36+SUM($C$37:O37))*$B$37/12)</f>
        <v>0</v>
      </c>
      <c r="Q37" s="107" t="n">
        <f aca="false">IF(Q6&gt;=Assumpt!$E$50,0,(Q36+SUM($C$37:P37))*$B$37/12)</f>
        <v>0</v>
      </c>
      <c r="R37" s="107" t="n">
        <f aca="false">IF(R6&gt;=Assumpt!$E$50,0,(R36+SUM($C$37:Q37))*$B$37/12)</f>
        <v>0</v>
      </c>
      <c r="S37" s="107" t="n">
        <f aca="false">IF(S6&gt;=Assumpt!$E$50,0,(S36+SUM($C$37:R37))*$B$37/12)</f>
        <v>0</v>
      </c>
      <c r="T37" s="107" t="n">
        <f aca="false">IF(T6&gt;=Assumpt!$E$50,0,(T36+SUM($C$37:S37))*$B$37/12)</f>
        <v>0</v>
      </c>
      <c r="U37" s="107" t="n">
        <f aca="false">IF(U6&gt;=Assumpt!$E$50,0,(U36+SUM($C$37:T37))*$B$37/12)</f>
        <v>0</v>
      </c>
      <c r="V37" s="107" t="n">
        <f aca="false">IF(V6&gt;=Assumpt!$E$50,0,(V36+SUM($C$37:U37))*$B$37/12)</f>
        <v>0</v>
      </c>
      <c r="W37" s="107" t="n">
        <f aca="false">IF(W6&gt;=Assumpt!$E$50,0,(W36+SUM($C$37:V37))*$B$37/12)</f>
        <v>0</v>
      </c>
      <c r="X37" s="107" t="n">
        <f aca="false">IF(X6&gt;=Assumpt!$E$50,0,(X36+SUM($C$37:W37))*$B$37/12)</f>
        <v>0</v>
      </c>
      <c r="Y37" s="107" t="n">
        <f aca="false">IF(Y6&gt;=Assumpt!$E$50,0,(Y36+SUM($C$37:X37))*$B$37/12)</f>
        <v>0</v>
      </c>
      <c r="Z37" s="107" t="n">
        <f aca="false">IF(Z6&gt;=Assumpt!$E$50,0,(Z36+SUM($C$37:Y37))*$B$37/12)</f>
        <v>0</v>
      </c>
      <c r="AA37" s="107" t="n">
        <f aca="false">IF(AA6&gt;=Assumpt!$E$50,0,(AA36+SUM($C$37:Z37))*$B$37/12)</f>
        <v>0</v>
      </c>
      <c r="AB37" s="107" t="n">
        <f aca="false">IF(AB6&gt;=Assumpt!$E$50,0,(AB36+SUM($C$37:AA37))*$B$37/12)</f>
        <v>0</v>
      </c>
      <c r="AC37" s="107" t="n">
        <f aca="false">IF(AC6&gt;=Assumpt!$E$50,0,(AC36+SUM($C$37:AB37))*$B$37/12)</f>
        <v>0</v>
      </c>
      <c r="AD37" s="107" t="n">
        <f aca="false">IF(AD6&gt;=Assumpt!$E$50,0,(AD36+SUM($C$37:AC37))*$B$37/12)</f>
        <v>0</v>
      </c>
      <c r="AE37" s="107" t="n">
        <f aca="false">IF(AE6&gt;=Assumpt!$E$50,0,(AE36+SUM($C$37:AD37))*$B$37/12)</f>
        <v>0</v>
      </c>
      <c r="AF37" s="107" t="n">
        <f aca="false">IF(AF6&gt;=Assumpt!$E$50,0,(AF36+SUM($C$37:AE37))*$B$37/12)</f>
        <v>0</v>
      </c>
      <c r="AG37" s="107" t="n">
        <f aca="false">IF(AG6&gt;=Assumpt!$E$50,0,(AG36+SUM($C$37:AF37))*$B$37/12)</f>
        <v>0</v>
      </c>
      <c r="AH37" s="107" t="n">
        <f aca="false">IF(AH6&gt;=Assumpt!$E$50,0,(AH36+SUM($C$37:AG37))*$B$37/12)</f>
        <v>0</v>
      </c>
      <c r="AI37" s="107" t="n">
        <f aca="false">IF(AI6&gt;=Assumpt!$E$50,0,(AI36+SUM($C$37:AH37))*$B$37/12)</f>
        <v>0</v>
      </c>
      <c r="AJ37" s="107" t="n">
        <f aca="false">IF(AJ6&gt;=Assumpt!$E$50,0,(AJ36+SUM($C$37:AI37))*$B$37/12)</f>
        <v>0</v>
      </c>
      <c r="AK37" s="107" t="n">
        <f aca="false">IF(AK6&gt;=Assumpt!$E$50,0,(AK36+SUM($C$37:AJ37))*$B$37/12)</f>
        <v>0</v>
      </c>
      <c r="AL37" s="107" t="n">
        <f aca="false">IF(AL6&gt;=Assumpt!$E$50,0,(AL36+SUM($C$37:AK37))*$B$37/12)</f>
        <v>0</v>
      </c>
      <c r="AM37" s="479" t="n">
        <f aca="false">SUM(C37:AL37)</f>
        <v>0</v>
      </c>
      <c r="AN37" s="14"/>
      <c r="AO37" s="20" t="n">
        <f aca="false">+AO36+1</f>
        <v>32</v>
      </c>
      <c r="AP37" s="600"/>
      <c r="AQ37" s="14"/>
      <c r="AR37" s="14"/>
      <c r="AS37" s="107"/>
      <c r="AT37" s="398"/>
      <c r="AU37" s="398"/>
      <c r="AV37" s="398"/>
      <c r="AW37" s="398"/>
      <c r="AX37" s="398"/>
      <c r="AY37" s="398"/>
      <c r="AZ37" s="398"/>
      <c r="BA37" s="398"/>
      <c r="BB37" s="398"/>
      <c r="BC37" s="398"/>
      <c r="BD37" s="398"/>
      <c r="BE37" s="398"/>
      <c r="BF37" s="398"/>
      <c r="BG37" s="398"/>
      <c r="BH37" s="398"/>
      <c r="BI37" s="398"/>
      <c r="BJ37" s="398"/>
      <c r="BK37" s="398"/>
      <c r="BL37" s="398"/>
      <c r="BM37" s="398"/>
      <c r="BN37" s="398"/>
      <c r="BO37" s="398"/>
      <c r="BP37" s="398"/>
      <c r="BQ37" s="398"/>
      <c r="BR37" s="398"/>
      <c r="BS37" s="398"/>
      <c r="BT37" s="398"/>
      <c r="BU37" s="398"/>
      <c r="BV37" s="398"/>
      <c r="BW37" s="398"/>
      <c r="BX37" s="398"/>
      <c r="BY37" s="398"/>
      <c r="BZ37" s="398"/>
      <c r="CA37" s="398"/>
      <c r="CB37" s="398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</row>
    <row r="38" customFormat="false" ht="12.75" hidden="false" customHeight="false" outlineLevel="0" collapsed="false">
      <c r="A38" s="372"/>
      <c r="B38" s="14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479"/>
      <c r="AN38" s="14"/>
      <c r="AO38" s="20" t="n">
        <f aca="false">+AO37+1</f>
        <v>33</v>
      </c>
      <c r="AP38" s="14"/>
      <c r="AQ38" s="14"/>
      <c r="AR38" s="14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</row>
    <row r="39" customFormat="false" ht="12.75" hidden="false" customHeight="false" outlineLevel="0" collapsed="false">
      <c r="A39" s="385" t="s">
        <v>254</v>
      </c>
      <c r="B39" s="629" t="n">
        <f aca="false">+Assumpt!G56</f>
        <v>0</v>
      </c>
      <c r="C39" s="630" t="n">
        <f aca="false">+(C25-C27)*$B$39+IF(C5=Assumpt!$E$49,B28*$B$39,0)</f>
        <v>0</v>
      </c>
      <c r="D39" s="630" t="n">
        <f aca="false">+(D25-D27)*$B$39+IF(D5=Assumpt!$E$49,C28*$B$39,0)</f>
        <v>0</v>
      </c>
      <c r="E39" s="630" t="n">
        <f aca="false">+(E25-E27)*$B$39+IF(E5=Assumpt!$E$49,D28*$B$39,0)</f>
        <v>0</v>
      </c>
      <c r="F39" s="630" t="n">
        <f aca="false">+(F25-F27)*$B$39+IF(F5=Assumpt!$E$49,E28*$B$39,0)</f>
        <v>0</v>
      </c>
      <c r="G39" s="630" t="n">
        <f aca="false">+(G25-G27)*$B$39+IF(G5=Assumpt!$E$49,F28*$B$39,0)</f>
        <v>0</v>
      </c>
      <c r="H39" s="630" t="n">
        <f aca="false">+(H25-H27)*$B$39+IF(H5=Assumpt!$E$49,G28*$B$39,0)</f>
        <v>0</v>
      </c>
      <c r="I39" s="630" t="n">
        <f aca="false">+(I25-I27)*$B$39+IF(I5=Assumpt!$E$49,H28*$B$39,0)</f>
        <v>0</v>
      </c>
      <c r="J39" s="630" t="n">
        <f aca="false">+(J25-J27)*$B$39+IF(J5=Assumpt!$E$49,I28*$B$39,0)</f>
        <v>0</v>
      </c>
      <c r="K39" s="630" t="n">
        <f aca="false">+(K25-K27)*$B$39+IF(K5=Assumpt!$E$49,J28*$B$39,0)</f>
        <v>0</v>
      </c>
      <c r="L39" s="630" t="n">
        <f aca="false">+(L25-L27)*$B$39+IF(L5=Assumpt!$E$49,K28*$B$39,0)</f>
        <v>0</v>
      </c>
      <c r="M39" s="630" t="n">
        <f aca="false">+(M25-M27)*$B$39+IF(M5=Assumpt!$E$49,L28*$B$39,0)</f>
        <v>0</v>
      </c>
      <c r="N39" s="630" t="n">
        <f aca="false">+(N25-N27)*$B$39+IF(N5=Assumpt!$E$49,M28*$B$39,0)</f>
        <v>0</v>
      </c>
      <c r="O39" s="630" t="n">
        <f aca="false">+(O25-O27)*$B$39+IF(O5=Assumpt!$E$49,N28*$B$39,0)</f>
        <v>0</v>
      </c>
      <c r="P39" s="630" t="n">
        <f aca="false">+(P25-P27)*$B$39+IF(P5=Assumpt!$E$49,O28*$B$39,0)</f>
        <v>0</v>
      </c>
      <c r="Q39" s="630" t="n">
        <f aca="false">+(Q25-Q27)*$B$39+IF(Q5=Assumpt!$E$49,P28*$B$39,0)</f>
        <v>0</v>
      </c>
      <c r="R39" s="630" t="n">
        <f aca="false">+(R25-R27)*$B$39+IF(R5=Assumpt!$E$49,Q28*$B$39,0)</f>
        <v>0</v>
      </c>
      <c r="S39" s="630" t="n">
        <f aca="false">+(S25-S27)*$B$39+IF(S5=Assumpt!$E$49,R28*$B$39,0)</f>
        <v>0</v>
      </c>
      <c r="T39" s="630" t="n">
        <f aca="false">+(T25-T27)*$B$39+IF(T5=Assumpt!$E$49,S28*$B$39,0)</f>
        <v>0</v>
      </c>
      <c r="U39" s="630" t="n">
        <f aca="false">+(U25-U27)*$B$39+IF(U5=Assumpt!$E$49,T28*$B$39,0)</f>
        <v>0</v>
      </c>
      <c r="V39" s="630" t="n">
        <f aca="false">+(V25-V27)*$B$39+IF(V5=Assumpt!$E$49,U28*$B$39,0)</f>
        <v>0</v>
      </c>
      <c r="W39" s="630" t="n">
        <f aca="false">+(W25-W27)*$B$39+IF(W5=Assumpt!$E$49,V28*$B$39,0)</f>
        <v>0</v>
      </c>
      <c r="X39" s="630" t="n">
        <f aca="false">+(X25-X27)*$B$39+IF(X5=Assumpt!$E$49,W28*$B$39,0)</f>
        <v>0</v>
      </c>
      <c r="Y39" s="630" t="n">
        <f aca="false">+(Y25-Y27)*$B$39+IF(Y5=Assumpt!$E$49,X28*$B$39,0)</f>
        <v>0</v>
      </c>
      <c r="Z39" s="630" t="n">
        <f aca="false">+(Z25-Z27)*$B$39+IF(Z5=Assumpt!$E$49,Y28*$B$39,0)</f>
        <v>0</v>
      </c>
      <c r="AA39" s="630" t="n">
        <f aca="false">+(AA25-AA27)*$B$39+IF(AA5=Assumpt!$E$49,Z28*$B$39,0)</f>
        <v>0</v>
      </c>
      <c r="AB39" s="630" t="n">
        <f aca="false">+(AB25-AB27)*$B$39+IF(AB5=Assumpt!$E$49,AA28*$B$39,0)</f>
        <v>0</v>
      </c>
      <c r="AC39" s="630" t="n">
        <f aca="false">+(AC25-AC27)*$B$39+IF(AC5=Assumpt!$E$49,AB28*$B$39,0)</f>
        <v>0</v>
      </c>
      <c r="AD39" s="630" t="n">
        <f aca="false">+(AD25-AD27)*$B$39+IF(AD5=Assumpt!$E$49,AC28*$B$39,0)</f>
        <v>0</v>
      </c>
      <c r="AE39" s="630" t="n">
        <f aca="false">+(AE25-AE27)*$B$39+IF(AE5=Assumpt!$E$49,AD28*$B$39,0)</f>
        <v>0</v>
      </c>
      <c r="AF39" s="630" t="n">
        <f aca="false">+(AF25-AF27)*$B$39+IF(AF5=Assumpt!$E$49,AE28*$B$39,0)</f>
        <v>0</v>
      </c>
      <c r="AG39" s="630" t="n">
        <f aca="false">+(AG25-AG27)*$B$39+IF(AG5=Assumpt!$E$49,AF28*$B$39,0)</f>
        <v>0</v>
      </c>
      <c r="AH39" s="630" t="n">
        <f aca="false">+(AH25-AH27)*$B$39+IF(AH5=Assumpt!$E$49,AG28*$B$39,0)</f>
        <v>0</v>
      </c>
      <c r="AI39" s="630" t="n">
        <f aca="false">+(AI25-AI27)*$B$39+IF(AI5=Assumpt!$E$49,AH28*$B$39,0)</f>
        <v>0</v>
      </c>
      <c r="AJ39" s="630" t="n">
        <f aca="false">+(AJ25-AJ27)*$B$39+IF(AJ5=Assumpt!$E$49,AI28*$B$39,0)</f>
        <v>0</v>
      </c>
      <c r="AK39" s="630" t="n">
        <f aca="false">+(AK25-AK27)*$B$39+IF(AK5=Assumpt!$E$49,AJ28*$B$39,0)</f>
        <v>0</v>
      </c>
      <c r="AL39" s="630" t="n">
        <f aca="false">+(AL25-AL27)*$B$39+IF(AL5=Assumpt!$E$49,AK28*$B$39,0)</f>
        <v>0</v>
      </c>
      <c r="AM39" s="631" t="n">
        <f aca="false">SUM(C39:AL39)</f>
        <v>0</v>
      </c>
      <c r="AN39" s="14"/>
      <c r="AO39" s="20" t="n">
        <f aca="false">+AO38+1</f>
        <v>34</v>
      </c>
      <c r="AP39" s="14"/>
      <c r="AQ39" s="14"/>
      <c r="AR39" s="14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</row>
    <row r="40" customFormat="false" ht="12.75" hidden="false" customHeight="false" outlineLevel="0" collapsed="false">
      <c r="A40" s="372" t="s">
        <v>255</v>
      </c>
      <c r="B40" s="14"/>
      <c r="C40" s="107" t="n">
        <f aca="false">IF(C39=0,0,SUM($C$39:C39))</f>
        <v>0</v>
      </c>
      <c r="D40" s="107" t="n">
        <f aca="false">+SUM($C$39:D39)</f>
        <v>0</v>
      </c>
      <c r="E40" s="107" t="n">
        <f aca="false">+SUM($C$39:E39)</f>
        <v>0</v>
      </c>
      <c r="F40" s="107" t="n">
        <f aca="false">+SUM($C$39:F39)</f>
        <v>0</v>
      </c>
      <c r="G40" s="107" t="n">
        <f aca="false">+SUM($C$39:G39)</f>
        <v>0</v>
      </c>
      <c r="H40" s="107" t="n">
        <f aca="false">+SUM($C$39:H39)</f>
        <v>0</v>
      </c>
      <c r="I40" s="107" t="n">
        <f aca="false">+SUM($C$39:I39)</f>
        <v>0</v>
      </c>
      <c r="J40" s="107" t="n">
        <f aca="false">+SUM($C$39:J39)</f>
        <v>0</v>
      </c>
      <c r="K40" s="107" t="n">
        <f aca="false">+SUM($C$39:K39)</f>
        <v>0</v>
      </c>
      <c r="L40" s="107" t="n">
        <f aca="false">+SUM($C$39:L39)</f>
        <v>0</v>
      </c>
      <c r="M40" s="107" t="n">
        <f aca="false">+SUM($C$39:M39)</f>
        <v>0</v>
      </c>
      <c r="N40" s="107" t="n">
        <f aca="false">+SUM($C$39:N39)</f>
        <v>0</v>
      </c>
      <c r="O40" s="107" t="n">
        <f aca="false">+SUM($C$39:O39)</f>
        <v>0</v>
      </c>
      <c r="P40" s="107" t="n">
        <f aca="false">+SUM($C$39:P39)</f>
        <v>0</v>
      </c>
      <c r="Q40" s="107" t="n">
        <f aca="false">+SUM($C$39:Q39)</f>
        <v>0</v>
      </c>
      <c r="R40" s="107" t="n">
        <f aca="false">+SUM($C$39:R39)</f>
        <v>0</v>
      </c>
      <c r="S40" s="107" t="n">
        <f aca="false">+SUM($C$39:S39)</f>
        <v>0</v>
      </c>
      <c r="T40" s="107" t="n">
        <f aca="false">+SUM($C$39:T39)</f>
        <v>0</v>
      </c>
      <c r="U40" s="107" t="n">
        <f aca="false">+SUM($C$39:U39)</f>
        <v>0</v>
      </c>
      <c r="V40" s="107" t="n">
        <f aca="false">+SUM($C$39:V39)</f>
        <v>0</v>
      </c>
      <c r="W40" s="107" t="n">
        <f aca="false">+SUM($C$39:W39)</f>
        <v>0</v>
      </c>
      <c r="X40" s="107" t="n">
        <f aca="false">+SUM($C$39:X39)</f>
        <v>0</v>
      </c>
      <c r="Y40" s="107" t="n">
        <f aca="false">+SUM($C$39:Y39)</f>
        <v>0</v>
      </c>
      <c r="Z40" s="107" t="n">
        <f aca="false">+SUM($C$39:Z39)</f>
        <v>0</v>
      </c>
      <c r="AA40" s="107" t="n">
        <f aca="false">+SUM($C$39:AA39)</f>
        <v>0</v>
      </c>
      <c r="AB40" s="107" t="n">
        <f aca="false">+SUM($C$39:AB39)</f>
        <v>0</v>
      </c>
      <c r="AC40" s="107" t="n">
        <f aca="false">+SUM($C$39:AC39)</f>
        <v>0</v>
      </c>
      <c r="AD40" s="107" t="n">
        <f aca="false">+SUM($C$39:AD39)</f>
        <v>0</v>
      </c>
      <c r="AE40" s="107" t="n">
        <f aca="false">+SUM($C$39:AE39)</f>
        <v>0</v>
      </c>
      <c r="AF40" s="107" t="n">
        <f aca="false">+SUM($C$39:AF39)</f>
        <v>0</v>
      </c>
      <c r="AG40" s="107" t="n">
        <f aca="false">+SUM($C$39:AG39)</f>
        <v>0</v>
      </c>
      <c r="AH40" s="107" t="n">
        <f aca="false">+SUM($C$39:AH39)</f>
        <v>0</v>
      </c>
      <c r="AI40" s="107" t="n">
        <f aca="false">+SUM($C$39:AI39)</f>
        <v>0</v>
      </c>
      <c r="AJ40" s="107" t="n">
        <f aca="false">+SUM($C$39:AJ39)</f>
        <v>0</v>
      </c>
      <c r="AK40" s="107" t="n">
        <f aca="false">+SUM($C$39:AK39)</f>
        <v>0</v>
      </c>
      <c r="AL40" s="107" t="n">
        <f aca="false">+SUM($C$39:AL39)</f>
        <v>0</v>
      </c>
      <c r="AM40" s="633"/>
      <c r="AN40" s="14"/>
      <c r="AO40" s="20" t="n">
        <f aca="false">+AO39+1</f>
        <v>35</v>
      </c>
      <c r="AP40" s="14"/>
      <c r="AQ40" s="14"/>
      <c r="AR40" s="14"/>
      <c r="AS40" s="398"/>
      <c r="AT40" s="398"/>
      <c r="AU40" s="398"/>
      <c r="AV40" s="398"/>
      <c r="AW40" s="398"/>
      <c r="AX40" s="398"/>
      <c r="AY40" s="398"/>
      <c r="AZ40" s="398"/>
      <c r="BA40" s="398"/>
      <c r="BB40" s="398"/>
      <c r="BC40" s="398"/>
      <c r="BD40" s="398"/>
      <c r="BE40" s="398"/>
      <c r="BF40" s="398"/>
      <c r="BG40" s="398"/>
      <c r="BH40" s="398"/>
      <c r="BI40" s="398"/>
      <c r="BJ40" s="398"/>
      <c r="BK40" s="398"/>
      <c r="BL40" s="398"/>
      <c r="BM40" s="398"/>
      <c r="BN40" s="398"/>
      <c r="BO40" s="398"/>
      <c r="BP40" s="398"/>
      <c r="BQ40" s="398"/>
      <c r="BR40" s="398"/>
      <c r="BS40" s="398"/>
      <c r="BT40" s="398"/>
      <c r="BU40" s="398"/>
      <c r="BV40" s="398"/>
      <c r="BW40" s="398"/>
      <c r="BX40" s="398"/>
      <c r="BY40" s="398"/>
      <c r="BZ40" s="398"/>
      <c r="CA40" s="398"/>
      <c r="CB40" s="398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</row>
    <row r="41" customFormat="false" ht="12.75" hidden="false" customHeight="false" outlineLevel="0" collapsed="false">
      <c r="A41" s="372" t="s">
        <v>256</v>
      </c>
      <c r="B41" s="492" t="n">
        <f aca="false">+Assumpt!L62</f>
        <v>0</v>
      </c>
      <c r="C41" s="107" t="n">
        <f aca="false">IF(C6&gt;Assumpt!$E$50,0,C40*$B$41/12)</f>
        <v>0</v>
      </c>
      <c r="D41" s="107" t="n">
        <f aca="false">IF(D6&gt;=Assumpt!$E$50,0,(D40+SUM($C$41:C41))*$B$41/12)</f>
        <v>0</v>
      </c>
      <c r="E41" s="107" t="n">
        <f aca="false">IF(E6&gt;=Assumpt!$E$50,0,(E40+SUM($C$41:D41))*$B$41/12)</f>
        <v>0</v>
      </c>
      <c r="F41" s="107" t="n">
        <f aca="false">IF(F6&gt;=Assumpt!$E$50,0,(F40+SUM($C$41:E41))*$B$41/12)</f>
        <v>0</v>
      </c>
      <c r="G41" s="107" t="n">
        <f aca="false">IF(G6&gt;=Assumpt!$E$50,0,(G40+SUM($C$41:F41))*$B$41/12)</f>
        <v>0</v>
      </c>
      <c r="H41" s="107" t="n">
        <f aca="false">IF(H6&gt;=Assumpt!$E$50,0,(H40+SUM($C$41:G41))*$B$41/12)</f>
        <v>0</v>
      </c>
      <c r="I41" s="107" t="n">
        <f aca="false">IF(I6&gt;=Assumpt!$E$50,0,(I40+SUM($C$41:H41))*$B$41/12)</f>
        <v>0</v>
      </c>
      <c r="J41" s="107" t="n">
        <f aca="false">IF(J6&gt;=Assumpt!$E$50,0,(J40+SUM($C$41:I41))*$B$41/12)</f>
        <v>0</v>
      </c>
      <c r="K41" s="107" t="n">
        <f aca="false">IF(K6&gt;=Assumpt!$E$50,0,(K40+SUM($C$41:J41))*$B$41/12)</f>
        <v>0</v>
      </c>
      <c r="L41" s="107" t="n">
        <f aca="false">IF(L6&gt;=Assumpt!$E$50,0,(L40+SUM($C$41:K41))*$B$41/12)</f>
        <v>0</v>
      </c>
      <c r="M41" s="107" t="n">
        <f aca="false">IF(M6&gt;=Assumpt!$E$50,0,(M40+SUM($C$41:L41))*$B$41/12)</f>
        <v>0</v>
      </c>
      <c r="N41" s="107" t="n">
        <f aca="false">IF(N6&gt;=Assumpt!$E$50,0,(N40+SUM($C$41:M41))*$B$41/12)</f>
        <v>0</v>
      </c>
      <c r="O41" s="107" t="n">
        <f aca="false">IF(O6&gt;=Assumpt!$E$50,0,(O40+SUM($C$41:N41))*$B$41/12)</f>
        <v>0</v>
      </c>
      <c r="P41" s="107" t="n">
        <f aca="false">IF(P6&gt;=Assumpt!$E$50,0,(P40+SUM($C$41:O41))*$B$41/12)</f>
        <v>0</v>
      </c>
      <c r="Q41" s="107" t="n">
        <f aca="false">IF(Q6&gt;=Assumpt!$E$50,0,(Q40+SUM($C$41:P41))*$B$41/12)</f>
        <v>0</v>
      </c>
      <c r="R41" s="107" t="n">
        <f aca="false">IF(R6&gt;=Assumpt!$E$50,0,(R40+SUM($C$41:Q41))*$B$41/12)</f>
        <v>0</v>
      </c>
      <c r="S41" s="107" t="n">
        <f aca="false">IF(S6&gt;=Assumpt!$E$50,0,(S40+SUM($C$41:R41))*$B$41/12)</f>
        <v>0</v>
      </c>
      <c r="T41" s="107" t="n">
        <f aca="false">IF(T6&gt;=Assumpt!$E$50,0,(T40+SUM($C$41:S41))*$B$41/12)</f>
        <v>0</v>
      </c>
      <c r="U41" s="107" t="n">
        <f aca="false">IF(U6&gt;=Assumpt!$E$50,0,(U40+SUM($C$41:T41))*$B$41/12)</f>
        <v>0</v>
      </c>
      <c r="V41" s="107" t="n">
        <f aca="false">IF(V6&gt;=Assumpt!$E$50,0,(V40+SUM($C$41:U41))*$B$41/12)</f>
        <v>0</v>
      </c>
      <c r="W41" s="107" t="n">
        <f aca="false">IF(W6&gt;=Assumpt!$E$50,0,(W40+SUM($C$41:V41))*$B$41/12)</f>
        <v>0</v>
      </c>
      <c r="X41" s="107" t="n">
        <f aca="false">IF(X6&gt;=Assumpt!$E$50,0,(X40+SUM($C$41:W41))*$B$41/12)</f>
        <v>0</v>
      </c>
      <c r="Y41" s="107" t="n">
        <f aca="false">IF(Y6&gt;=Assumpt!$E$50,0,(Y40+SUM($C$41:X41))*$B$41/12)</f>
        <v>0</v>
      </c>
      <c r="Z41" s="107" t="n">
        <f aca="false">IF(Z6&gt;=Assumpt!$E$50,0,(Z40+SUM($C$41:Y41))*$B$41/12)</f>
        <v>0</v>
      </c>
      <c r="AA41" s="107" t="n">
        <f aca="false">IF(AA6&gt;=Assumpt!$E$50,0,(AA40+SUM($C$41:Z41))*$B$41/12)</f>
        <v>0</v>
      </c>
      <c r="AB41" s="107" t="n">
        <f aca="false">IF(AB6&gt;=Assumpt!$E$50,0,(AB40+SUM($C$41:AA41))*$B$41/12)</f>
        <v>0</v>
      </c>
      <c r="AC41" s="107" t="n">
        <f aca="false">IF(AC6&gt;=Assumpt!$E$50,0,(AC40+SUM($C$41:AB41))*$B$41/12)</f>
        <v>0</v>
      </c>
      <c r="AD41" s="107" t="n">
        <f aca="false">IF(AD6&gt;=Assumpt!$E$50,0,(AD40+SUM($C$41:AC41))*$B$41/12)</f>
        <v>0</v>
      </c>
      <c r="AE41" s="107" t="n">
        <f aca="false">IF(AE6&gt;=Assumpt!$E$50,0,(AE40+SUM($C$41:AD41))*$B$41/12)</f>
        <v>0</v>
      </c>
      <c r="AF41" s="107" t="n">
        <f aca="false">IF(AF6&gt;=Assumpt!$E$50,0,(AF40+SUM($C$41:AE41))*$B$41/12)</f>
        <v>0</v>
      </c>
      <c r="AG41" s="107" t="n">
        <f aca="false">IF(AG6&gt;=Assumpt!$E$50,0,(AG40+SUM($C$41:AF41))*$B$41/12)</f>
        <v>0</v>
      </c>
      <c r="AH41" s="107" t="n">
        <f aca="false">IF(AH6&gt;=Assumpt!$E$50,0,(AH40+SUM($C$41:AG41))*$B$41/12)</f>
        <v>0</v>
      </c>
      <c r="AI41" s="107" t="n">
        <f aca="false">IF(AI6&gt;=Assumpt!$E$50,0,(AI40+SUM($C$41:AH41))*$B$41/12)</f>
        <v>0</v>
      </c>
      <c r="AJ41" s="107" t="n">
        <f aca="false">IF(AJ6&gt;=Assumpt!$E$50,0,(AJ40+SUM($C$41:AI41))*$B$41/12)</f>
        <v>0</v>
      </c>
      <c r="AK41" s="107" t="n">
        <f aca="false">IF(AK6&gt;=Assumpt!$E$50,0,(AK40+SUM($C$41:AJ41))*$B$41/12)</f>
        <v>0</v>
      </c>
      <c r="AL41" s="107" t="n">
        <f aca="false">IF(AL6&gt;=Assumpt!$E$50,0,(AL40+SUM($C$41:AK41))*$B$41/12)</f>
        <v>0</v>
      </c>
      <c r="AM41" s="479" t="n">
        <f aca="false">SUM(C41:AL41)</f>
        <v>0</v>
      </c>
      <c r="AN41" s="14"/>
      <c r="AO41" s="20" t="n">
        <f aca="false">+AO40+1</f>
        <v>36</v>
      </c>
      <c r="AP41" s="14"/>
      <c r="AQ41" s="14"/>
      <c r="AR41" s="14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398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</row>
    <row r="42" customFormat="false" ht="12.75" hidden="false" customHeight="false" outlineLevel="0" collapsed="false">
      <c r="A42" s="372"/>
      <c r="B42" s="1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633"/>
      <c r="AN42" s="14"/>
      <c r="AO42" s="20" t="n">
        <f aca="false">+AO41+1</f>
        <v>37</v>
      </c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</row>
    <row r="43" customFormat="false" ht="12.75" hidden="false" customHeight="false" outlineLevel="0" collapsed="false">
      <c r="A43" s="372" t="s">
        <v>257</v>
      </c>
      <c r="B43" s="14"/>
      <c r="C43" s="107" t="n">
        <f aca="false">+C37+C33+C29+C41</f>
        <v>25.0254504855349</v>
      </c>
      <c r="D43" s="107" t="n">
        <f aca="false">+D37+D33+D29+D41</f>
        <v>50.249019120747</v>
      </c>
      <c r="E43" s="107" t="n">
        <f aca="false">+E37+E33+E29+E41</f>
        <v>75.6722743409878</v>
      </c>
      <c r="F43" s="107" t="n">
        <f aca="false">+F37+F33+F29+F41</f>
        <v>101.296796998389</v>
      </c>
      <c r="G43" s="107" t="n">
        <f aca="false">+G37+G33+G29+G41</f>
        <v>127.124180460161</v>
      </c>
      <c r="H43" s="107" t="n">
        <f aca="false">+H37+H33+H29+H41</f>
        <v>153.156030707672</v>
      </c>
      <c r="I43" s="107" t="n">
        <f aca="false">+I37+I33+I29+I41</f>
        <v>179.39396643631</v>
      </c>
      <c r="J43" s="107" t="n">
        <f aca="false">+J37+J33+J29+J41</f>
        <v>205.839619156132</v>
      </c>
      <c r="K43" s="107" t="n">
        <f aca="false">+K37+K33+K29+K41</f>
        <v>232.49463329332</v>
      </c>
      <c r="L43" s="107" t="n">
        <f aca="false">+L37+L33+L29+L41</f>
        <v>259.360666292427</v>
      </c>
      <c r="M43" s="107" t="n">
        <f aca="false">+M37+M33+M29+M41</f>
        <v>286.439388719443</v>
      </c>
      <c r="N43" s="107" t="n">
        <f aca="false">+N37+N33+N29+N41</f>
        <v>313.732484365674</v>
      </c>
      <c r="O43" s="107" t="n">
        <f aca="false">+O37+O33+O29+O41</f>
        <v>341.241650352437</v>
      </c>
      <c r="P43" s="107" t="n">
        <f aca="false">+P37+P33+P29+P41</f>
        <v>368.968597236595</v>
      </c>
      <c r="Q43" s="107" t="n">
        <f aca="false">+Q37+Q33+Q29+Q41</f>
        <v>396.91504911692</v>
      </c>
      <c r="R43" s="107" t="n">
        <f aca="false">+R37+R33+R29+R41</f>
        <v>425.082743741297</v>
      </c>
      <c r="S43" s="107" t="n">
        <f aca="false">+S37+S33+S29+S41</f>
        <v>453.473432614784</v>
      </c>
      <c r="T43" s="107" t="n">
        <f aca="false">+T37+T33+T29+T41</f>
        <v>482.088881108519</v>
      </c>
      <c r="U43" s="107" t="n">
        <f aca="false">+U37+U33+U29+U41</f>
        <v>510.930868569496</v>
      </c>
      <c r="V43" s="107" t="n">
        <f aca="false">+V37+V33+V29+V41</f>
        <v>540.001188431207</v>
      </c>
      <c r="W43" s="107" t="n">
        <f aca="false">+W37+W33+W29+W41</f>
        <v>569.301648325155</v>
      </c>
      <c r="X43" s="107" t="n">
        <f aca="false">+X37+X33+X29+X41</f>
        <v>598.834070193264</v>
      </c>
      <c r="Y43" s="107" t="n">
        <f aca="false">+Y37+Y33+Y29+Y41</f>
        <v>628.600290401163</v>
      </c>
      <c r="Z43" s="107" t="n">
        <f aca="false">+Z37+Z33+Z29+Z41</f>
        <v>658.602159852373</v>
      </c>
      <c r="AA43" s="107" t="n">
        <f aca="false">+AA37+AA33+AA29+AA41</f>
        <v>688.841544103406</v>
      </c>
      <c r="AB43" s="107" t="n">
        <f aca="false">+AB37+AB33+AB29+AB41</f>
        <v>719.32032347976</v>
      </c>
      <c r="AC43" s="107" t="n">
        <f aca="false">+AC37+AC33+AC29+AC41</f>
        <v>750.040393192843</v>
      </c>
      <c r="AD43" s="107" t="n">
        <f aca="false">+AD37+AD33+AD29+AD41</f>
        <v>781.003663457821</v>
      </c>
      <c r="AE43" s="107" t="n">
        <f aca="false">+AE37+AE33+AE29+AE41</f>
        <v>812.212059612397</v>
      </c>
      <c r="AF43" s="107" t="n">
        <f aca="false">+AF37+AF33+AF29+AF41</f>
        <v>843.66752223653</v>
      </c>
      <c r="AG43" s="107" t="n">
        <f aca="false">+AG37+AG33+AG29+AG41</f>
        <v>875.372007273104</v>
      </c>
      <c r="AH43" s="107" t="n">
        <f aca="false">+AH37+AH33+AH29+AH41</f>
        <v>907.327486149551</v>
      </c>
      <c r="AI43" s="107" t="n">
        <f aca="false">+AI37+AI33+AI29+AI41</f>
        <v>939.535945900437</v>
      </c>
      <c r="AJ43" s="107" t="n">
        <f aca="false">+AJ37+AJ33+AJ29+AJ41</f>
        <v>971.999389291017</v>
      </c>
      <c r="AK43" s="107" t="n">
        <f aca="false">+AK37+AK33+AK29+AK41</f>
        <v>1004.71983494177</v>
      </c>
      <c r="AL43" s="107" t="n">
        <f aca="false">+AL37+AL33+AL29+AL41</f>
        <v>1037.69931745393</v>
      </c>
      <c r="AM43" s="479" t="n">
        <f aca="false">SUM(C43:AL43)</f>
        <v>18315.5645774126</v>
      </c>
      <c r="AN43" s="14"/>
      <c r="AO43" s="20" t="n">
        <f aca="false">+AO42+1</f>
        <v>38</v>
      </c>
      <c r="AP43" s="589"/>
      <c r="AQ43" s="14"/>
      <c r="AR43" s="14"/>
      <c r="AS43" s="107"/>
      <c r="AT43" s="580"/>
      <c r="AU43" s="580"/>
      <c r="AV43" s="580"/>
      <c r="AW43" s="580"/>
      <c r="AX43" s="580"/>
      <c r="AY43" s="580"/>
      <c r="AZ43" s="580"/>
      <c r="BA43" s="580"/>
      <c r="BB43" s="580"/>
      <c r="BC43" s="580"/>
      <c r="BD43" s="580"/>
      <c r="BE43" s="580"/>
      <c r="BF43" s="580"/>
      <c r="BG43" s="580"/>
      <c r="BH43" s="580"/>
      <c r="BI43" s="580"/>
      <c r="BJ43" s="580"/>
      <c r="BK43" s="580"/>
      <c r="BL43" s="580"/>
      <c r="BM43" s="580"/>
      <c r="BN43" s="580"/>
      <c r="BO43" s="580"/>
      <c r="BP43" s="580"/>
      <c r="BQ43" s="580"/>
      <c r="BR43" s="580"/>
      <c r="BS43" s="580"/>
      <c r="BT43" s="580"/>
      <c r="BU43" s="580"/>
      <c r="BV43" s="580"/>
      <c r="BW43" s="580"/>
      <c r="BX43" s="580"/>
      <c r="BY43" s="580"/>
      <c r="BZ43" s="580"/>
      <c r="CA43" s="580"/>
      <c r="CB43" s="580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344"/>
      <c r="CQ43" s="344"/>
      <c r="CR43" s="344"/>
      <c r="CS43" s="344"/>
      <c r="CT43" s="344"/>
      <c r="CU43" s="344"/>
      <c r="CV43" s="344"/>
      <c r="CW43" s="344"/>
      <c r="CX43" s="344"/>
      <c r="CY43" s="344"/>
      <c r="CZ43" s="344"/>
      <c r="DA43" s="344"/>
      <c r="DB43" s="344"/>
      <c r="DC43" s="344"/>
      <c r="DD43" s="344"/>
      <c r="DE43" s="344"/>
      <c r="DF43" s="344"/>
      <c r="DG43" s="344"/>
      <c r="DH43" s="344"/>
      <c r="DI43" s="344"/>
      <c r="DJ43" s="344"/>
      <c r="DK43" s="344"/>
      <c r="DL43" s="344"/>
      <c r="DM43" s="344"/>
      <c r="DN43" s="344"/>
      <c r="DO43" s="344"/>
      <c r="DP43" s="344"/>
      <c r="DQ43" s="344"/>
      <c r="DR43" s="344"/>
      <c r="DS43" s="344"/>
      <c r="DT43" s="344"/>
      <c r="DU43" s="344"/>
      <c r="DV43" s="344"/>
      <c r="DW43" s="344"/>
      <c r="DX43" s="344"/>
      <c r="DY43" s="344"/>
      <c r="DZ43" s="344"/>
      <c r="EA43" s="344"/>
      <c r="EB43" s="344"/>
      <c r="EC43" s="344"/>
      <c r="ED43" s="344"/>
      <c r="EE43" s="344"/>
      <c r="EF43" s="344"/>
      <c r="EG43" s="344"/>
      <c r="EH43" s="344"/>
      <c r="EI43" s="344"/>
      <c r="EJ43" s="344"/>
      <c r="EK43" s="344"/>
      <c r="EL43" s="344"/>
      <c r="EM43" s="344"/>
      <c r="EN43" s="344"/>
      <c r="EO43" s="344"/>
      <c r="EP43" s="344"/>
      <c r="EQ43" s="344"/>
      <c r="ER43" s="344"/>
      <c r="ES43" s="344"/>
      <c r="ET43" s="344"/>
      <c r="EU43" s="344"/>
      <c r="EV43" s="344"/>
      <c r="EW43" s="344"/>
      <c r="EX43" s="344"/>
      <c r="EY43" s="344"/>
      <c r="EZ43" s="344"/>
      <c r="FA43" s="344"/>
      <c r="FB43" s="344"/>
      <c r="FC43" s="344"/>
      <c r="FD43" s="344"/>
      <c r="FE43" s="344"/>
      <c r="FF43" s="344"/>
      <c r="FG43" s="344"/>
      <c r="FH43" s="344"/>
      <c r="FI43" s="344"/>
      <c r="FJ43" s="344"/>
      <c r="FK43" s="344"/>
      <c r="FL43" s="344"/>
      <c r="FM43" s="344"/>
      <c r="FN43" s="344"/>
      <c r="FO43" s="344"/>
      <c r="FP43" s="344"/>
      <c r="FQ43" s="344"/>
      <c r="FR43" s="344"/>
      <c r="FS43" s="344"/>
      <c r="FT43" s="344"/>
      <c r="FU43" s="344"/>
      <c r="FV43" s="344"/>
      <c r="FW43" s="344"/>
      <c r="FX43" s="344"/>
      <c r="FY43" s="344"/>
      <c r="FZ43" s="344"/>
      <c r="GA43" s="344"/>
      <c r="GB43" s="344"/>
      <c r="GC43" s="344"/>
      <c r="GD43" s="344"/>
      <c r="GE43" s="344"/>
      <c r="GF43" s="344"/>
      <c r="GG43" s="344"/>
      <c r="GH43" s="344"/>
      <c r="GI43" s="344"/>
      <c r="GJ43" s="344"/>
      <c r="GK43" s="344"/>
      <c r="GL43" s="344"/>
      <c r="GM43" s="344"/>
      <c r="GN43" s="344"/>
      <c r="GO43" s="344"/>
      <c r="GP43" s="344"/>
      <c r="GQ43" s="344"/>
      <c r="GR43" s="344"/>
      <c r="GS43" s="344"/>
      <c r="GT43" s="344"/>
      <c r="GU43" s="344"/>
      <c r="GV43" s="344"/>
      <c r="GW43" s="344"/>
      <c r="GX43" s="344"/>
      <c r="GY43" s="344"/>
      <c r="GZ43" s="344"/>
      <c r="HA43" s="344"/>
      <c r="HB43" s="344"/>
      <c r="HC43" s="344"/>
      <c r="HD43" s="344"/>
      <c r="HE43" s="344"/>
      <c r="HF43" s="344"/>
      <c r="HG43" s="344"/>
      <c r="HH43" s="344"/>
      <c r="HI43" s="344"/>
      <c r="HJ43" s="344"/>
      <c r="HK43" s="344"/>
      <c r="HL43" s="344"/>
      <c r="HM43" s="344"/>
      <c r="HN43" s="344"/>
      <c r="HO43" s="344"/>
      <c r="HP43" s="344"/>
      <c r="HQ43" s="344"/>
      <c r="HR43" s="344"/>
      <c r="HS43" s="344"/>
      <c r="HT43" s="344"/>
      <c r="HU43" s="344"/>
      <c r="HV43" s="344"/>
      <c r="HW43" s="344"/>
      <c r="HX43" s="344"/>
      <c r="HY43" s="344"/>
      <c r="HZ43" s="344"/>
      <c r="IA43" s="344"/>
      <c r="IB43" s="344"/>
      <c r="IC43" s="344"/>
      <c r="ID43" s="344"/>
      <c r="IE43" s="344"/>
      <c r="IF43" s="344"/>
      <c r="IG43" s="344"/>
      <c r="IH43" s="344"/>
      <c r="II43" s="344"/>
      <c r="IJ43" s="344"/>
      <c r="IK43" s="344"/>
      <c r="IL43" s="344"/>
      <c r="IM43" s="344"/>
      <c r="IN43" s="344"/>
      <c r="IO43" s="344"/>
      <c r="IP43" s="344"/>
      <c r="IQ43" s="344"/>
      <c r="IR43" s="344"/>
      <c r="IS43" s="344"/>
      <c r="IT43" s="344"/>
      <c r="IU43" s="344"/>
      <c r="IV43" s="344"/>
      <c r="IW43" s="344"/>
    </row>
    <row r="44" customFormat="false" ht="12.75" hidden="false" customHeight="false" outlineLevel="0" collapsed="false">
      <c r="A44" s="37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476"/>
      <c r="AN44" s="14"/>
      <c r="AO44" s="20" t="n">
        <f aca="false">+AO43+1</f>
        <v>39</v>
      </c>
      <c r="AP44" s="14"/>
      <c r="AQ44" s="14"/>
      <c r="AR44" s="14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</row>
    <row r="45" customFormat="false" ht="12.75" hidden="false" customHeight="false" outlineLevel="0" collapsed="false">
      <c r="A45" s="363" t="s">
        <v>258</v>
      </c>
      <c r="B45" s="295"/>
      <c r="C45" s="634" t="n">
        <f aca="false">+AM43</f>
        <v>18315.5645774126</v>
      </c>
      <c r="D45" s="398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633"/>
      <c r="AN45" s="14"/>
      <c r="AO45" s="20" t="n">
        <f aca="false">+AO44+1</f>
        <v>40</v>
      </c>
      <c r="AP45" s="14"/>
      <c r="AQ45" s="14"/>
      <c r="AR45" s="14"/>
      <c r="AS45" s="398"/>
      <c r="AT45" s="398"/>
      <c r="AU45" s="398"/>
      <c r="AV45" s="398"/>
      <c r="AW45" s="398"/>
      <c r="AX45" s="398"/>
      <c r="AY45" s="398"/>
      <c r="AZ45" s="398"/>
      <c r="BA45" s="398"/>
      <c r="BB45" s="398"/>
      <c r="BC45" s="398"/>
      <c r="BD45" s="398"/>
      <c r="BE45" s="398"/>
      <c r="BF45" s="398"/>
      <c r="BG45" s="398"/>
      <c r="BH45" s="398"/>
      <c r="BI45" s="398"/>
      <c r="BJ45" s="398"/>
      <c r="BK45" s="398"/>
      <c r="BL45" s="398"/>
      <c r="BM45" s="398"/>
      <c r="BN45" s="398"/>
      <c r="BO45" s="398"/>
      <c r="BP45" s="398"/>
      <c r="BQ45" s="398"/>
      <c r="BR45" s="398"/>
      <c r="BS45" s="398"/>
      <c r="BT45" s="398"/>
      <c r="BU45" s="398"/>
      <c r="BV45" s="398"/>
      <c r="BW45" s="398"/>
      <c r="BX45" s="398"/>
      <c r="BY45" s="398"/>
      <c r="BZ45" s="398"/>
      <c r="CA45" s="398"/>
      <c r="CB45" s="398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</row>
    <row r="46" customFormat="false" ht="12.75" hidden="false" customHeight="false" outlineLevel="0" collapsed="false">
      <c r="A46" s="37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398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389"/>
      <c r="AO46" s="20" t="n">
        <f aca="false">+AO45+1</f>
        <v>41</v>
      </c>
      <c r="AP46" s="14"/>
      <c r="AQ46" s="14"/>
      <c r="AR46" s="14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398"/>
    </row>
    <row r="47" customFormat="false" ht="12.75" hidden="false" customHeight="false" outlineLevel="0" collapsed="false">
      <c r="A47" s="590" t="s">
        <v>259</v>
      </c>
      <c r="B47" s="395"/>
      <c r="C47" s="635" t="n">
        <f aca="false">IF(C16=0,0,+(C23+SUM($C$43:C43)*eqamt)/Assumpt!$S$7)</f>
        <v>0.0249330515653063</v>
      </c>
      <c r="D47" s="635" t="n">
        <f aca="false">IF(D16=0,0,+(D23+SUM($C$43:D43)*eqamt)/Assumpt!$S$7)</f>
        <v>0.0500144343907079</v>
      </c>
      <c r="E47" s="635" t="n">
        <f aca="false">IF(E16=0,0,+(E23+SUM($C$43:E43)*eqamt)/Assumpt!$S$7)</f>
        <v>0.0752453227653474</v>
      </c>
      <c r="F47" s="635" t="n">
        <f aca="false">IF(F16=0,0,+(F23+SUM($C$43:F43)*eqamt)/Assumpt!$S$7)</f>
        <v>0.100626900274823</v>
      </c>
      <c r="G47" s="635" t="n">
        <f aca="false">IF(G16=0,0,+(G23+SUM($C$43:G43)*eqamt)/Assumpt!$S$7)</f>
        <v>0.126160359874785</v>
      </c>
      <c r="H47" s="635" t="n">
        <f aca="false">IF(H16=0,0,+(H23+SUM($C$43:H43)*eqamt)/Assumpt!$S$7)</f>
        <v>0.151846903965117</v>
      </c>
      <c r="I47" s="635" t="n">
        <f aca="false">IF(I16=0,0,+(I23+SUM($C$43:I43)*eqamt)/Assumpt!$S$7)</f>
        <v>0.177687744464701</v>
      </c>
      <c r="J47" s="635" t="n">
        <f aca="false">IF(J16=0,0,+(J23+SUM($C$43:J43)*eqamt)/Assumpt!$S$7)</f>
        <v>0.203684102886776</v>
      </c>
      <c r="K47" s="635" t="n">
        <f aca="false">IF(K16=0,0,+(K23+SUM($C$43:K43)*eqamt)/Assumpt!$S$7)</f>
        <v>0.229837210414897</v>
      </c>
      <c r="L47" s="635" t="n">
        <f aca="false">IF(L16=0,0,+(L23+SUM($C$43:L43)*eqamt)/Assumpt!$S$7)</f>
        <v>0.256148307979485</v>
      </c>
      <c r="M47" s="635" t="n">
        <f aca="false">IF(M16=0,0,+(M23+SUM($C$43:M43)*eqamt)/Assumpt!$S$7)</f>
        <v>0.282618646334996</v>
      </c>
      <c r="N47" s="635" t="n">
        <f aca="false">IF(N16=0,0,+(N23+SUM($C$43:N43)*eqamt)/Assumpt!$S$7)</f>
        <v>0.309249486137692</v>
      </c>
      <c r="O47" s="635" t="n">
        <f aca="false">IF(O16=0,0,+(O23+SUM($C$43:O43)*eqamt)/Assumpt!$S$7)</f>
        <v>0.336042098024029</v>
      </c>
      <c r="P47" s="635" t="n">
        <f aca="false">IF(P16=0,0,+(P23+SUM($C$43:P43)*eqamt)/Assumpt!$S$7)</f>
        <v>0.362997762689669</v>
      </c>
      <c r="Q47" s="635" t="n">
        <f aca="false">IF(Q16=0,0,+(Q23+SUM($C$43:Q43)*eqamt)/Assumpt!$S$7)</f>
        <v>0.390117770969116</v>
      </c>
      <c r="R47" s="635" t="n">
        <f aca="false">IF(R16=0,0,+(R23+SUM($C$43:R43)*eqamt)/Assumpt!$S$7)</f>
        <v>0.417403423915979</v>
      </c>
      <c r="S47" s="635" t="n">
        <f aca="false">IF(S16=0,0,+(S23+SUM($C$43:S43)*eqamt)/Assumpt!$S$7)</f>
        <v>0.444856032883874</v>
      </c>
      <c r="T47" s="635" t="n">
        <f aca="false">IF(T16=0,0,+(T23+SUM($C$43:T43)*eqamt)/Assumpt!$S$7)</f>
        <v>0.472476919607969</v>
      </c>
      <c r="U47" s="635" t="n">
        <f aca="false">IF(U16=0,0,+(U23+SUM($C$43:U43)*eqamt)/Assumpt!$S$7)</f>
        <v>0.500267416287166</v>
      </c>
      <c r="V47" s="635" t="n">
        <f aca="false">IF(V16=0,0,+(V23+SUM($C$43:V43)*eqamt)/Assumpt!$S$7)</f>
        <v>0.528228865666944</v>
      </c>
      <c r="W47" s="635" t="n">
        <f aca="false">IF(W16=0,0,+(W23+SUM($C$43:W43)*eqamt)/Assumpt!$S$7)</f>
        <v>0.556362621122848</v>
      </c>
      <c r="X47" s="635" t="n">
        <f aca="false">IF(X16=0,0,+(X23+SUM($C$43:X43)*eqamt)/Assumpt!$S$7)</f>
        <v>0.584670046744648</v>
      </c>
      <c r="Y47" s="635" t="n">
        <f aca="false">IF(Y16=0,0,+(Y23+SUM($C$43:Y43)*eqamt)/Assumpt!$S$7)</f>
        <v>0.613152517421157</v>
      </c>
      <c r="Z47" s="635" t="n">
        <f aca="false">IF(Z16=0,0,+(Z23+SUM($C$43:Z43)*eqamt)/Assumpt!$S$7)</f>
        <v>0.641811418925726</v>
      </c>
      <c r="AA47" s="635" t="n">
        <f aca="false">IF(AA16=0,0,+(AA23+SUM($C$43:AA43)*eqamt)/Assumpt!$S$7)</f>
        <v>0.670648148002409</v>
      </c>
      <c r="AB47" s="635" t="n">
        <f aca="false">IF(AB16=0,0,+(AB23+SUM($C$43:AB43)*eqamt)/Assumpt!$S$7)</f>
        <v>0.699664112452819</v>
      </c>
      <c r="AC47" s="635" t="n">
        <f aca="false">IF(AC16=0,0,+(AC23+SUM($C$43:AC43)*eqamt)/Assumpt!$S$7)</f>
        <v>0.728860731223665</v>
      </c>
      <c r="AD47" s="635" t="n">
        <f aca="false">IF(AD16=0,0,+(AD23+SUM($C$43:AD43)*eqamt)/Assumpt!$S$7)</f>
        <v>0.758239434494983</v>
      </c>
      <c r="AE47" s="635" t="n">
        <f aca="false">IF(AE16=0,0,+(AE23+SUM($C$43:AE43)*eqamt)/Assumpt!$S$7)</f>
        <v>0.78780166376907</v>
      </c>
      <c r="AF47" s="635" t="n">
        <f aca="false">IF(AF16=0,0,+(AF23+SUM($C$43:AF43)*eqamt)/Assumpt!$S$7)</f>
        <v>0.817548871960113</v>
      </c>
      <c r="AG47" s="635" t="n">
        <f aca="false">IF(AG16=0,0,+(AG23+SUM($C$43:AG43)*eqamt)/Assumpt!$S$7)</f>
        <v>0.847482523484539</v>
      </c>
      <c r="AH47" s="635" t="n">
        <f aca="false">IF(AH16=0,0,+(AH23+SUM($C$43:AH43)*eqamt)/Assumpt!$S$7)</f>
        <v>0.87760409435207</v>
      </c>
      <c r="AI47" s="635" t="n">
        <f aca="false">IF(AI16=0,0,+(AI23+SUM($C$43:AI43)*eqamt)/Assumpt!$S$7)</f>
        <v>0.907915072257505</v>
      </c>
      <c r="AJ47" s="635" t="n">
        <f aca="false">IF(AJ16=0,0,+(AJ23+SUM($C$43:AJ43)*eqamt)/Assumpt!$S$7)</f>
        <v>0.938416956673229</v>
      </c>
      <c r="AK47" s="635" t="n">
        <f aca="false">IF(AK16=0,0,+(AK23+SUM($C$43:AK43)*eqamt)/Assumpt!$S$7)</f>
        <v>0.969111258942447</v>
      </c>
      <c r="AL47" s="635" t="n">
        <f aca="false">IF(AL16=0,0,+(AL23+SUM($C$43:AL43)*eqamt)/Assumpt!$S$7)</f>
        <v>0.999999502373166</v>
      </c>
      <c r="AM47" s="592" t="n">
        <f aca="false">+AL47</f>
        <v>0.999999502373166</v>
      </c>
      <c r="AO47" s="20" t="n">
        <f aca="false">+AO46+1</f>
        <v>42</v>
      </c>
    </row>
    <row r="48" customFormat="false" ht="12.75" hidden="false" customHeight="false" outlineLevel="0" collapsed="false">
      <c r="A48" s="420" t="s">
        <v>260</v>
      </c>
      <c r="B48" s="199"/>
      <c r="C48" s="482" t="n">
        <f aca="false">+((C36+C32+C28+C40)+SUM($C$43:C43)*debtamt)/estdebt</f>
        <v>0.0249329945435065</v>
      </c>
      <c r="D48" s="482" t="n">
        <f aca="false">+((D36+D32+D28+D40)+SUM($C$43:D43)*debtamt)/estdebt</f>
        <v>0.0500143200078754</v>
      </c>
      <c r="E48" s="482" t="n">
        <f aca="false">+((E36+E32+E28+E40)+SUM($C$43:E43)*debtamt)/estdebt</f>
        <v>0.0752451506795634</v>
      </c>
      <c r="F48" s="482" t="n">
        <f aca="false">+((F36+F32+F28+F40)+SUM($C$43:F43)*debtamt)/estdebt</f>
        <v>0.100626670141462</v>
      </c>
      <c r="G48" s="482" t="n">
        <f aca="false">+((G36+G32+G28+G40)+SUM($C$43:G43)*debtamt)/estdebt</f>
        <v>0.126160071346493</v>
      </c>
      <c r="H48" s="482" t="n">
        <f aca="false">+((H36+H32+H28+H40)+SUM($C$43:H43)*debtamt)/estdebt</f>
        <v>0.151846556691791</v>
      </c>
      <c r="I48" s="482" t="n">
        <f aca="false">+((I36+I32+I28+I40)+SUM($C$43:I43)*debtamt)/estdebt</f>
        <v>0.177687338093465</v>
      </c>
      <c r="J48" s="482" t="n">
        <f aca="false">+((J36+J32+J28+J40)+SUM($C$43:J43)*debtamt)/estdebt</f>
        <v>0.203683637061962</v>
      </c>
      <c r="K48" s="482" t="n">
        <f aca="false">+((K36+K32+K28+K40)+SUM($C$43:K43)*debtamt)/estdebt</f>
        <v>0.229836684778019</v>
      </c>
      <c r="L48" s="482" t="n">
        <f aca="false">+((L36+L32+L28+L40)+SUM($C$43:L43)*debtamt)/estdebt</f>
        <v>0.256147722169221</v>
      </c>
      <c r="M48" s="482" t="n">
        <f aca="false">+((M36+M32+M28+M40)+SUM($C$43:M43)*debtamt)/estdebt</f>
        <v>0.282617999987163</v>
      </c>
      <c r="N48" s="482" t="n">
        <f aca="false">+((N36+N32+N28+N40)+SUM($C$43:N43)*debtamt)/estdebt</f>
        <v>0.309248778885223</v>
      </c>
      <c r="O48" s="482" t="n">
        <f aca="false">+((O36+O32+O28+O40)+SUM($C$43:O43)*debtamt)/estdebt</f>
        <v>0.336041329496952</v>
      </c>
      <c r="P48" s="482" t="n">
        <f aca="false">+((P36+P32+P28+P40)+SUM($C$43:P43)*debtamt)/estdebt</f>
        <v>0.362996932515084</v>
      </c>
      <c r="Q48" s="482" t="n">
        <f aca="false">+((Q36+Q32+Q28+Q40)+SUM($C$43:Q43)*debtamt)/estdebt</f>
        <v>0.390116878771169</v>
      </c>
      <c r="R48" s="482" t="n">
        <f aca="false">+((R36+R32+R28+R40)+SUM($C$43:R43)*debtamt)/estdebt</f>
        <v>0.417402469315841</v>
      </c>
      <c r="S48" s="482" t="n">
        <f aca="false">+((S36+S32+S28+S40)+SUM($C$43:S43)*debtamt)/estdebt</f>
        <v>0.444855015499718</v>
      </c>
      <c r="T48" s="482" t="n">
        <f aca="false">+((T36+T32+T28+T40)+SUM($C$43:T43)*debtamt)/estdebt</f>
        <v>0.472475839054944</v>
      </c>
      <c r="U48" s="482" t="n">
        <f aca="false">+((U36+U32+U28+U40)+SUM($C$43:U43)*debtamt)/estdebt</f>
        <v>0.500266272177374</v>
      </c>
      <c r="V48" s="482" t="n">
        <f aca="false">+((V36+V32+V28+V40)+SUM($C$43:V43)*debtamt)/estdebt</f>
        <v>0.528227657609417</v>
      </c>
      <c r="W48" s="482" t="n">
        <f aca="false">+((W36+W32+W28+W40)+SUM($C$43:W43)*debtamt)/estdebt</f>
        <v>0.556361348723523</v>
      </c>
      <c r="X48" s="482" t="n">
        <f aca="false">+((X36+X32+X28+X40)+SUM($C$43:X43)*debtamt)/estdebt</f>
        <v>0.584668709606342</v>
      </c>
      <c r="Y48" s="482" t="n">
        <f aca="false">+((Y36+Y32+Y28+Y40)+SUM($C$43:Y43)*debtamt)/estdebt</f>
        <v>0.613151115143543</v>
      </c>
      <c r="Z48" s="482" t="n">
        <f aca="false">+((Z36+Z32+Z28+Z40)+SUM($C$43:Z43)*debtamt)/estdebt</f>
        <v>0.641809951105306</v>
      </c>
      <c r="AA48" s="482" t="n">
        <f aca="false">+((AA36+AA32+AA28+AA40)+SUM($C$43:AA43)*debtamt)/estdebt</f>
        <v>0.670646614232493</v>
      </c>
      <c r="AB48" s="482" t="n">
        <f aca="false">+((AB36+AB32+AB28+AB40)+SUM($C$43:AB43)*debtamt)/estdebt</f>
        <v>0.699662512323496</v>
      </c>
      <c r="AC48" s="482" t="n">
        <f aca="false">+((AC36+AC32+AC28+AC40)+SUM($C$43:AC43)*debtamt)/estdebt</f>
        <v>0.72885906432178</v>
      </c>
      <c r="AD48" s="482" t="n">
        <f aca="false">+((AD36+AD32+AD28+AD40)+SUM($C$43:AD43)*debtamt)/estdebt</f>
        <v>0.758237700404109</v>
      </c>
      <c r="AE48" s="482" t="n">
        <f aca="false">+((AE36+AE32+AE28+AE40)+SUM($C$43:AE43)*debtamt)/estdebt</f>
        <v>0.787799862069483</v>
      </c>
      <c r="AF48" s="482" t="n">
        <f aca="false">+((AF36+AF32+AF28+AF40)+SUM($C$43:AF43)*debtamt)/estdebt</f>
        <v>0.817547002228767</v>
      </c>
      <c r="AG48" s="482" t="n">
        <f aca="false">+((AG36+AG32+AG28+AG40)+SUM($C$43:AG43)*debtamt)/estdebt</f>
        <v>0.847480585295039</v>
      </c>
      <c r="AH48" s="482" t="n">
        <f aca="false">+((AH36+AH32+AH28+AH40)+SUM($C$43:AH43)*debtamt)/estdebt</f>
        <v>0.877602087274645</v>
      </c>
      <c r="AI48" s="482" t="n">
        <f aca="false">+((AI36+AI32+AI28+AI40)+SUM($C$43:AI43)*debtamt)/estdebt</f>
        <v>0.907912995858982</v>
      </c>
      <c r="AJ48" s="482" t="n">
        <f aca="false">+((AJ36+AJ32+AJ28+AJ40)+SUM($C$43:AJ43)*debtamt)/estdebt</f>
        <v>0.938414810517005</v>
      </c>
      <c r="AK48" s="482" t="n">
        <f aca="false">+((AK36+AK32+AK28+AK40)+SUM($C$43:AK43)*debtamt)/estdebt</f>
        <v>0.969109042588464</v>
      </c>
      <c r="AL48" s="482" t="n">
        <f aca="false">+((AL36+AL32+AL28+AL40)+SUM($C$43:AL43)*debtamt)/estdebt</f>
        <v>0.999997215377881</v>
      </c>
      <c r="AM48" s="636" t="n">
        <f aca="false">+AL48</f>
        <v>0.999997215377881</v>
      </c>
      <c r="AO48" s="20" t="n">
        <f aca="false">+AO47+1</f>
        <v>43</v>
      </c>
      <c r="AP48" s="589"/>
      <c r="AQ48" s="14"/>
      <c r="AR48" s="14"/>
      <c r="AS48" s="107"/>
      <c r="AT48" s="580"/>
      <c r="AU48" s="580"/>
      <c r="AV48" s="580"/>
      <c r="AW48" s="580"/>
      <c r="AX48" s="580"/>
      <c r="AY48" s="580"/>
      <c r="AZ48" s="580"/>
      <c r="BA48" s="580"/>
      <c r="BB48" s="580"/>
      <c r="BC48" s="580"/>
      <c r="BD48" s="580"/>
      <c r="BE48" s="580"/>
      <c r="BF48" s="580"/>
      <c r="BG48" s="580"/>
      <c r="BH48" s="580"/>
      <c r="BI48" s="580"/>
      <c r="BJ48" s="580"/>
      <c r="BK48" s="580"/>
      <c r="BL48" s="580"/>
      <c r="BM48" s="580"/>
      <c r="BN48" s="580"/>
      <c r="BO48" s="580"/>
      <c r="BP48" s="580"/>
      <c r="BQ48" s="580"/>
      <c r="BR48" s="580"/>
      <c r="BS48" s="580"/>
      <c r="BT48" s="580"/>
      <c r="BU48" s="580"/>
      <c r="BV48" s="580"/>
      <c r="BW48" s="580"/>
      <c r="BX48" s="580"/>
      <c r="BY48" s="580"/>
      <c r="BZ48" s="580"/>
      <c r="CA48" s="580"/>
      <c r="CB48" s="580"/>
    </row>
    <row r="49" customFormat="false" ht="13.5" hidden="false" customHeight="false" outlineLevel="0" collapsed="false">
      <c r="A49" s="295"/>
      <c r="B49" s="615"/>
      <c r="C49" s="634"/>
      <c r="D49" s="398"/>
      <c r="E49" s="14"/>
      <c r="F49" s="14"/>
      <c r="G49" s="637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498"/>
      <c r="T49" s="498"/>
      <c r="U49" s="498"/>
      <c r="V49" s="498"/>
      <c r="W49" s="498"/>
      <c r="X49" s="498"/>
      <c r="Y49" s="498"/>
      <c r="Z49" s="498"/>
      <c r="AA49" s="498"/>
      <c r="AB49" s="498"/>
      <c r="AC49" s="498"/>
      <c r="AD49" s="498"/>
      <c r="AE49" s="498"/>
      <c r="AF49" s="498"/>
      <c r="AG49" s="498"/>
      <c r="AH49" s="498"/>
      <c r="AI49" s="498"/>
      <c r="AJ49" s="498"/>
      <c r="AK49" s="498"/>
      <c r="AL49" s="498"/>
      <c r="AM49" s="14"/>
      <c r="AP49" s="14"/>
      <c r="AQ49" s="14"/>
      <c r="AR49" s="14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</row>
    <row r="50" customFormat="false" ht="15.75" hidden="false" customHeight="false" outlineLevel="0" collapsed="false">
      <c r="A50" s="2" t="str">
        <f aca="false">+A1</f>
        <v>Panama Regas Terminal</v>
      </c>
      <c r="B50" s="3"/>
      <c r="C50" s="3"/>
      <c r="D50" s="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398"/>
      <c r="AT50" s="398"/>
      <c r="AU50" s="398"/>
      <c r="AV50" s="398"/>
      <c r="AW50" s="398"/>
      <c r="AX50" s="398"/>
      <c r="AY50" s="398"/>
      <c r="AZ50" s="398"/>
      <c r="BA50" s="398"/>
      <c r="BB50" s="398"/>
      <c r="BC50" s="398"/>
      <c r="BD50" s="398"/>
      <c r="BE50" s="398"/>
      <c r="BF50" s="398"/>
      <c r="BG50" s="398"/>
      <c r="BH50" s="398"/>
      <c r="BI50" s="398"/>
      <c r="BJ50" s="398"/>
      <c r="BK50" s="398"/>
      <c r="BL50" s="398"/>
      <c r="BM50" s="398"/>
      <c r="BN50" s="398"/>
      <c r="BO50" s="398"/>
      <c r="BP50" s="398"/>
      <c r="BQ50" s="398"/>
      <c r="BR50" s="398"/>
      <c r="BS50" s="398"/>
      <c r="BT50" s="398"/>
      <c r="BU50" s="398"/>
      <c r="BV50" s="398"/>
      <c r="BW50" s="398"/>
      <c r="BX50" s="398"/>
      <c r="BY50" s="398"/>
      <c r="BZ50" s="398"/>
      <c r="CA50" s="398"/>
      <c r="CB50" s="398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5.75" hidden="false" customHeight="false" outlineLevel="0" collapsed="false">
      <c r="A51" s="6" t="str">
        <f aca="false">+A2</f>
        <v>Enron International</v>
      </c>
      <c r="B51" s="7"/>
      <c r="C51" s="7"/>
      <c r="D51" s="8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398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6.5" hidden="false" customHeight="false" outlineLevel="0" collapsed="false">
      <c r="A52" s="10" t="s">
        <v>32</v>
      </c>
      <c r="B52" s="11"/>
      <c r="C52" s="11"/>
      <c r="D52" s="1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430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5.75" hidden="false" customHeight="false" outlineLevel="0" collapsed="false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430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297" t="s">
        <v>227</v>
      </c>
      <c r="B54" s="298"/>
      <c r="C54" s="584" t="n">
        <f aca="false">+C5</f>
        <v>1</v>
      </c>
      <c r="D54" s="584" t="n">
        <f aca="false">+D5</f>
        <v>2</v>
      </c>
      <c r="E54" s="584" t="n">
        <f aca="false">+E5</f>
        <v>3</v>
      </c>
      <c r="F54" s="584" t="n">
        <f aca="false">+F5</f>
        <v>4</v>
      </c>
      <c r="G54" s="584" t="n">
        <f aca="false">+G5</f>
        <v>5</v>
      </c>
      <c r="H54" s="584" t="n">
        <f aca="false">+H5</f>
        <v>6</v>
      </c>
      <c r="I54" s="584" t="n">
        <f aca="false">+I5</f>
        <v>7</v>
      </c>
      <c r="J54" s="584" t="n">
        <f aca="false">+J5</f>
        <v>8</v>
      </c>
      <c r="K54" s="584" t="n">
        <f aca="false">+K5</f>
        <v>9</v>
      </c>
      <c r="L54" s="584" t="n">
        <f aca="false">+L5</f>
        <v>10</v>
      </c>
      <c r="M54" s="584" t="n">
        <f aca="false">+M5</f>
        <v>11</v>
      </c>
      <c r="N54" s="584" t="n">
        <f aca="false">+N5</f>
        <v>12</v>
      </c>
      <c r="O54" s="584" t="n">
        <f aca="false">+O5</f>
        <v>13</v>
      </c>
      <c r="P54" s="584" t="n">
        <f aca="false">+P5</f>
        <v>14</v>
      </c>
      <c r="Q54" s="584" t="n">
        <f aca="false">+Q5</f>
        <v>15</v>
      </c>
      <c r="R54" s="584" t="n">
        <f aca="false">+R5</f>
        <v>16</v>
      </c>
      <c r="S54" s="584" t="n">
        <f aca="false">+S5</f>
        <v>17</v>
      </c>
      <c r="T54" s="584" t="n">
        <f aca="false">+T5</f>
        <v>18</v>
      </c>
      <c r="U54" s="584" t="n">
        <f aca="false">+U5</f>
        <v>19</v>
      </c>
      <c r="V54" s="584" t="n">
        <f aca="false">+V5</f>
        <v>20</v>
      </c>
      <c r="W54" s="584" t="n">
        <f aca="false">+W5</f>
        <v>21</v>
      </c>
      <c r="X54" s="584" t="n">
        <f aca="false">+X5</f>
        <v>22</v>
      </c>
      <c r="Y54" s="584" t="n">
        <f aca="false">+Y5</f>
        <v>23</v>
      </c>
      <c r="Z54" s="584" t="n">
        <f aca="false">+Z5</f>
        <v>24</v>
      </c>
      <c r="AA54" s="584" t="n">
        <f aca="false">+AA5</f>
        <v>25</v>
      </c>
      <c r="AB54" s="584" t="n">
        <f aca="false">+AB5</f>
        <v>26</v>
      </c>
      <c r="AC54" s="584" t="n">
        <f aca="false">+AC5</f>
        <v>27</v>
      </c>
      <c r="AD54" s="584" t="n">
        <f aca="false">+AD5</f>
        <v>28</v>
      </c>
      <c r="AE54" s="584" t="n">
        <f aca="false">+AE5</f>
        <v>29</v>
      </c>
      <c r="AF54" s="584" t="n">
        <f aca="false">+AF5</f>
        <v>30</v>
      </c>
      <c r="AG54" s="584" t="n">
        <f aca="false">+AG5</f>
        <v>31</v>
      </c>
      <c r="AH54" s="584" t="n">
        <f aca="false">+AH5</f>
        <v>32</v>
      </c>
      <c r="AI54" s="584" t="n">
        <f aca="false">+AI5</f>
        <v>33</v>
      </c>
      <c r="AJ54" s="584" t="n">
        <f aca="false">+AJ5</f>
        <v>34</v>
      </c>
      <c r="AK54" s="584" t="n">
        <f aca="false">+AK5</f>
        <v>35</v>
      </c>
      <c r="AL54" s="584" t="n">
        <f aca="false">+AL5</f>
        <v>36</v>
      </c>
      <c r="AM54" s="542"/>
      <c r="AP54" s="14"/>
      <c r="AQ54" s="14"/>
      <c r="AR54" s="14"/>
      <c r="AS54" s="585"/>
      <c r="AT54" s="585"/>
      <c r="AU54" s="585"/>
      <c r="AV54" s="585"/>
      <c r="AW54" s="585"/>
      <c r="AX54" s="585"/>
      <c r="AY54" s="585"/>
      <c r="AZ54" s="585"/>
      <c r="BA54" s="585"/>
      <c r="BB54" s="585"/>
      <c r="BC54" s="585"/>
      <c r="BD54" s="585"/>
      <c r="BE54" s="585"/>
      <c r="BF54" s="585"/>
      <c r="BG54" s="585"/>
      <c r="BH54" s="585"/>
      <c r="BI54" s="585"/>
      <c r="BJ54" s="585"/>
      <c r="BK54" s="585"/>
      <c r="BL54" s="585"/>
      <c r="BM54" s="585"/>
      <c r="BN54" s="585"/>
      <c r="BO54" s="585"/>
      <c r="BP54" s="585"/>
      <c r="BQ54" s="585"/>
      <c r="BR54" s="585"/>
      <c r="BS54" s="585"/>
      <c r="BT54" s="585"/>
      <c r="BU54" s="585"/>
      <c r="BV54" s="585"/>
      <c r="BW54" s="585"/>
      <c r="BX54" s="585"/>
      <c r="BY54" s="585"/>
      <c r="BZ54" s="585"/>
      <c r="CA54" s="585"/>
      <c r="CB54" s="585"/>
      <c r="CC54" s="14"/>
      <c r="CD54" s="14"/>
      <c r="CE54" s="14"/>
      <c r="CF54" s="14"/>
      <c r="CG54" s="14"/>
      <c r="CH54" s="14"/>
      <c r="CI54" s="14"/>
    </row>
    <row r="55" customFormat="false" ht="12.75" hidden="false" customHeight="false" outlineLevel="0" collapsed="false">
      <c r="A55" s="638" t="s">
        <v>228</v>
      </c>
      <c r="B55" s="407"/>
      <c r="C55" s="586" t="n">
        <f aca="false">+C6</f>
        <v>36526</v>
      </c>
      <c r="D55" s="586" t="n">
        <f aca="false">+D6</f>
        <v>36557</v>
      </c>
      <c r="E55" s="586" t="n">
        <f aca="false">+E6</f>
        <v>36586</v>
      </c>
      <c r="F55" s="586" t="n">
        <f aca="false">+F6</f>
        <v>36617</v>
      </c>
      <c r="G55" s="586" t="n">
        <f aca="false">+G6</f>
        <v>36647</v>
      </c>
      <c r="H55" s="586" t="n">
        <f aca="false">+H6</f>
        <v>36678</v>
      </c>
      <c r="I55" s="586" t="n">
        <f aca="false">+I6</f>
        <v>36708</v>
      </c>
      <c r="J55" s="586" t="n">
        <f aca="false">+J6</f>
        <v>36739</v>
      </c>
      <c r="K55" s="586" t="n">
        <f aca="false">+K6</f>
        <v>36770</v>
      </c>
      <c r="L55" s="586" t="n">
        <f aca="false">+L6</f>
        <v>36800</v>
      </c>
      <c r="M55" s="586" t="n">
        <f aca="false">+M6</f>
        <v>36831</v>
      </c>
      <c r="N55" s="586" t="n">
        <f aca="false">+N6</f>
        <v>36861</v>
      </c>
      <c r="O55" s="586" t="n">
        <f aca="false">+O6</f>
        <v>36892</v>
      </c>
      <c r="P55" s="586" t="n">
        <f aca="false">+P6</f>
        <v>36923</v>
      </c>
      <c r="Q55" s="586" t="n">
        <f aca="false">+Q6</f>
        <v>36951</v>
      </c>
      <c r="R55" s="586" t="n">
        <f aca="false">+R6</f>
        <v>36982</v>
      </c>
      <c r="S55" s="586" t="n">
        <f aca="false">+S6</f>
        <v>37012</v>
      </c>
      <c r="T55" s="586" t="n">
        <f aca="false">+T6</f>
        <v>37043</v>
      </c>
      <c r="U55" s="586" t="n">
        <f aca="false">+U6</f>
        <v>37073</v>
      </c>
      <c r="V55" s="586" t="n">
        <f aca="false">+V6</f>
        <v>37104</v>
      </c>
      <c r="W55" s="586" t="n">
        <f aca="false">+W6</f>
        <v>37135</v>
      </c>
      <c r="X55" s="586" t="n">
        <f aca="false">+X6</f>
        <v>37165</v>
      </c>
      <c r="Y55" s="586" t="n">
        <f aca="false">+Y6</f>
        <v>37196</v>
      </c>
      <c r="Z55" s="586" t="n">
        <f aca="false">+Z6</f>
        <v>37226</v>
      </c>
      <c r="AA55" s="586" t="n">
        <f aca="false">+AA6</f>
        <v>37257</v>
      </c>
      <c r="AB55" s="586" t="n">
        <f aca="false">+AB6</f>
        <v>37288</v>
      </c>
      <c r="AC55" s="586" t="n">
        <f aca="false">+AC6</f>
        <v>37316</v>
      </c>
      <c r="AD55" s="586" t="n">
        <f aca="false">+AD6</f>
        <v>37347</v>
      </c>
      <c r="AE55" s="586" t="n">
        <f aca="false">+AE6</f>
        <v>37377</v>
      </c>
      <c r="AF55" s="586" t="n">
        <f aca="false">+AF6</f>
        <v>37408</v>
      </c>
      <c r="AG55" s="586" t="n">
        <f aca="false">+AG6</f>
        <v>37438</v>
      </c>
      <c r="AH55" s="586" t="n">
        <f aca="false">+AH6</f>
        <v>37469</v>
      </c>
      <c r="AI55" s="586" t="n">
        <f aca="false">+AI6</f>
        <v>37500</v>
      </c>
      <c r="AJ55" s="586" t="n">
        <f aca="false">+AJ6</f>
        <v>37530</v>
      </c>
      <c r="AK55" s="586" t="n">
        <f aca="false">+AK6</f>
        <v>37561</v>
      </c>
      <c r="AL55" s="586" t="n">
        <f aca="false">+AL6</f>
        <v>37591</v>
      </c>
      <c r="AM55" s="587" t="s">
        <v>229</v>
      </c>
      <c r="AN55" s="295"/>
      <c r="AO55" s="295"/>
      <c r="AP55" s="295"/>
      <c r="AQ55" s="295"/>
      <c r="AR55" s="295"/>
      <c r="AS55" s="588"/>
      <c r="AT55" s="588"/>
      <c r="AU55" s="588"/>
      <c r="AV55" s="588"/>
      <c r="AW55" s="588"/>
      <c r="AX55" s="588"/>
      <c r="AY55" s="588"/>
      <c r="AZ55" s="588"/>
      <c r="BA55" s="588"/>
      <c r="BB55" s="588"/>
      <c r="BC55" s="588"/>
      <c r="BD55" s="588"/>
      <c r="BE55" s="588"/>
      <c r="BF55" s="588"/>
      <c r="BG55" s="588"/>
      <c r="BH55" s="588"/>
      <c r="BI55" s="588"/>
      <c r="BJ55" s="588"/>
      <c r="BK55" s="588"/>
      <c r="BL55" s="588"/>
      <c r="BM55" s="588"/>
      <c r="BN55" s="588"/>
      <c r="BO55" s="588"/>
      <c r="BP55" s="588"/>
      <c r="BQ55" s="588"/>
      <c r="BR55" s="588"/>
      <c r="BS55" s="588"/>
      <c r="BT55" s="588"/>
      <c r="BU55" s="588"/>
      <c r="BV55" s="588"/>
      <c r="BW55" s="588"/>
      <c r="BX55" s="588"/>
      <c r="BY55" s="588"/>
      <c r="BZ55" s="588"/>
      <c r="CA55" s="588"/>
      <c r="CB55" s="588"/>
      <c r="CC55" s="295"/>
      <c r="CD55" s="295"/>
      <c r="CE55" s="295"/>
      <c r="CF55" s="295"/>
      <c r="CG55" s="295"/>
      <c r="CH55" s="295"/>
      <c r="CI55" s="295"/>
      <c r="CJ55" s="295"/>
      <c r="CK55" s="295"/>
      <c r="CL55" s="295"/>
      <c r="CM55" s="295"/>
      <c r="CN55" s="295"/>
      <c r="CO55" s="295"/>
      <c r="CP55" s="296"/>
      <c r="CQ55" s="296"/>
      <c r="CR55" s="296"/>
      <c r="CS55" s="296"/>
      <c r="CT55" s="296"/>
      <c r="CU55" s="296"/>
      <c r="CV55" s="296"/>
      <c r="CW55" s="296"/>
      <c r="CX55" s="296"/>
      <c r="CY55" s="296"/>
      <c r="CZ55" s="296"/>
      <c r="DA55" s="296"/>
      <c r="DB55" s="296"/>
      <c r="DC55" s="296"/>
      <c r="DD55" s="296"/>
      <c r="DE55" s="296"/>
      <c r="DF55" s="296"/>
      <c r="DG55" s="296"/>
      <c r="DH55" s="296"/>
      <c r="DI55" s="296"/>
      <c r="DJ55" s="296"/>
      <c r="DK55" s="296"/>
      <c r="DL55" s="296"/>
      <c r="DM55" s="296"/>
      <c r="DN55" s="296"/>
      <c r="DO55" s="296"/>
      <c r="DP55" s="296"/>
      <c r="DQ55" s="296"/>
      <c r="DR55" s="296"/>
      <c r="DS55" s="296"/>
      <c r="DT55" s="296"/>
      <c r="DU55" s="296"/>
      <c r="DV55" s="296"/>
      <c r="DW55" s="296"/>
      <c r="DX55" s="296"/>
      <c r="DY55" s="296"/>
      <c r="DZ55" s="296"/>
      <c r="EA55" s="296"/>
      <c r="EB55" s="296"/>
      <c r="EC55" s="296"/>
      <c r="ED55" s="296"/>
      <c r="EE55" s="296"/>
      <c r="EF55" s="296"/>
      <c r="EG55" s="296"/>
      <c r="EH55" s="296"/>
      <c r="EI55" s="296"/>
      <c r="EJ55" s="296"/>
      <c r="EK55" s="296"/>
      <c r="EL55" s="296"/>
      <c r="EM55" s="296"/>
      <c r="EN55" s="296"/>
      <c r="EO55" s="296"/>
      <c r="EP55" s="296"/>
      <c r="EQ55" s="296"/>
      <c r="ER55" s="296"/>
      <c r="ES55" s="296"/>
      <c r="ET55" s="296"/>
      <c r="EU55" s="296"/>
      <c r="EV55" s="296"/>
      <c r="EW55" s="296"/>
      <c r="EX55" s="296"/>
      <c r="EY55" s="296"/>
      <c r="EZ55" s="296"/>
      <c r="FA55" s="296"/>
      <c r="FB55" s="296"/>
      <c r="FC55" s="296"/>
      <c r="FD55" s="296"/>
      <c r="FE55" s="296"/>
      <c r="FF55" s="296"/>
      <c r="FG55" s="296"/>
      <c r="FH55" s="296"/>
      <c r="FI55" s="296"/>
      <c r="FJ55" s="296"/>
      <c r="FK55" s="296"/>
      <c r="FL55" s="296"/>
      <c r="FM55" s="296"/>
      <c r="FN55" s="296"/>
      <c r="FO55" s="296"/>
      <c r="FP55" s="296"/>
      <c r="FQ55" s="296"/>
      <c r="FR55" s="296"/>
      <c r="FS55" s="296"/>
      <c r="FT55" s="296"/>
      <c r="FU55" s="296"/>
      <c r="FV55" s="296"/>
      <c r="FW55" s="296"/>
      <c r="FX55" s="296"/>
      <c r="FY55" s="296"/>
      <c r="FZ55" s="296"/>
      <c r="GA55" s="296"/>
      <c r="GB55" s="296"/>
      <c r="GC55" s="296"/>
      <c r="GD55" s="296"/>
      <c r="GE55" s="296"/>
      <c r="GF55" s="296"/>
      <c r="GG55" s="296"/>
      <c r="GH55" s="296"/>
      <c r="GI55" s="296"/>
      <c r="GJ55" s="296"/>
      <c r="GK55" s="296"/>
      <c r="GL55" s="296"/>
      <c r="GM55" s="296"/>
      <c r="GN55" s="296"/>
      <c r="GO55" s="296"/>
      <c r="GP55" s="296"/>
      <c r="GQ55" s="296"/>
      <c r="GR55" s="296"/>
      <c r="GS55" s="296"/>
      <c r="GT55" s="296"/>
      <c r="GU55" s="296"/>
      <c r="GV55" s="296"/>
      <c r="GW55" s="296"/>
      <c r="GX55" s="296"/>
      <c r="GY55" s="296"/>
      <c r="GZ55" s="296"/>
      <c r="HA55" s="296"/>
      <c r="HB55" s="296"/>
      <c r="HC55" s="296"/>
      <c r="HD55" s="296"/>
      <c r="HE55" s="296"/>
      <c r="HF55" s="296"/>
      <c r="HG55" s="296"/>
      <c r="HH55" s="296"/>
      <c r="HI55" s="296"/>
      <c r="HJ55" s="296"/>
      <c r="HK55" s="296"/>
      <c r="HL55" s="296"/>
      <c r="HM55" s="296"/>
      <c r="HN55" s="296"/>
      <c r="HO55" s="296"/>
      <c r="HP55" s="296"/>
      <c r="HQ55" s="296"/>
      <c r="HR55" s="296"/>
      <c r="HS55" s="296"/>
      <c r="HT55" s="296"/>
      <c r="HU55" s="296"/>
      <c r="HV55" s="296"/>
      <c r="HW55" s="296"/>
      <c r="HX55" s="296"/>
      <c r="HY55" s="296"/>
      <c r="HZ55" s="296"/>
      <c r="IA55" s="296"/>
      <c r="IB55" s="296"/>
      <c r="IC55" s="296"/>
      <c r="ID55" s="296"/>
      <c r="IE55" s="296"/>
      <c r="IF55" s="296"/>
      <c r="IG55" s="296"/>
      <c r="IH55" s="296"/>
      <c r="II55" s="296"/>
      <c r="IJ55" s="296"/>
      <c r="IK55" s="296"/>
      <c r="IL55" s="296"/>
      <c r="IM55" s="296"/>
      <c r="IN55" s="296"/>
      <c r="IO55" s="296"/>
      <c r="IP55" s="296"/>
      <c r="IQ55" s="296"/>
      <c r="IR55" s="296"/>
      <c r="IS55" s="296"/>
      <c r="IT55" s="296"/>
      <c r="IU55" s="296"/>
      <c r="IV55" s="296"/>
      <c r="IW55" s="296"/>
    </row>
    <row r="56" customFormat="false" ht="12.75" hidden="false" customHeight="false" outlineLevel="0" collapsed="false">
      <c r="A56" s="372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389"/>
      <c r="AP56" s="14"/>
      <c r="AQ56" s="14"/>
      <c r="AR56" s="14"/>
      <c r="AS56" s="398"/>
      <c r="AT56" s="398"/>
      <c r="AU56" s="398"/>
      <c r="AV56" s="398"/>
      <c r="AW56" s="398"/>
      <c r="AX56" s="398"/>
      <c r="AY56" s="398"/>
      <c r="AZ56" s="398"/>
      <c r="BA56" s="398"/>
      <c r="BB56" s="398"/>
      <c r="BC56" s="398"/>
      <c r="BD56" s="398"/>
      <c r="BE56" s="398"/>
      <c r="BF56" s="398"/>
      <c r="BG56" s="398"/>
      <c r="BH56" s="398"/>
      <c r="BI56" s="398"/>
      <c r="BJ56" s="398"/>
      <c r="BK56" s="398"/>
      <c r="BL56" s="398"/>
      <c r="BM56" s="398"/>
      <c r="BN56" s="398"/>
      <c r="BO56" s="398"/>
      <c r="BP56" s="398"/>
      <c r="BQ56" s="398"/>
      <c r="BR56" s="398"/>
      <c r="BS56" s="398"/>
      <c r="BT56" s="398"/>
      <c r="BU56" s="398"/>
      <c r="BV56" s="398"/>
      <c r="BW56" s="398"/>
      <c r="BX56" s="398"/>
      <c r="BY56" s="398"/>
      <c r="BZ56" s="398"/>
      <c r="CA56" s="398"/>
      <c r="CB56" s="398"/>
    </row>
    <row r="57" customFormat="false" ht="12.75" hidden="false" customHeight="false" outlineLevel="0" collapsed="false">
      <c r="A57" s="639" t="s">
        <v>261</v>
      </c>
      <c r="B57" s="640" t="n">
        <f aca="false">+cfee1</f>
        <v>0.005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389"/>
      <c r="AP57" s="14"/>
      <c r="AQ57" s="14"/>
      <c r="AR57" s="14"/>
      <c r="AS57" s="398"/>
      <c r="AT57" s="398"/>
      <c r="AU57" s="398"/>
      <c r="AV57" s="398"/>
      <c r="AW57" s="398"/>
      <c r="AX57" s="398"/>
      <c r="AY57" s="398"/>
      <c r="AZ57" s="398"/>
      <c r="BA57" s="398"/>
      <c r="BB57" s="398"/>
      <c r="BC57" s="398"/>
      <c r="BD57" s="398"/>
      <c r="BE57" s="398"/>
      <c r="BF57" s="398"/>
      <c r="BG57" s="398"/>
      <c r="BH57" s="398"/>
      <c r="BI57" s="398"/>
      <c r="BJ57" s="398"/>
      <c r="BK57" s="398"/>
      <c r="BL57" s="398"/>
      <c r="BM57" s="398"/>
      <c r="BN57" s="398"/>
      <c r="BO57" s="398"/>
      <c r="BP57" s="398"/>
      <c r="BQ57" s="398"/>
      <c r="BR57" s="398"/>
      <c r="BS57" s="398"/>
      <c r="BT57" s="398"/>
      <c r="BU57" s="398"/>
      <c r="BV57" s="398"/>
      <c r="BW57" s="398"/>
      <c r="BX57" s="398"/>
      <c r="BY57" s="398"/>
      <c r="BZ57" s="398"/>
      <c r="CA57" s="398"/>
      <c r="CB57" s="398"/>
    </row>
    <row r="58" customFormat="false" ht="12.75" hidden="false" customHeight="false" outlineLevel="0" collapsed="false">
      <c r="A58" s="639" t="s">
        <v>262</v>
      </c>
      <c r="B58" s="640" t="n">
        <f aca="false">cfee2</f>
        <v>0.005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389"/>
      <c r="AP58" s="14"/>
      <c r="AQ58" s="14"/>
      <c r="AR58" s="14"/>
      <c r="AS58" s="398"/>
      <c r="AT58" s="398"/>
      <c r="AU58" s="398"/>
      <c r="AV58" s="398"/>
      <c r="AW58" s="398"/>
      <c r="AX58" s="398"/>
      <c r="AY58" s="398"/>
      <c r="AZ58" s="398"/>
      <c r="BA58" s="398"/>
      <c r="BB58" s="398"/>
      <c r="BC58" s="398"/>
      <c r="BD58" s="398"/>
      <c r="BE58" s="398"/>
      <c r="BF58" s="398"/>
      <c r="BG58" s="398"/>
      <c r="BH58" s="398"/>
      <c r="BI58" s="398"/>
      <c r="BJ58" s="398"/>
      <c r="BK58" s="398"/>
      <c r="BL58" s="398"/>
      <c r="BM58" s="398"/>
      <c r="BN58" s="398"/>
      <c r="BO58" s="398"/>
      <c r="BP58" s="398"/>
      <c r="BQ58" s="398"/>
      <c r="BR58" s="398"/>
      <c r="BS58" s="398"/>
      <c r="BT58" s="398"/>
      <c r="BU58" s="398"/>
      <c r="BV58" s="398"/>
      <c r="BW58" s="398"/>
      <c r="BX58" s="398"/>
      <c r="BY58" s="398"/>
      <c r="BZ58" s="398"/>
      <c r="CA58" s="398"/>
      <c r="CB58" s="398"/>
    </row>
    <row r="59" customFormat="false" ht="12.75" hidden="false" customHeight="false" outlineLevel="0" collapsed="false">
      <c r="A59" s="641" t="s">
        <v>263</v>
      </c>
      <c r="B59" s="642" t="n">
        <f aca="false">cfee3</f>
        <v>0.005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389"/>
      <c r="AP59" s="14"/>
      <c r="AQ59" s="14"/>
      <c r="AR59" s="14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398"/>
    </row>
    <row r="60" customFormat="false" ht="12.75" hidden="false" customHeight="false" outlineLevel="0" collapsed="false">
      <c r="A60" s="639" t="s">
        <v>264</v>
      </c>
      <c r="B60" s="640"/>
      <c r="C60" s="643" t="n">
        <f aca="false">IF(SUM(C$32,C$36,C$40)=0,0,($B$57*C$32+$B$58*C$36+$B$59*C$40)/SUM(C$32,C$36,C$40))</f>
        <v>0.005</v>
      </c>
      <c r="D60" s="643" t="n">
        <f aca="false">IF(SUM(D$32,D$36,D$40)=0,0,($B$57*D$32+$B$58*D$36+$B$59*D$40)/SUM(D$32,D$36,D$40))</f>
        <v>0.005</v>
      </c>
      <c r="E60" s="643" t="n">
        <f aca="false">IF(SUM(E$32,E$36,E$40)=0,0,($B$57*E$32+$B$58*E$36+$B$59*E$40)/SUM(E$32,E$36,E$40))</f>
        <v>0.005</v>
      </c>
      <c r="F60" s="643" t="n">
        <f aca="false">IF(SUM(F$32,F$36,F$40)=0,0,($B$57*F$32+$B$58*F$36+$B$59*F$40)/SUM(F$32,F$36,F$40))</f>
        <v>0.005</v>
      </c>
      <c r="G60" s="643" t="n">
        <f aca="false">IF(SUM(G$32,G$36,G$40)=0,0,($B$57*G$32+$B$58*G$36+$B$59*G$40)/SUM(G$32,G$36,G$40))</f>
        <v>0.005</v>
      </c>
      <c r="H60" s="643" t="n">
        <f aca="false">IF(SUM(H$32,H$36,H$40)=0,0,($B$57*H$32+$B$58*H$36+$B$59*H$40)/SUM(H$32,H$36,H$40))</f>
        <v>0.005</v>
      </c>
      <c r="I60" s="643" t="n">
        <f aca="false">IF(SUM(I$32,I$36,I$40)=0,0,($B$57*I$32+$B$58*I$36+$B$59*I$40)/SUM(I$32,I$36,I$40))</f>
        <v>0.005</v>
      </c>
      <c r="J60" s="643" t="n">
        <f aca="false">IF(SUM(J$32,J$36,J$40)=0,0,($B$57*J$32+$B$58*J$36+$B$59*J$40)/SUM(J$32,J$36,J$40))</f>
        <v>0.005</v>
      </c>
      <c r="K60" s="643" t="n">
        <f aca="false">IF(SUM(K$32,K$36,K$40)=0,0,($B$57*K$32+$B$58*K$36+$B$59*K$40)/SUM(K$32,K$36,K$40))</f>
        <v>0.005</v>
      </c>
      <c r="L60" s="643" t="n">
        <f aca="false">IF(SUM(L$32,L$36,L$40)=0,0,($B$57*L$32+$B$58*L$36+$B$59*L$40)/SUM(L$32,L$36,L$40))</f>
        <v>0.005</v>
      </c>
      <c r="M60" s="643" t="n">
        <f aca="false">IF(SUM(M$32,M$36,M$40)=0,0,($B$57*M$32+$B$58*M$36+$B$59*M$40)/SUM(M$32,M$36,M$40))</f>
        <v>0.005</v>
      </c>
      <c r="N60" s="643" t="n">
        <f aca="false">IF(SUM(N$32,N$36,N$40)=0,0,($B$57*N$32+$B$58*N$36+$B$59*N$40)/SUM(N$32,N$36,N$40))</f>
        <v>0.005</v>
      </c>
      <c r="O60" s="643" t="n">
        <f aca="false">IF(SUM(O$32,O$36,O$40)=0,0,($B$57*O$32+$B$58*O$36+$B$59*O$40)/SUM(O$32,O$36,O$40))</f>
        <v>0.005</v>
      </c>
      <c r="P60" s="643" t="n">
        <f aca="false">IF(SUM(P$32,P$36,P$40)=0,0,($B$57*P$32+$B$58*P$36+$B$59*P$40)/SUM(P$32,P$36,P$40))</f>
        <v>0.005</v>
      </c>
      <c r="Q60" s="643" t="n">
        <f aca="false">IF(SUM(Q$32,Q$36,Q$40)=0,0,($B$57*Q$32+$B$58*Q$36+$B$59*Q$40)/SUM(Q$32,Q$36,Q$40))</f>
        <v>0.005</v>
      </c>
      <c r="R60" s="643" t="n">
        <f aca="false">IF(SUM(R$32,R$36,R$40)=0,0,($B$57*R$32+$B$58*R$36+$B$59*R$40)/SUM(R$32,R$36,R$40))</f>
        <v>0.005</v>
      </c>
      <c r="S60" s="643" t="n">
        <f aca="false">IF(SUM(S$32,S$36,S$40)=0,0,($B$57*S$32+$B$58*S$36+$B$59*S$40)/SUM(S$32,S$36,S$40))</f>
        <v>0.005</v>
      </c>
      <c r="T60" s="643" t="n">
        <f aca="false">IF(SUM(T$32,T$36,T$40)=0,0,($B$57*T$32+$B$58*T$36+$B$59*T$40)/SUM(T$32,T$36,T$40))</f>
        <v>0.005</v>
      </c>
      <c r="U60" s="643" t="n">
        <f aca="false">IF(SUM(U$32,U$36,U$40)=0,0,($B$57*U$32+$B$58*U$36+$B$59*U$40)/SUM(U$32,U$36,U$40))</f>
        <v>0.005</v>
      </c>
      <c r="V60" s="643" t="n">
        <f aca="false">IF(SUM(V$32,V$36,V$40)=0,0,($B$57*V$32+$B$58*V$36+$B$59*V$40)/SUM(V$32,V$36,V$40))</f>
        <v>0.005</v>
      </c>
      <c r="W60" s="643" t="n">
        <f aca="false">IF(SUM(W$32,W$36,W$40)=0,0,($B$57*W$32+$B$58*W$36+$B$59*W$40)/SUM(W$32,W$36,W$40))</f>
        <v>0.005</v>
      </c>
      <c r="X60" s="643" t="n">
        <f aca="false">IF(SUM(X$32,X$36,X$40)=0,0,($B$57*X$32+$B$58*X$36+$B$59*X$40)/SUM(X$32,X$36,X$40))</f>
        <v>0.005</v>
      </c>
      <c r="Y60" s="643" t="n">
        <f aca="false">IF(SUM(Y$32,Y$36,Y$40)=0,0,($B$57*Y$32+$B$58*Y$36+$B$59*Y$40)/SUM(Y$32,Y$36,Y$40))</f>
        <v>0.005</v>
      </c>
      <c r="Z60" s="643" t="n">
        <f aca="false">IF(SUM(Z$32,Z$36,Z$40)=0,0,($B$57*Z$32+$B$58*Z$36+$B$59*Z$40)/SUM(Z$32,Z$36,Z$40))</f>
        <v>0.005</v>
      </c>
      <c r="AA60" s="643" t="n">
        <f aca="false">IF(SUM(AA$32,AA$36,AA$40)=0,0,($B$57*AA$32+$B$58*AA$36+$B$59*AA$40)/SUM(AA$32,AA$36,AA$40))</f>
        <v>0.005</v>
      </c>
      <c r="AB60" s="643" t="n">
        <f aca="false">IF(SUM(AB$32,AB$36,AB$40)=0,0,($B$57*AB$32+$B$58*AB$36+$B$59*AB$40)/SUM(AB$32,AB$36,AB$40))</f>
        <v>0.005</v>
      </c>
      <c r="AC60" s="643" t="n">
        <f aca="false">IF(SUM(AC$32,AC$36,AC$40)=0,0,($B$57*AC$32+$B$58*AC$36+$B$59*AC$40)/SUM(AC$32,AC$36,AC$40))</f>
        <v>0.005</v>
      </c>
      <c r="AD60" s="643" t="n">
        <f aca="false">IF(SUM(AD$32,AD$36,AD$40)=0,0,($B$57*AD$32+$B$58*AD$36+$B$59*AD$40)/SUM(AD$32,AD$36,AD$40))</f>
        <v>0.005</v>
      </c>
      <c r="AE60" s="643" t="n">
        <f aca="false">IF(SUM(AE$32,AE$36,AE$40)=0,0,($B$57*AE$32+$B$58*AE$36+$B$59*AE$40)/SUM(AE$32,AE$36,AE$40))</f>
        <v>0.005</v>
      </c>
      <c r="AF60" s="643" t="n">
        <f aca="false">IF(SUM(AF$32,AF$36,AF$40)=0,0,($B$57*AF$32+$B$58*AF$36+$B$59*AF$40)/SUM(AF$32,AF$36,AF$40))</f>
        <v>0.005</v>
      </c>
      <c r="AG60" s="643" t="n">
        <f aca="false">IF(SUM(AG$32,AG$36,AG$40)=0,0,($B$57*AG$32+$B$58*AG$36+$B$59*AG$40)/SUM(AG$32,AG$36,AG$40))</f>
        <v>0.005</v>
      </c>
      <c r="AH60" s="643" t="n">
        <f aca="false">IF(SUM(AH$32,AH$36,AH$40)=0,0,($B$57*AH$32+$B$58*AH$36+$B$59*AH$40)/SUM(AH$32,AH$36,AH$40))</f>
        <v>0.005</v>
      </c>
      <c r="AI60" s="643" t="n">
        <f aca="false">IF(SUM(AI$32,AI$36,AI$40)=0,0,($B$57*AI$32+$B$58*AI$36+$B$59*AI$40)/SUM(AI$32,AI$36,AI$40))</f>
        <v>0.005</v>
      </c>
      <c r="AJ60" s="643" t="n">
        <f aca="false">IF(SUM(AJ$32,AJ$36,AJ$40)=0,0,($B$57*AJ$32+$B$58*AJ$36+$B$59*AJ$40)/SUM(AJ$32,AJ$36,AJ$40))</f>
        <v>0.005</v>
      </c>
      <c r="AK60" s="643" t="n">
        <f aca="false">IF(SUM(AK$32,AK$36,AK$40)=0,0,($B$57*AK$32+$B$58*AK$36+$B$59*AK$40)/SUM(AK$32,AK$36,AK$40))</f>
        <v>0.005</v>
      </c>
      <c r="AL60" s="643" t="n">
        <f aca="false">IF(SUM(AL$32,AL$36,AL$40)=0,0,($B$57*AL$32+$B$58*AL$36+$B$59*AL$40)/SUM(AL$32,AL$36,AL$40))</f>
        <v>0.005</v>
      </c>
      <c r="AM60" s="389"/>
      <c r="AP60" s="14"/>
      <c r="AQ60" s="14"/>
      <c r="AR60" s="14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398"/>
    </row>
    <row r="61" customFormat="false" ht="12.75" hidden="false" customHeight="false" outlineLevel="0" collapsed="false">
      <c r="A61" s="372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389"/>
    </row>
    <row r="62" customFormat="false" ht="12.75" hidden="false" customHeight="false" outlineLevel="0" collapsed="false">
      <c r="A62" s="477" t="s">
        <v>265</v>
      </c>
      <c r="B62" s="107"/>
      <c r="C62" s="644" t="n">
        <v>0</v>
      </c>
      <c r="D62" s="107" t="n">
        <f aca="false">+C65</f>
        <v>124356.801536392</v>
      </c>
      <c r="E62" s="107" t="n">
        <f aca="false">+D65</f>
        <v>121158.005237037</v>
      </c>
      <c r="F62" s="107" t="n">
        <f aca="false">+E65</f>
        <v>117940.141496266</v>
      </c>
      <c r="G62" s="107" t="n">
        <f aca="false">+F65</f>
        <v>114703.059363503</v>
      </c>
      <c r="H62" s="107" t="n">
        <f aca="false">+G65</f>
        <v>111446.606693142</v>
      </c>
      <c r="I62" s="107" t="n">
        <f aca="false">+H65</f>
        <v>108170.630135097</v>
      </c>
      <c r="J62" s="107" t="n">
        <f aca="false">+I65</f>
        <v>104874.975125255</v>
      </c>
      <c r="K62" s="107" t="n">
        <f aca="false">+J65</f>
        <v>101559.485875873</v>
      </c>
      <c r="L62" s="107" t="n">
        <f aca="false">+K65</f>
        <v>98224.0053658876</v>
      </c>
      <c r="M62" s="107" t="n">
        <f aca="false">+L65</f>
        <v>94868.3753311534</v>
      </c>
      <c r="N62" s="107" t="n">
        <f aca="false">+M65</f>
        <v>91492.4362545988</v>
      </c>
      <c r="O62" s="107" t="n">
        <f aca="false">+N65</f>
        <v>88096.0273563096</v>
      </c>
      <c r="P62" s="107" t="n">
        <f aca="false">+O65</f>
        <v>84678.9865835304</v>
      </c>
      <c r="Q62" s="107" t="n">
        <f aca="false">+P65</f>
        <v>81241.150600588</v>
      </c>
      <c r="R62" s="107" t="n">
        <f aca="false">+Q65</f>
        <v>77782.3547787354</v>
      </c>
      <c r="S62" s="107" t="n">
        <f aca="false">+R65</f>
        <v>74302.4331859144</v>
      </c>
      <c r="T62" s="107" t="n">
        <f aca="false">+S65</f>
        <v>70801.2185764384</v>
      </c>
      <c r="U62" s="107" t="n">
        <f aca="false">+T65</f>
        <v>67278.5423805921</v>
      </c>
      <c r="V62" s="107" t="n">
        <f aca="false">+U65</f>
        <v>63734.23469415</v>
      </c>
      <c r="W62" s="107" t="n">
        <f aca="false">+V65</f>
        <v>60168.1242678117</v>
      </c>
      <c r="X62" s="107" t="n">
        <f aca="false">+W65</f>
        <v>56580.0384965529</v>
      </c>
      <c r="Y62" s="107" t="n">
        <f aca="false">+X65</f>
        <v>52969.803408893</v>
      </c>
      <c r="Z62" s="107" t="n">
        <f aca="false">+Y65</f>
        <v>49337.2436560772</v>
      </c>
      <c r="AA62" s="107" t="n">
        <f aca="false">+Z65</f>
        <v>45682.182501173</v>
      </c>
      <c r="AB62" s="107" t="n">
        <f aca="false">+AA65</f>
        <v>42004.4418080805</v>
      </c>
      <c r="AC62" s="107" t="n">
        <f aca="false">+AB65</f>
        <v>38303.8420304557</v>
      </c>
      <c r="AD62" s="107" t="n">
        <f aca="false">+AC65</f>
        <v>34580.2022005462</v>
      </c>
      <c r="AE62" s="107" t="n">
        <f aca="false">+AD65</f>
        <v>30833.3399179379</v>
      </c>
      <c r="AF62" s="107" t="n">
        <f aca="false">+AE65</f>
        <v>27063.0713382136</v>
      </c>
      <c r="AG62" s="107" t="n">
        <f aca="false">+AF65</f>
        <v>23269.2111615213</v>
      </c>
      <c r="AH62" s="107" t="n">
        <f aca="false">+AG65</f>
        <v>19451.5726210515</v>
      </c>
      <c r="AI62" s="107" t="n">
        <f aca="false">+AH65</f>
        <v>15609.9674714244</v>
      </c>
      <c r="AJ62" s="107" t="n">
        <f aca="false">+AI65</f>
        <v>11744.2059769842</v>
      </c>
      <c r="AK62" s="107" t="n">
        <f aca="false">+AJ65</f>
        <v>7854.09690000097</v>
      </c>
      <c r="AL62" s="107" t="n">
        <f aca="false">+AK65</f>
        <v>3939.4474887797</v>
      </c>
      <c r="AM62" s="478" t="n">
        <f aca="false">SUM(C62:AL62)</f>
        <v>2316100.26181597</v>
      </c>
      <c r="AN62" s="107"/>
      <c r="AO62" s="107"/>
      <c r="AP62" s="111"/>
      <c r="AQ62" s="107"/>
      <c r="AR62" s="107"/>
      <c r="AS62" s="107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0"/>
      <c r="BR62" s="180"/>
      <c r="BS62" s="180"/>
      <c r="BT62" s="180"/>
      <c r="BU62" s="180"/>
      <c r="BV62" s="180"/>
      <c r="BW62" s="180"/>
      <c r="BX62" s="180"/>
      <c r="BY62" s="180"/>
      <c r="BZ62" s="180"/>
      <c r="CA62" s="180"/>
      <c r="CB62" s="180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  <c r="GK62" s="107"/>
      <c r="GL62" s="107"/>
      <c r="GM62" s="107"/>
      <c r="GN62" s="107"/>
      <c r="GO62" s="107"/>
      <c r="GP62" s="107"/>
      <c r="GQ62" s="107"/>
      <c r="GR62" s="107"/>
      <c r="GS62" s="107"/>
      <c r="GT62" s="107"/>
      <c r="GU62" s="107"/>
      <c r="GV62" s="107"/>
      <c r="GW62" s="107"/>
      <c r="GX62" s="107"/>
      <c r="GY62" s="107"/>
      <c r="GZ62" s="107"/>
      <c r="HA62" s="107"/>
      <c r="HB62" s="107"/>
      <c r="HC62" s="107"/>
      <c r="HD62" s="107"/>
      <c r="HE62" s="107"/>
      <c r="HF62" s="107"/>
      <c r="HG62" s="107"/>
      <c r="HH62" s="107"/>
      <c r="HI62" s="107"/>
      <c r="HJ62" s="107"/>
      <c r="HK62" s="107"/>
      <c r="HL62" s="107"/>
      <c r="HM62" s="107"/>
      <c r="HN62" s="107"/>
      <c r="HO62" s="107"/>
      <c r="HP62" s="107"/>
      <c r="HQ62" s="107"/>
      <c r="HR62" s="107"/>
      <c r="HS62" s="107"/>
      <c r="HT62" s="107"/>
      <c r="HU62" s="107"/>
      <c r="HV62" s="107"/>
      <c r="HW62" s="107"/>
      <c r="HX62" s="107"/>
      <c r="HY62" s="107"/>
      <c r="HZ62" s="107"/>
      <c r="IA62" s="107"/>
      <c r="IB62" s="107"/>
      <c r="IC62" s="107"/>
      <c r="ID62" s="107"/>
      <c r="IE62" s="107"/>
      <c r="IF62" s="107"/>
      <c r="IG62" s="107"/>
      <c r="IH62" s="107"/>
      <c r="II62" s="107"/>
      <c r="IJ62" s="107"/>
      <c r="IK62" s="107"/>
      <c r="IL62" s="107"/>
      <c r="IM62" s="107"/>
      <c r="IN62" s="107"/>
      <c r="IO62" s="107"/>
      <c r="IP62" s="107"/>
      <c r="IQ62" s="107"/>
      <c r="IR62" s="107"/>
      <c r="IS62" s="107"/>
      <c r="IT62" s="107"/>
      <c r="IU62" s="107"/>
      <c r="IV62" s="107"/>
      <c r="IW62" s="107"/>
    </row>
    <row r="63" customFormat="false" ht="12.75" hidden="false" customHeight="false" outlineLevel="0" collapsed="false">
      <c r="A63" s="477" t="s">
        <v>266</v>
      </c>
      <c r="B63" s="107"/>
      <c r="C63" s="107" t="n">
        <f aca="false">IF(C54=pdmon,Assumpt!$S$6,0)</f>
        <v>127536.680159271</v>
      </c>
      <c r="D63" s="107" t="n">
        <f aca="false">IF(D54=pdmon,Assumpt!$S$6,0)</f>
        <v>0</v>
      </c>
      <c r="E63" s="107" t="n">
        <f aca="false">IF(E54=pdmon,Assumpt!$S$6,0)</f>
        <v>0</v>
      </c>
      <c r="F63" s="107" t="n">
        <f aca="false">IF(F54=pdmon,Assumpt!$S$6,0)</f>
        <v>0</v>
      </c>
      <c r="G63" s="107" t="n">
        <f aca="false">IF(G54=pdmon,Assumpt!$S$6,0)</f>
        <v>0</v>
      </c>
      <c r="H63" s="107" t="n">
        <f aca="false">IF(H54=pdmon,Assumpt!$S$6,0)</f>
        <v>0</v>
      </c>
      <c r="I63" s="107" t="n">
        <f aca="false">IF(I54=pdmon,Assumpt!$S$6,0)</f>
        <v>0</v>
      </c>
      <c r="J63" s="107" t="n">
        <f aca="false">IF(J54=pdmon,Assumpt!$S$6,0)</f>
        <v>0</v>
      </c>
      <c r="K63" s="107" t="n">
        <f aca="false">IF(K54=pdmon,Assumpt!$S$6,0)</f>
        <v>0</v>
      </c>
      <c r="L63" s="107" t="n">
        <f aca="false">IF(L54=pdmon,Assumpt!$S$6,0)</f>
        <v>0</v>
      </c>
      <c r="M63" s="107" t="n">
        <f aca="false">IF(M54=pdmon,Assumpt!$S$6,0)</f>
        <v>0</v>
      </c>
      <c r="N63" s="107" t="n">
        <f aca="false">IF(N54=pdmon,Assumpt!$S$6,0)</f>
        <v>0</v>
      </c>
      <c r="O63" s="107" t="n">
        <f aca="false">IF(O54=pdmon,Assumpt!$S$6,0)</f>
        <v>0</v>
      </c>
      <c r="P63" s="107" t="n">
        <f aca="false">IF(P54=pdmon,Assumpt!$S$6,0)</f>
        <v>0</v>
      </c>
      <c r="Q63" s="107" t="n">
        <f aca="false">IF(Q54=pdmon,Assumpt!$S$6,0)</f>
        <v>0</v>
      </c>
      <c r="R63" s="107" t="n">
        <f aca="false">IF(R54=pdmon,Assumpt!$S$6,0)</f>
        <v>0</v>
      </c>
      <c r="S63" s="107" t="n">
        <f aca="false">IF(S54=pdmon,Assumpt!$S$6,0)</f>
        <v>0</v>
      </c>
      <c r="T63" s="107" t="n">
        <f aca="false">IF(T54=pdmon,Assumpt!$S$6,0)</f>
        <v>0</v>
      </c>
      <c r="U63" s="107" t="n">
        <f aca="false">IF(U54=pdmon,Assumpt!$S$6,0)</f>
        <v>0</v>
      </c>
      <c r="V63" s="107" t="n">
        <f aca="false">IF(V54=pdmon,Assumpt!$S$6,0)</f>
        <v>0</v>
      </c>
      <c r="W63" s="107" t="n">
        <f aca="false">IF(W54=pdmon,Assumpt!$S$6,0)</f>
        <v>0</v>
      </c>
      <c r="X63" s="107" t="n">
        <f aca="false">IF(X54=pdmon,Assumpt!$S$6,0)</f>
        <v>0</v>
      </c>
      <c r="Y63" s="107" t="n">
        <f aca="false">IF(Y54=pdmon,Assumpt!$S$6,0)</f>
        <v>0</v>
      </c>
      <c r="Z63" s="107" t="n">
        <f aca="false">IF(Z54=pdmon,Assumpt!$S$6,0)</f>
        <v>0</v>
      </c>
      <c r="AA63" s="107" t="n">
        <f aca="false">IF(AA54=pdmon,Assumpt!$S$6,0)</f>
        <v>0</v>
      </c>
      <c r="AB63" s="107" t="n">
        <f aca="false">IF(AB54=pdmon,Assumpt!$S$6,0)</f>
        <v>0</v>
      </c>
      <c r="AC63" s="107" t="n">
        <f aca="false">IF(AC54=pdmon,Assumpt!$S$6,0)</f>
        <v>0</v>
      </c>
      <c r="AD63" s="107" t="n">
        <f aca="false">IF(AD54=pdmon,Assumpt!$S$6,0)</f>
        <v>0</v>
      </c>
      <c r="AE63" s="107" t="n">
        <f aca="false">IF(AE54=pdmon,Assumpt!$S$6,0)</f>
        <v>0</v>
      </c>
      <c r="AF63" s="107" t="n">
        <f aca="false">IF(AF54=pdmon,Assumpt!$S$6,0)</f>
        <v>0</v>
      </c>
      <c r="AG63" s="107" t="n">
        <f aca="false">IF(AG54=pdmon,Assumpt!$S$6,0)</f>
        <v>0</v>
      </c>
      <c r="AH63" s="107" t="n">
        <f aca="false">IF(AH54=pdmon,Assumpt!$S$6,0)</f>
        <v>0</v>
      </c>
      <c r="AI63" s="107" t="n">
        <f aca="false">IF(AI54=pdmon,Assumpt!$S$6,0)</f>
        <v>0</v>
      </c>
      <c r="AJ63" s="107" t="n">
        <f aca="false">IF(AJ54=pdmon,Assumpt!$S$6,0)</f>
        <v>0</v>
      </c>
      <c r="AK63" s="107" t="n">
        <f aca="false">IF(AK54=pdmon,Assumpt!$S$6,0)</f>
        <v>0</v>
      </c>
      <c r="AL63" s="107" t="n">
        <f aca="false">IF(AL54=pdmon,Assumpt!$S$6,0)</f>
        <v>0</v>
      </c>
      <c r="AM63" s="478" t="n">
        <f aca="false">SUM(C63:AL63)</f>
        <v>127536.680159271</v>
      </c>
      <c r="AN63" s="107"/>
      <c r="AO63" s="107"/>
      <c r="AP63" s="107"/>
      <c r="AQ63" s="107"/>
      <c r="AR63" s="107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</row>
    <row r="64" customFormat="false" ht="12.75" hidden="false" customHeight="false" outlineLevel="0" collapsed="false">
      <c r="A64" s="477" t="s">
        <v>267</v>
      </c>
      <c r="B64" s="131"/>
      <c r="C64" s="131" t="n">
        <f aca="false">IF(C54&lt;pdmon,0,IF(C54=pdmon,-C28-C32-C36-C40-(SUM($C$43:C43)*debtamt),-C27-C31-C35-C39-(C43*debtamt)))</f>
        <v>-3179.87862287909</v>
      </c>
      <c r="D64" s="131" t="n">
        <f aca="false">IF(D54&lt;pdmon,0,IF(D54=pdmon,-D28-D32-D36-D40-(SUM($C$43:D43)*debtamt),-D27-D31-D35-D39-(D43*debtamt)))</f>
        <v>-3198.7962993555</v>
      </c>
      <c r="E64" s="131" t="n">
        <f aca="false">IF(E54&lt;pdmon,0,IF(E54=pdmon,-E28-E32-E36-E40-(SUM($C$43:E43)*debtamt),-E27-E31-E35-E39-(E43*debtamt)))</f>
        <v>-3217.86374077068</v>
      </c>
      <c r="F64" s="131" t="n">
        <f aca="false">IF(F54&lt;pdmon,0,IF(F54=pdmon,-F28-F32-F36-F40-(SUM($C$43:F43)*debtamt),-F27-F31-F35-F39-(F43*debtamt)))</f>
        <v>-3237.08213276373</v>
      </c>
      <c r="G64" s="131" t="n">
        <f aca="false">IF(G54&lt;pdmon,0,IF(G54=pdmon,-G28-G32-G36-G40-(SUM($C$43:G43)*debtamt),-G27-G31-G35-G39-(G43*debtamt)))</f>
        <v>-3256.45267036006</v>
      </c>
      <c r="H64" s="131" t="n">
        <f aca="false">IF(H54&lt;pdmon,0,IF(H54=pdmon,-H28-H32-H36-H40-(SUM($C$43:H43)*debtamt),-H27-H31-H35-H39-(H43*debtamt)))</f>
        <v>-3275.97655804569</v>
      </c>
      <c r="I64" s="131" t="n">
        <f aca="false">IF(I54&lt;pdmon,0,IF(I54=pdmon,-I28-I32-I36-I40-(SUM($C$43:I43)*debtamt),-I27-I31-I35-I39-(I43*debtamt)))</f>
        <v>-3295.65500984217</v>
      </c>
      <c r="J64" s="131" t="n">
        <f aca="false">IF(J54&lt;pdmon,0,IF(J54=pdmon,-J28-J32-J36-J40-(SUM($C$43:J43)*debtamt),-J27-J31-J35-J39-(J43*debtamt)))</f>
        <v>-3315.48924938204</v>
      </c>
      <c r="K64" s="131" t="n">
        <f aca="false">IF(K54&lt;pdmon,0,IF(K54=pdmon,-K28-K32-K36-K40-(SUM($C$43:K43)*debtamt),-K27-K31-K35-K39-(K43*debtamt)))</f>
        <v>-3335.48050998493</v>
      </c>
      <c r="L64" s="131" t="n">
        <f aca="false">IF(L54&lt;pdmon,0,IF(L54=pdmon,-L28-L32-L36-L40-(SUM($C$43:L43)*debtamt),-L27-L31-L35-L39-(L43*debtamt)))</f>
        <v>-3355.63003473426</v>
      </c>
      <c r="M64" s="131" t="n">
        <f aca="false">IF(M54&lt;pdmon,0,IF(M54=pdmon,-M28-M32-M36-M40-(SUM($C$43:M43)*debtamt),-M27-M31-M35-M39-(M43*debtamt)))</f>
        <v>-3375.93907655452</v>
      </c>
      <c r="N64" s="131" t="n">
        <f aca="false">IF(N54&lt;pdmon,0,IF(N54=pdmon,-N28-N32-N36-N40-(SUM($C$43:N43)*debtamt),-N27-N31-N35-N39-(N43*debtamt)))</f>
        <v>-3396.40889828919</v>
      </c>
      <c r="O64" s="131" t="n">
        <f aca="false">IF(O54&lt;pdmon,0,IF(O54=pdmon,-O28-O32-O36-O40-(SUM($C$43:O43)*debtamt),-O27-O31-O35-O39-(O43*debtamt)))</f>
        <v>-3417.04077277926</v>
      </c>
      <c r="P64" s="131" t="n">
        <f aca="false">IF(P54&lt;pdmon,0,IF(P54=pdmon,-P28-P32-P36-P40-(SUM($C$43:P43)*debtamt),-P27-P31-P35-P39-(P43*debtamt)))</f>
        <v>-3437.83598294238</v>
      </c>
      <c r="Q64" s="131" t="n">
        <f aca="false">IF(Q54&lt;pdmon,0,IF(Q54=pdmon,-Q28-Q32-Q36-Q40-(SUM($C$43:Q43)*debtamt),-Q27-Q31-Q35-Q39-(Q43*debtamt)))</f>
        <v>-3458.79582185263</v>
      </c>
      <c r="R64" s="131" t="n">
        <f aca="false">IF(R54&lt;pdmon,0,IF(R54=pdmon,-R28-R32-R36-R40-(SUM($C$43:R43)*debtamt),-R27-R31-R35-R39-(R43*debtamt)))</f>
        <v>-3479.92159282091</v>
      </c>
      <c r="S64" s="131" t="n">
        <f aca="false">IF(S54&lt;pdmon,0,IF(S54=pdmon,-S28-S32-S36-S40-(SUM($C$43:S43)*debtamt),-S27-S31-S35-S39-(S43*debtamt)))</f>
        <v>-3501.21460947602</v>
      </c>
      <c r="T64" s="131" t="n">
        <f aca="false">IF(T54&lt;pdmon,0,IF(T54=pdmon,-T28-T32-T36-T40-(SUM($C$43:T43)*debtamt),-T27-T31-T35-T39-(T43*debtamt)))</f>
        <v>-3522.67619584633</v>
      </c>
      <c r="U64" s="131" t="n">
        <f aca="false">IF(U54&lt;pdmon,0,IF(U54=pdmon,-U28-U32-U36-U40-(SUM($C$43:U43)*debtamt),-U27-U31-U35-U39-(U43*debtamt)))</f>
        <v>-3544.30768644206</v>
      </c>
      <c r="V64" s="131" t="n">
        <f aca="false">IF(V54&lt;pdmon,0,IF(V54=pdmon,-V28-V32-V36-V40-(SUM($C$43:V43)*debtamt),-V27-V31-V35-V39-(V43*debtamt)))</f>
        <v>-3566.11042633834</v>
      </c>
      <c r="W64" s="131" t="n">
        <f aca="false">IF(W54&lt;pdmon,0,IF(W54=pdmon,-W28-W32-W36-W40-(SUM($C$43:W43)*debtamt),-W27-W31-W35-W39-(W43*debtamt)))</f>
        <v>-3588.0857712588</v>
      </c>
      <c r="X64" s="131" t="n">
        <f aca="false">IF(X54&lt;pdmon,0,IF(X54=pdmon,-X28-X32-X36-X40-(SUM($C$43:X43)*debtamt),-X27-X31-X35-X39-(X43*debtamt)))</f>
        <v>-3610.23508765988</v>
      </c>
      <c r="Y64" s="131" t="n">
        <f aca="false">IF(Y54&lt;pdmon,0,IF(Y54=pdmon,-Y28-Y32-Y36-Y40-(SUM($C$43:Y43)*debtamt),-Y27-Y31-Y35-Y39-(Y43*debtamt)))</f>
        <v>-3632.55975281581</v>
      </c>
      <c r="Z64" s="131" t="n">
        <f aca="false">IF(Z54&lt;pdmon,0,IF(Z54=pdmon,-Z28-Z32-Z36-Z40-(SUM($C$43:Z43)*debtamt),-Z27-Z31-Z35-Z39-(Z43*debtamt)))</f>
        <v>-3655.06115490422</v>
      </c>
      <c r="AA64" s="131" t="n">
        <f aca="false">IF(AA54&lt;pdmon,0,IF(AA54=pdmon,-AA28-AA32-AA36-AA40-(SUM($C$43:AA43)*debtamt),-AA27-AA31-AA35-AA39-(AA43*debtamt)))</f>
        <v>-3677.74069309249</v>
      </c>
      <c r="AB64" s="131" t="n">
        <f aca="false">IF(AB54&lt;pdmon,0,IF(AB54=pdmon,-AB28-AB32-AB36-AB40-(SUM($C$43:AB43)*debtamt),-AB27-AB31-AB35-AB39-(AB43*debtamt)))</f>
        <v>-3700.59977762476</v>
      </c>
      <c r="AC64" s="131" t="n">
        <f aca="false">IF(AC54&lt;pdmon,0,IF(AC54=pdmon,-AC28-AC32-AC36-AC40-(SUM($C$43:AC43)*debtamt),-AC27-AC31-AC35-AC39-(AC43*debtamt)))</f>
        <v>-3723.63982990957</v>
      </c>
      <c r="AD64" s="131" t="n">
        <f aca="false">IF(AD54&lt;pdmon,0,IF(AD54=pdmon,-AD28-AD32-AD36-AD40-(SUM($C$43:AD43)*debtamt),-AD27-AD31-AD35-AD39-(AD43*debtamt)))</f>
        <v>-3746.8622826083</v>
      </c>
      <c r="AE64" s="131" t="n">
        <f aca="false">IF(AE54&lt;pdmon,0,IF(AE54=pdmon,-AE28-AE32-AE36-AE40-(SUM($C$43:AE43)*debtamt),-AE27-AE31-AE35-AE39-(AE43*debtamt)))</f>
        <v>-3770.26857972423</v>
      </c>
      <c r="AF64" s="131" t="n">
        <f aca="false">IF(AF54&lt;pdmon,0,IF(AF54=pdmon,-AF28-AF32-AF36-AF40-(SUM($C$43:AF43)*debtamt),-AF27-AF31-AF35-AF39-(AF43*debtamt)))</f>
        <v>-3793.86017669233</v>
      </c>
      <c r="AG64" s="131" t="n">
        <f aca="false">IF(AG54&lt;pdmon,0,IF(AG54=pdmon,-AG28-AG32-AG36-AG40-(SUM($C$43:AG43)*debtamt),-AG27-AG31-AG35-AG39-(AG43*debtamt)))</f>
        <v>-3817.63854046976</v>
      </c>
      <c r="AH64" s="131" t="n">
        <f aca="false">IF(AH54&lt;pdmon,0,IF(AH54=pdmon,-AH28-AH32-AH36-AH40-(SUM($C$43:AH43)*debtamt),-AH27-AH31-AH35-AH39-(AH43*debtamt)))</f>
        <v>-3841.6051496271</v>
      </c>
      <c r="AI64" s="131" t="n">
        <f aca="false">IF(AI54&lt;pdmon,0,IF(AI54=pdmon,-AI28-AI32-AI36-AI40-(SUM($C$43:AI43)*debtamt),-AI27-AI31-AI35-AI39-(AI43*debtamt)))</f>
        <v>-3865.76149444026</v>
      </c>
      <c r="AJ64" s="131" t="n">
        <f aca="false">IF(AJ54&lt;pdmon,0,IF(AJ54=pdmon,-AJ28-AJ32-AJ36-AJ40-(SUM($C$43:AJ43)*debtamt),-AJ27-AJ31-AJ35-AJ39-(AJ43*debtamt)))</f>
        <v>-3890.1090769832</v>
      </c>
      <c r="AK64" s="131" t="n">
        <f aca="false">IF(AK54&lt;pdmon,0,IF(AK54=pdmon,-AK28-AK32-AK36-AK40-(SUM($C$43:AK43)*debtamt),-AK27-AK31-AK35-AK39-(AK43*debtamt)))</f>
        <v>-3914.64941122127</v>
      </c>
      <c r="AL64" s="131" t="n">
        <f aca="false">IF(AL54&lt;pdmon,0,IF(AL54=pdmon,-AL28-AL32-AL36-AL40-(SUM($C$43:AL43)*debtamt),-AL27-AL31-AL35-AL39-(AL43*debtamt)))</f>
        <v>-3939.38402310541</v>
      </c>
      <c r="AM64" s="476" t="n">
        <f aca="false">SUM(C64:AL64)</f>
        <v>-127536.616693597</v>
      </c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131"/>
      <c r="DJ64" s="131"/>
      <c r="DK64" s="131"/>
      <c r="DL64" s="131"/>
      <c r="DM64" s="131"/>
      <c r="DN64" s="131"/>
      <c r="DO64" s="131"/>
      <c r="DP64" s="131"/>
      <c r="DQ64" s="131"/>
      <c r="DR64" s="131"/>
      <c r="DS64" s="131"/>
      <c r="DT64" s="131"/>
      <c r="DU64" s="131"/>
      <c r="DV64" s="131"/>
      <c r="DW64" s="131"/>
      <c r="DX64" s="131"/>
      <c r="DY64" s="131"/>
      <c r="DZ64" s="131"/>
      <c r="EA64" s="131"/>
      <c r="EB64" s="131"/>
      <c r="EC64" s="131"/>
      <c r="ED64" s="131"/>
      <c r="EE64" s="131"/>
      <c r="EF64" s="131"/>
      <c r="EG64" s="131"/>
      <c r="EH64" s="131"/>
      <c r="EI64" s="131"/>
      <c r="EJ64" s="131"/>
      <c r="EK64" s="131"/>
      <c r="EL64" s="131"/>
      <c r="EM64" s="131"/>
      <c r="EN64" s="131"/>
      <c r="EO64" s="131"/>
      <c r="EP64" s="131"/>
      <c r="EQ64" s="131"/>
      <c r="ER64" s="131"/>
      <c r="ES64" s="131"/>
      <c r="ET64" s="131"/>
      <c r="EU64" s="131"/>
      <c r="EV64" s="131"/>
      <c r="EW64" s="131"/>
      <c r="EX64" s="131"/>
      <c r="EY64" s="131"/>
      <c r="EZ64" s="131"/>
      <c r="FA64" s="131"/>
      <c r="FB64" s="131"/>
      <c r="FC64" s="131"/>
      <c r="FD64" s="131"/>
      <c r="FE64" s="131"/>
      <c r="FF64" s="131"/>
      <c r="FG64" s="131"/>
      <c r="FH64" s="131"/>
      <c r="FI64" s="131"/>
      <c r="FJ64" s="131"/>
      <c r="FK64" s="131"/>
      <c r="FL64" s="131"/>
      <c r="FM64" s="131"/>
      <c r="FN64" s="131"/>
      <c r="FO64" s="131"/>
      <c r="FP64" s="131"/>
      <c r="FQ64" s="131"/>
      <c r="FR64" s="131"/>
      <c r="FS64" s="131"/>
      <c r="FT64" s="131"/>
      <c r="FU64" s="131"/>
      <c r="FV64" s="131"/>
      <c r="FW64" s="131"/>
      <c r="FX64" s="131"/>
      <c r="FY64" s="131"/>
      <c r="FZ64" s="131"/>
      <c r="GA64" s="131"/>
      <c r="GB64" s="131"/>
      <c r="GC64" s="131"/>
      <c r="GD64" s="131"/>
      <c r="GE64" s="131"/>
      <c r="GF64" s="131"/>
      <c r="GG64" s="131"/>
      <c r="GH64" s="131"/>
      <c r="GI64" s="131"/>
      <c r="GJ64" s="131"/>
      <c r="GK64" s="131"/>
      <c r="GL64" s="131"/>
      <c r="GM64" s="131"/>
      <c r="GN64" s="131"/>
      <c r="GO64" s="131"/>
      <c r="GP64" s="131"/>
      <c r="GQ64" s="131"/>
      <c r="GR64" s="131"/>
      <c r="GS64" s="131"/>
      <c r="GT64" s="131"/>
      <c r="GU64" s="131"/>
      <c r="GV64" s="131"/>
      <c r="GW64" s="131"/>
      <c r="GX64" s="131"/>
      <c r="GY64" s="131"/>
      <c r="GZ64" s="131"/>
      <c r="HA64" s="131"/>
      <c r="HB64" s="131"/>
      <c r="HC64" s="131"/>
      <c r="HD64" s="131"/>
      <c r="HE64" s="131"/>
      <c r="HF64" s="131"/>
      <c r="HG64" s="131"/>
      <c r="HH64" s="131"/>
      <c r="HI64" s="131"/>
      <c r="HJ64" s="131"/>
      <c r="HK64" s="131"/>
      <c r="HL64" s="131"/>
      <c r="HM64" s="131"/>
      <c r="HN64" s="131"/>
      <c r="HO64" s="131"/>
      <c r="HP64" s="131"/>
      <c r="HQ64" s="131"/>
      <c r="HR64" s="131"/>
      <c r="HS64" s="131"/>
      <c r="HT64" s="131"/>
      <c r="HU64" s="131"/>
      <c r="HV64" s="131"/>
      <c r="HW64" s="131"/>
      <c r="HX64" s="131"/>
      <c r="HY64" s="131"/>
      <c r="HZ64" s="131"/>
      <c r="IA64" s="131"/>
      <c r="IB64" s="131"/>
      <c r="IC64" s="131"/>
      <c r="ID64" s="131"/>
      <c r="IE64" s="131"/>
      <c r="IF64" s="131"/>
      <c r="IG64" s="131"/>
      <c r="IH64" s="131"/>
      <c r="II64" s="131"/>
      <c r="IJ64" s="131"/>
      <c r="IK64" s="131"/>
      <c r="IL64" s="131"/>
      <c r="IM64" s="131"/>
      <c r="IN64" s="131"/>
      <c r="IO64" s="131"/>
      <c r="IP64" s="131"/>
      <c r="IQ64" s="131"/>
      <c r="IR64" s="131"/>
      <c r="IS64" s="131"/>
      <c r="IT64" s="131"/>
      <c r="IU64" s="131"/>
      <c r="IV64" s="131"/>
      <c r="IW64" s="131"/>
    </row>
    <row r="65" customFormat="false" ht="12.75" hidden="false" customHeight="false" outlineLevel="0" collapsed="false">
      <c r="A65" s="477" t="s">
        <v>268</v>
      </c>
      <c r="B65" s="107"/>
      <c r="C65" s="107" t="n">
        <f aca="false">SUM(C62:C64)</f>
        <v>124356.801536392</v>
      </c>
      <c r="D65" s="107" t="n">
        <f aca="false">SUM(D62:D64)</f>
        <v>121158.005237037</v>
      </c>
      <c r="E65" s="107" t="n">
        <f aca="false">SUM(E62:E64)</f>
        <v>117940.141496266</v>
      </c>
      <c r="F65" s="107" t="n">
        <f aca="false">SUM(F62:F64)</f>
        <v>114703.059363503</v>
      </c>
      <c r="G65" s="107" t="n">
        <f aca="false">SUM(G62:G64)</f>
        <v>111446.606693142</v>
      </c>
      <c r="H65" s="107" t="n">
        <f aca="false">SUM(H62:H64)</f>
        <v>108170.630135097</v>
      </c>
      <c r="I65" s="107" t="n">
        <f aca="false">SUM(I62:I64)</f>
        <v>104874.975125255</v>
      </c>
      <c r="J65" s="107" t="n">
        <f aca="false">SUM(J62:J64)</f>
        <v>101559.485875873</v>
      </c>
      <c r="K65" s="107" t="n">
        <f aca="false">SUM(K62:K64)</f>
        <v>98224.0053658876</v>
      </c>
      <c r="L65" s="107" t="n">
        <f aca="false">SUM(L62:L64)</f>
        <v>94868.3753311534</v>
      </c>
      <c r="M65" s="107" t="n">
        <f aca="false">SUM(M62:M64)</f>
        <v>91492.4362545988</v>
      </c>
      <c r="N65" s="107" t="n">
        <f aca="false">SUM(N62:N64)</f>
        <v>88096.0273563096</v>
      </c>
      <c r="O65" s="107" t="n">
        <f aca="false">SUM(O62:O64)</f>
        <v>84678.9865835304</v>
      </c>
      <c r="P65" s="107" t="n">
        <f aca="false">SUM(P62:P64)</f>
        <v>81241.150600588</v>
      </c>
      <c r="Q65" s="107" t="n">
        <f aca="false">SUM(Q62:Q64)</f>
        <v>77782.3547787354</v>
      </c>
      <c r="R65" s="107" t="n">
        <f aca="false">SUM(R62:R64)</f>
        <v>74302.4331859144</v>
      </c>
      <c r="S65" s="107" t="n">
        <f aca="false">SUM(S62:S64)</f>
        <v>70801.2185764384</v>
      </c>
      <c r="T65" s="107" t="n">
        <f aca="false">SUM(T62:T64)</f>
        <v>67278.5423805921</v>
      </c>
      <c r="U65" s="107" t="n">
        <f aca="false">SUM(U62:U64)</f>
        <v>63734.23469415</v>
      </c>
      <c r="V65" s="107" t="n">
        <f aca="false">SUM(V62:V64)</f>
        <v>60168.1242678117</v>
      </c>
      <c r="W65" s="107" t="n">
        <f aca="false">SUM(W62:W64)</f>
        <v>56580.0384965529</v>
      </c>
      <c r="X65" s="107" t="n">
        <f aca="false">SUM(X62:X64)</f>
        <v>52969.803408893</v>
      </c>
      <c r="Y65" s="107" t="n">
        <f aca="false">SUM(Y62:Y64)</f>
        <v>49337.2436560772</v>
      </c>
      <c r="Z65" s="107" t="n">
        <f aca="false">SUM(Z62:Z64)</f>
        <v>45682.182501173</v>
      </c>
      <c r="AA65" s="107" t="n">
        <f aca="false">SUM(AA62:AA64)</f>
        <v>42004.4418080805</v>
      </c>
      <c r="AB65" s="107" t="n">
        <f aca="false">SUM(AB62:AB64)</f>
        <v>38303.8420304557</v>
      </c>
      <c r="AC65" s="107" t="n">
        <f aca="false">SUM(AC62:AC64)</f>
        <v>34580.2022005462</v>
      </c>
      <c r="AD65" s="107" t="n">
        <f aca="false">SUM(AD62:AD64)</f>
        <v>30833.3399179379</v>
      </c>
      <c r="AE65" s="107" t="n">
        <f aca="false">SUM(AE62:AE64)</f>
        <v>27063.0713382136</v>
      </c>
      <c r="AF65" s="107" t="n">
        <f aca="false">SUM(AF62:AF64)</f>
        <v>23269.2111615213</v>
      </c>
      <c r="AG65" s="107" t="n">
        <f aca="false">SUM(AG62:AG64)</f>
        <v>19451.5726210515</v>
      </c>
      <c r="AH65" s="107" t="n">
        <f aca="false">SUM(AH62:AH64)</f>
        <v>15609.9674714244</v>
      </c>
      <c r="AI65" s="107" t="n">
        <f aca="false">SUM(AI62:AI64)</f>
        <v>11744.2059769842</v>
      </c>
      <c r="AJ65" s="107" t="n">
        <f aca="false">SUM(AJ62:AJ64)</f>
        <v>7854.09690000097</v>
      </c>
      <c r="AK65" s="107" t="n">
        <f aca="false">SUM(AK62:AK64)</f>
        <v>3939.4474887797</v>
      </c>
      <c r="AL65" s="107" t="n">
        <f aca="false">SUM(AL62:AL64)</f>
        <v>0.0634656742954576</v>
      </c>
      <c r="AM65" s="478" t="n">
        <f aca="false">SUM(C65:AL65)</f>
        <v>2316100.32528164</v>
      </c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  <c r="DB65" s="107"/>
      <c r="DC65" s="107"/>
      <c r="DD65" s="107"/>
      <c r="DE65" s="107"/>
      <c r="DF65" s="107"/>
      <c r="DG65" s="107"/>
      <c r="DH65" s="107"/>
      <c r="DI65" s="107"/>
      <c r="DJ65" s="107"/>
      <c r="DK65" s="107"/>
      <c r="DL65" s="107"/>
      <c r="DM65" s="107"/>
      <c r="DN65" s="107"/>
      <c r="DO65" s="107"/>
      <c r="DP65" s="107"/>
      <c r="DQ65" s="107"/>
      <c r="DR65" s="107"/>
      <c r="DS65" s="107"/>
      <c r="DT65" s="107"/>
      <c r="DU65" s="107"/>
      <c r="DV65" s="107"/>
      <c r="DW65" s="107"/>
      <c r="DX65" s="107"/>
      <c r="DY65" s="107"/>
      <c r="DZ65" s="107"/>
      <c r="EA65" s="107"/>
      <c r="EB65" s="107"/>
      <c r="EC65" s="107"/>
      <c r="ED65" s="107"/>
      <c r="EE65" s="107"/>
      <c r="EF65" s="107"/>
      <c r="EG65" s="107"/>
      <c r="EH65" s="107"/>
      <c r="EI65" s="107"/>
      <c r="EJ65" s="107"/>
      <c r="EK65" s="107"/>
      <c r="EL65" s="107"/>
      <c r="EM65" s="107"/>
      <c r="EN65" s="107"/>
      <c r="EO65" s="107"/>
      <c r="EP65" s="107"/>
      <c r="EQ65" s="107"/>
      <c r="ER65" s="107"/>
      <c r="ES65" s="107"/>
      <c r="ET65" s="107"/>
      <c r="EU65" s="107"/>
      <c r="EV65" s="107"/>
      <c r="EW65" s="107"/>
      <c r="EX65" s="107"/>
      <c r="EY65" s="107"/>
      <c r="EZ65" s="107"/>
      <c r="FA65" s="107"/>
      <c r="FB65" s="107"/>
      <c r="FC65" s="107"/>
      <c r="FD65" s="107"/>
      <c r="FE65" s="107"/>
      <c r="FF65" s="107"/>
      <c r="FG65" s="107"/>
      <c r="FH65" s="107"/>
      <c r="FI65" s="107"/>
      <c r="FJ65" s="107"/>
      <c r="FK65" s="107"/>
      <c r="FL65" s="107"/>
      <c r="FM65" s="107"/>
      <c r="FN65" s="107"/>
      <c r="FO65" s="107"/>
      <c r="FP65" s="107"/>
      <c r="FQ65" s="107"/>
      <c r="FR65" s="107"/>
      <c r="FS65" s="107"/>
      <c r="FT65" s="107"/>
      <c r="FU65" s="107"/>
      <c r="FV65" s="107"/>
      <c r="FW65" s="107"/>
      <c r="FX65" s="107"/>
      <c r="FY65" s="107"/>
      <c r="FZ65" s="107"/>
      <c r="GA65" s="107"/>
      <c r="GB65" s="107"/>
      <c r="GC65" s="107"/>
      <c r="GD65" s="107"/>
      <c r="GE65" s="107"/>
      <c r="GF65" s="107"/>
      <c r="GG65" s="107"/>
      <c r="GH65" s="107"/>
      <c r="GI65" s="107"/>
      <c r="GJ65" s="107"/>
      <c r="GK65" s="107"/>
      <c r="GL65" s="107"/>
      <c r="GM65" s="107"/>
      <c r="GN65" s="107"/>
      <c r="GO65" s="107"/>
      <c r="GP65" s="107"/>
      <c r="GQ65" s="107"/>
      <c r="GR65" s="107"/>
      <c r="GS65" s="107"/>
      <c r="GT65" s="107"/>
      <c r="GU65" s="107"/>
      <c r="GV65" s="107"/>
      <c r="GW65" s="107"/>
      <c r="GX65" s="107"/>
      <c r="GY65" s="107"/>
      <c r="GZ65" s="107"/>
      <c r="HA65" s="107"/>
      <c r="HB65" s="107"/>
      <c r="HC65" s="107"/>
      <c r="HD65" s="107"/>
      <c r="HE65" s="107"/>
      <c r="HF65" s="107"/>
      <c r="HG65" s="107"/>
      <c r="HH65" s="107"/>
      <c r="HI65" s="107"/>
      <c r="HJ65" s="107"/>
      <c r="HK65" s="107"/>
      <c r="HL65" s="107"/>
      <c r="HM65" s="107"/>
      <c r="HN65" s="107"/>
      <c r="HO65" s="107"/>
      <c r="HP65" s="107"/>
      <c r="HQ65" s="107"/>
      <c r="HR65" s="107"/>
      <c r="HS65" s="107"/>
      <c r="HT65" s="107"/>
      <c r="HU65" s="107"/>
      <c r="HV65" s="107"/>
      <c r="HW65" s="107"/>
      <c r="HX65" s="107"/>
      <c r="HY65" s="107"/>
      <c r="HZ65" s="107"/>
      <c r="IA65" s="107"/>
      <c r="IB65" s="107"/>
      <c r="IC65" s="107"/>
      <c r="ID65" s="107"/>
      <c r="IE65" s="107"/>
      <c r="IF65" s="107"/>
      <c r="IG65" s="107"/>
      <c r="IH65" s="107"/>
      <c r="II65" s="107"/>
      <c r="IJ65" s="107"/>
      <c r="IK65" s="107"/>
      <c r="IL65" s="107"/>
      <c r="IM65" s="107"/>
      <c r="IN65" s="107"/>
      <c r="IO65" s="107"/>
      <c r="IP65" s="107"/>
      <c r="IQ65" s="107"/>
      <c r="IR65" s="107"/>
      <c r="IS65" s="107"/>
      <c r="IT65" s="107"/>
      <c r="IU65" s="107"/>
      <c r="IV65" s="107"/>
      <c r="IW65" s="107"/>
    </row>
    <row r="66" customFormat="false" ht="12.75" hidden="false" customHeight="false" outlineLevel="0" collapsed="false">
      <c r="A66" s="47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478" t="n">
        <f aca="false">SUM(C66:AF66)</f>
        <v>0</v>
      </c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  <c r="CN66" s="107"/>
      <c r="CO66" s="107"/>
      <c r="CP66" s="107"/>
      <c r="CQ66" s="107"/>
      <c r="CR66" s="107"/>
      <c r="CS66" s="107"/>
      <c r="CT66" s="107"/>
      <c r="CU66" s="107"/>
      <c r="CV66" s="107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7"/>
      <c r="DJ66" s="107"/>
      <c r="DK66" s="107"/>
      <c r="DL66" s="107"/>
      <c r="DM66" s="107"/>
      <c r="DN66" s="107"/>
      <c r="DO66" s="107"/>
      <c r="DP66" s="107"/>
      <c r="DQ66" s="107"/>
      <c r="DR66" s="107"/>
      <c r="DS66" s="107"/>
      <c r="DT66" s="107"/>
      <c r="DU66" s="107"/>
      <c r="DV66" s="107"/>
      <c r="DW66" s="107"/>
      <c r="DX66" s="107"/>
      <c r="DY66" s="107"/>
      <c r="DZ66" s="107"/>
      <c r="EA66" s="107"/>
      <c r="EB66" s="107"/>
      <c r="EC66" s="107"/>
      <c r="ED66" s="107"/>
      <c r="EE66" s="107"/>
      <c r="EF66" s="107"/>
      <c r="EG66" s="107"/>
      <c r="EH66" s="107"/>
      <c r="EI66" s="107"/>
      <c r="EJ66" s="107"/>
      <c r="EK66" s="107"/>
      <c r="EL66" s="107"/>
      <c r="EM66" s="107"/>
      <c r="EN66" s="107"/>
      <c r="EO66" s="107"/>
      <c r="EP66" s="107"/>
      <c r="EQ66" s="107"/>
      <c r="ER66" s="107"/>
      <c r="ES66" s="107"/>
      <c r="ET66" s="107"/>
      <c r="EU66" s="107"/>
      <c r="EV66" s="107"/>
      <c r="EW66" s="107"/>
      <c r="EX66" s="107"/>
      <c r="EY66" s="107"/>
      <c r="EZ66" s="107"/>
      <c r="FA66" s="107"/>
      <c r="FB66" s="107"/>
      <c r="FC66" s="107"/>
      <c r="FD66" s="107"/>
      <c r="FE66" s="107"/>
      <c r="FF66" s="107"/>
      <c r="FG66" s="107"/>
      <c r="FH66" s="107"/>
      <c r="FI66" s="107"/>
      <c r="FJ66" s="107"/>
      <c r="FK66" s="107"/>
      <c r="FL66" s="107"/>
      <c r="FM66" s="107"/>
      <c r="FN66" s="107"/>
      <c r="FO66" s="107"/>
      <c r="FP66" s="107"/>
      <c r="FQ66" s="107"/>
      <c r="FR66" s="107"/>
      <c r="FS66" s="107"/>
      <c r="FT66" s="107"/>
      <c r="FU66" s="107"/>
      <c r="FV66" s="107"/>
      <c r="FW66" s="107"/>
      <c r="FX66" s="107"/>
      <c r="FY66" s="107"/>
      <c r="FZ66" s="107"/>
      <c r="GA66" s="107"/>
      <c r="GB66" s="107"/>
      <c r="GC66" s="107"/>
      <c r="GD66" s="107"/>
      <c r="GE66" s="107"/>
      <c r="GF66" s="107"/>
      <c r="GG66" s="107"/>
      <c r="GH66" s="107"/>
      <c r="GI66" s="107"/>
      <c r="GJ66" s="107"/>
      <c r="GK66" s="107"/>
      <c r="GL66" s="107"/>
      <c r="GM66" s="107"/>
      <c r="GN66" s="107"/>
      <c r="GO66" s="107"/>
      <c r="GP66" s="107"/>
      <c r="GQ66" s="107"/>
      <c r="GR66" s="107"/>
      <c r="GS66" s="107"/>
      <c r="GT66" s="107"/>
      <c r="GU66" s="107"/>
      <c r="GV66" s="107"/>
      <c r="GW66" s="107"/>
      <c r="GX66" s="107"/>
      <c r="GY66" s="107"/>
      <c r="GZ66" s="107"/>
      <c r="HA66" s="107"/>
      <c r="HB66" s="107"/>
      <c r="HC66" s="107"/>
      <c r="HD66" s="107"/>
      <c r="HE66" s="107"/>
      <c r="HF66" s="107"/>
      <c r="HG66" s="107"/>
      <c r="HH66" s="107"/>
      <c r="HI66" s="107"/>
      <c r="HJ66" s="107"/>
      <c r="HK66" s="107"/>
      <c r="HL66" s="107"/>
      <c r="HM66" s="107"/>
      <c r="HN66" s="107"/>
      <c r="HO66" s="107"/>
      <c r="HP66" s="107"/>
      <c r="HQ66" s="107"/>
      <c r="HR66" s="107"/>
      <c r="HS66" s="107"/>
      <c r="HT66" s="107"/>
      <c r="HU66" s="107"/>
      <c r="HV66" s="107"/>
      <c r="HW66" s="107"/>
      <c r="HX66" s="107"/>
      <c r="HY66" s="107"/>
      <c r="HZ66" s="107"/>
      <c r="IA66" s="107"/>
      <c r="IB66" s="107"/>
      <c r="IC66" s="107"/>
      <c r="ID66" s="107"/>
      <c r="IE66" s="107"/>
      <c r="IF66" s="107"/>
      <c r="IG66" s="107"/>
      <c r="IH66" s="107"/>
      <c r="II66" s="107"/>
      <c r="IJ66" s="107"/>
      <c r="IK66" s="107"/>
      <c r="IL66" s="107"/>
      <c r="IM66" s="107"/>
      <c r="IN66" s="107"/>
      <c r="IO66" s="107"/>
      <c r="IP66" s="107"/>
      <c r="IQ66" s="107"/>
      <c r="IR66" s="107"/>
      <c r="IS66" s="107"/>
      <c r="IT66" s="107"/>
      <c r="IU66" s="107"/>
      <c r="IV66" s="107"/>
      <c r="IW66" s="107"/>
    </row>
    <row r="67" customFormat="false" ht="12.75" hidden="false" customHeight="false" outlineLevel="0" collapsed="false">
      <c r="A67" s="477" t="s">
        <v>269</v>
      </c>
      <c r="B67" s="107"/>
      <c r="C67" s="107" t="n">
        <f aca="false">IF(AVERAGE(C62,C65)&lt;0,0,AVERAGE(C62,C65))</f>
        <v>62178.4007681962</v>
      </c>
      <c r="D67" s="107" t="n">
        <f aca="false">IF(AVERAGE(D62,D65)&lt;0,0,AVERAGE(D62,D65))</f>
        <v>122757.403386715</v>
      </c>
      <c r="E67" s="107" t="n">
        <f aca="false">IF(AVERAGE(E62,E65)&lt;0,0,AVERAGE(E62,E65))</f>
        <v>119549.073366652</v>
      </c>
      <c r="F67" s="107" t="n">
        <f aca="false">IF(AVERAGE(F62,F65)&lt;0,0,AVERAGE(F62,F65))</f>
        <v>116321.600429884</v>
      </c>
      <c r="G67" s="107" t="n">
        <f aca="false">IF(AVERAGE(G62,G65)&lt;0,0,AVERAGE(G62,G65))</f>
        <v>113074.833028323</v>
      </c>
      <c r="H67" s="107" t="n">
        <f aca="false">IF(AVERAGE(H62,H65)&lt;0,0,AVERAGE(H62,H65))</f>
        <v>109808.61841412</v>
      </c>
      <c r="I67" s="107" t="n">
        <f aca="false">IF(AVERAGE(I62,I65)&lt;0,0,AVERAGE(I62,I65))</f>
        <v>106522.802630176</v>
      </c>
      <c r="J67" s="107" t="n">
        <f aca="false">IF(AVERAGE(J62,J65)&lt;0,0,AVERAGE(J62,J65))</f>
        <v>103217.230500564</v>
      </c>
      <c r="K67" s="107" t="n">
        <f aca="false">IF(AVERAGE(K62,K65)&lt;0,0,AVERAGE(K62,K65))</f>
        <v>99891.7456208801</v>
      </c>
      <c r="L67" s="107" t="n">
        <f aca="false">IF(AVERAGE(L62,L65)&lt;0,0,AVERAGE(L62,L65))</f>
        <v>96546.1903485205</v>
      </c>
      <c r="M67" s="107" t="n">
        <f aca="false">IF(AVERAGE(M62,M65)&lt;0,0,AVERAGE(M62,M65))</f>
        <v>93180.4057928761</v>
      </c>
      <c r="N67" s="107" t="n">
        <f aca="false">IF(AVERAGE(N62,N65)&lt;0,0,AVERAGE(N62,N65))</f>
        <v>89794.2318054542</v>
      </c>
      <c r="O67" s="107" t="n">
        <f aca="false">IF(AVERAGE(O62,O65)&lt;0,0,AVERAGE(O62,O65))</f>
        <v>86387.50696992</v>
      </c>
      <c r="P67" s="107" t="n">
        <f aca="false">IF(AVERAGE(P62,P65)&lt;0,0,AVERAGE(P62,P65))</f>
        <v>82960.0685920592</v>
      </c>
      <c r="Q67" s="107" t="n">
        <f aca="false">IF(AVERAGE(Q62,Q65)&lt;0,0,AVERAGE(Q62,Q65))</f>
        <v>79511.7526896617</v>
      </c>
      <c r="R67" s="107" t="n">
        <f aca="false">IF(AVERAGE(R62,R65)&lt;0,0,AVERAGE(R62,R65))</f>
        <v>76042.3939823249</v>
      </c>
      <c r="S67" s="107" t="n">
        <f aca="false">IF(AVERAGE(S62,S65)&lt;0,0,AVERAGE(S62,S65))</f>
        <v>72551.8258811764</v>
      </c>
      <c r="T67" s="107" t="n">
        <f aca="false">IF(AVERAGE(T62,T65)&lt;0,0,AVERAGE(T62,T65))</f>
        <v>69039.8804785153</v>
      </c>
      <c r="U67" s="107" t="n">
        <f aca="false">IF(AVERAGE(U62,U65)&lt;0,0,AVERAGE(U62,U65))</f>
        <v>65506.3885373711</v>
      </c>
      <c r="V67" s="107" t="n">
        <f aca="false">IF(AVERAGE(V62,V65)&lt;0,0,AVERAGE(V62,V65))</f>
        <v>61951.1794809809</v>
      </c>
      <c r="W67" s="107" t="n">
        <f aca="false">IF(AVERAGE(W62,W65)&lt;0,0,AVERAGE(W62,W65))</f>
        <v>58374.0813821823</v>
      </c>
      <c r="X67" s="107" t="n">
        <f aca="false">IF(AVERAGE(X62,X65)&lt;0,0,AVERAGE(X62,X65))</f>
        <v>54774.9209527229</v>
      </c>
      <c r="Y67" s="107" t="n">
        <f aca="false">IF(AVERAGE(Y62,Y65)&lt;0,0,AVERAGE(Y62,Y65))</f>
        <v>51153.5235324851</v>
      </c>
      <c r="Z67" s="107" t="n">
        <f aca="false">IF(AVERAGE(Z62,Z65)&lt;0,0,AVERAGE(Z62,Z65))</f>
        <v>47509.7130786251</v>
      </c>
      <c r="AA67" s="107" t="n">
        <f aca="false">IF(AVERAGE(AA62,AA65)&lt;0,0,AVERAGE(AA62,AA65))</f>
        <v>43843.3121546267</v>
      </c>
      <c r="AB67" s="107" t="n">
        <f aca="false">IF(AVERAGE(AB62,AB65)&lt;0,0,AVERAGE(AB62,AB65))</f>
        <v>40154.1419192681</v>
      </c>
      <c r="AC67" s="107" t="n">
        <f aca="false">IF(AVERAGE(AC62,AC65)&lt;0,0,AVERAGE(AC62,AC65))</f>
        <v>36442.022115501</v>
      </c>
      <c r="AD67" s="107" t="n">
        <f aca="false">IF(AVERAGE(AD62,AD65)&lt;0,0,AVERAGE(AD62,AD65))</f>
        <v>32706.771059242</v>
      </c>
      <c r="AE67" s="107" t="n">
        <f aca="false">IF(AVERAGE(AE62,AE65)&lt;0,0,AVERAGE(AE62,AE65))</f>
        <v>28948.2056280757</v>
      </c>
      <c r="AF67" s="107" t="n">
        <f aca="false">IF(AVERAGE(AF62,AF65)&lt;0,0,AVERAGE(AF62,AF65))</f>
        <v>25166.1412498675</v>
      </c>
      <c r="AG67" s="107" t="n">
        <f aca="false">IF(AVERAGE(AG62,AG65)&lt;0,0,AVERAGE(AG62,AG65))</f>
        <v>21360.3918912864</v>
      </c>
      <c r="AH67" s="107" t="n">
        <f aca="false">IF(AVERAGE(AH62,AH65)&lt;0,0,AVERAGE(AH62,AH65))</f>
        <v>17530.770046238</v>
      </c>
      <c r="AI67" s="107" t="n">
        <f aca="false">IF(AVERAGE(AI62,AI65)&lt;0,0,AVERAGE(AI62,AI65))</f>
        <v>13677.0867242043</v>
      </c>
      <c r="AJ67" s="107" t="n">
        <f aca="false">IF(AVERAGE(AJ62,AJ65)&lt;0,0,AVERAGE(AJ62,AJ65))</f>
        <v>9799.15143849257</v>
      </c>
      <c r="AK67" s="107" t="n">
        <f aca="false">IF(AVERAGE(AK62,AK65)&lt;0,0,AVERAGE(AK62,AK65))</f>
        <v>5896.77219439033</v>
      </c>
      <c r="AL67" s="107" t="n">
        <f aca="false">IF(AVERAGE(AL62,AL65)&lt;0,0,AVERAGE(AL62,AL65))</f>
        <v>1969.755477227</v>
      </c>
      <c r="AM67" s="478" t="n">
        <f aca="false">SUM(C67:AL67)</f>
        <v>2316100.2935488</v>
      </c>
      <c r="AN67" s="107"/>
      <c r="AO67" s="107"/>
      <c r="AP67" s="111"/>
      <c r="AQ67" s="107"/>
      <c r="AR67" s="107"/>
      <c r="AS67" s="107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180"/>
      <c r="BN67" s="180"/>
      <c r="BO67" s="180"/>
      <c r="BP67" s="180"/>
      <c r="BQ67" s="180"/>
      <c r="BR67" s="180"/>
      <c r="BS67" s="180"/>
      <c r="BT67" s="180"/>
      <c r="BU67" s="180"/>
      <c r="BV67" s="180"/>
      <c r="BW67" s="180"/>
      <c r="BX67" s="180"/>
      <c r="BY67" s="180"/>
      <c r="BZ67" s="180"/>
      <c r="CA67" s="180"/>
      <c r="CB67" s="180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07"/>
      <c r="DD67" s="107"/>
      <c r="DE67" s="107"/>
      <c r="DF67" s="107"/>
      <c r="DG67" s="107"/>
      <c r="DH67" s="107"/>
      <c r="DI67" s="107"/>
      <c r="DJ67" s="107"/>
      <c r="DK67" s="107"/>
      <c r="DL67" s="107"/>
      <c r="DM67" s="107"/>
      <c r="DN67" s="107"/>
      <c r="DO67" s="107"/>
      <c r="DP67" s="107"/>
      <c r="DQ67" s="107"/>
      <c r="DR67" s="107"/>
      <c r="DS67" s="107"/>
      <c r="DT67" s="107"/>
      <c r="DU67" s="107"/>
      <c r="DV67" s="107"/>
      <c r="DW67" s="107"/>
      <c r="DX67" s="107"/>
      <c r="DY67" s="107"/>
      <c r="DZ67" s="107"/>
      <c r="EA67" s="107"/>
      <c r="EB67" s="107"/>
      <c r="EC67" s="107"/>
      <c r="ED67" s="107"/>
      <c r="EE67" s="107"/>
      <c r="EF67" s="107"/>
      <c r="EG67" s="107"/>
      <c r="EH67" s="107"/>
      <c r="EI67" s="107"/>
      <c r="EJ67" s="107"/>
      <c r="EK67" s="107"/>
      <c r="EL67" s="107"/>
      <c r="EM67" s="107"/>
      <c r="EN67" s="107"/>
      <c r="EO67" s="107"/>
      <c r="EP67" s="107"/>
      <c r="EQ67" s="107"/>
      <c r="ER67" s="107"/>
      <c r="ES67" s="107"/>
      <c r="ET67" s="107"/>
      <c r="EU67" s="107"/>
      <c r="EV67" s="107"/>
      <c r="EW67" s="107"/>
      <c r="EX67" s="107"/>
      <c r="EY67" s="107"/>
      <c r="EZ67" s="107"/>
      <c r="FA67" s="107"/>
      <c r="FB67" s="107"/>
      <c r="FC67" s="107"/>
      <c r="FD67" s="107"/>
      <c r="FE67" s="107"/>
      <c r="FF67" s="107"/>
      <c r="FG67" s="107"/>
      <c r="FH67" s="107"/>
      <c r="FI67" s="107"/>
      <c r="FJ67" s="107"/>
      <c r="FK67" s="107"/>
      <c r="FL67" s="107"/>
      <c r="FM67" s="107"/>
      <c r="FN67" s="107"/>
      <c r="FO67" s="107"/>
      <c r="FP67" s="107"/>
      <c r="FQ67" s="107"/>
      <c r="FR67" s="107"/>
      <c r="FS67" s="107"/>
      <c r="FT67" s="107"/>
      <c r="FU67" s="107"/>
      <c r="FV67" s="107"/>
      <c r="FW67" s="107"/>
      <c r="FX67" s="107"/>
      <c r="FY67" s="107"/>
      <c r="FZ67" s="107"/>
      <c r="GA67" s="107"/>
      <c r="GB67" s="107"/>
      <c r="GC67" s="107"/>
      <c r="GD67" s="107"/>
      <c r="GE67" s="107"/>
      <c r="GF67" s="107"/>
      <c r="GG67" s="107"/>
      <c r="GH67" s="107"/>
      <c r="GI67" s="107"/>
      <c r="GJ67" s="107"/>
      <c r="GK67" s="107"/>
      <c r="GL67" s="107"/>
      <c r="GM67" s="107"/>
      <c r="GN67" s="107"/>
      <c r="GO67" s="107"/>
      <c r="GP67" s="107"/>
      <c r="GQ67" s="107"/>
      <c r="GR67" s="107"/>
      <c r="GS67" s="107"/>
      <c r="GT67" s="107"/>
      <c r="GU67" s="107"/>
      <c r="GV67" s="107"/>
      <c r="GW67" s="107"/>
      <c r="GX67" s="107"/>
      <c r="GY67" s="107"/>
      <c r="GZ67" s="107"/>
      <c r="HA67" s="107"/>
      <c r="HB67" s="107"/>
      <c r="HC67" s="107"/>
      <c r="HD67" s="107"/>
      <c r="HE67" s="107"/>
      <c r="HF67" s="107"/>
      <c r="HG67" s="107"/>
      <c r="HH67" s="107"/>
      <c r="HI67" s="107"/>
      <c r="HJ67" s="107"/>
      <c r="HK67" s="107"/>
      <c r="HL67" s="107"/>
      <c r="HM67" s="107"/>
      <c r="HN67" s="107"/>
      <c r="HO67" s="107"/>
      <c r="HP67" s="107"/>
      <c r="HQ67" s="107"/>
      <c r="HR67" s="107"/>
      <c r="HS67" s="107"/>
      <c r="HT67" s="107"/>
      <c r="HU67" s="107"/>
      <c r="HV67" s="107"/>
      <c r="HW67" s="107"/>
      <c r="HX67" s="107"/>
      <c r="HY67" s="107"/>
      <c r="HZ67" s="107"/>
      <c r="IA67" s="107"/>
      <c r="IB67" s="107"/>
      <c r="IC67" s="107"/>
      <c r="ID67" s="107"/>
      <c r="IE67" s="107"/>
      <c r="IF67" s="107"/>
      <c r="IG67" s="107"/>
      <c r="IH67" s="107"/>
      <c r="II67" s="107"/>
      <c r="IJ67" s="107"/>
      <c r="IK67" s="107"/>
      <c r="IL67" s="107"/>
      <c r="IM67" s="107"/>
      <c r="IN67" s="107"/>
      <c r="IO67" s="107"/>
      <c r="IP67" s="107"/>
      <c r="IQ67" s="107"/>
      <c r="IR67" s="107"/>
      <c r="IS67" s="107"/>
      <c r="IT67" s="107"/>
      <c r="IU67" s="107"/>
      <c r="IV67" s="107"/>
      <c r="IW67" s="107"/>
    </row>
    <row r="68" customFormat="false" ht="12.75" hidden="false" customHeight="false" outlineLevel="0" collapsed="false">
      <c r="A68" s="645" t="s">
        <v>32</v>
      </c>
      <c r="B68" s="107"/>
      <c r="C68" s="107" t="n">
        <f aca="false">+C67*C$60/12</f>
        <v>25.9076669867484</v>
      </c>
      <c r="D68" s="107" t="n">
        <f aca="false">+D67*D$60/12</f>
        <v>51.1489180777978</v>
      </c>
      <c r="E68" s="107" t="n">
        <f aca="false">+E67*E$60/12</f>
        <v>49.8121139027715</v>
      </c>
      <c r="F68" s="107" t="n">
        <f aca="false">+F67*F$60/12</f>
        <v>48.4673335124518</v>
      </c>
      <c r="G68" s="107" t="n">
        <f aca="false">+G67*G$60/12</f>
        <v>47.114513761801</v>
      </c>
      <c r="H68" s="107" t="n">
        <f aca="false">+H67*H$60/12</f>
        <v>45.7535910058832</v>
      </c>
      <c r="I68" s="107" t="n">
        <f aca="false">+I67*I$60/12</f>
        <v>44.3845010959065</v>
      </c>
      <c r="J68" s="107" t="n">
        <f aca="false">+J67*J$60/12</f>
        <v>43.0071793752348</v>
      </c>
      <c r="K68" s="107" t="n">
        <f aca="false">+K67*K$60/12</f>
        <v>41.6215606753667</v>
      </c>
      <c r="L68" s="107" t="n">
        <f aca="false">+L67*L$60/12</f>
        <v>40.2275793118835</v>
      </c>
      <c r="M68" s="107" t="n">
        <f aca="false">+M67*M$60/12</f>
        <v>38.825169080365</v>
      </c>
      <c r="N68" s="107" t="n">
        <f aca="false">+N67*N$60/12</f>
        <v>37.4142632522726</v>
      </c>
      <c r="O68" s="107" t="n">
        <f aca="false">+O67*O$60/12</f>
        <v>35.9947945708</v>
      </c>
      <c r="P68" s="107" t="n">
        <f aca="false">+P67*P$60/12</f>
        <v>34.5666952466913</v>
      </c>
      <c r="Q68" s="107" t="n">
        <f aca="false">+Q67*Q$60/12</f>
        <v>33.1298969540257</v>
      </c>
      <c r="R68" s="107" t="n">
        <f aca="false">+R67*R$60/12</f>
        <v>31.6843308259687</v>
      </c>
      <c r="S68" s="107" t="n">
        <f aca="false">+S67*S$60/12</f>
        <v>30.2299274504902</v>
      </c>
      <c r="T68" s="107" t="n">
        <f aca="false">+T67*T$60/12</f>
        <v>28.766616866048</v>
      </c>
      <c r="U68" s="107" t="n">
        <f aca="false">+U67*U$60/12</f>
        <v>27.2943285572379</v>
      </c>
      <c r="V68" s="107" t="n">
        <f aca="false">+V67*V$60/12</f>
        <v>25.8129914504087</v>
      </c>
      <c r="W68" s="107" t="n">
        <f aca="false">+W67*W$60/12</f>
        <v>24.3225339092426</v>
      </c>
      <c r="X68" s="107" t="n">
        <f aca="false">+X67*X$60/12</f>
        <v>22.8228837303012</v>
      </c>
      <c r="Y68" s="107" t="n">
        <f aca="false">+Y67*Y$60/12</f>
        <v>21.3139681385355</v>
      </c>
      <c r="Z68" s="107" t="n">
        <f aca="false">+Z67*Z$60/12</f>
        <v>19.7957137827604</v>
      </c>
      <c r="AA68" s="107" t="n">
        <f aca="false">+AA67*AA$60/12</f>
        <v>18.2680467310945</v>
      </c>
      <c r="AB68" s="107" t="n">
        <f aca="false">+AB67*AB$60/12</f>
        <v>16.7308924663617</v>
      </c>
      <c r="AC68" s="107" t="n">
        <f aca="false">+AC67*AC$60/12</f>
        <v>15.1841758814587</v>
      </c>
      <c r="AD68" s="107" t="n">
        <f aca="false">+AD67*AD$60/12</f>
        <v>13.6278212746842</v>
      </c>
      <c r="AE68" s="107" t="n">
        <f aca="false">+AE67*AE$60/12</f>
        <v>12.0617523450316</v>
      </c>
      <c r="AF68" s="107" t="n">
        <f aca="false">+AF67*AF$60/12</f>
        <v>10.4858921874448</v>
      </c>
      <c r="AG68" s="107" t="n">
        <f aca="false">+AG67*AG$60/12</f>
        <v>8.90016328803601</v>
      </c>
      <c r="AH68" s="107" t="n">
        <f aca="false">+AH67*AH$60/12</f>
        <v>7.30448751926583</v>
      </c>
      <c r="AI68" s="107" t="n">
        <f aca="false">+AI67*AI$60/12</f>
        <v>5.69878613508512</v>
      </c>
      <c r="AJ68" s="107" t="n">
        <f aca="false">+AJ67*AJ$60/12</f>
        <v>4.08297976603857</v>
      </c>
      <c r="AK68" s="107" t="n">
        <f aca="false">+AK67*AK$60/12</f>
        <v>2.45698841432931</v>
      </c>
      <c r="AL68" s="107" t="n">
        <f aca="false">+AL67*AL$60/12</f>
        <v>0.820731448844583</v>
      </c>
      <c r="AM68" s="478" t="n">
        <f aca="false">SUM(C68:AL68)</f>
        <v>965.041788978668</v>
      </c>
      <c r="AN68" s="107"/>
      <c r="AO68" s="107"/>
      <c r="AP68" s="107"/>
      <c r="AQ68" s="107"/>
      <c r="AR68" s="107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1"/>
      <c r="BG68" s="131"/>
      <c r="BH68" s="131"/>
      <c r="BI68" s="131"/>
      <c r="BJ68" s="131"/>
      <c r="BK68" s="131"/>
      <c r="BL68" s="131"/>
      <c r="BM68" s="131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  <c r="BX68" s="131"/>
      <c r="BY68" s="131"/>
      <c r="BZ68" s="131"/>
      <c r="CA68" s="131"/>
      <c r="CB68" s="131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07"/>
      <c r="DQ68" s="107"/>
      <c r="DR68" s="107"/>
      <c r="DS68" s="107"/>
      <c r="DT68" s="107"/>
      <c r="DU68" s="107"/>
      <c r="DV68" s="107"/>
      <c r="DW68" s="107"/>
      <c r="DX68" s="107"/>
      <c r="DY68" s="107"/>
      <c r="DZ68" s="107"/>
      <c r="EA68" s="107"/>
      <c r="EB68" s="107"/>
      <c r="EC68" s="107"/>
      <c r="ED68" s="107"/>
      <c r="EE68" s="107"/>
      <c r="EF68" s="107"/>
      <c r="EG68" s="107"/>
      <c r="EH68" s="107"/>
      <c r="EI68" s="107"/>
      <c r="EJ68" s="107"/>
      <c r="EK68" s="107"/>
      <c r="EL68" s="107"/>
      <c r="EM68" s="107"/>
      <c r="EN68" s="107"/>
      <c r="EO68" s="107"/>
      <c r="EP68" s="107"/>
      <c r="EQ68" s="107"/>
      <c r="ER68" s="107"/>
      <c r="ES68" s="107"/>
      <c r="ET68" s="107"/>
      <c r="EU68" s="107"/>
      <c r="EV68" s="107"/>
      <c r="EW68" s="107"/>
      <c r="EX68" s="107"/>
      <c r="EY68" s="107"/>
      <c r="EZ68" s="107"/>
      <c r="FA68" s="107"/>
      <c r="FB68" s="107"/>
      <c r="FC68" s="107"/>
      <c r="FD68" s="107"/>
      <c r="FE68" s="107"/>
      <c r="FF68" s="107"/>
      <c r="FG68" s="107"/>
      <c r="FH68" s="107"/>
      <c r="FI68" s="107"/>
      <c r="FJ68" s="107"/>
      <c r="FK68" s="107"/>
      <c r="FL68" s="107"/>
      <c r="FM68" s="107"/>
      <c r="FN68" s="107"/>
      <c r="FO68" s="107"/>
      <c r="FP68" s="107"/>
      <c r="FQ68" s="107"/>
      <c r="FR68" s="107"/>
      <c r="FS68" s="107"/>
      <c r="FT68" s="107"/>
      <c r="FU68" s="107"/>
      <c r="FV68" s="107"/>
      <c r="FW68" s="107"/>
      <c r="FX68" s="107"/>
      <c r="FY68" s="107"/>
      <c r="FZ68" s="107"/>
      <c r="GA68" s="107"/>
      <c r="GB68" s="107"/>
      <c r="GC68" s="107"/>
      <c r="GD68" s="107"/>
      <c r="GE68" s="107"/>
      <c r="GF68" s="107"/>
      <c r="GG68" s="107"/>
      <c r="GH68" s="107"/>
      <c r="GI68" s="107"/>
      <c r="GJ68" s="107"/>
      <c r="GK68" s="107"/>
      <c r="GL68" s="107"/>
      <c r="GM68" s="107"/>
      <c r="GN68" s="107"/>
      <c r="GO68" s="107"/>
      <c r="GP68" s="107"/>
      <c r="GQ68" s="107"/>
      <c r="GR68" s="107"/>
      <c r="GS68" s="107"/>
      <c r="GT68" s="107"/>
      <c r="GU68" s="107"/>
      <c r="GV68" s="107"/>
      <c r="GW68" s="107"/>
      <c r="GX68" s="107"/>
      <c r="GY68" s="107"/>
      <c r="GZ68" s="107"/>
      <c r="HA68" s="107"/>
      <c r="HB68" s="107"/>
      <c r="HC68" s="107"/>
      <c r="HD68" s="107"/>
      <c r="HE68" s="107"/>
      <c r="HF68" s="107"/>
      <c r="HG68" s="107"/>
      <c r="HH68" s="107"/>
      <c r="HI68" s="107"/>
      <c r="HJ68" s="107"/>
      <c r="HK68" s="107"/>
      <c r="HL68" s="107"/>
      <c r="HM68" s="107"/>
      <c r="HN68" s="107"/>
      <c r="HO68" s="107"/>
      <c r="HP68" s="107"/>
      <c r="HQ68" s="107"/>
      <c r="HR68" s="107"/>
      <c r="HS68" s="107"/>
      <c r="HT68" s="107"/>
      <c r="HU68" s="107"/>
      <c r="HV68" s="107"/>
      <c r="HW68" s="107"/>
      <c r="HX68" s="107"/>
      <c r="HY68" s="107"/>
      <c r="HZ68" s="107"/>
      <c r="IA68" s="107"/>
      <c r="IB68" s="107"/>
      <c r="IC68" s="107"/>
      <c r="ID68" s="107"/>
      <c r="IE68" s="107"/>
      <c r="IF68" s="107"/>
      <c r="IG68" s="107"/>
      <c r="IH68" s="107"/>
      <c r="II68" s="107"/>
      <c r="IJ68" s="107"/>
      <c r="IK68" s="107"/>
      <c r="IL68" s="107"/>
      <c r="IM68" s="107"/>
      <c r="IN68" s="107"/>
      <c r="IO68" s="107"/>
      <c r="IP68" s="107"/>
      <c r="IQ68" s="107"/>
      <c r="IR68" s="107"/>
      <c r="IS68" s="107"/>
      <c r="IT68" s="107"/>
      <c r="IU68" s="107"/>
      <c r="IV68" s="107"/>
      <c r="IW68" s="107"/>
    </row>
    <row r="69" customFormat="false" ht="12.75" hidden="false" customHeight="false" outlineLevel="0" collapsed="false">
      <c r="A69" s="372"/>
      <c r="B69" s="14"/>
      <c r="C69" s="14"/>
      <c r="D69" s="14"/>
      <c r="E69" s="14"/>
      <c r="F69" s="14"/>
      <c r="G69" s="14"/>
      <c r="H69" s="430"/>
      <c r="I69" s="430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389"/>
      <c r="AP69" s="14"/>
      <c r="AQ69" s="14"/>
      <c r="AR69" s="14"/>
      <c r="AS69" s="398"/>
      <c r="AT69" s="398"/>
      <c r="AU69" s="398"/>
      <c r="AV69" s="398"/>
      <c r="AW69" s="398"/>
      <c r="AX69" s="398"/>
      <c r="AY69" s="398"/>
      <c r="AZ69" s="398"/>
      <c r="BA69" s="398"/>
      <c r="BB69" s="398"/>
      <c r="BC69" s="398"/>
      <c r="BD69" s="398"/>
      <c r="BE69" s="398"/>
      <c r="BF69" s="398"/>
      <c r="BG69" s="398"/>
      <c r="BH69" s="398"/>
      <c r="BI69" s="398"/>
      <c r="BJ69" s="398"/>
      <c r="BK69" s="398"/>
      <c r="BL69" s="398"/>
      <c r="BM69" s="398"/>
      <c r="BN69" s="398"/>
      <c r="BO69" s="398"/>
      <c r="BP69" s="398"/>
      <c r="BQ69" s="398"/>
      <c r="BR69" s="398"/>
      <c r="BS69" s="398"/>
      <c r="BT69" s="398"/>
      <c r="BU69" s="398"/>
      <c r="BV69" s="398"/>
      <c r="BW69" s="398"/>
      <c r="BX69" s="398"/>
      <c r="BY69" s="398"/>
      <c r="BZ69" s="398"/>
      <c r="CA69" s="398"/>
      <c r="CB69" s="398"/>
    </row>
    <row r="70" customFormat="false" ht="12.75" hidden="false" customHeight="false" outlineLevel="0" collapsed="false">
      <c r="A70" s="522" t="s">
        <v>134</v>
      </c>
      <c r="B70" s="646" t="n">
        <f aca="false">SUM(C68:AL68)</f>
        <v>965.041788978668</v>
      </c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647"/>
      <c r="AP70" s="14"/>
      <c r="AQ70" s="14"/>
      <c r="AR70" s="14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398"/>
    </row>
    <row r="72" customFormat="false" ht="12.75" hidden="false" customHeight="false" outlineLevel="0" collapsed="false">
      <c r="A72" s="14"/>
      <c r="B72" s="14"/>
      <c r="C72" s="14"/>
      <c r="D72" s="14"/>
      <c r="E72" s="648"/>
      <c r="F72" s="648"/>
      <c r="G72" s="648"/>
      <c r="H72" s="648"/>
      <c r="I72" s="648"/>
      <c r="J72" s="648"/>
      <c r="K72" s="648"/>
      <c r="L72" s="648"/>
      <c r="M72" s="648"/>
      <c r="N72" s="648"/>
      <c r="O72" s="648"/>
      <c r="P72" s="648"/>
      <c r="Q72" s="648"/>
      <c r="R72" s="648"/>
      <c r="S72" s="648"/>
      <c r="T72" s="648"/>
      <c r="U72" s="648"/>
      <c r="V72" s="648"/>
      <c r="W72" s="648"/>
      <c r="X72" s="648"/>
      <c r="Y72" s="648"/>
      <c r="Z72" s="648"/>
      <c r="AA72" s="648"/>
      <c r="AB72" s="648"/>
      <c r="AC72" s="648"/>
      <c r="AD72" s="648"/>
      <c r="AE72" s="648"/>
      <c r="AF72" s="648"/>
      <c r="AG72" s="648"/>
      <c r="AH72" s="648"/>
      <c r="AI72" s="648"/>
      <c r="AJ72" s="648"/>
      <c r="AK72" s="648"/>
      <c r="AL72" s="648"/>
      <c r="AM72" s="648"/>
      <c r="AP72" s="589"/>
      <c r="AQ72" s="14"/>
      <c r="AR72" s="14"/>
      <c r="AS72" s="107"/>
      <c r="AT72" s="580"/>
      <c r="AU72" s="580"/>
      <c r="AV72" s="580"/>
      <c r="AW72" s="580"/>
      <c r="AX72" s="580"/>
      <c r="AY72" s="580"/>
      <c r="AZ72" s="580"/>
      <c r="BA72" s="580"/>
      <c r="BB72" s="580"/>
      <c r="BC72" s="580"/>
      <c r="BD72" s="580"/>
      <c r="BE72" s="580"/>
      <c r="BF72" s="580"/>
      <c r="BG72" s="580"/>
      <c r="BH72" s="580"/>
      <c r="BI72" s="580"/>
      <c r="BJ72" s="580"/>
      <c r="BK72" s="580"/>
      <c r="BL72" s="580"/>
      <c r="BM72" s="580"/>
      <c r="BN72" s="580"/>
      <c r="BO72" s="580"/>
      <c r="BP72" s="580"/>
      <c r="BQ72" s="580"/>
      <c r="BR72" s="580"/>
      <c r="BS72" s="580"/>
      <c r="BT72" s="580"/>
      <c r="BU72" s="580"/>
      <c r="BV72" s="580"/>
      <c r="BW72" s="580"/>
      <c r="BX72" s="580"/>
      <c r="BY72" s="580"/>
      <c r="BZ72" s="580"/>
      <c r="CA72" s="580"/>
      <c r="CB72" s="580"/>
    </row>
    <row r="73" customFormat="false" ht="12.75" hidden="false" customHeight="false" outlineLevel="0" collapsed="false">
      <c r="A73" s="265"/>
      <c r="B73" s="265"/>
      <c r="C73" s="265"/>
      <c r="D73" s="265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P73" s="14"/>
      <c r="AQ73" s="14"/>
      <c r="AR73" s="14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31"/>
      <c r="BL73" s="131"/>
      <c r="BM73" s="131"/>
      <c r="BN73" s="131"/>
      <c r="BO73" s="131"/>
      <c r="BP73" s="131"/>
      <c r="BQ73" s="131"/>
      <c r="BR73" s="131"/>
      <c r="BS73" s="131"/>
      <c r="BT73" s="131"/>
      <c r="BU73" s="131"/>
      <c r="BV73" s="131"/>
      <c r="BW73" s="131"/>
      <c r="BX73" s="131"/>
      <c r="BY73" s="131"/>
      <c r="BZ73" s="131"/>
      <c r="CA73" s="131"/>
      <c r="CB73" s="131"/>
      <c r="CC73" s="427"/>
      <c r="CD73" s="427"/>
      <c r="CE73" s="427"/>
      <c r="CF73" s="427"/>
      <c r="CG73" s="427"/>
      <c r="CH73" s="427"/>
      <c r="CI73" s="427"/>
      <c r="CJ73" s="427"/>
      <c r="CK73" s="427"/>
      <c r="CL73" s="427"/>
      <c r="CM73" s="427"/>
      <c r="CN73" s="427"/>
      <c r="CO73" s="427"/>
      <c r="CP73" s="427"/>
      <c r="CQ73" s="427"/>
      <c r="CR73" s="427"/>
      <c r="CS73" s="427"/>
      <c r="CT73" s="427"/>
      <c r="CU73" s="427"/>
      <c r="CV73" s="427"/>
      <c r="CW73" s="427"/>
      <c r="CX73" s="427"/>
      <c r="CY73" s="427"/>
      <c r="CZ73" s="427"/>
      <c r="DA73" s="427"/>
      <c r="DB73" s="427"/>
      <c r="DC73" s="427"/>
      <c r="DD73" s="427"/>
      <c r="DE73" s="427"/>
      <c r="DF73" s="427"/>
      <c r="DG73" s="427"/>
      <c r="DH73" s="427"/>
      <c r="DI73" s="427"/>
      <c r="DJ73" s="427"/>
      <c r="DK73" s="427"/>
      <c r="DL73" s="427"/>
      <c r="DM73" s="427"/>
      <c r="DN73" s="427"/>
      <c r="DO73" s="427"/>
      <c r="DP73" s="427"/>
      <c r="DQ73" s="427"/>
      <c r="DR73" s="427"/>
      <c r="DS73" s="427"/>
      <c r="DT73" s="427"/>
      <c r="DU73" s="427"/>
      <c r="DV73" s="427"/>
      <c r="DW73" s="427"/>
      <c r="DX73" s="427"/>
      <c r="DY73" s="427"/>
      <c r="DZ73" s="427"/>
      <c r="EA73" s="427"/>
      <c r="EB73" s="427"/>
      <c r="EC73" s="427"/>
      <c r="ED73" s="427"/>
      <c r="EE73" s="427"/>
      <c r="EF73" s="427"/>
      <c r="EG73" s="427"/>
      <c r="EH73" s="427"/>
      <c r="EI73" s="427"/>
      <c r="EJ73" s="427"/>
      <c r="EK73" s="427"/>
      <c r="EL73" s="427"/>
      <c r="EM73" s="427"/>
      <c r="EN73" s="427"/>
      <c r="EO73" s="427"/>
      <c r="EP73" s="427"/>
      <c r="EQ73" s="427"/>
      <c r="ER73" s="427"/>
      <c r="ES73" s="427"/>
      <c r="ET73" s="427"/>
      <c r="EU73" s="427"/>
      <c r="EV73" s="427"/>
      <c r="EW73" s="427"/>
      <c r="EX73" s="427"/>
      <c r="EY73" s="427"/>
      <c r="EZ73" s="427"/>
      <c r="FA73" s="427"/>
      <c r="FB73" s="427"/>
      <c r="FC73" s="427"/>
      <c r="FD73" s="427"/>
      <c r="FE73" s="427"/>
      <c r="FF73" s="427"/>
      <c r="FG73" s="427"/>
      <c r="FH73" s="427"/>
      <c r="FI73" s="427"/>
      <c r="FJ73" s="427"/>
      <c r="FK73" s="427"/>
      <c r="FL73" s="427"/>
      <c r="FM73" s="427"/>
      <c r="FN73" s="427"/>
      <c r="FO73" s="427"/>
      <c r="FP73" s="427"/>
      <c r="FQ73" s="427"/>
      <c r="FR73" s="427"/>
      <c r="FS73" s="427"/>
      <c r="FT73" s="427"/>
      <c r="FU73" s="427"/>
      <c r="FV73" s="427"/>
      <c r="FW73" s="427"/>
      <c r="FX73" s="427"/>
      <c r="FY73" s="427"/>
      <c r="FZ73" s="427"/>
      <c r="GA73" s="427"/>
      <c r="GB73" s="427"/>
      <c r="GC73" s="427"/>
      <c r="GD73" s="427"/>
      <c r="GE73" s="427"/>
      <c r="GF73" s="427"/>
      <c r="GG73" s="427"/>
      <c r="GH73" s="427"/>
      <c r="GI73" s="427"/>
      <c r="GJ73" s="427"/>
      <c r="GK73" s="427"/>
      <c r="GL73" s="427"/>
      <c r="GM73" s="427"/>
      <c r="GN73" s="427"/>
      <c r="GO73" s="427"/>
      <c r="GP73" s="427"/>
      <c r="GQ73" s="427"/>
      <c r="GR73" s="427"/>
      <c r="GS73" s="427"/>
      <c r="GT73" s="427"/>
      <c r="GU73" s="427"/>
      <c r="GV73" s="427"/>
      <c r="GW73" s="427"/>
      <c r="GX73" s="427"/>
      <c r="GY73" s="427"/>
      <c r="GZ73" s="427"/>
      <c r="HA73" s="427"/>
      <c r="HB73" s="427"/>
      <c r="HC73" s="427"/>
      <c r="HD73" s="427"/>
      <c r="HE73" s="427"/>
      <c r="HF73" s="427"/>
      <c r="HG73" s="427"/>
      <c r="HH73" s="427"/>
      <c r="HI73" s="427"/>
      <c r="HJ73" s="427"/>
      <c r="HK73" s="427"/>
      <c r="HL73" s="427"/>
      <c r="HM73" s="427"/>
      <c r="HN73" s="427"/>
      <c r="HO73" s="427"/>
      <c r="HP73" s="427"/>
      <c r="HQ73" s="427"/>
      <c r="HR73" s="427"/>
      <c r="HS73" s="427"/>
      <c r="HT73" s="427"/>
      <c r="HU73" s="427"/>
      <c r="HV73" s="427"/>
      <c r="HW73" s="427"/>
      <c r="HX73" s="427"/>
      <c r="HY73" s="427"/>
      <c r="HZ73" s="427"/>
      <c r="IA73" s="427"/>
      <c r="IB73" s="427"/>
      <c r="IC73" s="427"/>
      <c r="ID73" s="427"/>
      <c r="IE73" s="427"/>
      <c r="IF73" s="427"/>
      <c r="IG73" s="427"/>
      <c r="IH73" s="427"/>
      <c r="II73" s="427"/>
      <c r="IJ73" s="427"/>
      <c r="IK73" s="427"/>
      <c r="IL73" s="427"/>
      <c r="IM73" s="427"/>
      <c r="IN73" s="427"/>
      <c r="IO73" s="427"/>
      <c r="IP73" s="427"/>
      <c r="IQ73" s="427"/>
      <c r="IR73" s="427"/>
      <c r="IS73" s="427"/>
      <c r="IT73" s="427"/>
      <c r="IU73" s="427"/>
      <c r="IV73" s="427"/>
      <c r="IW73" s="427"/>
    </row>
    <row r="74" customFormat="false" ht="12.7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P74" s="14"/>
      <c r="AQ74" s="14"/>
      <c r="AR74" s="14"/>
      <c r="AS74" s="398"/>
      <c r="AT74" s="398"/>
      <c r="AU74" s="398"/>
      <c r="AV74" s="398"/>
      <c r="AW74" s="398"/>
      <c r="AX74" s="398"/>
      <c r="AY74" s="398"/>
      <c r="AZ74" s="398"/>
      <c r="BA74" s="398"/>
      <c r="BB74" s="398"/>
      <c r="BC74" s="398"/>
      <c r="BD74" s="398"/>
      <c r="BE74" s="398"/>
      <c r="BF74" s="398"/>
      <c r="BG74" s="398"/>
      <c r="BH74" s="398"/>
      <c r="BI74" s="398"/>
      <c r="BJ74" s="398"/>
      <c r="BK74" s="398"/>
      <c r="BL74" s="398"/>
      <c r="BM74" s="398"/>
      <c r="BN74" s="398"/>
      <c r="BO74" s="398"/>
      <c r="BP74" s="398"/>
      <c r="BQ74" s="398"/>
      <c r="BR74" s="398"/>
      <c r="BS74" s="398"/>
      <c r="BT74" s="398"/>
      <c r="BU74" s="398"/>
      <c r="BV74" s="398"/>
      <c r="BW74" s="398"/>
      <c r="BX74" s="398"/>
      <c r="BY74" s="398"/>
      <c r="BZ74" s="398"/>
      <c r="CA74" s="398"/>
      <c r="CB74" s="398"/>
    </row>
    <row r="75" customFormat="false" ht="12.75" hidden="false" customHeight="false" outlineLevel="0" collapsed="false">
      <c r="A75" s="14"/>
      <c r="B75" s="14"/>
      <c r="C75" s="14"/>
      <c r="D75" s="1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P75" s="14"/>
      <c r="AQ75" s="14"/>
      <c r="AR75" s="14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398"/>
    </row>
    <row r="76" customFormat="false" ht="15" hidden="false" customHeight="false" outlineLevel="0" collapsed="false">
      <c r="A76" s="14"/>
      <c r="B76" s="14"/>
      <c r="C76" s="14"/>
      <c r="D76" s="14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</row>
    <row r="77" customFormat="false" ht="12.75" hidden="false" customHeight="false" outlineLevel="0" collapsed="false">
      <c r="A77" s="14"/>
      <c r="B77" s="14"/>
      <c r="C77" s="14"/>
      <c r="D77" s="14"/>
      <c r="E77" s="398"/>
      <c r="F77" s="398"/>
      <c r="G77" s="398"/>
      <c r="H77" s="398"/>
      <c r="I77" s="398"/>
      <c r="J77" s="398"/>
      <c r="K77" s="398"/>
      <c r="L77" s="398"/>
      <c r="M77" s="398"/>
      <c r="N77" s="398"/>
      <c r="O77" s="398"/>
      <c r="P77" s="398"/>
      <c r="Q77" s="398"/>
      <c r="R77" s="398"/>
      <c r="S77" s="398"/>
      <c r="T77" s="398"/>
      <c r="U77" s="398"/>
      <c r="V77" s="398"/>
      <c r="W77" s="398"/>
      <c r="X77" s="398"/>
      <c r="Y77" s="398"/>
      <c r="Z77" s="398"/>
      <c r="AA77" s="398"/>
      <c r="AB77" s="398"/>
      <c r="AC77" s="398"/>
      <c r="AD77" s="398"/>
      <c r="AE77" s="398"/>
      <c r="AF77" s="398"/>
      <c r="AG77" s="398"/>
      <c r="AH77" s="398"/>
      <c r="AI77" s="398"/>
      <c r="AJ77" s="398"/>
      <c r="AK77" s="398"/>
      <c r="AL77" s="398"/>
      <c r="AM77" s="398"/>
    </row>
    <row r="78" customFormat="false" ht="12.7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customFormat="false" ht="12.75" hidden="false" customHeight="false" outlineLevel="0" collapsed="false">
      <c r="A79" s="14"/>
      <c r="B79" s="39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</row>
    <row r="80" customFormat="false" ht="12.75" hidden="false" customHeight="false" outlineLevel="0" collapsed="false">
      <c r="A80" s="14"/>
      <c r="B80" s="39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</row>
    <row r="81" customFormat="false" ht="12.75" hidden="false" customHeight="false" outlineLevel="0" collapsed="false">
      <c r="A81" s="14"/>
      <c r="B81" s="39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</row>
    <row r="82" customFormat="false" ht="12.7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</row>
    <row r="83" customFormat="false" ht="12.7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</row>
    <row r="84" customFormat="false" ht="12.7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</row>
    <row r="85" customFormat="false" ht="12.7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</row>
    <row r="86" customFormat="false" ht="12.7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</row>
    <row r="87" customFormat="false" ht="12.75" hidden="false" customHeight="false" outlineLevel="0" collapsed="false">
      <c r="A87" s="265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</row>
    <row r="88" customFormat="false" ht="12.75" hidden="false" customHeight="false" outlineLevel="0" collapsed="false">
      <c r="A88" s="265"/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  <c r="AJ88" s="265"/>
      <c r="AK88" s="265"/>
      <c r="AL88" s="265"/>
      <c r="AM88" s="265"/>
    </row>
    <row r="89" customFormat="false" ht="15.75" hidden="false" customHeight="false" outlineLevel="0" collapsed="false">
      <c r="A89" s="446"/>
      <c r="B89" s="265"/>
      <c r="C89" s="265"/>
      <c r="D89" s="265"/>
      <c r="E89" s="122"/>
      <c r="F89" s="122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  <c r="AJ89" s="265"/>
      <c r="AK89" s="265"/>
      <c r="AL89" s="265"/>
      <c r="AM89" s="265"/>
    </row>
    <row r="90" customFormat="false" ht="15.75" hidden="false" customHeight="false" outlineLevel="0" collapsed="false">
      <c r="A90" s="446"/>
      <c r="B90" s="265"/>
      <c r="C90" s="265"/>
      <c r="D90" s="265"/>
      <c r="E90" s="122"/>
      <c r="F90" s="122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  <c r="AJ90" s="265"/>
      <c r="AK90" s="265"/>
      <c r="AL90" s="265"/>
      <c r="AM90" s="265"/>
    </row>
    <row r="91" customFormat="false" ht="15.75" hidden="false" customHeight="false" outlineLevel="0" collapsed="false">
      <c r="A91" s="446"/>
      <c r="B91" s="265"/>
      <c r="C91" s="265"/>
      <c r="D91" s="265"/>
      <c r="E91" s="122"/>
      <c r="F91" s="122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  <c r="AJ91" s="265"/>
      <c r="AK91" s="265"/>
      <c r="AL91" s="265"/>
      <c r="AM91" s="265"/>
    </row>
    <row r="92" customFormat="false" ht="12.75" hidden="false" customHeight="false" outlineLevel="0" collapsed="false">
      <c r="A92" s="265"/>
      <c r="B92" s="265"/>
      <c r="C92" s="265"/>
      <c r="D92" s="265"/>
      <c r="E92" s="122"/>
      <c r="F92" s="122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  <c r="AJ92" s="265"/>
      <c r="AK92" s="265"/>
      <c r="AL92" s="265"/>
      <c r="AM92" s="265"/>
    </row>
    <row r="93" customFormat="false" ht="12.75" hidden="false" customHeight="false" outlineLevel="0" collapsed="false">
      <c r="A93" s="265"/>
      <c r="B93" s="649"/>
      <c r="C93" s="649"/>
      <c r="D93" s="265"/>
      <c r="E93" s="122"/>
      <c r="F93" s="122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  <c r="AJ93" s="265"/>
      <c r="AK93" s="265"/>
      <c r="AL93" s="265"/>
      <c r="AM93" s="265"/>
    </row>
    <row r="94" customFormat="false" ht="12.75" hidden="false" customHeight="false" outlineLevel="0" collapsed="false">
      <c r="A94" s="265"/>
      <c r="B94" s="274"/>
      <c r="C94" s="274"/>
      <c r="D94" s="452"/>
      <c r="E94" s="265"/>
      <c r="F94" s="122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  <c r="AJ94" s="265"/>
      <c r="AK94" s="265"/>
      <c r="AL94" s="265"/>
      <c r="AM94" s="265"/>
    </row>
    <row r="95" customFormat="false" ht="12.75" hidden="false" customHeight="false" outlineLevel="0" collapsed="false">
      <c r="A95" s="265"/>
      <c r="B95" s="265"/>
      <c r="C95" s="423"/>
      <c r="D95" s="265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</row>
    <row r="96" customFormat="false" ht="12.75" hidden="false" customHeight="false" outlineLevel="0" collapsed="false">
      <c r="A96" s="265"/>
      <c r="B96" s="265"/>
      <c r="C96" s="122"/>
      <c r="D96" s="265"/>
      <c r="E96" s="265"/>
      <c r="F96" s="423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423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  <c r="AJ96" s="265"/>
      <c r="AK96" s="265"/>
      <c r="AL96" s="265"/>
      <c r="AM96" s="265"/>
    </row>
    <row r="97" customFormat="false" ht="12.75" hidden="false" customHeight="false" outlineLevel="0" collapsed="false">
      <c r="A97" s="265"/>
      <c r="B97" s="265"/>
      <c r="C97" s="423"/>
      <c r="D97" s="265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</row>
    <row r="98" customFormat="false" ht="12.75" hidden="false" customHeight="false" outlineLevel="0" collapsed="false">
      <c r="A98" s="435"/>
      <c r="B98" s="265"/>
      <c r="C98" s="265"/>
      <c r="D98" s="265"/>
      <c r="E98" s="92"/>
      <c r="F98" s="650"/>
      <c r="G98" s="650"/>
      <c r="H98" s="650"/>
      <c r="I98" s="650"/>
      <c r="J98" s="650"/>
      <c r="K98" s="650"/>
      <c r="L98" s="650"/>
      <c r="M98" s="650"/>
      <c r="N98" s="650"/>
      <c r="O98" s="650"/>
      <c r="P98" s="650"/>
      <c r="Q98" s="650"/>
      <c r="R98" s="650"/>
      <c r="S98" s="650"/>
      <c r="T98" s="650"/>
      <c r="U98" s="650"/>
      <c r="V98" s="650"/>
      <c r="W98" s="650"/>
      <c r="X98" s="650"/>
      <c r="Y98" s="650"/>
      <c r="Z98" s="650"/>
      <c r="AA98" s="650"/>
      <c r="AB98" s="650"/>
      <c r="AC98" s="650"/>
      <c r="AD98" s="650"/>
      <c r="AE98" s="650"/>
      <c r="AF98" s="650"/>
      <c r="AG98" s="650"/>
      <c r="AH98" s="650"/>
      <c r="AI98" s="650"/>
      <c r="AJ98" s="650"/>
      <c r="AK98" s="650"/>
      <c r="AL98" s="650"/>
      <c r="AM98" s="650"/>
    </row>
    <row r="99" customFormat="false" ht="12.75" hidden="false" customHeight="false" outlineLevel="0" collapsed="false">
      <c r="A99" s="265"/>
      <c r="B99" s="265"/>
      <c r="C99" s="265"/>
      <c r="D99" s="265"/>
      <c r="E99" s="651"/>
      <c r="F99" s="651"/>
      <c r="G99" s="651"/>
      <c r="H99" s="651"/>
      <c r="I99" s="651"/>
      <c r="J99" s="651"/>
      <c r="K99" s="651"/>
      <c r="L99" s="651"/>
      <c r="M99" s="651"/>
      <c r="N99" s="651"/>
      <c r="O99" s="651"/>
      <c r="P99" s="651"/>
      <c r="Q99" s="651"/>
      <c r="R99" s="651"/>
      <c r="S99" s="651"/>
      <c r="T99" s="651"/>
      <c r="U99" s="651"/>
      <c r="V99" s="651"/>
      <c r="W99" s="651"/>
      <c r="X99" s="651"/>
      <c r="Y99" s="651"/>
      <c r="Z99" s="651"/>
      <c r="AA99" s="651"/>
      <c r="AB99" s="651"/>
      <c r="AC99" s="651"/>
      <c r="AD99" s="651"/>
      <c r="AE99" s="651"/>
      <c r="AF99" s="651"/>
      <c r="AG99" s="651"/>
      <c r="AH99" s="651"/>
      <c r="AI99" s="651"/>
      <c r="AJ99" s="651"/>
      <c r="AK99" s="651"/>
      <c r="AL99" s="651"/>
      <c r="AM99" s="651"/>
    </row>
    <row r="100" customFormat="false" ht="12.75" hidden="false" customHeight="false" outlineLevel="0" collapsed="false">
      <c r="A100" s="652"/>
      <c r="B100" s="340"/>
      <c r="C100" s="340"/>
      <c r="D100" s="340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  <c r="AJ100" s="265"/>
      <c r="AK100" s="265"/>
      <c r="AL100" s="265"/>
      <c r="AM100" s="265"/>
    </row>
    <row r="101" customFormat="false" ht="12.75" hidden="false" customHeight="false" outlineLevel="0" collapsed="false">
      <c r="A101" s="265"/>
      <c r="B101" s="265"/>
      <c r="C101" s="265"/>
      <c r="D101" s="265"/>
      <c r="E101" s="94"/>
      <c r="F101" s="650"/>
      <c r="G101" s="650"/>
      <c r="H101" s="650"/>
      <c r="I101" s="650"/>
      <c r="J101" s="650"/>
      <c r="K101" s="650"/>
      <c r="L101" s="650"/>
      <c r="M101" s="650"/>
      <c r="N101" s="650"/>
      <c r="O101" s="650"/>
      <c r="P101" s="650"/>
      <c r="Q101" s="650"/>
      <c r="R101" s="650"/>
      <c r="S101" s="650"/>
      <c r="T101" s="650"/>
      <c r="U101" s="650"/>
      <c r="V101" s="650"/>
      <c r="W101" s="650"/>
      <c r="X101" s="650"/>
      <c r="Y101" s="650"/>
      <c r="Z101" s="650"/>
      <c r="AA101" s="650"/>
      <c r="AB101" s="650"/>
      <c r="AC101" s="650"/>
      <c r="AD101" s="650"/>
      <c r="AE101" s="650"/>
      <c r="AF101" s="650"/>
      <c r="AG101" s="650"/>
      <c r="AH101" s="650"/>
      <c r="AI101" s="650"/>
      <c r="AJ101" s="650"/>
      <c r="AK101" s="650"/>
      <c r="AL101" s="650"/>
      <c r="AM101" s="650"/>
    </row>
    <row r="102" customFormat="false" ht="12.75" hidden="false" customHeight="false" outlineLevel="0" collapsed="false">
      <c r="A102" s="265"/>
      <c r="B102" s="265"/>
      <c r="C102" s="265"/>
      <c r="D102" s="265"/>
      <c r="E102" s="653"/>
      <c r="F102" s="653"/>
      <c r="G102" s="653"/>
      <c r="H102" s="653"/>
      <c r="I102" s="653"/>
      <c r="J102" s="653"/>
      <c r="K102" s="653"/>
      <c r="L102" s="653"/>
      <c r="M102" s="653"/>
      <c r="N102" s="653"/>
      <c r="O102" s="653"/>
      <c r="P102" s="653"/>
      <c r="Q102" s="653"/>
      <c r="R102" s="653"/>
      <c r="S102" s="653"/>
      <c r="T102" s="653"/>
      <c r="U102" s="653"/>
      <c r="V102" s="653"/>
      <c r="W102" s="653"/>
      <c r="X102" s="653"/>
      <c r="Y102" s="653"/>
      <c r="Z102" s="653"/>
      <c r="AA102" s="653"/>
      <c r="AB102" s="653"/>
      <c r="AC102" s="653"/>
      <c r="AD102" s="653"/>
      <c r="AE102" s="653"/>
      <c r="AF102" s="653"/>
      <c r="AG102" s="653"/>
      <c r="AH102" s="653"/>
      <c r="AI102" s="653"/>
      <c r="AJ102" s="653"/>
      <c r="AK102" s="653"/>
      <c r="AL102" s="653"/>
      <c r="AM102" s="653"/>
    </row>
    <row r="103" customFormat="false" ht="12.75" hidden="false" customHeight="false" outlineLevel="0" collapsed="false">
      <c r="A103" s="265"/>
      <c r="B103" s="340"/>
      <c r="C103" s="340"/>
      <c r="D103" s="654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</row>
    <row r="104" customFormat="false" ht="12.75" hidden="false" customHeight="false" outlineLevel="0" collapsed="false">
      <c r="A104" s="265"/>
      <c r="B104" s="265"/>
      <c r="C104" s="265"/>
      <c r="D104" s="265"/>
      <c r="E104" s="650"/>
      <c r="F104" s="650"/>
      <c r="G104" s="650"/>
      <c r="H104" s="650"/>
      <c r="I104" s="650"/>
      <c r="J104" s="650"/>
      <c r="K104" s="650"/>
      <c r="L104" s="650"/>
      <c r="M104" s="650"/>
      <c r="N104" s="650"/>
      <c r="O104" s="650"/>
      <c r="P104" s="650"/>
      <c r="Q104" s="650"/>
      <c r="R104" s="650"/>
      <c r="S104" s="650"/>
      <c r="T104" s="650"/>
      <c r="U104" s="650"/>
      <c r="V104" s="650"/>
      <c r="W104" s="650"/>
      <c r="X104" s="650"/>
      <c r="Y104" s="650"/>
      <c r="Z104" s="650"/>
      <c r="AA104" s="650"/>
      <c r="AB104" s="650"/>
      <c r="AC104" s="650"/>
      <c r="AD104" s="650"/>
      <c r="AE104" s="650"/>
      <c r="AF104" s="650"/>
      <c r="AG104" s="650"/>
      <c r="AH104" s="650"/>
      <c r="AI104" s="650"/>
      <c r="AJ104" s="650"/>
      <c r="AK104" s="650"/>
      <c r="AL104" s="650"/>
      <c r="AM104" s="650"/>
    </row>
    <row r="105" customFormat="false" ht="12.75" hidden="false" customHeight="false" outlineLevel="0" collapsed="false">
      <c r="A105" s="265"/>
      <c r="B105" s="265"/>
      <c r="C105" s="265"/>
      <c r="D105" s="265"/>
      <c r="E105" s="122"/>
      <c r="F105" s="122"/>
      <c r="G105" s="265"/>
      <c r="H105" s="265"/>
      <c r="I105" s="265"/>
      <c r="J105" s="426"/>
      <c r="K105" s="426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  <c r="AJ105" s="265"/>
      <c r="AK105" s="265"/>
      <c r="AL105" s="265"/>
      <c r="AM105" s="265"/>
    </row>
    <row r="106" customFormat="false" ht="12.75" hidden="false" customHeight="false" outlineLevel="0" collapsed="false">
      <c r="A106" s="655"/>
      <c r="B106" s="265"/>
      <c r="C106" s="265"/>
      <c r="D106" s="265"/>
      <c r="E106" s="302"/>
      <c r="F106" s="302"/>
      <c r="G106" s="265"/>
      <c r="H106" s="265"/>
      <c r="I106" s="265"/>
      <c r="J106" s="265"/>
      <c r="K106" s="426"/>
      <c r="L106" s="452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  <c r="AJ106" s="265"/>
      <c r="AK106" s="265"/>
      <c r="AL106" s="265"/>
      <c r="AM106" s="265"/>
    </row>
    <row r="107" customFormat="false" ht="12.75" hidden="false" customHeight="false" outlineLevel="0" collapsed="false">
      <c r="A107" s="265"/>
      <c r="B107" s="265"/>
      <c r="C107" s="265"/>
      <c r="D107" s="265"/>
      <c r="E107" s="268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274"/>
      <c r="AH107" s="274"/>
      <c r="AI107" s="274"/>
      <c r="AJ107" s="274"/>
      <c r="AK107" s="274"/>
      <c r="AL107" s="274"/>
      <c r="AM107" s="274"/>
    </row>
    <row r="108" customFormat="false" ht="12.75" hidden="false" customHeight="false" outlineLevel="0" collapsed="false">
      <c r="A108" s="265"/>
      <c r="B108" s="265"/>
      <c r="C108" s="265"/>
      <c r="D108" s="452"/>
      <c r="E108" s="274"/>
      <c r="F108" s="274"/>
      <c r="G108" s="274"/>
      <c r="H108" s="274"/>
      <c r="I108" s="274"/>
      <c r="J108" s="656"/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74"/>
      <c r="AH108" s="274"/>
      <c r="AI108" s="274"/>
      <c r="AJ108" s="274"/>
      <c r="AK108" s="274"/>
      <c r="AL108" s="274"/>
      <c r="AM108" s="274"/>
    </row>
    <row r="109" customFormat="false" ht="15" hidden="false" customHeight="false" outlineLevel="0" collapsed="false">
      <c r="A109" s="265"/>
      <c r="B109" s="265"/>
      <c r="C109" s="265"/>
      <c r="D109" s="265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</row>
    <row r="110" customFormat="false" ht="12.75" hidden="false" customHeight="false" outlineLevel="0" collapsed="false">
      <c r="A110" s="435"/>
      <c r="B110" s="265"/>
      <c r="C110" s="265"/>
      <c r="D110" s="265"/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Q110" s="274"/>
      <c r="R110" s="274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274"/>
      <c r="AJ110" s="274"/>
      <c r="AK110" s="274"/>
      <c r="AL110" s="274"/>
      <c r="AM110" s="274"/>
    </row>
    <row r="111" customFormat="false" ht="12.75" hidden="false" customHeight="false" outlineLevel="0" collapsed="false">
      <c r="A111" s="435"/>
      <c r="B111" s="265"/>
      <c r="C111" s="265"/>
      <c r="D111" s="265"/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Q111" s="274"/>
      <c r="R111" s="274"/>
      <c r="S111" s="274"/>
      <c r="T111" s="274"/>
      <c r="U111" s="274"/>
      <c r="V111" s="274"/>
      <c r="W111" s="274"/>
      <c r="X111" s="274"/>
      <c r="Y111" s="274"/>
      <c r="Z111" s="274"/>
      <c r="AA111" s="274"/>
      <c r="AB111" s="274"/>
      <c r="AC111" s="274"/>
      <c r="AD111" s="274"/>
      <c r="AE111" s="274"/>
      <c r="AF111" s="274"/>
      <c r="AG111" s="274"/>
      <c r="AH111" s="274"/>
      <c r="AI111" s="274"/>
      <c r="AJ111" s="274"/>
      <c r="AK111" s="274"/>
      <c r="AL111" s="274"/>
      <c r="AM111" s="274"/>
    </row>
    <row r="112" customFormat="false" ht="12.75" hidden="false" customHeight="false" outlineLevel="0" collapsed="false">
      <c r="A112" s="657"/>
      <c r="B112" s="423"/>
      <c r="C112" s="423"/>
      <c r="D112" s="423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</row>
    <row r="113" customFormat="false" ht="12.75" hidden="false" customHeight="false" outlineLevel="0" collapsed="false">
      <c r="A113" s="435"/>
      <c r="B113" s="265"/>
      <c r="C113" s="265"/>
      <c r="D113" s="265"/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/>
      <c r="X113" s="274"/>
      <c r="Y113" s="274"/>
      <c r="Z113" s="274"/>
      <c r="AA113" s="274"/>
      <c r="AB113" s="274"/>
      <c r="AC113" s="274"/>
      <c r="AD113" s="274"/>
      <c r="AE113" s="274"/>
      <c r="AF113" s="274"/>
      <c r="AG113" s="274"/>
      <c r="AH113" s="274"/>
      <c r="AI113" s="274"/>
      <c r="AJ113" s="274"/>
      <c r="AK113" s="274"/>
      <c r="AL113" s="274"/>
      <c r="AM113" s="274"/>
    </row>
    <row r="114" customFormat="false" ht="12.75" hidden="false" customHeight="false" outlineLevel="0" collapsed="false">
      <c r="A114" s="652"/>
      <c r="B114" s="265"/>
      <c r="C114" s="265"/>
      <c r="D114" s="265"/>
      <c r="E114" s="658"/>
      <c r="F114" s="658"/>
      <c r="G114" s="658"/>
      <c r="H114" s="658"/>
      <c r="I114" s="658"/>
      <c r="J114" s="658"/>
      <c r="K114" s="658"/>
      <c r="L114" s="658"/>
      <c r="M114" s="658"/>
      <c r="N114" s="658"/>
      <c r="O114" s="658"/>
      <c r="P114" s="658"/>
      <c r="Q114" s="658"/>
      <c r="R114" s="658"/>
      <c r="S114" s="658"/>
      <c r="T114" s="658"/>
      <c r="U114" s="658"/>
      <c r="V114" s="658"/>
      <c r="W114" s="658"/>
      <c r="X114" s="658"/>
      <c r="Y114" s="658"/>
      <c r="Z114" s="658"/>
      <c r="AA114" s="658"/>
      <c r="AB114" s="658"/>
      <c r="AC114" s="658"/>
      <c r="AD114" s="658"/>
      <c r="AE114" s="658"/>
      <c r="AF114" s="658"/>
      <c r="AG114" s="658"/>
      <c r="AH114" s="658"/>
      <c r="AI114" s="658"/>
      <c r="AJ114" s="658"/>
      <c r="AK114" s="658"/>
      <c r="AL114" s="658"/>
      <c r="AM114" s="658"/>
    </row>
    <row r="115" customFormat="false" ht="12.75" hidden="false" customHeight="false" outlineLevel="0" collapsed="false">
      <c r="A115" s="435"/>
      <c r="B115" s="265"/>
      <c r="C115" s="265"/>
      <c r="D115" s="265"/>
      <c r="E115" s="288"/>
      <c r="F115" s="452"/>
      <c r="G115" s="452"/>
      <c r="H115" s="452"/>
      <c r="I115" s="452"/>
      <c r="J115" s="452"/>
      <c r="K115" s="452"/>
      <c r="L115" s="452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452"/>
      <c r="Z115" s="452"/>
      <c r="AA115" s="452"/>
      <c r="AB115" s="452"/>
      <c r="AC115" s="452"/>
      <c r="AD115" s="452"/>
      <c r="AE115" s="452"/>
      <c r="AF115" s="452"/>
      <c r="AG115" s="452"/>
      <c r="AH115" s="452"/>
      <c r="AI115" s="452"/>
      <c r="AJ115" s="452"/>
      <c r="AK115" s="452"/>
      <c r="AL115" s="452"/>
      <c r="AM115" s="452"/>
    </row>
    <row r="116" customFormat="false" ht="12.75" hidden="false" customHeight="false" outlineLevel="0" collapsed="false">
      <c r="A116" s="435"/>
      <c r="B116" s="265"/>
      <c r="C116" s="265"/>
      <c r="D116" s="265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4"/>
      <c r="AF116" s="274"/>
      <c r="AG116" s="274"/>
      <c r="AH116" s="274"/>
      <c r="AI116" s="274"/>
      <c r="AJ116" s="274"/>
      <c r="AK116" s="274"/>
      <c r="AL116" s="274"/>
      <c r="AM116" s="274"/>
    </row>
    <row r="117" customFormat="false" ht="15" hidden="false" customHeight="false" outlineLevel="0" collapsed="false">
      <c r="A117" s="435"/>
      <c r="B117" s="265"/>
      <c r="C117" s="265"/>
      <c r="D117" s="265"/>
      <c r="E117" s="659"/>
      <c r="F117" s="659"/>
      <c r="G117" s="659"/>
      <c r="H117" s="659"/>
      <c r="I117" s="659"/>
      <c r="J117" s="659"/>
      <c r="K117" s="659"/>
      <c r="L117" s="659"/>
      <c r="M117" s="659"/>
      <c r="N117" s="659"/>
      <c r="O117" s="659"/>
      <c r="P117" s="659"/>
      <c r="Q117" s="659"/>
      <c r="R117" s="659"/>
      <c r="S117" s="659"/>
      <c r="T117" s="659"/>
      <c r="U117" s="659"/>
      <c r="V117" s="659"/>
      <c r="W117" s="659"/>
      <c r="X117" s="659"/>
      <c r="Y117" s="659"/>
      <c r="Z117" s="659"/>
      <c r="AA117" s="659"/>
      <c r="AB117" s="659"/>
      <c r="AC117" s="659"/>
      <c r="AD117" s="659"/>
      <c r="AE117" s="659"/>
      <c r="AF117" s="659"/>
      <c r="AG117" s="659"/>
      <c r="AH117" s="659"/>
      <c r="AI117" s="659"/>
      <c r="AJ117" s="659"/>
      <c r="AK117" s="659"/>
      <c r="AL117" s="659"/>
      <c r="AM117" s="659"/>
    </row>
    <row r="118" customFormat="false" ht="12.75" hidden="false" customHeight="false" outlineLevel="0" collapsed="false">
      <c r="A118" s="435"/>
      <c r="B118" s="265"/>
      <c r="C118" s="265"/>
      <c r="D118" s="265"/>
      <c r="E118" s="452"/>
      <c r="F118" s="452"/>
      <c r="G118" s="452"/>
      <c r="H118" s="452"/>
      <c r="I118" s="452"/>
      <c r="J118" s="452"/>
      <c r="K118" s="452"/>
      <c r="L118" s="452"/>
      <c r="M118" s="452"/>
      <c r="N118" s="452"/>
      <c r="O118" s="452"/>
      <c r="P118" s="452"/>
      <c r="Q118" s="452"/>
      <c r="R118" s="452"/>
      <c r="S118" s="452"/>
      <c r="T118" s="452"/>
      <c r="U118" s="452"/>
      <c r="V118" s="452"/>
      <c r="W118" s="452"/>
      <c r="X118" s="452"/>
      <c r="Y118" s="452"/>
      <c r="Z118" s="452"/>
      <c r="AA118" s="452"/>
      <c r="AB118" s="452"/>
      <c r="AC118" s="452"/>
      <c r="AD118" s="452"/>
      <c r="AE118" s="452"/>
      <c r="AF118" s="452"/>
      <c r="AG118" s="452"/>
      <c r="AH118" s="452"/>
      <c r="AI118" s="452"/>
      <c r="AJ118" s="452"/>
      <c r="AK118" s="452"/>
      <c r="AL118" s="452"/>
      <c r="AM118" s="452"/>
    </row>
    <row r="119" customFormat="false" ht="12.75" hidden="false" customHeight="false" outlineLevel="0" collapsed="false">
      <c r="A119" s="435"/>
      <c r="B119" s="265"/>
      <c r="C119" s="265"/>
      <c r="D119" s="265"/>
      <c r="E119" s="274"/>
      <c r="F119" s="274"/>
      <c r="G119" s="274"/>
      <c r="H119" s="274"/>
      <c r="I119" s="274"/>
      <c r="J119" s="274"/>
      <c r="K119" s="274"/>
      <c r="L119" s="274"/>
      <c r="M119" s="274"/>
      <c r="N119" s="274"/>
      <c r="O119" s="274"/>
      <c r="P119" s="274"/>
      <c r="Q119" s="274"/>
      <c r="R119" s="274"/>
      <c r="S119" s="274"/>
      <c r="T119" s="274"/>
      <c r="U119" s="274"/>
      <c r="V119" s="274"/>
      <c r="W119" s="274"/>
      <c r="X119" s="274"/>
      <c r="Y119" s="274"/>
      <c r="Z119" s="274"/>
      <c r="AA119" s="274"/>
      <c r="AB119" s="274"/>
      <c r="AC119" s="274"/>
      <c r="AD119" s="274"/>
      <c r="AE119" s="274"/>
      <c r="AF119" s="274"/>
      <c r="AG119" s="274"/>
      <c r="AH119" s="274"/>
      <c r="AI119" s="274"/>
      <c r="AJ119" s="274"/>
      <c r="AK119" s="274"/>
      <c r="AL119" s="274"/>
      <c r="AM119" s="274"/>
    </row>
    <row r="120" customFormat="false" ht="12.75" hidden="false" customHeight="false" outlineLevel="0" collapsed="false">
      <c r="A120" s="657"/>
      <c r="B120" s="423"/>
      <c r="C120" s="423"/>
      <c r="D120" s="423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</row>
    <row r="121" customFormat="false" ht="12.75" hidden="false" customHeight="false" outlineLevel="0" collapsed="false">
      <c r="A121" s="657"/>
      <c r="B121" s="423"/>
      <c r="C121" s="423"/>
      <c r="D121" s="423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</row>
    <row r="122" customFormat="false" ht="12.75" hidden="false" customHeight="false" outlineLevel="0" collapsed="false">
      <c r="A122" s="265"/>
      <c r="B122" s="265"/>
      <c r="C122" s="265"/>
      <c r="D122" s="265"/>
      <c r="E122" s="265"/>
      <c r="F122" s="265"/>
      <c r="G122" s="265"/>
      <c r="H122" s="265"/>
      <c r="I122" s="265"/>
      <c r="J122" s="265"/>
      <c r="K122" s="452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  <c r="AJ122" s="265"/>
      <c r="AK122" s="265"/>
      <c r="AL122" s="265"/>
      <c r="AM122" s="265"/>
    </row>
    <row r="123" customFormat="false" ht="12.75" hidden="false" customHeight="false" outlineLevel="0" collapsed="false">
      <c r="A123" s="435"/>
      <c r="B123" s="265"/>
      <c r="C123" s="265"/>
      <c r="D123" s="265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</row>
    <row r="124" customFormat="false" ht="12.75" hidden="false" customHeight="false" outlineLevel="0" collapsed="false">
      <c r="A124" s="265"/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  <c r="AJ124" s="265"/>
      <c r="AK124" s="265"/>
      <c r="AL124" s="265"/>
      <c r="AM124" s="265"/>
    </row>
    <row r="125" customFormat="false" ht="12.75" hidden="false" customHeight="false" outlineLevel="0" collapsed="false">
      <c r="A125" s="425"/>
      <c r="B125" s="450"/>
      <c r="C125" s="634"/>
      <c r="D125" s="426"/>
      <c r="E125" s="265"/>
      <c r="F125" s="265"/>
      <c r="G125" s="637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660"/>
      <c r="T125" s="660"/>
      <c r="U125" s="660"/>
      <c r="V125" s="660"/>
      <c r="W125" s="660"/>
      <c r="X125" s="660"/>
      <c r="Y125" s="660"/>
      <c r="Z125" s="660"/>
      <c r="AA125" s="660"/>
      <c r="AB125" s="660"/>
      <c r="AC125" s="660"/>
      <c r="AD125" s="660"/>
      <c r="AE125" s="660"/>
      <c r="AF125" s="660"/>
      <c r="AG125" s="660"/>
      <c r="AH125" s="660"/>
      <c r="AI125" s="660"/>
      <c r="AJ125" s="660"/>
      <c r="AK125" s="660"/>
      <c r="AL125" s="660"/>
      <c r="AM125" s="265"/>
    </row>
    <row r="126" customFormat="false" ht="12.75" hidden="false" customHeight="false" outlineLevel="0" collapsed="false">
      <c r="A126" s="265"/>
      <c r="B126" s="265"/>
      <c r="C126" s="265"/>
      <c r="D126" s="265"/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  <c r="AJ126" s="265"/>
      <c r="AK126" s="265"/>
      <c r="AL126" s="265"/>
      <c r="AM126" s="265"/>
    </row>
    <row r="127" customFormat="false" ht="12.75" hidden="false" customHeight="false" outlineLevel="0" collapsed="false">
      <c r="A127" s="265"/>
      <c r="B127" s="265"/>
      <c r="C127" s="265"/>
      <c r="D127" s="265"/>
      <c r="E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  <c r="AJ127" s="265"/>
      <c r="AK127" s="265"/>
      <c r="AL127" s="265"/>
      <c r="AM127" s="265"/>
    </row>
    <row r="128" customFormat="false" ht="12.75" hidden="false" customHeight="false" outlineLevel="0" collapsed="false">
      <c r="A128" s="265"/>
      <c r="B128" s="265"/>
      <c r="C128" s="265"/>
      <c r="D128" s="265"/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  <c r="AM128" s="265"/>
    </row>
    <row r="129" customFormat="false" ht="12.75" hidden="false" customHeight="false" outlineLevel="0" collapsed="false">
      <c r="A129" s="265"/>
      <c r="B129" s="265"/>
      <c r="C129" s="265"/>
      <c r="D129" s="265"/>
      <c r="E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265"/>
      <c r="AL129" s="265"/>
      <c r="AM129" s="265"/>
    </row>
    <row r="130" customFormat="false" ht="12.75" hidden="false" customHeight="false" outlineLevel="0" collapsed="false">
      <c r="A130" s="265"/>
      <c r="B130" s="265"/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  <c r="AJ130" s="265"/>
      <c r="AK130" s="265"/>
      <c r="AL130" s="265"/>
      <c r="AM130" s="265"/>
    </row>
    <row r="131" customFormat="false" ht="12.75" hidden="false" customHeight="false" outlineLevel="0" collapsed="false">
      <c r="A131" s="265"/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  <c r="AM131" s="265"/>
    </row>
    <row r="132" customFormat="false" ht="12.75" hidden="false" customHeight="false" outlineLevel="0" collapsed="false">
      <c r="A132" s="265"/>
      <c r="B132" s="265"/>
      <c r="C132" s="265"/>
      <c r="D132" s="265"/>
      <c r="E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  <c r="AM132" s="265"/>
    </row>
    <row r="133" customFormat="false" ht="12.75" hidden="false" customHeight="false" outlineLevel="0" collapsed="false">
      <c r="A133" s="265"/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M133" s="265"/>
    </row>
    <row r="134" customFormat="false" ht="12.75" hidden="false" customHeight="false" outlineLevel="0" collapsed="false">
      <c r="A134" s="265"/>
      <c r="B134" s="265"/>
      <c r="C134" s="265"/>
      <c r="D134" s="265"/>
      <c r="E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  <c r="AJ134" s="265"/>
      <c r="AK134" s="265"/>
      <c r="AL134" s="265"/>
      <c r="AM134" s="265"/>
    </row>
    <row r="135" customFormat="false" ht="12.75" hidden="false" customHeight="false" outlineLevel="0" collapsed="false">
      <c r="A135" s="265"/>
      <c r="B135" s="265"/>
      <c r="C135" s="265"/>
      <c r="D135" s="265"/>
      <c r="E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  <c r="AJ135" s="265"/>
      <c r="AK135" s="265"/>
      <c r="AL135" s="265"/>
      <c r="AM135" s="265"/>
    </row>
    <row r="136" customFormat="false" ht="12.75" hidden="false" customHeight="false" outlineLevel="0" collapsed="false">
      <c r="A136" s="265"/>
      <c r="B136" s="265"/>
      <c r="C136" s="265"/>
      <c r="D136" s="265"/>
      <c r="E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  <c r="AJ136" s="265"/>
      <c r="AK136" s="265"/>
      <c r="AL136" s="265"/>
      <c r="AM136" s="265"/>
    </row>
    <row r="137" customFormat="false" ht="12.75" hidden="false" customHeight="false" outlineLevel="0" collapsed="false">
      <c r="A137" s="265"/>
      <c r="B137" s="265"/>
      <c r="C137" s="265"/>
      <c r="D137" s="265"/>
      <c r="E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  <c r="AJ137" s="265"/>
      <c r="AK137" s="265"/>
      <c r="AL137" s="265"/>
      <c r="AM137" s="265"/>
    </row>
    <row r="138" customFormat="false" ht="12.75" hidden="false" customHeight="false" outlineLevel="0" collapsed="false">
      <c r="A138" s="265"/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265"/>
      <c r="AL138" s="265"/>
      <c r="AM138" s="265"/>
    </row>
    <row r="139" customFormat="false" ht="12.75" hidden="false" customHeight="false" outlineLevel="0" collapsed="false">
      <c r="A139" s="265"/>
      <c r="B139" s="265"/>
      <c r="C139" s="265"/>
      <c r="D139" s="265"/>
      <c r="E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  <c r="AJ139" s="265"/>
      <c r="AK139" s="265"/>
      <c r="AL139" s="265"/>
      <c r="AM139" s="265"/>
    </row>
    <row r="140" customFormat="false" ht="12.75" hidden="false" customHeight="false" outlineLevel="0" collapsed="false">
      <c r="A140" s="265"/>
      <c r="B140" s="265"/>
      <c r="C140" s="265"/>
      <c r="D140" s="265"/>
      <c r="E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  <c r="AJ140" s="265"/>
      <c r="AK140" s="265"/>
      <c r="AL140" s="265"/>
      <c r="AM140" s="265"/>
    </row>
    <row r="141" customFormat="false" ht="12.75" hidden="false" customHeight="false" outlineLevel="0" collapsed="false">
      <c r="A141" s="265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265"/>
      <c r="AL141" s="265"/>
      <c r="AM141" s="265"/>
    </row>
    <row r="142" customFormat="false" ht="12.75" hidden="false" customHeight="false" outlineLevel="0" collapsed="false">
      <c r="A142" s="265"/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</row>
    <row r="143" customFormat="false" ht="12.75" hidden="false" customHeight="false" outlineLevel="0" collapsed="false">
      <c r="A143" s="265"/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  <c r="AJ143" s="265"/>
      <c r="AK143" s="265"/>
      <c r="AL143" s="265"/>
      <c r="AM143" s="265"/>
    </row>
    <row r="144" customFormat="false" ht="12.75" hidden="false" customHeight="false" outlineLevel="0" collapsed="false">
      <c r="A144" s="265"/>
      <c r="B144" s="265"/>
      <c r="C144" s="265"/>
      <c r="D144" s="265"/>
      <c r="E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  <c r="AJ144" s="265"/>
      <c r="AK144" s="265"/>
      <c r="AL144" s="265"/>
      <c r="AM144" s="265"/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false" showRowColHeaders="true" showZeros="true" rightToLeft="false" tabSelected="false" showOutlineSymbols="true" defaultGridColor="true" view="normal" topLeftCell="A78" colorId="64" zoomScale="80" zoomScaleNormal="80" zoomScalePageLayoutView="100" workbookViewId="0">
      <selection pane="topLeft" activeCell="E87" activeCellId="0" sqref="E87"/>
    </sheetView>
  </sheetViews>
  <sheetFormatPr defaultColWidth="9.32421875" defaultRowHeight="12.75" customHeight="true" zeroHeight="false" outlineLevelRow="0" outlineLevelCol="1"/>
  <cols>
    <col collapsed="false" customWidth="true" hidden="false" outlineLevel="0" max="1" min="1" style="1" width="13.65"/>
    <col collapsed="false" customWidth="false" hidden="false" outlineLevel="0" max="2" min="2" style="1" width="9.32"/>
    <col collapsed="false" customWidth="true" hidden="false" outlineLevel="0" max="4" min="3" style="1" width="14.65"/>
    <col collapsed="false" customWidth="true" hidden="false" outlineLevel="0" max="16" min="5" style="1" width="11.99"/>
    <col collapsed="false" customWidth="true" hidden="false" outlineLevel="0" max="25" min="17" style="14" width="11.99"/>
    <col collapsed="false" customWidth="true" hidden="false" outlineLevel="1" max="26" min="26" style="14" width="11.99"/>
    <col collapsed="false" customWidth="true" hidden="false" outlineLevel="1" max="31" min="27" style="1" width="11.99"/>
    <col collapsed="false" customWidth="true" hidden="false" outlineLevel="0" max="32" min="32" style="1" width="13.49"/>
    <col collapsed="false" customWidth="true" hidden="false" outlineLevel="0" max="33" min="33" style="1" width="10.49"/>
    <col collapsed="false" customWidth="false" hidden="false" outlineLevel="0" max="257" min="34" style="1" width="9.32"/>
  </cols>
  <sheetData>
    <row r="1" customFormat="false" ht="15.75" hidden="false" customHeight="false" outlineLevel="0" collapsed="false">
      <c r="A1" s="2" t="str">
        <f aca="false">+Assumpt!A1</f>
        <v>Panama Regas Terminal</v>
      </c>
      <c r="B1" s="3"/>
      <c r="C1" s="3"/>
      <c r="D1" s="3"/>
      <c r="E1" s="4"/>
    </row>
    <row r="2" customFormat="false" ht="15.75" hidden="false" customHeight="false" outlineLevel="0" collapsed="false">
      <c r="A2" s="6" t="str">
        <f aca="false">+Assumpt!A2</f>
        <v>Enron International</v>
      </c>
      <c r="B2" s="7"/>
      <c r="C2" s="7"/>
      <c r="D2" s="7"/>
      <c r="E2" s="8"/>
    </row>
    <row r="3" customFormat="false" ht="16.5" hidden="false" customHeight="false" outlineLevel="0" collapsed="false">
      <c r="A3" s="10" t="s">
        <v>270</v>
      </c>
      <c r="B3" s="11"/>
      <c r="C3" s="11"/>
      <c r="D3" s="11"/>
      <c r="E3" s="12"/>
    </row>
    <row r="4" customFormat="false" ht="15.75" hidden="false" customHeight="false" outlineLevel="0" collapsed="false">
      <c r="A4" s="466"/>
    </row>
    <row r="5" customFormat="false" ht="12.75" hidden="false" customHeight="false" outlineLevel="0" collapsed="false">
      <c r="A5" s="290" t="str">
        <f aca="false">+CF!A5</f>
        <v>Calendar Year</v>
      </c>
      <c r="B5" s="291"/>
      <c r="C5" s="291"/>
      <c r="D5" s="291"/>
      <c r="E5" s="292" t="n">
        <f aca="false">+CF!E5</f>
        <v>2003</v>
      </c>
      <c r="F5" s="292" t="n">
        <f aca="false">+CF!F5</f>
        <v>2004</v>
      </c>
      <c r="G5" s="292" t="n">
        <f aca="false">+CF!G5</f>
        <v>2005</v>
      </c>
      <c r="H5" s="292" t="n">
        <f aca="false">+CF!H5</f>
        <v>2006</v>
      </c>
      <c r="I5" s="292" t="n">
        <f aca="false">+CF!I5</f>
        <v>2007</v>
      </c>
      <c r="J5" s="292" t="n">
        <f aca="false">+CF!J5</f>
        <v>2008</v>
      </c>
      <c r="K5" s="292" t="n">
        <f aca="false">+CF!K5</f>
        <v>2009</v>
      </c>
      <c r="L5" s="292" t="n">
        <f aca="false">+CF!L5</f>
        <v>2010</v>
      </c>
      <c r="M5" s="292" t="n">
        <f aca="false">+CF!M5</f>
        <v>2011</v>
      </c>
      <c r="N5" s="292" t="n">
        <f aca="false">+CF!N5</f>
        <v>2012</v>
      </c>
      <c r="O5" s="292" t="n">
        <f aca="false">+CF!O5</f>
        <v>2013</v>
      </c>
      <c r="P5" s="292" t="n">
        <f aca="false">+CF!P5</f>
        <v>2014</v>
      </c>
      <c r="Q5" s="292" t="n">
        <f aca="false">+CF!Q5</f>
        <v>2015</v>
      </c>
      <c r="R5" s="292" t="n">
        <f aca="false">+CF!R5</f>
        <v>2016</v>
      </c>
      <c r="S5" s="292" t="n">
        <f aca="false">+CF!S5</f>
        <v>2017</v>
      </c>
      <c r="T5" s="292" t="n">
        <f aca="false">+CF!T5</f>
        <v>2018</v>
      </c>
      <c r="U5" s="292" t="n">
        <f aca="false">+CF!U5</f>
        <v>2019</v>
      </c>
      <c r="V5" s="292" t="n">
        <f aca="false">+CF!V5</f>
        <v>2020</v>
      </c>
      <c r="W5" s="292" t="n">
        <f aca="false">+CF!W5</f>
        <v>2021</v>
      </c>
      <c r="X5" s="292" t="n">
        <f aca="false">+CF!X5</f>
        <v>2022</v>
      </c>
      <c r="Y5" s="292" t="n">
        <f aca="false">+CF!Y5</f>
        <v>2023</v>
      </c>
      <c r="Z5" s="292" t="n">
        <f aca="false">+CF!Z5</f>
        <v>2024</v>
      </c>
      <c r="AA5" s="292" t="n">
        <f aca="false">+CF!AA5</f>
        <v>2025</v>
      </c>
      <c r="AB5" s="292" t="n">
        <f aca="false">+CF!AB5</f>
        <v>2026</v>
      </c>
      <c r="AC5" s="292" t="n">
        <f aca="false">+CF!AC5</f>
        <v>2027</v>
      </c>
      <c r="AD5" s="292" t="n">
        <f aca="false">+CF!AD5</f>
        <v>2028</v>
      </c>
      <c r="AE5" s="292" t="n">
        <f aca="false">+CF!AE5</f>
        <v>2029</v>
      </c>
      <c r="AF5" s="293" t="s">
        <v>157</v>
      </c>
      <c r="AG5" s="294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  <c r="HR5" s="296"/>
      <c r="HS5" s="296"/>
      <c r="HT5" s="296"/>
      <c r="HU5" s="296"/>
      <c r="HV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  <c r="IK5" s="296"/>
      <c r="IL5" s="296"/>
      <c r="IM5" s="296"/>
      <c r="IN5" s="296"/>
      <c r="IO5" s="296"/>
      <c r="IP5" s="296"/>
      <c r="IQ5" s="296"/>
      <c r="IR5" s="296"/>
      <c r="IS5" s="296"/>
      <c r="IT5" s="296"/>
      <c r="IU5" s="296"/>
      <c r="IV5" s="296"/>
      <c r="IW5" s="296"/>
    </row>
    <row r="6" customFormat="false" ht="12.75" hidden="false" customHeight="false" outlineLevel="0" collapsed="false">
      <c r="A6" s="297" t="str">
        <f aca="false">+CF!A6</f>
        <v>Months of Operation</v>
      </c>
      <c r="B6" s="298"/>
      <c r="C6" s="298"/>
      <c r="D6" s="298"/>
      <c r="E6" s="299" t="n">
        <f aca="false">+CF!E6</f>
        <v>12</v>
      </c>
      <c r="F6" s="299" t="n">
        <f aca="false">+CF!F6</f>
        <v>12</v>
      </c>
      <c r="G6" s="299" t="n">
        <f aca="false">+CF!G6</f>
        <v>12</v>
      </c>
      <c r="H6" s="299" t="n">
        <f aca="false">+CF!H6</f>
        <v>12</v>
      </c>
      <c r="I6" s="299" t="n">
        <f aca="false">+CF!I6</f>
        <v>12</v>
      </c>
      <c r="J6" s="299" t="n">
        <f aca="false">+CF!J6</f>
        <v>12</v>
      </c>
      <c r="K6" s="299" t="n">
        <f aca="false">+CF!K6</f>
        <v>12</v>
      </c>
      <c r="L6" s="299" t="n">
        <f aca="false">+CF!L6</f>
        <v>12</v>
      </c>
      <c r="M6" s="299" t="n">
        <f aca="false">+CF!M6</f>
        <v>12</v>
      </c>
      <c r="N6" s="299" t="n">
        <f aca="false">+CF!N6</f>
        <v>12</v>
      </c>
      <c r="O6" s="299" t="n">
        <f aca="false">+CF!O6</f>
        <v>12</v>
      </c>
      <c r="P6" s="299" t="n">
        <f aca="false">+CF!P6</f>
        <v>12</v>
      </c>
      <c r="Q6" s="299" t="n">
        <f aca="false">+CF!Q6</f>
        <v>12</v>
      </c>
      <c r="R6" s="299" t="n">
        <f aca="false">+CF!R6</f>
        <v>12</v>
      </c>
      <c r="S6" s="299" t="n">
        <f aca="false">+CF!S6</f>
        <v>12</v>
      </c>
      <c r="T6" s="299" t="n">
        <f aca="false">+CF!T6</f>
        <v>0</v>
      </c>
      <c r="U6" s="299" t="n">
        <f aca="false">+CF!U6</f>
        <v>0</v>
      </c>
      <c r="V6" s="299" t="n">
        <f aca="false">+CF!V6</f>
        <v>0</v>
      </c>
      <c r="W6" s="299" t="n">
        <f aca="false">+CF!W6</f>
        <v>0</v>
      </c>
      <c r="X6" s="299" t="n">
        <f aca="false">+CF!X6</f>
        <v>0</v>
      </c>
      <c r="Y6" s="299" t="n">
        <f aca="false">+CF!Y6</f>
        <v>0</v>
      </c>
      <c r="Z6" s="299" t="n">
        <f aca="false">+CF!Z6</f>
        <v>0</v>
      </c>
      <c r="AA6" s="299" t="n">
        <f aca="false">+CF!AA6</f>
        <v>0</v>
      </c>
      <c r="AB6" s="299" t="n">
        <f aca="false">+CF!AB6</f>
        <v>0</v>
      </c>
      <c r="AC6" s="299" t="n">
        <f aca="false">+CF!AC6</f>
        <v>0</v>
      </c>
      <c r="AD6" s="299" t="n">
        <f aca="false">+CF!AD6</f>
        <v>0</v>
      </c>
      <c r="AE6" s="299" t="n">
        <f aca="false">+CF!AE6</f>
        <v>0</v>
      </c>
      <c r="AF6" s="300"/>
      <c r="AG6" s="301"/>
      <c r="AH6" s="302"/>
      <c r="AI6" s="302"/>
      <c r="AJ6" s="302"/>
      <c r="AK6" s="302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customFormat="false" ht="12.75" hidden="false" customHeight="false" outlineLevel="0" collapsed="false">
      <c r="A7" s="303" t="str">
        <f aca="false">+CF!A7</f>
        <v>Contract Year</v>
      </c>
      <c r="B7" s="304"/>
      <c r="C7" s="304"/>
      <c r="D7" s="304"/>
      <c r="E7" s="305" t="n">
        <f aca="false">+CF!E7</f>
        <v>1</v>
      </c>
      <c r="F7" s="305" t="n">
        <f aca="false">+CF!F7</f>
        <v>2</v>
      </c>
      <c r="G7" s="305" t="n">
        <f aca="false">+CF!G7</f>
        <v>3</v>
      </c>
      <c r="H7" s="305" t="n">
        <f aca="false">+CF!H7</f>
        <v>4</v>
      </c>
      <c r="I7" s="305" t="n">
        <f aca="false">+CF!I7</f>
        <v>5</v>
      </c>
      <c r="J7" s="305" t="n">
        <f aca="false">+CF!J7</f>
        <v>6</v>
      </c>
      <c r="K7" s="305" t="n">
        <f aca="false">+CF!K7</f>
        <v>7</v>
      </c>
      <c r="L7" s="305" t="n">
        <f aca="false">+CF!L7</f>
        <v>8</v>
      </c>
      <c r="M7" s="305" t="n">
        <f aca="false">+CF!M7</f>
        <v>9</v>
      </c>
      <c r="N7" s="305" t="n">
        <f aca="false">+CF!N7</f>
        <v>10</v>
      </c>
      <c r="O7" s="305" t="n">
        <f aca="false">+CF!O7</f>
        <v>11</v>
      </c>
      <c r="P7" s="305" t="n">
        <f aca="false">+CF!P7</f>
        <v>12</v>
      </c>
      <c r="Q7" s="305" t="n">
        <f aca="false">+CF!Q7</f>
        <v>13</v>
      </c>
      <c r="R7" s="305" t="n">
        <f aca="false">+CF!R7</f>
        <v>14</v>
      </c>
      <c r="S7" s="305" t="n">
        <f aca="false">+CF!S7</f>
        <v>15</v>
      </c>
      <c r="T7" s="305" t="n">
        <f aca="false">+CF!T7</f>
        <v>15</v>
      </c>
      <c r="U7" s="305" t="n">
        <f aca="false">+CF!U7</f>
        <v>15</v>
      </c>
      <c r="V7" s="305" t="n">
        <f aca="false">+CF!V7</f>
        <v>15</v>
      </c>
      <c r="W7" s="305" t="n">
        <f aca="false">+CF!W7</f>
        <v>15</v>
      </c>
      <c r="X7" s="305" t="n">
        <f aca="false">+CF!X7</f>
        <v>15</v>
      </c>
      <c r="Y7" s="305" t="n">
        <f aca="false">+CF!Y7</f>
        <v>15</v>
      </c>
      <c r="Z7" s="305" t="n">
        <f aca="false">+CF!Z7</f>
        <v>15</v>
      </c>
      <c r="AA7" s="305" t="n">
        <f aca="false">+CF!AA7</f>
        <v>15</v>
      </c>
      <c r="AB7" s="305" t="n">
        <f aca="false">+CF!AB7</f>
        <v>15</v>
      </c>
      <c r="AC7" s="305" t="n">
        <f aca="false">+CF!AC7</f>
        <v>15</v>
      </c>
      <c r="AD7" s="305" t="n">
        <f aca="false">+CF!AD7</f>
        <v>15</v>
      </c>
      <c r="AE7" s="305" t="n">
        <f aca="false">+CF!AE7</f>
        <v>15</v>
      </c>
      <c r="AF7" s="306"/>
      <c r="AG7" s="307"/>
      <c r="AH7" s="302"/>
      <c r="AI7" s="302"/>
      <c r="AJ7" s="302"/>
      <c r="AK7" s="302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customFormat="false" ht="12.75" hidden="false" customHeight="false" outlineLevel="0" collapsed="false">
      <c r="B8" s="14"/>
      <c r="C8" s="14"/>
      <c r="D8" s="14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</row>
    <row r="9" customFormat="false" ht="12.75" hidden="false" customHeight="false" outlineLevel="0" collapsed="false">
      <c r="A9" s="394" t="s">
        <v>271</v>
      </c>
      <c r="B9" s="395"/>
      <c r="C9" s="395"/>
      <c r="D9" s="395"/>
      <c r="E9" s="661"/>
      <c r="F9" s="661"/>
      <c r="G9" s="661"/>
      <c r="H9" s="661"/>
      <c r="I9" s="661"/>
      <c r="J9" s="661"/>
      <c r="K9" s="661"/>
      <c r="L9" s="661"/>
      <c r="M9" s="661"/>
      <c r="N9" s="661"/>
      <c r="O9" s="661"/>
      <c r="P9" s="661"/>
      <c r="Q9" s="661"/>
      <c r="R9" s="661"/>
      <c r="S9" s="661"/>
      <c r="T9" s="661"/>
      <c r="U9" s="661"/>
      <c r="V9" s="661"/>
      <c r="W9" s="661"/>
      <c r="X9" s="661"/>
      <c r="Y9" s="661"/>
      <c r="Z9" s="661"/>
      <c r="AA9" s="661"/>
      <c r="AB9" s="661"/>
      <c r="AC9" s="661"/>
      <c r="AD9" s="661"/>
      <c r="AE9" s="661"/>
      <c r="AF9" s="662"/>
      <c r="AG9" s="302"/>
      <c r="AH9" s="302"/>
      <c r="AI9" s="302"/>
      <c r="AJ9" s="302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</row>
    <row r="10" customFormat="false" ht="12.75" hidden="false" customHeight="false" outlineLevel="0" collapsed="false">
      <c r="A10" s="606" t="s">
        <v>272</v>
      </c>
      <c r="B10" s="14"/>
      <c r="C10" s="14"/>
      <c r="D10" s="14"/>
      <c r="E10" s="107" t="n">
        <f aca="false">+Assumpt!$J$30</f>
        <v>168782.793927069</v>
      </c>
      <c r="F10" s="107" t="n">
        <f aca="false">+E12</f>
        <v>164563.224078892</v>
      </c>
      <c r="G10" s="107" t="n">
        <f aca="false">+F12</f>
        <v>160343.654230715</v>
      </c>
      <c r="H10" s="107" t="n">
        <f aca="false">+G12</f>
        <v>156124.084382539</v>
      </c>
      <c r="I10" s="107" t="n">
        <f aca="false">+H12</f>
        <v>151904.514534362</v>
      </c>
      <c r="J10" s="107" t="n">
        <f aca="false">+I12</f>
        <v>147684.944686185</v>
      </c>
      <c r="K10" s="107" t="n">
        <f aca="false">+J12</f>
        <v>143465.374838009</v>
      </c>
      <c r="L10" s="107" t="n">
        <f aca="false">+K12</f>
        <v>139245.804989832</v>
      </c>
      <c r="M10" s="107" t="n">
        <f aca="false">+L12</f>
        <v>135026.235141655</v>
      </c>
      <c r="N10" s="107" t="n">
        <f aca="false">+M12</f>
        <v>130806.665293478</v>
      </c>
      <c r="O10" s="107" t="n">
        <f aca="false">+N12</f>
        <v>126587.095445302</v>
      </c>
      <c r="P10" s="107" t="n">
        <f aca="false">+O12</f>
        <v>122367.525597125</v>
      </c>
      <c r="Q10" s="107" t="n">
        <f aca="false">+P12</f>
        <v>118147.955748948</v>
      </c>
      <c r="R10" s="107" t="n">
        <f aca="false">+Q12</f>
        <v>113928.385900772</v>
      </c>
      <c r="S10" s="107" t="n">
        <f aca="false">+R12</f>
        <v>109708.816052595</v>
      </c>
      <c r="T10" s="107" t="n">
        <f aca="false">+S12</f>
        <v>105489.246204418</v>
      </c>
      <c r="U10" s="107" t="n">
        <f aca="false">+T12</f>
        <v>105489.246204418</v>
      </c>
      <c r="V10" s="107" t="n">
        <f aca="false">+U12</f>
        <v>105489.246204418</v>
      </c>
      <c r="W10" s="107" t="n">
        <f aca="false">+V12</f>
        <v>105489.246204418</v>
      </c>
      <c r="X10" s="107" t="n">
        <f aca="false">+W12</f>
        <v>105489.246204418</v>
      </c>
      <c r="Y10" s="107" t="n">
        <f aca="false">+X12</f>
        <v>105489.246204418</v>
      </c>
      <c r="Z10" s="107" t="n">
        <f aca="false">+Y12</f>
        <v>105489.246204418</v>
      </c>
      <c r="AA10" s="107" t="n">
        <f aca="false">+Z12</f>
        <v>105489.246204418</v>
      </c>
      <c r="AB10" s="107" t="n">
        <f aca="false">+AA12</f>
        <v>105489.246204418</v>
      </c>
      <c r="AC10" s="107" t="n">
        <f aca="false">+AB12</f>
        <v>105489.246204418</v>
      </c>
      <c r="AD10" s="107" t="n">
        <f aca="false">+AC12</f>
        <v>105489.246204418</v>
      </c>
      <c r="AE10" s="107" t="n">
        <f aca="false">+AD12</f>
        <v>105489.246204418</v>
      </c>
      <c r="AF10" s="478" t="n">
        <f aca="false">+E10</f>
        <v>168782.793927069</v>
      </c>
      <c r="AG10" s="663"/>
      <c r="AH10" s="663"/>
      <c r="AI10" s="663"/>
      <c r="AJ10" s="663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</row>
    <row r="11" customFormat="false" ht="12.75" hidden="false" customHeight="false" outlineLevel="0" collapsed="false">
      <c r="A11" s="664" t="s">
        <v>273</v>
      </c>
      <c r="B11" s="148"/>
      <c r="C11" s="148"/>
      <c r="D11" s="148"/>
      <c r="E11" s="131" t="n">
        <f aca="false">-E$6/(Assumpt!$K$30*12)*$E$10</f>
        <v>-4219.56984817672</v>
      </c>
      <c r="F11" s="131" t="n">
        <f aca="false">-F$6/(Assumpt!$K$30*12)*$E$10</f>
        <v>-4219.56984817672</v>
      </c>
      <c r="G11" s="131" t="n">
        <f aca="false">-G$6/(Assumpt!$K$30*12)*$E$10</f>
        <v>-4219.56984817672</v>
      </c>
      <c r="H11" s="131" t="n">
        <f aca="false">-H$6/(Assumpt!$K$30*12)*$E$10</f>
        <v>-4219.56984817672</v>
      </c>
      <c r="I11" s="131" t="n">
        <f aca="false">-I$6/(Assumpt!$K$30*12)*$E$10</f>
        <v>-4219.56984817672</v>
      </c>
      <c r="J11" s="131" t="n">
        <f aca="false">-J$6/(Assumpt!$K$30*12)*$E$10</f>
        <v>-4219.56984817672</v>
      </c>
      <c r="K11" s="131" t="n">
        <f aca="false">-K$6/(Assumpt!$K$30*12)*$E$10</f>
        <v>-4219.56984817672</v>
      </c>
      <c r="L11" s="131" t="n">
        <f aca="false">-L$6/(Assumpt!$K$30*12)*$E$10</f>
        <v>-4219.56984817672</v>
      </c>
      <c r="M11" s="131" t="n">
        <f aca="false">-M$6/(Assumpt!$K$30*12)*$E$10</f>
        <v>-4219.56984817672</v>
      </c>
      <c r="N11" s="131" t="n">
        <f aca="false">-N$6/(Assumpt!$K$30*12)*$E$10</f>
        <v>-4219.56984817672</v>
      </c>
      <c r="O11" s="131" t="n">
        <f aca="false">-O$6/(Assumpt!$K$30*12)*$E$10</f>
        <v>-4219.56984817672</v>
      </c>
      <c r="P11" s="131" t="n">
        <f aca="false">-P$6/(Assumpt!$K$30*12)*$E$10</f>
        <v>-4219.56984817672</v>
      </c>
      <c r="Q11" s="131" t="n">
        <f aca="false">-Q$6/(Assumpt!$K$30*12)*$E$10</f>
        <v>-4219.56984817672</v>
      </c>
      <c r="R11" s="131" t="n">
        <f aca="false">-R$6/(Assumpt!$K$30*12)*$E$10</f>
        <v>-4219.56984817672</v>
      </c>
      <c r="S11" s="131" t="n">
        <f aca="false">-S$6/(Assumpt!$K$30*12)*$E$10</f>
        <v>-4219.56984817672</v>
      </c>
      <c r="T11" s="131" t="n">
        <f aca="false">-T$6/(Assumpt!$K$30*12)*$E$10</f>
        <v>-0</v>
      </c>
      <c r="U11" s="131" t="n">
        <f aca="false">-U$6/(Assumpt!$K$30*12)*$E$10</f>
        <v>-0</v>
      </c>
      <c r="V11" s="131" t="n">
        <f aca="false">-V$6/(Assumpt!$K$30*12)*$E$10</f>
        <v>-0</v>
      </c>
      <c r="W11" s="131" t="n">
        <f aca="false">-W$6/(Assumpt!$K$30*12)*$E$10</f>
        <v>-0</v>
      </c>
      <c r="X11" s="131" t="n">
        <f aca="false">-X$6/(Assumpt!$K$30*12)*$E$10</f>
        <v>-0</v>
      </c>
      <c r="Y11" s="131" t="n">
        <f aca="false">-Y$6/(Assumpt!$K$30*12)*$E$10</f>
        <v>-0</v>
      </c>
      <c r="Z11" s="131" t="n">
        <f aca="false">-Z$6/(Assumpt!$K$30*12)*$E$10</f>
        <v>-0</v>
      </c>
      <c r="AA11" s="131" t="n">
        <f aca="false">-AA$6/(Assumpt!$K$30*12)*$E$10</f>
        <v>-0</v>
      </c>
      <c r="AB11" s="131" t="n">
        <f aca="false">-AB$6/(Assumpt!$K$30*12)*$E$10</f>
        <v>-0</v>
      </c>
      <c r="AC11" s="131" t="n">
        <f aca="false">-AC$6/(Assumpt!$K$30*12)*$E$10</f>
        <v>-0</v>
      </c>
      <c r="AD11" s="131" t="n">
        <f aca="false">-AD$6/(Assumpt!$K$30*12)*$E$10</f>
        <v>-0</v>
      </c>
      <c r="AE11" s="131" t="n">
        <f aca="false">-AE$6/(Assumpt!$K$30*12)*$E$10</f>
        <v>-0</v>
      </c>
      <c r="AF11" s="476" t="n">
        <f aca="false">+SUM(E11:AE11)</f>
        <v>-63293.5477226509</v>
      </c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344"/>
      <c r="DK11" s="344"/>
      <c r="DL11" s="344"/>
      <c r="DM11" s="344"/>
      <c r="DN11" s="344"/>
      <c r="DO11" s="344"/>
      <c r="DP11" s="344"/>
      <c r="DQ11" s="344"/>
      <c r="DR11" s="344"/>
      <c r="DS11" s="344"/>
      <c r="DT11" s="344"/>
      <c r="DU11" s="344"/>
      <c r="DV11" s="344"/>
      <c r="DW11" s="344"/>
      <c r="DX11" s="344"/>
      <c r="DY11" s="344"/>
      <c r="DZ11" s="344"/>
      <c r="EA11" s="344"/>
      <c r="EB11" s="344"/>
      <c r="EC11" s="344"/>
      <c r="ED11" s="344"/>
      <c r="EE11" s="344"/>
      <c r="EF11" s="344"/>
      <c r="EG11" s="344"/>
      <c r="EH11" s="344"/>
      <c r="EI11" s="344"/>
      <c r="EJ11" s="344"/>
      <c r="EK11" s="344"/>
      <c r="EL11" s="344"/>
      <c r="EM11" s="344"/>
      <c r="EN11" s="344"/>
      <c r="EO11" s="344"/>
      <c r="EP11" s="344"/>
      <c r="EQ11" s="344"/>
      <c r="ER11" s="344"/>
      <c r="ES11" s="344"/>
      <c r="ET11" s="344"/>
      <c r="EU11" s="344"/>
      <c r="EV11" s="344"/>
      <c r="EW11" s="344"/>
      <c r="EX11" s="344"/>
      <c r="EY11" s="344"/>
      <c r="EZ11" s="344"/>
      <c r="FA11" s="344"/>
      <c r="FB11" s="344"/>
      <c r="FC11" s="344"/>
      <c r="FD11" s="344"/>
      <c r="FE11" s="344"/>
      <c r="FF11" s="344"/>
      <c r="FG11" s="344"/>
      <c r="FH11" s="344"/>
      <c r="FI11" s="344"/>
      <c r="FJ11" s="344"/>
      <c r="FK11" s="344"/>
      <c r="FL11" s="344"/>
      <c r="FM11" s="344"/>
      <c r="FN11" s="344"/>
      <c r="FO11" s="344"/>
      <c r="FP11" s="344"/>
      <c r="FQ11" s="344"/>
      <c r="FR11" s="344"/>
      <c r="FS11" s="344"/>
      <c r="FT11" s="344"/>
      <c r="FU11" s="344"/>
      <c r="FV11" s="344"/>
      <c r="FW11" s="344"/>
      <c r="FX11" s="344"/>
      <c r="FY11" s="344"/>
      <c r="FZ11" s="344"/>
      <c r="GA11" s="344"/>
      <c r="GB11" s="344"/>
      <c r="GC11" s="344"/>
      <c r="GD11" s="344"/>
      <c r="GE11" s="344"/>
      <c r="GF11" s="344"/>
      <c r="GG11" s="344"/>
      <c r="GH11" s="344"/>
      <c r="GI11" s="344"/>
      <c r="GJ11" s="344"/>
      <c r="GK11" s="344"/>
      <c r="GL11" s="344"/>
      <c r="GM11" s="344"/>
      <c r="GN11" s="344"/>
      <c r="GO11" s="344"/>
      <c r="GP11" s="344"/>
      <c r="GQ11" s="344"/>
      <c r="GR11" s="344"/>
      <c r="GS11" s="344"/>
      <c r="GT11" s="344"/>
      <c r="GU11" s="344"/>
      <c r="GV11" s="344"/>
      <c r="GW11" s="344"/>
      <c r="GX11" s="344"/>
      <c r="GY11" s="344"/>
      <c r="GZ11" s="344"/>
      <c r="HA11" s="344"/>
      <c r="HB11" s="344"/>
      <c r="HC11" s="344"/>
      <c r="HD11" s="344"/>
      <c r="HE11" s="344"/>
      <c r="HF11" s="344"/>
      <c r="HG11" s="344"/>
      <c r="HH11" s="344"/>
      <c r="HI11" s="344"/>
      <c r="HJ11" s="344"/>
      <c r="HK11" s="344"/>
      <c r="HL11" s="344"/>
      <c r="HM11" s="344"/>
      <c r="HN11" s="344"/>
      <c r="HO11" s="344"/>
      <c r="HP11" s="344"/>
      <c r="HQ11" s="344"/>
      <c r="HR11" s="344"/>
      <c r="HS11" s="344"/>
      <c r="HT11" s="344"/>
      <c r="HU11" s="344"/>
      <c r="HV11" s="344"/>
      <c r="HW11" s="344"/>
      <c r="HX11" s="344"/>
      <c r="HY11" s="344"/>
      <c r="HZ11" s="344"/>
      <c r="IA11" s="344"/>
      <c r="IB11" s="344"/>
      <c r="IC11" s="344"/>
      <c r="ID11" s="344"/>
      <c r="IE11" s="344"/>
      <c r="IF11" s="344"/>
      <c r="IG11" s="344"/>
      <c r="IH11" s="344"/>
      <c r="II11" s="344"/>
      <c r="IJ11" s="344"/>
      <c r="IK11" s="344"/>
      <c r="IL11" s="344"/>
      <c r="IM11" s="344"/>
      <c r="IN11" s="344"/>
      <c r="IO11" s="344"/>
      <c r="IP11" s="344"/>
      <c r="IQ11" s="344"/>
      <c r="IR11" s="344"/>
      <c r="IS11" s="344"/>
      <c r="IT11" s="344"/>
      <c r="IU11" s="344"/>
      <c r="IV11" s="344"/>
      <c r="IW11" s="344"/>
    </row>
    <row r="12" customFormat="false" ht="12.75" hidden="false" customHeight="false" outlineLevel="0" collapsed="false">
      <c r="A12" s="665" t="s">
        <v>274</v>
      </c>
      <c r="B12" s="199"/>
      <c r="C12" s="199"/>
      <c r="D12" s="199"/>
      <c r="E12" s="481" t="n">
        <f aca="false">+SUM(E10:E11)</f>
        <v>164563.224078892</v>
      </c>
      <c r="F12" s="481" t="n">
        <f aca="false">+SUM(F10:F11)</f>
        <v>160343.654230715</v>
      </c>
      <c r="G12" s="481" t="n">
        <f aca="false">+SUM(G10:G11)</f>
        <v>156124.084382539</v>
      </c>
      <c r="H12" s="481" t="n">
        <f aca="false">+SUM(H10:H11)</f>
        <v>151904.514534362</v>
      </c>
      <c r="I12" s="481" t="n">
        <f aca="false">+SUM(I10:I11)</f>
        <v>147684.944686185</v>
      </c>
      <c r="J12" s="481" t="n">
        <f aca="false">+SUM(J10:J11)</f>
        <v>143465.374838009</v>
      </c>
      <c r="K12" s="481" t="n">
        <f aca="false">+SUM(K10:K11)</f>
        <v>139245.804989832</v>
      </c>
      <c r="L12" s="481" t="n">
        <f aca="false">+SUM(L10:L11)</f>
        <v>135026.235141655</v>
      </c>
      <c r="M12" s="481" t="n">
        <f aca="false">+SUM(M10:M11)</f>
        <v>130806.665293478</v>
      </c>
      <c r="N12" s="481" t="n">
        <f aca="false">+SUM(N10:N11)</f>
        <v>126587.095445302</v>
      </c>
      <c r="O12" s="481" t="n">
        <f aca="false">+SUM(O10:O11)</f>
        <v>122367.525597125</v>
      </c>
      <c r="P12" s="481" t="n">
        <f aca="false">+SUM(P10:P11)</f>
        <v>118147.955748948</v>
      </c>
      <c r="Q12" s="481" t="n">
        <f aca="false">+SUM(Q10:Q11)</f>
        <v>113928.385900772</v>
      </c>
      <c r="R12" s="481" t="n">
        <f aca="false">+SUM(R10:R11)</f>
        <v>109708.816052595</v>
      </c>
      <c r="S12" s="481" t="n">
        <f aca="false">+SUM(S10:S11)</f>
        <v>105489.246204418</v>
      </c>
      <c r="T12" s="481" t="n">
        <f aca="false">+SUM(T10:T11)</f>
        <v>105489.246204418</v>
      </c>
      <c r="U12" s="481" t="n">
        <f aca="false">+SUM(U10:U11)</f>
        <v>105489.246204418</v>
      </c>
      <c r="V12" s="481" t="n">
        <f aca="false">+SUM(V10:V11)</f>
        <v>105489.246204418</v>
      </c>
      <c r="W12" s="481" t="n">
        <f aca="false">+SUM(W10:W11)</f>
        <v>105489.246204418</v>
      </c>
      <c r="X12" s="481" t="n">
        <f aca="false">+SUM(X10:X11)</f>
        <v>105489.246204418</v>
      </c>
      <c r="Y12" s="481" t="n">
        <f aca="false">+SUM(Y10:Y11)</f>
        <v>105489.246204418</v>
      </c>
      <c r="Z12" s="481" t="n">
        <f aca="false">+SUM(Z10:Z11)</f>
        <v>105489.246204418</v>
      </c>
      <c r="AA12" s="481" t="n">
        <f aca="false">+SUM(AA10:AA11)</f>
        <v>105489.246204418</v>
      </c>
      <c r="AB12" s="481" t="n">
        <f aca="false">+SUM(AB10:AB11)</f>
        <v>105489.246204418</v>
      </c>
      <c r="AC12" s="481" t="n">
        <f aca="false">+SUM(AC10:AC11)</f>
        <v>105489.246204418</v>
      </c>
      <c r="AD12" s="481" t="n">
        <f aca="false">+SUM(AD10:AD11)</f>
        <v>105489.246204418</v>
      </c>
      <c r="AE12" s="481" t="n">
        <f aca="false">+SUM(AE10:AE11)</f>
        <v>105489.246204418</v>
      </c>
      <c r="AF12" s="666" t="n">
        <f aca="false">+SUM(AF10:AF11)</f>
        <v>105489.246204418</v>
      </c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</row>
    <row r="13" customFormat="false" ht="15" hidden="false" customHeight="false" outlineLevel="0" collapsed="false">
      <c r="A13" s="363"/>
      <c r="B13" s="295"/>
      <c r="C13" s="295"/>
      <c r="D13" s="295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667"/>
      <c r="AG13" s="383"/>
      <c r="AH13" s="383"/>
      <c r="AI13" s="383"/>
      <c r="AJ13" s="383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6"/>
      <c r="DK13" s="296"/>
      <c r="DL13" s="296"/>
      <c r="DM13" s="296"/>
      <c r="DN13" s="296"/>
      <c r="DO13" s="296"/>
      <c r="DP13" s="296"/>
      <c r="DQ13" s="296"/>
      <c r="DR13" s="296"/>
      <c r="DS13" s="296"/>
      <c r="DT13" s="296"/>
      <c r="DU13" s="296"/>
      <c r="DV13" s="296"/>
      <c r="DW13" s="296"/>
      <c r="DX13" s="296"/>
      <c r="DY13" s="296"/>
      <c r="DZ13" s="296"/>
      <c r="EA13" s="296"/>
      <c r="EB13" s="296"/>
      <c r="EC13" s="296"/>
      <c r="ED13" s="296"/>
      <c r="EE13" s="296"/>
      <c r="EF13" s="296"/>
      <c r="EG13" s="296"/>
      <c r="EH13" s="296"/>
      <c r="EI13" s="296"/>
      <c r="EJ13" s="296"/>
      <c r="EK13" s="296"/>
      <c r="EL13" s="296"/>
      <c r="EM13" s="296"/>
      <c r="EN13" s="296"/>
      <c r="EO13" s="296"/>
      <c r="EP13" s="296"/>
      <c r="EQ13" s="296"/>
      <c r="ER13" s="296"/>
      <c r="ES13" s="296"/>
      <c r="ET13" s="296"/>
      <c r="EU13" s="296"/>
      <c r="EV13" s="296"/>
      <c r="EW13" s="296"/>
      <c r="EX13" s="296"/>
      <c r="EY13" s="296"/>
      <c r="EZ13" s="296"/>
      <c r="FA13" s="296"/>
      <c r="FB13" s="296"/>
      <c r="FC13" s="296"/>
      <c r="FD13" s="296"/>
      <c r="FE13" s="296"/>
      <c r="FF13" s="296"/>
      <c r="FG13" s="296"/>
      <c r="FH13" s="296"/>
      <c r="FI13" s="296"/>
      <c r="FJ13" s="296"/>
      <c r="FK13" s="296"/>
      <c r="FL13" s="296"/>
      <c r="FM13" s="296"/>
      <c r="FN13" s="296"/>
      <c r="FO13" s="296"/>
      <c r="FP13" s="296"/>
      <c r="FQ13" s="296"/>
      <c r="FR13" s="296"/>
      <c r="FS13" s="296"/>
      <c r="FT13" s="296"/>
      <c r="FU13" s="296"/>
      <c r="FV13" s="296"/>
      <c r="FW13" s="296"/>
      <c r="FX13" s="296"/>
      <c r="FY13" s="296"/>
      <c r="FZ13" s="296"/>
      <c r="GA13" s="296"/>
      <c r="GB13" s="296"/>
      <c r="GC13" s="296"/>
      <c r="GD13" s="296"/>
      <c r="GE13" s="296"/>
      <c r="GF13" s="296"/>
      <c r="GG13" s="296"/>
      <c r="GH13" s="296"/>
      <c r="GI13" s="296"/>
      <c r="GJ13" s="296"/>
      <c r="GK13" s="296"/>
      <c r="GL13" s="296"/>
      <c r="GM13" s="296"/>
      <c r="GN13" s="296"/>
      <c r="GO13" s="296"/>
      <c r="GP13" s="296"/>
      <c r="GQ13" s="296"/>
      <c r="GR13" s="296"/>
      <c r="GS13" s="296"/>
      <c r="GT13" s="296"/>
      <c r="GU13" s="296"/>
      <c r="GV13" s="296"/>
      <c r="GW13" s="296"/>
      <c r="GX13" s="296"/>
      <c r="GY13" s="296"/>
      <c r="GZ13" s="296"/>
      <c r="HA13" s="296"/>
      <c r="HB13" s="296"/>
      <c r="HC13" s="296"/>
      <c r="HD13" s="296"/>
      <c r="HE13" s="296"/>
      <c r="HF13" s="296"/>
      <c r="HG13" s="296"/>
      <c r="HH13" s="296"/>
      <c r="HI13" s="296"/>
      <c r="HJ13" s="296"/>
      <c r="HK13" s="296"/>
      <c r="HL13" s="296"/>
      <c r="HM13" s="296"/>
      <c r="HN13" s="296"/>
      <c r="HO13" s="296"/>
      <c r="HP13" s="296"/>
      <c r="HQ13" s="296"/>
      <c r="HR13" s="296"/>
      <c r="HS13" s="296"/>
      <c r="HT13" s="296"/>
      <c r="HU13" s="296"/>
      <c r="HV13" s="296"/>
      <c r="HW13" s="296"/>
      <c r="HX13" s="296"/>
      <c r="HY13" s="296"/>
      <c r="HZ13" s="296"/>
      <c r="IA13" s="296"/>
      <c r="IB13" s="296"/>
      <c r="IC13" s="296"/>
      <c r="ID13" s="296"/>
      <c r="IE13" s="296"/>
      <c r="IF13" s="296"/>
      <c r="IG13" s="296"/>
      <c r="IH13" s="296"/>
      <c r="II13" s="296"/>
      <c r="IJ13" s="296"/>
      <c r="IK13" s="296"/>
      <c r="IL13" s="296"/>
      <c r="IM13" s="296"/>
      <c r="IN13" s="296"/>
      <c r="IO13" s="296"/>
      <c r="IP13" s="296"/>
      <c r="IQ13" s="296"/>
      <c r="IR13" s="296"/>
      <c r="IS13" s="296"/>
      <c r="IT13" s="296"/>
      <c r="IU13" s="296"/>
      <c r="IV13" s="296"/>
      <c r="IW13" s="296"/>
    </row>
    <row r="14" customFormat="false" ht="12.75" hidden="false" customHeight="false" outlineLevel="0" collapsed="false">
      <c r="A14" s="394" t="s">
        <v>275</v>
      </c>
      <c r="B14" s="395"/>
      <c r="C14" s="395"/>
      <c r="D14" s="395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472"/>
      <c r="S14" s="472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473"/>
      <c r="AG14" s="302"/>
      <c r="AH14" s="302"/>
      <c r="AI14" s="302"/>
      <c r="AJ14" s="302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</row>
    <row r="15" customFormat="false" ht="12.75" hidden="false" customHeight="false" outlineLevel="0" collapsed="false">
      <c r="A15" s="606" t="s">
        <v>272</v>
      </c>
      <c r="B15" s="14"/>
      <c r="C15" s="14"/>
      <c r="D15" s="14"/>
      <c r="E15" s="107" t="n">
        <f aca="false">+Assumpt!$J$31</f>
        <v>168782.793927069</v>
      </c>
      <c r="F15" s="107" t="n">
        <f aca="false">+E17</f>
        <v>160343.654230716</v>
      </c>
      <c r="G15" s="107" t="n">
        <f aca="false">+F17</f>
        <v>151904.514534362</v>
      </c>
      <c r="H15" s="107" t="n">
        <f aca="false">+G17</f>
        <v>143465.374838009</v>
      </c>
      <c r="I15" s="107" t="n">
        <f aca="false">+H17</f>
        <v>135026.235141655</v>
      </c>
      <c r="J15" s="107" t="n">
        <f aca="false">+I17</f>
        <v>126587.095445302</v>
      </c>
      <c r="K15" s="107" t="n">
        <f aca="false">+J17</f>
        <v>118147.955748948</v>
      </c>
      <c r="L15" s="107" t="n">
        <f aca="false">+K17</f>
        <v>109708.816052595</v>
      </c>
      <c r="M15" s="107" t="n">
        <f aca="false">+L17</f>
        <v>101269.676356241</v>
      </c>
      <c r="N15" s="107" t="n">
        <f aca="false">+M17</f>
        <v>92830.536659888</v>
      </c>
      <c r="O15" s="107" t="n">
        <f aca="false">+N17</f>
        <v>84391.3969635345</v>
      </c>
      <c r="P15" s="107" t="n">
        <f aca="false">+O17</f>
        <v>75952.2572671811</v>
      </c>
      <c r="Q15" s="107" t="n">
        <f aca="false">+P17</f>
        <v>67513.1175708276</v>
      </c>
      <c r="R15" s="107" t="n">
        <f aca="false">+Q17</f>
        <v>59073.9778744742</v>
      </c>
      <c r="S15" s="107" t="n">
        <f aca="false">+R17</f>
        <v>50634.8381781207</v>
      </c>
      <c r="T15" s="107" t="n">
        <f aca="false">+S17</f>
        <v>42195.6984817673</v>
      </c>
      <c r="U15" s="107" t="n">
        <f aca="false">+T17</f>
        <v>42195.6984817673</v>
      </c>
      <c r="V15" s="107" t="n">
        <f aca="false">+U17</f>
        <v>42195.6984817673</v>
      </c>
      <c r="W15" s="107" t="n">
        <f aca="false">+V17</f>
        <v>42195.6984817673</v>
      </c>
      <c r="X15" s="107" t="n">
        <f aca="false">+W17</f>
        <v>42195.6984817673</v>
      </c>
      <c r="Y15" s="107" t="n">
        <f aca="false">+X17</f>
        <v>42195.6984817673</v>
      </c>
      <c r="Z15" s="107" t="n">
        <f aca="false">+Y17</f>
        <v>42195.6984817673</v>
      </c>
      <c r="AA15" s="107" t="n">
        <f aca="false">+Z17</f>
        <v>42195.6984817673</v>
      </c>
      <c r="AB15" s="107" t="n">
        <f aca="false">+AA17</f>
        <v>42195.6984817673</v>
      </c>
      <c r="AC15" s="107" t="n">
        <f aca="false">+AB17</f>
        <v>42195.6984817673</v>
      </c>
      <c r="AD15" s="107" t="n">
        <f aca="false">+AC17</f>
        <v>42195.6984817673</v>
      </c>
      <c r="AE15" s="107" t="n">
        <f aca="false">+AD17</f>
        <v>42195.6984817673</v>
      </c>
      <c r="AF15" s="478" t="n">
        <f aca="false">+E15</f>
        <v>168782.793927069</v>
      </c>
      <c r="AG15" s="663"/>
      <c r="AH15" s="663"/>
      <c r="AI15" s="663"/>
      <c r="AJ15" s="663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</row>
    <row r="16" customFormat="false" ht="12.75" hidden="false" customHeight="false" outlineLevel="0" collapsed="false">
      <c r="A16" s="664" t="s">
        <v>273</v>
      </c>
      <c r="B16" s="148"/>
      <c r="C16" s="148"/>
      <c r="D16" s="148"/>
      <c r="E16" s="131" t="n">
        <f aca="false">-E$6/(Assumpt!$K$31*12)*$E$15</f>
        <v>-8439.13969635345</v>
      </c>
      <c r="F16" s="131" t="n">
        <f aca="false">-F$6/(Assumpt!$K$31*12)*$E$15</f>
        <v>-8439.13969635345</v>
      </c>
      <c r="G16" s="131" t="n">
        <f aca="false">-G$6/(Assumpt!$K$31*12)*$E$15</f>
        <v>-8439.13969635345</v>
      </c>
      <c r="H16" s="131" t="n">
        <f aca="false">-H$6/(Assumpt!$K$31*12)*$E$15</f>
        <v>-8439.13969635345</v>
      </c>
      <c r="I16" s="131" t="n">
        <f aca="false">-I$6/(Assumpt!$K$31*12)*$E$15</f>
        <v>-8439.13969635345</v>
      </c>
      <c r="J16" s="131" t="n">
        <f aca="false">-J$6/(Assumpt!$K$31*12)*$E$15</f>
        <v>-8439.13969635345</v>
      </c>
      <c r="K16" s="131" t="n">
        <f aca="false">-K$6/(Assumpt!$K$31*12)*$E$15</f>
        <v>-8439.13969635345</v>
      </c>
      <c r="L16" s="131" t="n">
        <f aca="false">-L$6/(Assumpt!$K$31*12)*$E$15</f>
        <v>-8439.13969635345</v>
      </c>
      <c r="M16" s="131" t="n">
        <f aca="false">-M$6/(Assumpt!$K$31*12)*$E$15</f>
        <v>-8439.13969635345</v>
      </c>
      <c r="N16" s="131" t="n">
        <f aca="false">-N$6/(Assumpt!$K$31*12)*$E$15</f>
        <v>-8439.13969635345</v>
      </c>
      <c r="O16" s="131" t="n">
        <f aca="false">-O$6/(Assumpt!$K$31*12)*$E$15</f>
        <v>-8439.13969635345</v>
      </c>
      <c r="P16" s="131" t="n">
        <f aca="false">-P$6/(Assumpt!$K$31*12)*$E$15</f>
        <v>-8439.13969635345</v>
      </c>
      <c r="Q16" s="131" t="n">
        <f aca="false">-Q$6/(Assumpt!$K$31*12)*$E$15</f>
        <v>-8439.13969635345</v>
      </c>
      <c r="R16" s="131" t="n">
        <f aca="false">-R$6/(Assumpt!$K$31*12)*$E$15</f>
        <v>-8439.13969635345</v>
      </c>
      <c r="S16" s="131" t="n">
        <f aca="false">-S$6/(Assumpt!$K$31*12)*$E$15</f>
        <v>-8439.13969635345</v>
      </c>
      <c r="T16" s="131" t="n">
        <f aca="false">-T$6/(Assumpt!$K$31*12)*$E$15</f>
        <v>-0</v>
      </c>
      <c r="U16" s="131" t="n">
        <f aca="false">-U$6/(Assumpt!$K$31*12)*$E$15</f>
        <v>-0</v>
      </c>
      <c r="V16" s="131" t="n">
        <f aca="false">-V$6/(Assumpt!$K$31*12)*$E$15</f>
        <v>-0</v>
      </c>
      <c r="W16" s="131" t="n">
        <f aca="false">-W$6/(Assumpt!$K$31*12)*$E$15</f>
        <v>-0</v>
      </c>
      <c r="X16" s="131" t="n">
        <f aca="false">-X$6/(Assumpt!$K$31*12)*$E$15</f>
        <v>-0</v>
      </c>
      <c r="Y16" s="131" t="n">
        <f aca="false">-Y$6/(Assumpt!$K$31*12)*$E$15</f>
        <v>-0</v>
      </c>
      <c r="Z16" s="131" t="n">
        <f aca="false">-Z$6/(Assumpt!$K$31*12)*$E$15</f>
        <v>-0</v>
      </c>
      <c r="AA16" s="131" t="n">
        <f aca="false">-AA$6/(Assumpt!$K$31*12)*$E$15</f>
        <v>-0</v>
      </c>
      <c r="AB16" s="131" t="n">
        <f aca="false">-AB$6/(Assumpt!$K$31*12)*$E$15</f>
        <v>-0</v>
      </c>
      <c r="AC16" s="131" t="n">
        <f aca="false">-AC$6/(Assumpt!$K$31*12)*$E$15</f>
        <v>-0</v>
      </c>
      <c r="AD16" s="131" t="n">
        <f aca="false">-AD$6/(Assumpt!$K$31*12)*$E$15</f>
        <v>-0</v>
      </c>
      <c r="AE16" s="131" t="n">
        <f aca="false">-AE$6/(Assumpt!$K$31*12)*$E$15</f>
        <v>-0</v>
      </c>
      <c r="AF16" s="476" t="n">
        <f aca="false">+SUM(E16:AE16)</f>
        <v>-126587.095445302</v>
      </c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344"/>
      <c r="DK16" s="344"/>
      <c r="DL16" s="344"/>
      <c r="DM16" s="344"/>
      <c r="DN16" s="344"/>
      <c r="DO16" s="344"/>
      <c r="DP16" s="344"/>
      <c r="DQ16" s="344"/>
      <c r="DR16" s="344"/>
      <c r="DS16" s="344"/>
      <c r="DT16" s="344"/>
      <c r="DU16" s="344"/>
      <c r="DV16" s="344"/>
      <c r="DW16" s="344"/>
      <c r="DX16" s="344"/>
      <c r="DY16" s="344"/>
      <c r="DZ16" s="344"/>
      <c r="EA16" s="344"/>
      <c r="EB16" s="344"/>
      <c r="EC16" s="344"/>
      <c r="ED16" s="344"/>
      <c r="EE16" s="344"/>
      <c r="EF16" s="344"/>
      <c r="EG16" s="344"/>
      <c r="EH16" s="344"/>
      <c r="EI16" s="344"/>
      <c r="EJ16" s="344"/>
      <c r="EK16" s="344"/>
      <c r="EL16" s="344"/>
      <c r="EM16" s="344"/>
      <c r="EN16" s="344"/>
      <c r="EO16" s="344"/>
      <c r="EP16" s="344"/>
      <c r="EQ16" s="344"/>
      <c r="ER16" s="344"/>
      <c r="ES16" s="344"/>
      <c r="ET16" s="344"/>
      <c r="EU16" s="344"/>
      <c r="EV16" s="344"/>
      <c r="EW16" s="344"/>
      <c r="EX16" s="344"/>
      <c r="EY16" s="344"/>
      <c r="EZ16" s="344"/>
      <c r="FA16" s="344"/>
      <c r="FB16" s="344"/>
      <c r="FC16" s="344"/>
      <c r="FD16" s="344"/>
      <c r="FE16" s="344"/>
      <c r="FF16" s="344"/>
      <c r="FG16" s="344"/>
      <c r="FH16" s="344"/>
      <c r="FI16" s="344"/>
      <c r="FJ16" s="344"/>
      <c r="FK16" s="344"/>
      <c r="FL16" s="344"/>
      <c r="FM16" s="344"/>
      <c r="FN16" s="344"/>
      <c r="FO16" s="344"/>
      <c r="FP16" s="344"/>
      <c r="FQ16" s="344"/>
      <c r="FR16" s="344"/>
      <c r="FS16" s="344"/>
      <c r="FT16" s="344"/>
      <c r="FU16" s="344"/>
      <c r="FV16" s="344"/>
      <c r="FW16" s="344"/>
      <c r="FX16" s="344"/>
      <c r="FY16" s="344"/>
      <c r="FZ16" s="344"/>
      <c r="GA16" s="344"/>
      <c r="GB16" s="344"/>
      <c r="GC16" s="344"/>
      <c r="GD16" s="344"/>
      <c r="GE16" s="344"/>
      <c r="GF16" s="344"/>
      <c r="GG16" s="344"/>
      <c r="GH16" s="344"/>
      <c r="GI16" s="344"/>
      <c r="GJ16" s="344"/>
      <c r="GK16" s="344"/>
      <c r="GL16" s="344"/>
      <c r="GM16" s="344"/>
      <c r="GN16" s="344"/>
      <c r="GO16" s="344"/>
      <c r="GP16" s="344"/>
      <c r="GQ16" s="344"/>
      <c r="GR16" s="344"/>
      <c r="GS16" s="344"/>
      <c r="GT16" s="344"/>
      <c r="GU16" s="344"/>
      <c r="GV16" s="344"/>
      <c r="GW16" s="344"/>
      <c r="GX16" s="344"/>
      <c r="GY16" s="344"/>
      <c r="GZ16" s="344"/>
      <c r="HA16" s="344"/>
      <c r="HB16" s="344"/>
      <c r="HC16" s="344"/>
      <c r="HD16" s="344"/>
      <c r="HE16" s="344"/>
      <c r="HF16" s="344"/>
      <c r="HG16" s="344"/>
      <c r="HH16" s="344"/>
      <c r="HI16" s="344"/>
      <c r="HJ16" s="344"/>
      <c r="HK16" s="344"/>
      <c r="HL16" s="344"/>
      <c r="HM16" s="344"/>
      <c r="HN16" s="344"/>
      <c r="HO16" s="344"/>
      <c r="HP16" s="344"/>
      <c r="HQ16" s="344"/>
      <c r="HR16" s="344"/>
      <c r="HS16" s="344"/>
      <c r="HT16" s="344"/>
      <c r="HU16" s="344"/>
      <c r="HV16" s="344"/>
      <c r="HW16" s="344"/>
      <c r="HX16" s="344"/>
      <c r="HY16" s="344"/>
      <c r="HZ16" s="344"/>
      <c r="IA16" s="344"/>
      <c r="IB16" s="344"/>
      <c r="IC16" s="344"/>
      <c r="ID16" s="344"/>
      <c r="IE16" s="344"/>
      <c r="IF16" s="344"/>
      <c r="IG16" s="344"/>
      <c r="IH16" s="344"/>
      <c r="II16" s="344"/>
      <c r="IJ16" s="344"/>
      <c r="IK16" s="344"/>
      <c r="IL16" s="344"/>
      <c r="IM16" s="344"/>
      <c r="IN16" s="344"/>
      <c r="IO16" s="344"/>
      <c r="IP16" s="344"/>
      <c r="IQ16" s="344"/>
      <c r="IR16" s="344"/>
      <c r="IS16" s="344"/>
      <c r="IT16" s="344"/>
      <c r="IU16" s="344"/>
      <c r="IV16" s="344"/>
      <c r="IW16" s="344"/>
    </row>
    <row r="17" customFormat="false" ht="12.75" hidden="false" customHeight="false" outlineLevel="0" collapsed="false">
      <c r="A17" s="665" t="s">
        <v>274</v>
      </c>
      <c r="B17" s="199"/>
      <c r="C17" s="199"/>
      <c r="D17" s="199"/>
      <c r="E17" s="481" t="n">
        <f aca="false">+SUM(E15:E16)</f>
        <v>160343.654230716</v>
      </c>
      <c r="F17" s="481" t="n">
        <f aca="false">+SUM(F15:F16)</f>
        <v>151904.514534362</v>
      </c>
      <c r="G17" s="481" t="n">
        <f aca="false">+SUM(G15:G16)</f>
        <v>143465.374838009</v>
      </c>
      <c r="H17" s="481" t="n">
        <f aca="false">+SUM(H15:H16)</f>
        <v>135026.235141655</v>
      </c>
      <c r="I17" s="481" t="n">
        <f aca="false">+SUM(I15:I16)</f>
        <v>126587.095445302</v>
      </c>
      <c r="J17" s="481" t="n">
        <f aca="false">+SUM(J15:J16)</f>
        <v>118147.955748948</v>
      </c>
      <c r="K17" s="481" t="n">
        <f aca="false">+SUM(K15:K16)</f>
        <v>109708.816052595</v>
      </c>
      <c r="L17" s="481" t="n">
        <f aca="false">+SUM(L15:L16)</f>
        <v>101269.676356241</v>
      </c>
      <c r="M17" s="481" t="n">
        <f aca="false">+SUM(M15:M16)</f>
        <v>92830.536659888</v>
      </c>
      <c r="N17" s="481" t="n">
        <f aca="false">+SUM(N15:N16)</f>
        <v>84391.3969635345</v>
      </c>
      <c r="O17" s="481" t="n">
        <f aca="false">+SUM(O15:O16)</f>
        <v>75952.2572671811</v>
      </c>
      <c r="P17" s="481" t="n">
        <f aca="false">+SUM(P15:P16)</f>
        <v>67513.1175708276</v>
      </c>
      <c r="Q17" s="481" t="n">
        <f aca="false">+SUM(Q15:Q16)</f>
        <v>59073.9778744742</v>
      </c>
      <c r="R17" s="481" t="n">
        <f aca="false">+SUM(R15:R16)</f>
        <v>50634.8381781207</v>
      </c>
      <c r="S17" s="481" t="n">
        <f aca="false">+SUM(S15:S16)</f>
        <v>42195.6984817673</v>
      </c>
      <c r="T17" s="481" t="n">
        <f aca="false">+SUM(T15:T16)</f>
        <v>42195.6984817673</v>
      </c>
      <c r="U17" s="481" t="n">
        <f aca="false">+SUM(U15:U16)</f>
        <v>42195.6984817673</v>
      </c>
      <c r="V17" s="481" t="n">
        <f aca="false">+SUM(V15:V16)</f>
        <v>42195.6984817673</v>
      </c>
      <c r="W17" s="481" t="n">
        <f aca="false">+SUM(W15:W16)</f>
        <v>42195.6984817673</v>
      </c>
      <c r="X17" s="481" t="n">
        <f aca="false">+SUM(X15:X16)</f>
        <v>42195.6984817673</v>
      </c>
      <c r="Y17" s="481" t="n">
        <f aca="false">+SUM(Y15:Y16)</f>
        <v>42195.6984817673</v>
      </c>
      <c r="Z17" s="481" t="n">
        <f aca="false">+SUM(Z15:Z16)</f>
        <v>42195.6984817673</v>
      </c>
      <c r="AA17" s="481" t="n">
        <f aca="false">+SUM(AA15:AA16)</f>
        <v>42195.6984817673</v>
      </c>
      <c r="AB17" s="481" t="n">
        <f aca="false">+SUM(AB15:AB16)</f>
        <v>42195.6984817673</v>
      </c>
      <c r="AC17" s="481" t="n">
        <f aca="false">+SUM(AC15:AC16)</f>
        <v>42195.6984817673</v>
      </c>
      <c r="AD17" s="481" t="n">
        <f aca="false">+SUM(AD15:AD16)</f>
        <v>42195.6984817673</v>
      </c>
      <c r="AE17" s="481" t="n">
        <f aca="false">+SUM(AE15:AE16)</f>
        <v>42195.6984817673</v>
      </c>
      <c r="AF17" s="666" t="n">
        <f aca="false">+SUM(AF15:AF16)</f>
        <v>42195.6984817672</v>
      </c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</row>
    <row r="18" customFormat="false" ht="12.75" hidden="false" customHeight="false" outlineLevel="0" collapsed="false">
      <c r="A18" s="14"/>
      <c r="B18" s="14"/>
      <c r="C18" s="14"/>
      <c r="D18" s="1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668" t="s">
        <v>276</v>
      </c>
      <c r="B19" s="395"/>
      <c r="C19" s="395"/>
      <c r="D19" s="395"/>
      <c r="E19" s="472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472"/>
      <c r="AE19" s="472"/>
      <c r="AF19" s="473"/>
      <c r="AG19" s="107"/>
      <c r="AH19" s="107"/>
      <c r="AI19" s="107"/>
      <c r="AJ19" s="107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</row>
    <row r="20" customFormat="false" ht="12.75" hidden="false" customHeight="false" outlineLevel="0" collapsed="false">
      <c r="A20" s="372" t="s">
        <v>178</v>
      </c>
      <c r="B20" s="14"/>
      <c r="C20" s="14"/>
      <c r="D20" s="14"/>
      <c r="E20" s="107" t="n">
        <f aca="false">CF!E47</f>
        <v>7400.19883062925</v>
      </c>
      <c r="F20" s="107" t="n">
        <f aca="false">CF!F47</f>
        <v>7696.9266537338</v>
      </c>
      <c r="G20" s="107" t="n">
        <f aca="false">CF!G47</f>
        <v>24850.7210388356</v>
      </c>
      <c r="H20" s="107" t="n">
        <f aca="false">CF!H47</f>
        <v>26470.2014722413</v>
      </c>
      <c r="I20" s="107" t="n">
        <f aca="false">CF!I47</f>
        <v>27172.3434902892</v>
      </c>
      <c r="J20" s="107" t="n">
        <f aca="false">CF!J47</f>
        <v>28433.5376273673</v>
      </c>
      <c r="K20" s="107" t="n">
        <f aca="false">CF!K47</f>
        <v>29259.6980034933</v>
      </c>
      <c r="L20" s="107" t="n">
        <f aca="false">CF!L47</f>
        <v>63589.0679467556</v>
      </c>
      <c r="M20" s="107" t="n">
        <f aca="false">CF!M47</f>
        <v>69645.5070101564</v>
      </c>
      <c r="N20" s="107" t="n">
        <f aca="false">CF!N47</f>
        <v>71674.908244283</v>
      </c>
      <c r="O20" s="107" t="n">
        <f aca="false">CF!O47</f>
        <v>73926.0452823217</v>
      </c>
      <c r="P20" s="107" t="n">
        <f aca="false">CF!P47</f>
        <v>77037.4196067006</v>
      </c>
      <c r="Q20" s="107" t="n">
        <f aca="false">CF!Q47</f>
        <v>78578.9079988346</v>
      </c>
      <c r="R20" s="107" t="n">
        <f aca="false">CF!R47</f>
        <v>80151.2261588113</v>
      </c>
      <c r="S20" s="107" t="n">
        <f aca="false">CF!S47</f>
        <v>81754.9906819876</v>
      </c>
      <c r="T20" s="107" t="n">
        <f aca="false">CF!T47</f>
        <v>0</v>
      </c>
      <c r="U20" s="107" t="n">
        <f aca="false">CF!U47</f>
        <v>0</v>
      </c>
      <c r="V20" s="107" t="n">
        <f aca="false">CF!V47</f>
        <v>0</v>
      </c>
      <c r="W20" s="107" t="n">
        <f aca="false">CF!W47</f>
        <v>0</v>
      </c>
      <c r="X20" s="107" t="n">
        <f aca="false">CF!X47</f>
        <v>0</v>
      </c>
      <c r="Y20" s="107" t="n">
        <f aca="false">CF!Y47</f>
        <v>0</v>
      </c>
      <c r="Z20" s="107" t="n">
        <f aca="false">CF!Z47</f>
        <v>0</v>
      </c>
      <c r="AA20" s="107" t="n">
        <f aca="false">CF!AA47</f>
        <v>0</v>
      </c>
      <c r="AB20" s="107" t="n">
        <f aca="false">CF!AB47</f>
        <v>0</v>
      </c>
      <c r="AC20" s="107" t="n">
        <f aca="false">CF!AC47</f>
        <v>0</v>
      </c>
      <c r="AD20" s="107" t="n">
        <f aca="false">CF!AD47</f>
        <v>0</v>
      </c>
      <c r="AE20" s="107" t="n">
        <f aca="false">CF!AE47</f>
        <v>0</v>
      </c>
      <c r="AF20" s="478" t="n">
        <f aca="false">+SUM(E20:AE20)</f>
        <v>747641.700046441</v>
      </c>
      <c r="AG20" s="107"/>
      <c r="AH20" s="107"/>
      <c r="AI20" s="107"/>
      <c r="AJ20" s="107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</row>
    <row r="21" customFormat="false" ht="12.75" hidden="false" customHeight="false" outlineLevel="0" collapsed="false">
      <c r="A21" s="669" t="s">
        <v>277</v>
      </c>
      <c r="B21" s="107"/>
      <c r="C21" s="107"/>
      <c r="D21" s="107"/>
      <c r="E21" s="107" t="n">
        <f aca="false">CF!E49</f>
        <v>-12115.9846151308</v>
      </c>
      <c r="F21" s="107" t="n">
        <f aca="false">CF!F49</f>
        <v>-11953.9426671253</v>
      </c>
      <c r="G21" s="107" t="n">
        <f aca="false">CF!G49</f>
        <v>-11274.6212978373</v>
      </c>
      <c r="H21" s="107" t="n">
        <f aca="false">CF!H49</f>
        <v>-10529.2316796274</v>
      </c>
      <c r="I21" s="107" t="n">
        <f aca="false">CF!I49</f>
        <v>-9711.34826236155</v>
      </c>
      <c r="J21" s="107" t="n">
        <f aca="false">CF!J49</f>
        <v>-8813.9205709952</v>
      </c>
      <c r="K21" s="107" t="n">
        <f aca="false">CF!K49</f>
        <v>-7829.2124277204</v>
      </c>
      <c r="L21" s="107" t="n">
        <f aca="false">CF!L49</f>
        <v>-6748.73526308623</v>
      </c>
      <c r="M21" s="107" t="n">
        <f aca="false">CF!M49</f>
        <v>-5563.17494120911</v>
      </c>
      <c r="N21" s="107" t="n">
        <f aca="false">CF!N49</f>
        <v>-4262.31146827742</v>
      </c>
      <c r="O21" s="107" t="n">
        <f aca="false">CF!O49</f>
        <v>-2834.93089220643</v>
      </c>
      <c r="P21" s="107" t="n">
        <f aca="false">CF!P49</f>
        <v>-1268.72863398393</v>
      </c>
      <c r="Q21" s="107" t="n">
        <f aca="false">CF!Q49</f>
        <v>1.48611434269696E-011</v>
      </c>
      <c r="R21" s="107" t="n">
        <f aca="false">CF!R49</f>
        <v>1.11458575702272E-011</v>
      </c>
      <c r="S21" s="107" t="n">
        <f aca="false">CF!S49</f>
        <v>1.48611434269696E-011</v>
      </c>
      <c r="T21" s="107" t="n">
        <f aca="false">CF!T49</f>
        <v>1.48611434269696E-011</v>
      </c>
      <c r="U21" s="107" t="n">
        <f aca="false">CF!U49</f>
        <v>-7.43057171348482E-012</v>
      </c>
      <c r="V21" s="107" t="n">
        <f aca="false">CF!V49</f>
        <v>-7.43057171348482E-012</v>
      </c>
      <c r="W21" s="107" t="n">
        <f aca="false">CF!W49</f>
        <v>-7.43057171348482E-012</v>
      </c>
      <c r="X21" s="107" t="n">
        <f aca="false">CF!X49</f>
        <v>-7.43057171348482E-012</v>
      </c>
      <c r="Y21" s="107" t="n">
        <f aca="false">CF!Y49</f>
        <v>-7.43057171348482E-012</v>
      </c>
      <c r="Z21" s="107" t="n">
        <f aca="false">CF!Z49</f>
        <v>-7.43057171348482E-012</v>
      </c>
      <c r="AA21" s="107" t="n">
        <f aca="false">CF!AA49</f>
        <v>-7.43057171348482E-012</v>
      </c>
      <c r="AB21" s="107" t="n">
        <f aca="false">CF!AB49</f>
        <v>-7.43057171348482E-012</v>
      </c>
      <c r="AC21" s="107" t="n">
        <f aca="false">CF!AC49</f>
        <v>-7.43057171348482E-012</v>
      </c>
      <c r="AD21" s="107" t="n">
        <f aca="false">CF!AD49</f>
        <v>-7.43057171348482E-012</v>
      </c>
      <c r="AE21" s="107" t="n">
        <f aca="false">CF!AE49</f>
        <v>-0</v>
      </c>
      <c r="AF21" s="478" t="n">
        <f aca="false">+SUM(E21:AE21)</f>
        <v>-92906.1427195611</v>
      </c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</row>
    <row r="22" customFormat="false" ht="12.75" hidden="false" customHeight="false" outlineLevel="0" collapsed="false">
      <c r="A22" s="669" t="s">
        <v>180</v>
      </c>
      <c r="B22" s="107"/>
      <c r="C22" s="107"/>
      <c r="D22" s="107"/>
      <c r="E22" s="107" t="n">
        <f aca="false">CF!E50</f>
        <v>-773.360720114731</v>
      </c>
      <c r="F22" s="107" t="n">
        <f aca="false">CF!F50</f>
        <v>-763.017617050553</v>
      </c>
      <c r="G22" s="107" t="n">
        <f aca="false">CF!G50</f>
        <v>-719.656678585359</v>
      </c>
      <c r="H22" s="107" t="n">
        <f aca="false">CF!H50</f>
        <v>-672.07861784856</v>
      </c>
      <c r="I22" s="107" t="n">
        <f aca="false">CF!I50</f>
        <v>-619.873293342226</v>
      </c>
      <c r="J22" s="107" t="n">
        <f aca="false">CF!J50</f>
        <v>-562.590674744374</v>
      </c>
      <c r="K22" s="107" t="n">
        <f aca="false">CF!K50</f>
        <v>-499.736963471515</v>
      </c>
      <c r="L22" s="107" t="n">
        <f aca="false">CF!L50</f>
        <v>-430.770335941674</v>
      </c>
      <c r="M22" s="107" t="n">
        <f aca="false">CF!M50</f>
        <v>-355.096272843134</v>
      </c>
      <c r="N22" s="107" t="n">
        <f aca="false">CF!N50</f>
        <v>-272.062434145367</v>
      </c>
      <c r="O22" s="107" t="n">
        <f aca="false">CF!O50</f>
        <v>-180.953035672751</v>
      </c>
      <c r="P22" s="107" t="n">
        <f aca="false">CF!P50</f>
        <v>-80.9826787649315</v>
      </c>
      <c r="Q22" s="107" t="n">
        <f aca="false">CF!Q50</f>
        <v>9.48583622998062E-013</v>
      </c>
      <c r="R22" s="107" t="n">
        <f aca="false">CF!R50</f>
        <v>7.11437717248547E-013</v>
      </c>
      <c r="S22" s="107" t="n">
        <f aca="false">CF!S50</f>
        <v>9.48583622998062E-013</v>
      </c>
      <c r="T22" s="107" t="n">
        <f aca="false">CF!T50</f>
        <v>9.48583622998062E-013</v>
      </c>
      <c r="U22" s="107" t="n">
        <f aca="false">CF!U50</f>
        <v>-4.74291811499031E-013</v>
      </c>
      <c r="V22" s="107" t="n">
        <f aca="false">CF!V50</f>
        <v>-4.74291811499031E-013</v>
      </c>
      <c r="W22" s="107" t="n">
        <f aca="false">CF!W50</f>
        <v>-4.74291811499031E-013</v>
      </c>
      <c r="X22" s="107" t="n">
        <f aca="false">CF!X50</f>
        <v>-4.74291811499031E-013</v>
      </c>
      <c r="Y22" s="107" t="n">
        <f aca="false">CF!Y50</f>
        <v>-4.74291811499031E-013</v>
      </c>
      <c r="Z22" s="107" t="n">
        <f aca="false">CF!Z50</f>
        <v>-4.74291811499031E-013</v>
      </c>
      <c r="AA22" s="107" t="n">
        <f aca="false">CF!AA50</f>
        <v>-4.74291811499031E-013</v>
      </c>
      <c r="AB22" s="107" t="n">
        <f aca="false">CF!AB50</f>
        <v>-4.74291811499031E-013</v>
      </c>
      <c r="AC22" s="107" t="n">
        <f aca="false">CF!AC50</f>
        <v>-4.74291811499031E-013</v>
      </c>
      <c r="AD22" s="107" t="n">
        <f aca="false">CF!AD50</f>
        <v>-4.74291811499031E-013</v>
      </c>
      <c r="AE22" s="107" t="n">
        <f aca="false">CF!AE50</f>
        <v>-0</v>
      </c>
      <c r="AF22" s="478" t="n">
        <f aca="false">+SUM(E22:AE22)</f>
        <v>-5930.17932252518</v>
      </c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07"/>
      <c r="IN22" s="107"/>
      <c r="IO22" s="107"/>
      <c r="IP22" s="107"/>
      <c r="IQ22" s="107"/>
      <c r="IR22" s="107"/>
      <c r="IS22" s="107"/>
      <c r="IT22" s="107"/>
      <c r="IU22" s="107"/>
      <c r="IV22" s="107"/>
      <c r="IW22" s="107"/>
    </row>
    <row r="23" customFormat="false" ht="12.75" hidden="false" customHeight="false" outlineLevel="0" collapsed="false">
      <c r="A23" s="669" t="s">
        <v>181</v>
      </c>
      <c r="B23" s="107"/>
      <c r="C23" s="107"/>
      <c r="D23" s="107"/>
      <c r="E23" s="107" t="n">
        <f aca="false">-E87</f>
        <v>-0</v>
      </c>
      <c r="F23" s="107" t="n">
        <f aca="false">-F87</f>
        <v>-20</v>
      </c>
      <c r="G23" s="107" t="n">
        <f aca="false">-G87</f>
        <v>-20</v>
      </c>
      <c r="H23" s="107" t="n">
        <f aca="false">-H87</f>
        <v>-20</v>
      </c>
      <c r="I23" s="107" t="n">
        <f aca="false">-I87</f>
        <v>-20</v>
      </c>
      <c r="J23" s="107" t="n">
        <f aca="false">-J87</f>
        <v>-20</v>
      </c>
      <c r="K23" s="107" t="n">
        <f aca="false">-K87</f>
        <v>-20</v>
      </c>
      <c r="L23" s="107" t="n">
        <f aca="false">-L87</f>
        <v>-20</v>
      </c>
      <c r="M23" s="107" t="n">
        <f aca="false">-M87</f>
        <v>-20</v>
      </c>
      <c r="N23" s="107" t="n">
        <f aca="false">-N87</f>
        <v>-20</v>
      </c>
      <c r="O23" s="107" t="n">
        <f aca="false">-O87</f>
        <v>-20</v>
      </c>
      <c r="P23" s="107" t="n">
        <f aca="false">-P87</f>
        <v>-20</v>
      </c>
      <c r="Q23" s="107" t="n">
        <f aca="false">-Q87</f>
        <v>-20</v>
      </c>
      <c r="R23" s="107" t="n">
        <f aca="false">-R87</f>
        <v>-20</v>
      </c>
      <c r="S23" s="107" t="n">
        <f aca="false">-S87</f>
        <v>-20</v>
      </c>
      <c r="T23" s="107" t="n">
        <f aca="false">-T87</f>
        <v>-0</v>
      </c>
      <c r="U23" s="107" t="n">
        <f aca="false">-U87</f>
        <v>-0</v>
      </c>
      <c r="V23" s="107" t="n">
        <f aca="false">-V87</f>
        <v>-0</v>
      </c>
      <c r="W23" s="107" t="n">
        <f aca="false">-W87</f>
        <v>-0</v>
      </c>
      <c r="X23" s="107" t="n">
        <f aca="false">-X87</f>
        <v>-0</v>
      </c>
      <c r="Y23" s="107" t="n">
        <f aca="false">-Y87</f>
        <v>-0</v>
      </c>
      <c r="Z23" s="107" t="n">
        <f aca="false">-Z87</f>
        <v>-0</v>
      </c>
      <c r="AA23" s="107" t="n">
        <f aca="false">-AA87</f>
        <v>-0</v>
      </c>
      <c r="AB23" s="107" t="n">
        <f aca="false">-AB87</f>
        <v>-0</v>
      </c>
      <c r="AC23" s="107" t="n">
        <f aca="false">-AC87</f>
        <v>-0</v>
      </c>
      <c r="AD23" s="107" t="n">
        <f aca="false">-AD87</f>
        <v>-0</v>
      </c>
      <c r="AE23" s="107" t="n">
        <f aca="false">-AE87</f>
        <v>-0</v>
      </c>
      <c r="AF23" s="478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  <c r="IW23" s="107"/>
    </row>
    <row r="24" customFormat="false" ht="12.75" hidden="false" customHeight="false" outlineLevel="0" collapsed="false">
      <c r="A24" s="670" t="s">
        <v>278</v>
      </c>
      <c r="B24" s="148"/>
      <c r="C24" s="148"/>
      <c r="D24" s="148"/>
      <c r="E24" s="131" t="n">
        <f aca="false">+E11</f>
        <v>-4219.56984817672</v>
      </c>
      <c r="F24" s="131" t="n">
        <f aca="false">+F11</f>
        <v>-4219.56984817672</v>
      </c>
      <c r="G24" s="131" t="n">
        <f aca="false">+G11</f>
        <v>-4219.56984817672</v>
      </c>
      <c r="H24" s="131" t="n">
        <f aca="false">+H11</f>
        <v>-4219.56984817672</v>
      </c>
      <c r="I24" s="131" t="n">
        <f aca="false">+I11</f>
        <v>-4219.56984817672</v>
      </c>
      <c r="J24" s="131" t="n">
        <f aca="false">+J11</f>
        <v>-4219.56984817672</v>
      </c>
      <c r="K24" s="131" t="n">
        <f aca="false">+K11</f>
        <v>-4219.56984817672</v>
      </c>
      <c r="L24" s="131" t="n">
        <f aca="false">+L11</f>
        <v>-4219.56984817672</v>
      </c>
      <c r="M24" s="131" t="n">
        <f aca="false">+M11</f>
        <v>-4219.56984817672</v>
      </c>
      <c r="N24" s="131" t="n">
        <f aca="false">+N11</f>
        <v>-4219.56984817672</v>
      </c>
      <c r="O24" s="131" t="n">
        <f aca="false">+O11</f>
        <v>-4219.56984817672</v>
      </c>
      <c r="P24" s="131" t="n">
        <f aca="false">+P11</f>
        <v>-4219.56984817672</v>
      </c>
      <c r="Q24" s="131" t="n">
        <f aca="false">+Q11</f>
        <v>-4219.56984817672</v>
      </c>
      <c r="R24" s="131" t="n">
        <f aca="false">+R11</f>
        <v>-4219.56984817672</v>
      </c>
      <c r="S24" s="131" t="n">
        <f aca="false">+S11</f>
        <v>-4219.56984817672</v>
      </c>
      <c r="T24" s="131" t="n">
        <f aca="false">+T11</f>
        <v>-0</v>
      </c>
      <c r="U24" s="131" t="n">
        <f aca="false">+U11</f>
        <v>-0</v>
      </c>
      <c r="V24" s="131" t="n">
        <f aca="false">+V11</f>
        <v>-0</v>
      </c>
      <c r="W24" s="131" t="n">
        <f aca="false">+W11</f>
        <v>-0</v>
      </c>
      <c r="X24" s="131" t="n">
        <f aca="false">+X11</f>
        <v>-0</v>
      </c>
      <c r="Y24" s="131" t="n">
        <f aca="false">+Y11</f>
        <v>-0</v>
      </c>
      <c r="Z24" s="131" t="n">
        <f aca="false">+Z11</f>
        <v>-0</v>
      </c>
      <c r="AA24" s="131" t="n">
        <f aca="false">+AA11</f>
        <v>-0</v>
      </c>
      <c r="AB24" s="131" t="n">
        <f aca="false">+AB11</f>
        <v>-0</v>
      </c>
      <c r="AC24" s="131" t="n">
        <f aca="false">+AC11</f>
        <v>-0</v>
      </c>
      <c r="AD24" s="131" t="n">
        <f aca="false">+AD11</f>
        <v>-0</v>
      </c>
      <c r="AE24" s="131" t="n">
        <f aca="false">+AE11</f>
        <v>-0</v>
      </c>
      <c r="AF24" s="476" t="n">
        <f aca="false">+SUM(E24:AE24)</f>
        <v>-63293.5477226509</v>
      </c>
      <c r="AG24" s="131"/>
      <c r="AH24" s="131"/>
      <c r="AI24" s="131"/>
      <c r="AJ24" s="131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344"/>
      <c r="DK24" s="344"/>
      <c r="DL24" s="344"/>
      <c r="DM24" s="344"/>
      <c r="DN24" s="344"/>
      <c r="DO24" s="344"/>
      <c r="DP24" s="344"/>
      <c r="DQ24" s="344"/>
      <c r="DR24" s="344"/>
      <c r="DS24" s="344"/>
      <c r="DT24" s="344"/>
      <c r="DU24" s="344"/>
      <c r="DV24" s="344"/>
      <c r="DW24" s="344"/>
      <c r="DX24" s="344"/>
      <c r="DY24" s="344"/>
      <c r="DZ24" s="344"/>
      <c r="EA24" s="344"/>
      <c r="EB24" s="344"/>
      <c r="EC24" s="344"/>
      <c r="ED24" s="344"/>
      <c r="EE24" s="344"/>
      <c r="EF24" s="344"/>
      <c r="EG24" s="344"/>
      <c r="EH24" s="344"/>
      <c r="EI24" s="344"/>
      <c r="EJ24" s="344"/>
      <c r="EK24" s="344"/>
      <c r="EL24" s="344"/>
      <c r="EM24" s="344"/>
      <c r="EN24" s="344"/>
      <c r="EO24" s="344"/>
      <c r="EP24" s="344"/>
      <c r="EQ24" s="344"/>
      <c r="ER24" s="344"/>
      <c r="ES24" s="344"/>
      <c r="ET24" s="344"/>
      <c r="EU24" s="344"/>
      <c r="EV24" s="344"/>
      <c r="EW24" s="344"/>
      <c r="EX24" s="344"/>
      <c r="EY24" s="344"/>
      <c r="EZ24" s="344"/>
      <c r="FA24" s="344"/>
      <c r="FB24" s="344"/>
      <c r="FC24" s="344"/>
      <c r="FD24" s="344"/>
      <c r="FE24" s="344"/>
      <c r="FF24" s="344"/>
      <c r="FG24" s="344"/>
      <c r="FH24" s="344"/>
      <c r="FI24" s="344"/>
      <c r="FJ24" s="344"/>
      <c r="FK24" s="344"/>
      <c r="FL24" s="344"/>
      <c r="FM24" s="344"/>
      <c r="FN24" s="344"/>
      <c r="FO24" s="344"/>
      <c r="FP24" s="344"/>
      <c r="FQ24" s="344"/>
      <c r="FR24" s="344"/>
      <c r="FS24" s="344"/>
      <c r="FT24" s="344"/>
      <c r="FU24" s="344"/>
      <c r="FV24" s="344"/>
      <c r="FW24" s="344"/>
      <c r="FX24" s="344"/>
      <c r="FY24" s="344"/>
      <c r="FZ24" s="344"/>
      <c r="GA24" s="344"/>
      <c r="GB24" s="344"/>
      <c r="GC24" s="344"/>
      <c r="GD24" s="344"/>
      <c r="GE24" s="344"/>
      <c r="GF24" s="344"/>
      <c r="GG24" s="344"/>
      <c r="GH24" s="344"/>
      <c r="GI24" s="344"/>
      <c r="GJ24" s="344"/>
      <c r="GK24" s="344"/>
      <c r="GL24" s="344"/>
      <c r="GM24" s="344"/>
      <c r="GN24" s="344"/>
      <c r="GO24" s="344"/>
      <c r="GP24" s="344"/>
      <c r="GQ24" s="344"/>
      <c r="GR24" s="344"/>
      <c r="GS24" s="344"/>
      <c r="GT24" s="344"/>
      <c r="GU24" s="344"/>
      <c r="GV24" s="344"/>
      <c r="GW24" s="344"/>
      <c r="GX24" s="344"/>
      <c r="GY24" s="344"/>
      <c r="GZ24" s="344"/>
      <c r="HA24" s="344"/>
      <c r="HB24" s="344"/>
      <c r="HC24" s="344"/>
      <c r="HD24" s="344"/>
      <c r="HE24" s="344"/>
      <c r="HF24" s="344"/>
      <c r="HG24" s="344"/>
      <c r="HH24" s="344"/>
      <c r="HI24" s="344"/>
      <c r="HJ24" s="344"/>
      <c r="HK24" s="344"/>
      <c r="HL24" s="344"/>
      <c r="HM24" s="344"/>
      <c r="HN24" s="344"/>
      <c r="HO24" s="344"/>
      <c r="HP24" s="344"/>
      <c r="HQ24" s="344"/>
      <c r="HR24" s="344"/>
      <c r="HS24" s="344"/>
      <c r="HT24" s="344"/>
      <c r="HU24" s="344"/>
      <c r="HV24" s="344"/>
      <c r="HW24" s="344"/>
      <c r="HX24" s="344"/>
      <c r="HY24" s="344"/>
      <c r="HZ24" s="344"/>
      <c r="IA24" s="344"/>
      <c r="IB24" s="344"/>
      <c r="IC24" s="344"/>
      <c r="ID24" s="344"/>
      <c r="IE24" s="344"/>
      <c r="IF24" s="344"/>
      <c r="IG24" s="344"/>
      <c r="IH24" s="344"/>
      <c r="II24" s="344"/>
      <c r="IJ24" s="344"/>
      <c r="IK24" s="344"/>
      <c r="IL24" s="344"/>
      <c r="IM24" s="344"/>
      <c r="IN24" s="344"/>
      <c r="IO24" s="344"/>
      <c r="IP24" s="344"/>
      <c r="IQ24" s="344"/>
      <c r="IR24" s="344"/>
      <c r="IS24" s="344"/>
      <c r="IT24" s="344"/>
      <c r="IU24" s="344"/>
      <c r="IV24" s="344"/>
      <c r="IW24" s="344"/>
    </row>
    <row r="25" customFormat="false" ht="12.75" hidden="false" customHeight="false" outlineLevel="0" collapsed="false">
      <c r="A25" s="669" t="s">
        <v>279</v>
      </c>
      <c r="B25" s="14"/>
      <c r="C25" s="14"/>
      <c r="D25" s="14"/>
      <c r="E25" s="107" t="n">
        <f aca="false">SUM(E20:E24)</f>
        <v>-9708.716352793</v>
      </c>
      <c r="F25" s="107" t="n">
        <f aca="false">SUM(F20:F24)</f>
        <v>-9259.60347861881</v>
      </c>
      <c r="G25" s="107" t="n">
        <f aca="false">SUM(G20:G24)</f>
        <v>8616.87321423625</v>
      </c>
      <c r="H25" s="107" t="n">
        <f aca="false">SUM(H20:H24)</f>
        <v>11029.3213265885</v>
      </c>
      <c r="I25" s="107" t="n">
        <f aca="false">SUM(I20:I24)</f>
        <v>12601.5520864087</v>
      </c>
      <c r="J25" s="107" t="n">
        <f aca="false">SUM(J20:J24)</f>
        <v>14817.4565334511</v>
      </c>
      <c r="K25" s="107" t="n">
        <f aca="false">SUM(K20:K24)</f>
        <v>16691.1787641247</v>
      </c>
      <c r="L25" s="107" t="n">
        <f aca="false">SUM(L20:L24)</f>
        <v>52169.992499551</v>
      </c>
      <c r="M25" s="107" t="n">
        <f aca="false">SUM(M20:M24)</f>
        <v>59487.6659479274</v>
      </c>
      <c r="N25" s="107" t="n">
        <f aca="false">SUM(N20:N24)</f>
        <v>62900.9644936834</v>
      </c>
      <c r="O25" s="107" t="n">
        <f aca="false">SUM(O20:O24)</f>
        <v>66670.5915062658</v>
      </c>
      <c r="P25" s="107" t="n">
        <f aca="false">SUM(P20:P24)</f>
        <v>71448.138445775</v>
      </c>
      <c r="Q25" s="107" t="n">
        <f aca="false">SUM(Q20:Q24)</f>
        <v>74339.3381506579</v>
      </c>
      <c r="R25" s="107" t="n">
        <f aca="false">SUM(R20:R24)</f>
        <v>75911.6563106346</v>
      </c>
      <c r="S25" s="107" t="n">
        <f aca="false">SUM(S20:S24)</f>
        <v>77515.4208338108</v>
      </c>
      <c r="T25" s="107" t="n">
        <f aca="false">SUM(T20:T24)</f>
        <v>1.58097270499677E-011</v>
      </c>
      <c r="U25" s="107" t="n">
        <f aca="false">SUM(U20:U24)</f>
        <v>-7.90486352498385E-012</v>
      </c>
      <c r="V25" s="107" t="n">
        <f aca="false">SUM(V20:V24)</f>
        <v>-7.90486352498385E-012</v>
      </c>
      <c r="W25" s="107" t="n">
        <f aca="false">SUM(W20:W24)</f>
        <v>-7.90486352498385E-012</v>
      </c>
      <c r="X25" s="107" t="n">
        <f aca="false">SUM(X20:X24)</f>
        <v>-7.90486352498385E-012</v>
      </c>
      <c r="Y25" s="107" t="n">
        <f aca="false">SUM(Y20:Y24)</f>
        <v>-7.90486352498385E-012</v>
      </c>
      <c r="Z25" s="107" t="n">
        <f aca="false">SUM(Z20:Z24)</f>
        <v>-7.90486352498385E-012</v>
      </c>
      <c r="AA25" s="107" t="n">
        <f aca="false">SUM(AA20:AA24)</f>
        <v>-7.90486352498385E-012</v>
      </c>
      <c r="AB25" s="107" t="n">
        <f aca="false">SUM(AB20:AB24)</f>
        <v>-7.90486352498385E-012</v>
      </c>
      <c r="AC25" s="107" t="n">
        <f aca="false">SUM(AC20:AC24)</f>
        <v>-7.90486352498385E-012</v>
      </c>
      <c r="AD25" s="107" t="n">
        <f aca="false">SUM(AD20:AD24)</f>
        <v>-7.90486352498385E-012</v>
      </c>
      <c r="AE25" s="517" t="n">
        <f aca="false">SUM(AE20:AE24)</f>
        <v>0</v>
      </c>
      <c r="AF25" s="478" t="n">
        <f aca="false">+SUM(E25:AE25)</f>
        <v>585231.830281704</v>
      </c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</row>
    <row r="26" customFormat="false" ht="12.75" hidden="false" customHeight="false" outlineLevel="0" collapsed="false">
      <c r="A26" s="671" t="s">
        <v>280</v>
      </c>
      <c r="B26" s="148"/>
      <c r="C26" s="148"/>
      <c r="D26" s="148"/>
      <c r="E26" s="131" t="n">
        <f aca="false">+E39</f>
        <v>0</v>
      </c>
      <c r="F26" s="131" t="n">
        <f aca="false">+F39</f>
        <v>0</v>
      </c>
      <c r="G26" s="131" t="n">
        <f aca="false">+G39</f>
        <v>-4308.43660711813</v>
      </c>
      <c r="H26" s="131" t="n">
        <f aca="false">+H39</f>
        <v>-5514.66066329427</v>
      </c>
      <c r="I26" s="131" t="n">
        <f aca="false">+I39</f>
        <v>-6300.77604320434</v>
      </c>
      <c r="J26" s="131" t="n">
        <f aca="false">+J39</f>
        <v>-2844.44651779508</v>
      </c>
      <c r="K26" s="131" t="n">
        <f aca="false">+K39</f>
        <v>-0</v>
      </c>
      <c r="L26" s="131" t="n">
        <f aca="false">+L39</f>
        <v>-0</v>
      </c>
      <c r="M26" s="131" t="n">
        <f aca="false">+M39</f>
        <v>-0</v>
      </c>
      <c r="N26" s="131" t="n">
        <f aca="false">+N39</f>
        <v>-0</v>
      </c>
      <c r="O26" s="131" t="n">
        <f aca="false">+O39</f>
        <v>-0</v>
      </c>
      <c r="P26" s="131" t="n">
        <f aca="false">+P39</f>
        <v>-0</v>
      </c>
      <c r="Q26" s="131" t="n">
        <f aca="false">+Q39</f>
        <v>-0</v>
      </c>
      <c r="R26" s="131" t="n">
        <f aca="false">+R39</f>
        <v>-0</v>
      </c>
      <c r="S26" s="131" t="n">
        <f aca="false">+S39</f>
        <v>-0</v>
      </c>
      <c r="T26" s="131" t="n">
        <f aca="false">+T39</f>
        <v>-0</v>
      </c>
      <c r="U26" s="131" t="n">
        <f aca="false">+U39</f>
        <v>0</v>
      </c>
      <c r="V26" s="131" t="n">
        <f aca="false">+V39</f>
        <v>0</v>
      </c>
      <c r="W26" s="131" t="n">
        <f aca="false">+W39</f>
        <v>0</v>
      </c>
      <c r="X26" s="131" t="n">
        <f aca="false">+X39</f>
        <v>0</v>
      </c>
      <c r="Y26" s="131" t="n">
        <f aca="false">+Y39</f>
        <v>0</v>
      </c>
      <c r="Z26" s="131" t="n">
        <f aca="false">+Z39</f>
        <v>0</v>
      </c>
      <c r="AA26" s="131" t="n">
        <f aca="false">+AA39</f>
        <v>0</v>
      </c>
      <c r="AB26" s="131" t="n">
        <f aca="false">+AB39</f>
        <v>0</v>
      </c>
      <c r="AC26" s="131" t="n">
        <f aca="false">+AC39</f>
        <v>0</v>
      </c>
      <c r="AD26" s="131" t="n">
        <f aca="false">+AD39</f>
        <v>0</v>
      </c>
      <c r="AE26" s="672" t="n">
        <f aca="false">+AE39</f>
        <v>-7.68039249220585E-012</v>
      </c>
      <c r="AF26" s="476" t="n">
        <f aca="false">+SUM(E26:AE26)</f>
        <v>-18968.3198314118</v>
      </c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344"/>
      <c r="DK26" s="344"/>
      <c r="DL26" s="344"/>
      <c r="DM26" s="344"/>
      <c r="DN26" s="344"/>
      <c r="DO26" s="344"/>
      <c r="DP26" s="344"/>
      <c r="DQ26" s="344"/>
      <c r="DR26" s="344"/>
      <c r="DS26" s="344"/>
      <c r="DT26" s="344"/>
      <c r="DU26" s="344"/>
      <c r="DV26" s="344"/>
      <c r="DW26" s="344"/>
      <c r="DX26" s="344"/>
      <c r="DY26" s="344"/>
      <c r="DZ26" s="344"/>
      <c r="EA26" s="344"/>
      <c r="EB26" s="344"/>
      <c r="EC26" s="344"/>
      <c r="ED26" s="344"/>
      <c r="EE26" s="344"/>
      <c r="EF26" s="344"/>
      <c r="EG26" s="344"/>
      <c r="EH26" s="344"/>
      <c r="EI26" s="344"/>
      <c r="EJ26" s="344"/>
      <c r="EK26" s="344"/>
      <c r="EL26" s="344"/>
      <c r="EM26" s="344"/>
      <c r="EN26" s="344"/>
      <c r="EO26" s="344"/>
      <c r="EP26" s="344"/>
      <c r="EQ26" s="344"/>
      <c r="ER26" s="344"/>
      <c r="ES26" s="344"/>
      <c r="ET26" s="344"/>
      <c r="EU26" s="344"/>
      <c r="EV26" s="344"/>
      <c r="EW26" s="344"/>
      <c r="EX26" s="344"/>
      <c r="EY26" s="344"/>
      <c r="EZ26" s="344"/>
      <c r="FA26" s="344"/>
      <c r="FB26" s="344"/>
      <c r="FC26" s="344"/>
      <c r="FD26" s="344"/>
      <c r="FE26" s="344"/>
      <c r="FF26" s="344"/>
      <c r="FG26" s="344"/>
      <c r="FH26" s="344"/>
      <c r="FI26" s="344"/>
      <c r="FJ26" s="344"/>
      <c r="FK26" s="344"/>
      <c r="FL26" s="344"/>
      <c r="FM26" s="344"/>
      <c r="FN26" s="344"/>
      <c r="FO26" s="344"/>
      <c r="FP26" s="344"/>
      <c r="FQ26" s="344"/>
      <c r="FR26" s="344"/>
      <c r="FS26" s="344"/>
      <c r="FT26" s="344"/>
      <c r="FU26" s="344"/>
      <c r="FV26" s="344"/>
      <c r="FW26" s="344"/>
      <c r="FX26" s="344"/>
      <c r="FY26" s="344"/>
      <c r="FZ26" s="344"/>
      <c r="GA26" s="344"/>
      <c r="GB26" s="344"/>
      <c r="GC26" s="344"/>
      <c r="GD26" s="344"/>
      <c r="GE26" s="344"/>
      <c r="GF26" s="344"/>
      <c r="GG26" s="344"/>
      <c r="GH26" s="344"/>
      <c r="GI26" s="344"/>
      <c r="GJ26" s="344"/>
      <c r="GK26" s="344"/>
      <c r="GL26" s="344"/>
      <c r="GM26" s="344"/>
      <c r="GN26" s="344"/>
      <c r="GO26" s="344"/>
      <c r="GP26" s="344"/>
      <c r="GQ26" s="344"/>
      <c r="GR26" s="344"/>
      <c r="GS26" s="344"/>
      <c r="GT26" s="344"/>
      <c r="GU26" s="344"/>
      <c r="GV26" s="344"/>
      <c r="GW26" s="344"/>
      <c r="GX26" s="344"/>
      <c r="GY26" s="344"/>
      <c r="GZ26" s="344"/>
      <c r="HA26" s="344"/>
      <c r="HB26" s="344"/>
      <c r="HC26" s="344"/>
      <c r="HD26" s="344"/>
      <c r="HE26" s="344"/>
      <c r="HF26" s="344"/>
      <c r="HG26" s="344"/>
      <c r="HH26" s="344"/>
      <c r="HI26" s="344"/>
      <c r="HJ26" s="344"/>
      <c r="HK26" s="344"/>
      <c r="HL26" s="344"/>
      <c r="HM26" s="344"/>
      <c r="HN26" s="344"/>
      <c r="HO26" s="344"/>
      <c r="HP26" s="344"/>
      <c r="HQ26" s="344"/>
      <c r="HR26" s="344"/>
      <c r="HS26" s="344"/>
      <c r="HT26" s="344"/>
      <c r="HU26" s="344"/>
      <c r="HV26" s="344"/>
      <c r="HW26" s="344"/>
      <c r="HX26" s="344"/>
      <c r="HY26" s="344"/>
      <c r="HZ26" s="344"/>
      <c r="IA26" s="344"/>
      <c r="IB26" s="344"/>
      <c r="IC26" s="344"/>
      <c r="ID26" s="344"/>
      <c r="IE26" s="344"/>
      <c r="IF26" s="344"/>
      <c r="IG26" s="344"/>
      <c r="IH26" s="344"/>
      <c r="II26" s="344"/>
      <c r="IJ26" s="344"/>
      <c r="IK26" s="344"/>
      <c r="IL26" s="344"/>
      <c r="IM26" s="344"/>
      <c r="IN26" s="344"/>
      <c r="IO26" s="344"/>
      <c r="IP26" s="344"/>
      <c r="IQ26" s="344"/>
      <c r="IR26" s="344"/>
      <c r="IS26" s="344"/>
      <c r="IT26" s="344"/>
      <c r="IU26" s="344"/>
      <c r="IV26" s="344"/>
      <c r="IW26" s="344"/>
    </row>
    <row r="27" customFormat="false" ht="12.75" hidden="false" customHeight="false" outlineLevel="0" collapsed="false">
      <c r="A27" s="673" t="s">
        <v>281</v>
      </c>
      <c r="B27" s="14"/>
      <c r="C27" s="14"/>
      <c r="D27" s="14"/>
      <c r="E27" s="107" t="n">
        <f aca="false">+SUM(E25:E26)</f>
        <v>-9708.716352793</v>
      </c>
      <c r="F27" s="107" t="n">
        <f aca="false">+SUM(F25:F26)</f>
        <v>-9259.60347861881</v>
      </c>
      <c r="G27" s="107" t="n">
        <f aca="false">+SUM(G25:G26)</f>
        <v>4308.43660711813</v>
      </c>
      <c r="H27" s="107" t="n">
        <f aca="false">+SUM(H25:H26)</f>
        <v>5514.66066329427</v>
      </c>
      <c r="I27" s="107" t="n">
        <f aca="false">+SUM(I25:I26)</f>
        <v>6300.77604320434</v>
      </c>
      <c r="J27" s="107" t="n">
        <f aca="false">+SUM(J25:J26)</f>
        <v>11973.010015656</v>
      </c>
      <c r="K27" s="107" t="n">
        <f aca="false">+SUM(K25:K26)</f>
        <v>16691.1787641247</v>
      </c>
      <c r="L27" s="107" t="n">
        <f aca="false">+SUM(L25:L26)</f>
        <v>52169.992499551</v>
      </c>
      <c r="M27" s="107" t="n">
        <f aca="false">+SUM(M25:M26)</f>
        <v>59487.6659479274</v>
      </c>
      <c r="N27" s="107" t="n">
        <f aca="false">+SUM(N25:N26)</f>
        <v>62900.9644936834</v>
      </c>
      <c r="O27" s="107" t="n">
        <f aca="false">+SUM(O25:O26)</f>
        <v>66670.5915062658</v>
      </c>
      <c r="P27" s="107" t="n">
        <f aca="false">+SUM(P25:P26)</f>
        <v>71448.138445775</v>
      </c>
      <c r="Q27" s="107" t="n">
        <f aca="false">+SUM(Q25:Q26)</f>
        <v>74339.3381506579</v>
      </c>
      <c r="R27" s="107" t="n">
        <f aca="false">+SUM(R25:R26)</f>
        <v>75911.6563106346</v>
      </c>
      <c r="S27" s="107" t="n">
        <f aca="false">+SUM(S25:S26)</f>
        <v>77515.4208338108</v>
      </c>
      <c r="T27" s="107" t="n">
        <f aca="false">+SUM(T25:T26)</f>
        <v>1.58097270499677E-011</v>
      </c>
      <c r="U27" s="107" t="n">
        <f aca="false">+SUM(U25:U26)</f>
        <v>-7.90486352498385E-012</v>
      </c>
      <c r="V27" s="107" t="n">
        <f aca="false">+SUM(V25:V26)</f>
        <v>-7.90486352498385E-012</v>
      </c>
      <c r="W27" s="107" t="n">
        <f aca="false">+SUM(W25:W26)</f>
        <v>-7.90486352498385E-012</v>
      </c>
      <c r="X27" s="107" t="n">
        <f aca="false">+SUM(X25:X26)</f>
        <v>-7.90486352498385E-012</v>
      </c>
      <c r="Y27" s="107" t="n">
        <f aca="false">+SUM(Y25:Y26)</f>
        <v>-7.90486352498385E-012</v>
      </c>
      <c r="Z27" s="107" t="n">
        <f aca="false">+SUM(Z25:Z26)</f>
        <v>-7.90486352498385E-012</v>
      </c>
      <c r="AA27" s="107" t="n">
        <f aca="false">+SUM(AA25:AA26)</f>
        <v>-7.90486352498385E-012</v>
      </c>
      <c r="AB27" s="107" t="n">
        <f aca="false">+SUM(AB25:AB26)</f>
        <v>-7.90486352498385E-012</v>
      </c>
      <c r="AC27" s="107" t="n">
        <f aca="false">+SUM(AC25:AC26)</f>
        <v>-7.90486352498385E-012</v>
      </c>
      <c r="AD27" s="107" t="n">
        <f aca="false">+SUM(AD25:AD26)</f>
        <v>-7.90486352498385E-012</v>
      </c>
      <c r="AE27" s="107" t="n">
        <f aca="false">+SUM(AE25:AE26)</f>
        <v>-7.68039249220585E-012</v>
      </c>
      <c r="AF27" s="478" t="n">
        <f aca="false">+SUM(E27:AE27)</f>
        <v>566263.510450292</v>
      </c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</row>
    <row r="28" customFormat="false" ht="12.75" hidden="false" customHeight="false" outlineLevel="0" collapsed="false">
      <c r="A28" s="606"/>
      <c r="B28" s="14"/>
      <c r="C28" s="14"/>
      <c r="D28" s="1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78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</row>
    <row r="29" customFormat="false" ht="12.75" hidden="false" customHeight="false" outlineLevel="0" collapsed="false">
      <c r="A29" s="606" t="s">
        <v>282</v>
      </c>
      <c r="B29" s="14"/>
      <c r="C29" s="492"/>
      <c r="D29" s="492"/>
      <c r="E29" s="462" t="n">
        <f aca="false">+Assumpt!$L$11</f>
        <v>0.3</v>
      </c>
      <c r="F29" s="462" t="n">
        <f aca="false">+Assumpt!$L$11</f>
        <v>0.3</v>
      </c>
      <c r="G29" s="462" t="n">
        <f aca="false">+Assumpt!$L$11</f>
        <v>0.3</v>
      </c>
      <c r="H29" s="462" t="n">
        <f aca="false">+Assumpt!$L$11</f>
        <v>0.3</v>
      </c>
      <c r="I29" s="462" t="n">
        <f aca="false">+Assumpt!$L$11</f>
        <v>0.3</v>
      </c>
      <c r="J29" s="462" t="n">
        <f aca="false">+Assumpt!$L$11</f>
        <v>0.3</v>
      </c>
      <c r="K29" s="462" t="n">
        <f aca="false">+Assumpt!$L$11</f>
        <v>0.3</v>
      </c>
      <c r="L29" s="462" t="n">
        <f aca="false">+Assumpt!$L$11</f>
        <v>0.3</v>
      </c>
      <c r="M29" s="462" t="n">
        <f aca="false">+Assumpt!$L$11</f>
        <v>0.3</v>
      </c>
      <c r="N29" s="462" t="n">
        <f aca="false">+Assumpt!$L$11</f>
        <v>0.3</v>
      </c>
      <c r="O29" s="462" t="n">
        <f aca="false">+Assumpt!$L$11</f>
        <v>0.3</v>
      </c>
      <c r="P29" s="462" t="n">
        <f aca="false">+Assumpt!$L$11</f>
        <v>0.3</v>
      </c>
      <c r="Q29" s="462" t="n">
        <f aca="false">+Assumpt!$L$11</f>
        <v>0.3</v>
      </c>
      <c r="R29" s="462" t="n">
        <f aca="false">+Assumpt!$L$11</f>
        <v>0.3</v>
      </c>
      <c r="S29" s="462" t="n">
        <f aca="false">+Assumpt!$L$11</f>
        <v>0.3</v>
      </c>
      <c r="T29" s="462" t="n">
        <f aca="false">+Assumpt!$L$11</f>
        <v>0.3</v>
      </c>
      <c r="U29" s="462" t="n">
        <f aca="false">+Assumpt!$L$11</f>
        <v>0.3</v>
      </c>
      <c r="V29" s="462" t="n">
        <f aca="false">+Assumpt!$L$11</f>
        <v>0.3</v>
      </c>
      <c r="W29" s="462" t="n">
        <f aca="false">+Assumpt!$L$11</f>
        <v>0.3</v>
      </c>
      <c r="X29" s="462" t="n">
        <f aca="false">+Assumpt!$L$11</f>
        <v>0.3</v>
      </c>
      <c r="Y29" s="462" t="n">
        <f aca="false">+Assumpt!$L$11</f>
        <v>0.3</v>
      </c>
      <c r="Z29" s="462" t="n">
        <f aca="false">+Assumpt!$L$11</f>
        <v>0.3</v>
      </c>
      <c r="AA29" s="462" t="n">
        <f aca="false">+Assumpt!$L$11</f>
        <v>0.3</v>
      </c>
      <c r="AB29" s="462" t="n">
        <f aca="false">+Assumpt!$L$11</f>
        <v>0.3</v>
      </c>
      <c r="AC29" s="462" t="n">
        <f aca="false">+Assumpt!$L$11</f>
        <v>0.3</v>
      </c>
      <c r="AD29" s="462" t="n">
        <f aca="false">+Assumpt!$L$11</f>
        <v>0.3</v>
      </c>
      <c r="AE29" s="674" t="n">
        <f aca="false">+Assumpt!$L$11</f>
        <v>0.3</v>
      </c>
      <c r="AF29" s="675"/>
      <c r="AG29" s="107"/>
      <c r="AH29" s="107"/>
      <c r="AI29" s="107"/>
      <c r="AJ29" s="107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</row>
    <row r="30" customFormat="false" ht="12.75" hidden="false" customHeight="false" outlineLevel="0" collapsed="false">
      <c r="A30" s="375" t="s">
        <v>283</v>
      </c>
      <c r="B30" s="295"/>
      <c r="C30" s="676"/>
      <c r="D30" s="676"/>
      <c r="E30" s="353" t="n">
        <f aca="false">MAX(+E29*E27,0)</f>
        <v>0</v>
      </c>
      <c r="F30" s="353" t="n">
        <f aca="false">MAX(+F29*F27,0)</f>
        <v>0</v>
      </c>
      <c r="G30" s="353" t="n">
        <f aca="false">MAX(+G29*G27,0)</f>
        <v>1292.53098213544</v>
      </c>
      <c r="H30" s="353" t="n">
        <f aca="false">MAX(+H29*H27,0)</f>
        <v>1654.39819898828</v>
      </c>
      <c r="I30" s="353" t="n">
        <f aca="false">MAX(+I29*I27,0)</f>
        <v>1890.2328129613</v>
      </c>
      <c r="J30" s="353" t="n">
        <f aca="false">MAX(+J29*J27,0)</f>
        <v>3591.90300469679</v>
      </c>
      <c r="K30" s="353" t="n">
        <f aca="false">MAX(+K29*K27,0)</f>
        <v>5007.35362923741</v>
      </c>
      <c r="L30" s="353" t="n">
        <f aca="false">MAX(+L29*L27,0)</f>
        <v>15650.9977498653</v>
      </c>
      <c r="M30" s="353" t="n">
        <f aca="false">MAX(+M29*M27,0)</f>
        <v>17846.2997843782</v>
      </c>
      <c r="N30" s="353" t="n">
        <f aca="false">MAX(+N29*N27,0)</f>
        <v>18870.289348105</v>
      </c>
      <c r="O30" s="353" t="n">
        <f aca="false">MAX(+O29*O27,0)</f>
        <v>20001.1774518797</v>
      </c>
      <c r="P30" s="353" t="n">
        <f aca="false">MAX(+P29*P27,0)</f>
        <v>21434.4415337325</v>
      </c>
      <c r="Q30" s="353" t="n">
        <f aca="false">MAX(+Q29*Q27,0)</f>
        <v>22301.8014451974</v>
      </c>
      <c r="R30" s="353" t="n">
        <f aca="false">MAX(+R29*R27,0)</f>
        <v>22773.4968931904</v>
      </c>
      <c r="S30" s="353" t="n">
        <f aca="false">MAX(+S29*S27,0)</f>
        <v>23254.6262501433</v>
      </c>
      <c r="T30" s="353" t="n">
        <f aca="false">MAX(+T29*T27,0)</f>
        <v>4.74291811499031E-012</v>
      </c>
      <c r="U30" s="353" t="n">
        <f aca="false">MAX(+U29*U27,0)</f>
        <v>0</v>
      </c>
      <c r="V30" s="353" t="n">
        <f aca="false">MAX(+V29*V27,0)</f>
        <v>0</v>
      </c>
      <c r="W30" s="353" t="n">
        <f aca="false">MAX(+W29*W27,0)</f>
        <v>0</v>
      </c>
      <c r="X30" s="353" t="n">
        <f aca="false">MAX(+X29*X27,0)</f>
        <v>0</v>
      </c>
      <c r="Y30" s="353" t="n">
        <f aca="false">MAX(+Y29*Y27,0)</f>
        <v>0</v>
      </c>
      <c r="Z30" s="353" t="n">
        <f aca="false">MAX(+Z29*Z27,0)</f>
        <v>0</v>
      </c>
      <c r="AA30" s="353" t="n">
        <f aca="false">MAX(+AA29*AA27,0)</f>
        <v>0</v>
      </c>
      <c r="AB30" s="353" t="n">
        <f aca="false">MAX(+AB29*AB27,0)</f>
        <v>0</v>
      </c>
      <c r="AC30" s="353" t="n">
        <f aca="false">MAX(+AC29*AC27,0)</f>
        <v>0</v>
      </c>
      <c r="AD30" s="353" t="n">
        <f aca="false">MAX(+AD29*AD27,0)</f>
        <v>0</v>
      </c>
      <c r="AE30" s="353" t="n">
        <f aca="false">MAX(+AE29*AE27,0)</f>
        <v>0</v>
      </c>
      <c r="AF30" s="365" t="n">
        <f aca="false">+SUM(E30:AE30)</f>
        <v>175569.549084511</v>
      </c>
      <c r="AG30" s="353"/>
      <c r="AH30" s="353"/>
      <c r="AI30" s="353"/>
      <c r="AJ30" s="353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5"/>
      <c r="CE30" s="295"/>
      <c r="CF30" s="295"/>
      <c r="CG30" s="295"/>
      <c r="CH30" s="295"/>
      <c r="CI30" s="295"/>
      <c r="CJ30" s="295"/>
      <c r="CK30" s="295"/>
      <c r="CL30" s="295"/>
      <c r="CM30" s="295"/>
      <c r="CN30" s="295"/>
      <c r="CO30" s="295"/>
      <c r="CP30" s="295"/>
      <c r="CQ30" s="295"/>
      <c r="CR30" s="295"/>
      <c r="CS30" s="295"/>
      <c r="CT30" s="295"/>
      <c r="CU30" s="295"/>
      <c r="CV30" s="295"/>
      <c r="CW30" s="295"/>
      <c r="CX30" s="295"/>
      <c r="CY30" s="295"/>
      <c r="CZ30" s="295"/>
      <c r="DA30" s="295"/>
      <c r="DB30" s="295"/>
      <c r="DC30" s="295"/>
      <c r="DD30" s="295"/>
      <c r="DE30" s="295"/>
      <c r="DF30" s="295"/>
      <c r="DG30" s="295"/>
      <c r="DH30" s="295"/>
      <c r="DI30" s="295"/>
      <c r="DJ30" s="295"/>
      <c r="DK30" s="295"/>
      <c r="DL30" s="295"/>
      <c r="DM30" s="295"/>
      <c r="DN30" s="295"/>
      <c r="DO30" s="295"/>
      <c r="DP30" s="295"/>
      <c r="DQ30" s="295"/>
      <c r="DR30" s="295"/>
      <c r="DS30" s="295"/>
      <c r="DT30" s="295"/>
      <c r="DU30" s="295"/>
      <c r="DV30" s="295"/>
      <c r="DW30" s="295"/>
      <c r="DX30" s="295"/>
      <c r="DY30" s="295"/>
      <c r="DZ30" s="295"/>
      <c r="EA30" s="295"/>
      <c r="EB30" s="295"/>
      <c r="EC30" s="295"/>
      <c r="ED30" s="295"/>
      <c r="EE30" s="295"/>
      <c r="EF30" s="295"/>
      <c r="EG30" s="295"/>
      <c r="EH30" s="295"/>
      <c r="EI30" s="295"/>
      <c r="EJ30" s="295"/>
      <c r="EK30" s="295"/>
      <c r="EL30" s="295"/>
      <c r="EM30" s="295"/>
      <c r="EN30" s="295"/>
      <c r="EO30" s="295"/>
      <c r="EP30" s="295"/>
      <c r="EQ30" s="295"/>
      <c r="ER30" s="295"/>
      <c r="ES30" s="295"/>
      <c r="ET30" s="295"/>
      <c r="EU30" s="295"/>
      <c r="EV30" s="295"/>
      <c r="EW30" s="295"/>
      <c r="EX30" s="295"/>
      <c r="EY30" s="295"/>
      <c r="EZ30" s="295"/>
      <c r="FA30" s="295"/>
      <c r="FB30" s="295"/>
      <c r="FC30" s="295"/>
      <c r="FD30" s="295"/>
      <c r="FE30" s="295"/>
      <c r="FF30" s="295"/>
      <c r="FG30" s="295"/>
      <c r="FH30" s="295"/>
      <c r="FI30" s="295"/>
      <c r="FJ30" s="295"/>
      <c r="FK30" s="295"/>
      <c r="FL30" s="295"/>
      <c r="FM30" s="295"/>
      <c r="FN30" s="295"/>
      <c r="FO30" s="295"/>
      <c r="FP30" s="295"/>
      <c r="FQ30" s="295"/>
      <c r="FR30" s="295"/>
      <c r="FS30" s="295"/>
      <c r="FT30" s="295"/>
      <c r="FU30" s="295"/>
      <c r="FV30" s="295"/>
      <c r="FW30" s="295"/>
      <c r="FX30" s="295"/>
      <c r="FY30" s="295"/>
      <c r="FZ30" s="295"/>
      <c r="GA30" s="295"/>
      <c r="GB30" s="295"/>
      <c r="GC30" s="295"/>
      <c r="GD30" s="295"/>
      <c r="GE30" s="295"/>
      <c r="GF30" s="295"/>
      <c r="GG30" s="295"/>
      <c r="GH30" s="295"/>
      <c r="GI30" s="295"/>
      <c r="GJ30" s="295"/>
      <c r="GK30" s="295"/>
      <c r="GL30" s="295"/>
      <c r="GM30" s="295"/>
      <c r="GN30" s="295"/>
      <c r="GO30" s="295"/>
      <c r="GP30" s="295"/>
      <c r="GQ30" s="295"/>
      <c r="GR30" s="295"/>
      <c r="GS30" s="295"/>
      <c r="GT30" s="295"/>
      <c r="GU30" s="295"/>
      <c r="GV30" s="295"/>
      <c r="GW30" s="295"/>
      <c r="GX30" s="295"/>
      <c r="GY30" s="295"/>
      <c r="GZ30" s="295"/>
      <c r="HA30" s="295"/>
      <c r="HB30" s="295"/>
      <c r="HC30" s="295"/>
      <c r="HD30" s="295"/>
      <c r="HE30" s="295"/>
      <c r="HF30" s="295"/>
      <c r="HG30" s="295"/>
      <c r="HH30" s="295"/>
      <c r="HI30" s="295"/>
      <c r="HJ30" s="295"/>
      <c r="HK30" s="295"/>
      <c r="HL30" s="295"/>
      <c r="HM30" s="295"/>
      <c r="HN30" s="295"/>
      <c r="HO30" s="295"/>
      <c r="HP30" s="295"/>
      <c r="HQ30" s="295"/>
      <c r="HR30" s="295"/>
      <c r="HS30" s="295"/>
      <c r="HT30" s="295"/>
      <c r="HU30" s="295"/>
      <c r="HV30" s="295"/>
      <c r="HW30" s="295"/>
      <c r="HX30" s="295"/>
      <c r="HY30" s="295"/>
      <c r="HZ30" s="295"/>
      <c r="IA30" s="295"/>
      <c r="IB30" s="295"/>
      <c r="IC30" s="295"/>
      <c r="ID30" s="295"/>
      <c r="IE30" s="295"/>
      <c r="IF30" s="295"/>
      <c r="IG30" s="295"/>
      <c r="IH30" s="295"/>
      <c r="II30" s="295"/>
      <c r="IJ30" s="295"/>
      <c r="IK30" s="295"/>
      <c r="IL30" s="295"/>
      <c r="IM30" s="295"/>
      <c r="IN30" s="295"/>
      <c r="IO30" s="295"/>
      <c r="IP30" s="295"/>
      <c r="IQ30" s="295"/>
      <c r="IR30" s="295"/>
      <c r="IS30" s="295"/>
      <c r="IT30" s="295"/>
      <c r="IU30" s="295"/>
      <c r="IV30" s="295"/>
      <c r="IW30" s="295"/>
    </row>
    <row r="31" customFormat="false" ht="12.75" hidden="false" customHeight="false" outlineLevel="0" collapsed="false">
      <c r="A31" s="375"/>
      <c r="B31" s="295"/>
      <c r="C31" s="676"/>
      <c r="D31" s="676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  <c r="AD31" s="353"/>
      <c r="AE31" s="353"/>
      <c r="AF31" s="365"/>
      <c r="AG31" s="353"/>
      <c r="AH31" s="353"/>
      <c r="AI31" s="353"/>
      <c r="AJ31" s="353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5"/>
      <c r="CE31" s="295"/>
      <c r="CF31" s="295"/>
      <c r="CG31" s="295"/>
      <c r="CH31" s="295"/>
      <c r="CI31" s="295"/>
      <c r="CJ31" s="295"/>
      <c r="CK31" s="295"/>
      <c r="CL31" s="295"/>
      <c r="CM31" s="295"/>
      <c r="CN31" s="295"/>
      <c r="CO31" s="295"/>
      <c r="CP31" s="295"/>
      <c r="CQ31" s="295"/>
      <c r="CR31" s="295"/>
      <c r="CS31" s="295"/>
      <c r="CT31" s="295"/>
      <c r="CU31" s="295"/>
      <c r="CV31" s="295"/>
      <c r="CW31" s="295"/>
      <c r="CX31" s="295"/>
      <c r="CY31" s="295"/>
      <c r="CZ31" s="295"/>
      <c r="DA31" s="295"/>
      <c r="DB31" s="295"/>
      <c r="DC31" s="295"/>
      <c r="DD31" s="295"/>
      <c r="DE31" s="295"/>
      <c r="DF31" s="295"/>
      <c r="DG31" s="295"/>
      <c r="DH31" s="295"/>
      <c r="DI31" s="295"/>
      <c r="DJ31" s="296"/>
      <c r="DK31" s="296"/>
      <c r="DL31" s="296"/>
      <c r="DM31" s="296"/>
      <c r="DN31" s="296"/>
      <c r="DO31" s="296"/>
      <c r="DP31" s="296"/>
      <c r="DQ31" s="296"/>
      <c r="DR31" s="296"/>
      <c r="DS31" s="296"/>
      <c r="DT31" s="296"/>
      <c r="DU31" s="296"/>
      <c r="DV31" s="296"/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6"/>
      <c r="FF31" s="296"/>
      <c r="FG31" s="296"/>
      <c r="FH31" s="296"/>
      <c r="FI31" s="296"/>
      <c r="FJ31" s="296"/>
      <c r="FK31" s="296"/>
      <c r="FL31" s="296"/>
      <c r="FM31" s="296"/>
      <c r="FN31" s="296"/>
      <c r="FO31" s="296"/>
      <c r="FP31" s="296"/>
      <c r="FQ31" s="296"/>
      <c r="FR31" s="296"/>
      <c r="FS31" s="296"/>
      <c r="FT31" s="296"/>
      <c r="FU31" s="296"/>
      <c r="FV31" s="296"/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6"/>
      <c r="HI31" s="296"/>
      <c r="HJ31" s="296"/>
      <c r="HK31" s="296"/>
      <c r="HL31" s="296"/>
      <c r="HM31" s="296"/>
      <c r="HN31" s="296"/>
      <c r="HO31" s="296"/>
      <c r="HP31" s="296"/>
      <c r="HQ31" s="296"/>
      <c r="HR31" s="296"/>
      <c r="HS31" s="296"/>
      <c r="HT31" s="296"/>
      <c r="HU31" s="296"/>
      <c r="HV31" s="296"/>
      <c r="HW31" s="296"/>
      <c r="HX31" s="296"/>
      <c r="HY31" s="296"/>
      <c r="HZ31" s="296"/>
      <c r="IA31" s="296"/>
      <c r="IB31" s="296"/>
      <c r="IC31" s="296"/>
      <c r="ID31" s="296"/>
      <c r="IE31" s="296"/>
      <c r="IF31" s="296"/>
      <c r="IG31" s="296"/>
      <c r="IH31" s="296"/>
      <c r="II31" s="296"/>
      <c r="IJ31" s="296"/>
      <c r="IK31" s="296"/>
      <c r="IL31" s="296"/>
      <c r="IM31" s="296"/>
      <c r="IN31" s="296"/>
      <c r="IO31" s="296"/>
      <c r="IP31" s="296"/>
      <c r="IQ31" s="296"/>
      <c r="IR31" s="296"/>
      <c r="IS31" s="296"/>
      <c r="IT31" s="296"/>
      <c r="IU31" s="296"/>
      <c r="IV31" s="296"/>
      <c r="IW31" s="296"/>
    </row>
    <row r="32" customFormat="false" ht="12.75" hidden="false" customHeight="false" outlineLevel="0" collapsed="false">
      <c r="A32" s="606" t="s">
        <v>284</v>
      </c>
      <c r="B32" s="295"/>
      <c r="C32" s="676"/>
      <c r="D32" s="676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3"/>
      <c r="AC32" s="353"/>
      <c r="AD32" s="353"/>
      <c r="AE32" s="353"/>
      <c r="AF32" s="365"/>
      <c r="AG32" s="353"/>
      <c r="AH32" s="353"/>
      <c r="AI32" s="353"/>
      <c r="AJ32" s="353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5"/>
      <c r="CE32" s="295"/>
      <c r="CF32" s="295"/>
      <c r="CG32" s="295"/>
      <c r="CH32" s="295"/>
      <c r="CI32" s="295"/>
      <c r="CJ32" s="295"/>
      <c r="CK32" s="295"/>
      <c r="CL32" s="295"/>
      <c r="CM32" s="295"/>
      <c r="CN32" s="295"/>
      <c r="CO32" s="295"/>
      <c r="CP32" s="295"/>
      <c r="CQ32" s="295"/>
      <c r="CR32" s="295"/>
      <c r="CS32" s="295"/>
      <c r="CT32" s="295"/>
      <c r="CU32" s="295"/>
      <c r="CV32" s="295"/>
      <c r="CW32" s="295"/>
      <c r="CX32" s="295"/>
      <c r="CY32" s="295"/>
      <c r="CZ32" s="295"/>
      <c r="DA32" s="295"/>
      <c r="DB32" s="295"/>
      <c r="DC32" s="295"/>
      <c r="DD32" s="295"/>
      <c r="DE32" s="295"/>
      <c r="DF32" s="295"/>
      <c r="DG32" s="295"/>
      <c r="DH32" s="295"/>
      <c r="DI32" s="295"/>
      <c r="DJ32" s="296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6"/>
      <c r="FF32" s="296"/>
      <c r="FG32" s="296"/>
      <c r="FH32" s="296"/>
      <c r="FI32" s="296"/>
      <c r="FJ32" s="296"/>
      <c r="FK32" s="296"/>
      <c r="FL32" s="296"/>
      <c r="FM32" s="296"/>
      <c r="FN32" s="296"/>
      <c r="FO32" s="296"/>
      <c r="FP32" s="296"/>
      <c r="FQ32" s="296"/>
      <c r="FR32" s="296"/>
      <c r="FS32" s="296"/>
      <c r="FT32" s="296"/>
      <c r="FU32" s="296"/>
      <c r="FV32" s="296"/>
      <c r="FW32" s="296"/>
      <c r="FX32" s="296"/>
      <c r="FY32" s="296"/>
      <c r="FZ32" s="296"/>
      <c r="GA32" s="296"/>
      <c r="GB32" s="296"/>
      <c r="GC32" s="296"/>
      <c r="GD32" s="296"/>
      <c r="GE32" s="296"/>
      <c r="GF32" s="296"/>
      <c r="GG32" s="296"/>
      <c r="GH32" s="296"/>
      <c r="GI32" s="296"/>
      <c r="GJ32" s="296"/>
      <c r="GK32" s="296"/>
      <c r="GL32" s="296"/>
      <c r="GM32" s="296"/>
      <c r="GN32" s="296"/>
      <c r="GO32" s="296"/>
      <c r="GP32" s="296"/>
      <c r="GQ32" s="296"/>
      <c r="GR32" s="296"/>
      <c r="GS32" s="296"/>
      <c r="GT32" s="296"/>
      <c r="GU32" s="296"/>
      <c r="GV32" s="296"/>
      <c r="GW32" s="296"/>
      <c r="GX32" s="296"/>
      <c r="GY32" s="296"/>
      <c r="GZ32" s="296"/>
      <c r="HA32" s="296"/>
      <c r="HB32" s="296"/>
      <c r="HC32" s="296"/>
      <c r="HD32" s="296"/>
      <c r="HE32" s="296"/>
      <c r="HF32" s="296"/>
      <c r="HG32" s="296"/>
      <c r="HH32" s="296"/>
      <c r="HI32" s="296"/>
      <c r="HJ32" s="296"/>
      <c r="HK32" s="296"/>
      <c r="HL32" s="296"/>
      <c r="HM32" s="296"/>
      <c r="HN32" s="296"/>
      <c r="HO32" s="296"/>
      <c r="HP32" s="296"/>
      <c r="HQ32" s="296"/>
      <c r="HR32" s="296"/>
      <c r="HS32" s="296"/>
      <c r="HT32" s="296"/>
      <c r="HU32" s="296"/>
      <c r="HV32" s="296"/>
      <c r="HW32" s="296"/>
      <c r="HX32" s="296"/>
      <c r="HY32" s="296"/>
      <c r="HZ32" s="296"/>
      <c r="IA32" s="296"/>
      <c r="IB32" s="296"/>
      <c r="IC32" s="296"/>
      <c r="ID32" s="296"/>
      <c r="IE32" s="296"/>
      <c r="IF32" s="296"/>
      <c r="IG32" s="296"/>
      <c r="IH32" s="296"/>
      <c r="II32" s="296"/>
      <c r="IJ32" s="296"/>
      <c r="IK32" s="296"/>
      <c r="IL32" s="296"/>
      <c r="IM32" s="296"/>
      <c r="IN32" s="296"/>
      <c r="IO32" s="296"/>
      <c r="IP32" s="296"/>
      <c r="IQ32" s="296"/>
      <c r="IR32" s="296"/>
      <c r="IS32" s="296"/>
      <c r="IT32" s="296"/>
      <c r="IU32" s="296"/>
      <c r="IV32" s="296"/>
      <c r="IW32" s="296"/>
    </row>
    <row r="33" customFormat="false" ht="12.75" hidden="false" customHeight="false" outlineLevel="0" collapsed="false">
      <c r="A33" s="669" t="s">
        <v>285</v>
      </c>
      <c r="B33" s="14"/>
      <c r="C33" s="492"/>
      <c r="D33" s="492"/>
      <c r="E33" s="644" t="n">
        <v>0</v>
      </c>
      <c r="F33" s="107" t="n">
        <f aca="false">+E41</f>
        <v>9708.716352793</v>
      </c>
      <c r="G33" s="107" t="n">
        <f aca="false">+F41</f>
        <v>18968.3198314118</v>
      </c>
      <c r="H33" s="107" t="n">
        <f aca="false">+G41</f>
        <v>14659.8832242937</v>
      </c>
      <c r="I33" s="107" t="n">
        <f aca="false">+H41</f>
        <v>9145.22256099942</v>
      </c>
      <c r="J33" s="107" t="n">
        <f aca="false">+I41</f>
        <v>2844.44651779508</v>
      </c>
      <c r="K33" s="107" t="n">
        <f aca="false">+J41</f>
        <v>0</v>
      </c>
      <c r="L33" s="107" t="n">
        <f aca="false">+K41</f>
        <v>0</v>
      </c>
      <c r="M33" s="107" t="n">
        <f aca="false">+L41</f>
        <v>0</v>
      </c>
      <c r="N33" s="107" t="n">
        <f aca="false">+M41</f>
        <v>0</v>
      </c>
      <c r="O33" s="107" t="n">
        <f aca="false">+N41</f>
        <v>0</v>
      </c>
      <c r="P33" s="107" t="n">
        <f aca="false">+O41</f>
        <v>0</v>
      </c>
      <c r="Q33" s="107" t="n">
        <f aca="false">+P41</f>
        <v>0</v>
      </c>
      <c r="R33" s="107" t="n">
        <f aca="false">+Q41</f>
        <v>0</v>
      </c>
      <c r="S33" s="107" t="n">
        <f aca="false">+R41</f>
        <v>0</v>
      </c>
      <c r="T33" s="107" t="n">
        <f aca="false">+S41</f>
        <v>0</v>
      </c>
      <c r="U33" s="107" t="n">
        <f aca="false">+T41</f>
        <v>0</v>
      </c>
      <c r="V33" s="107" t="n">
        <f aca="false">+U41</f>
        <v>7.90486352498385E-012</v>
      </c>
      <c r="W33" s="107" t="n">
        <f aca="false">+V41</f>
        <v>1.58097270499677E-011</v>
      </c>
      <c r="X33" s="107" t="n">
        <f aca="false">+W41</f>
        <v>2.37145905749516E-011</v>
      </c>
      <c r="Y33" s="107" t="n">
        <f aca="false">+X41</f>
        <v>3.16194540999354E-011</v>
      </c>
      <c r="Z33" s="107" t="n">
        <f aca="false">+Y41</f>
        <v>3.95243176249193E-011</v>
      </c>
      <c r="AA33" s="107" t="n">
        <f aca="false">+Z41</f>
        <v>4.74291811499031E-011</v>
      </c>
      <c r="AB33" s="107" t="n">
        <f aca="false">+AA41</f>
        <v>4.74291811499031E-011</v>
      </c>
      <c r="AC33" s="107" t="n">
        <f aca="false">+AB41</f>
        <v>4.80580870607036E-011</v>
      </c>
      <c r="AD33" s="107" t="n">
        <f aca="false">+AC41</f>
        <v>4.8686992971504E-011</v>
      </c>
      <c r="AE33" s="107" t="n">
        <f aca="false">+AD41</f>
        <v>4.56779200752127E-011</v>
      </c>
      <c r="AF33" s="478"/>
      <c r="AG33" s="107"/>
      <c r="AH33" s="107"/>
      <c r="AI33" s="107"/>
      <c r="AJ33" s="107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</row>
    <row r="34" customFormat="false" ht="12.75" hidden="false" customHeight="false" outlineLevel="0" collapsed="false">
      <c r="A34" s="670" t="s">
        <v>286</v>
      </c>
      <c r="B34" s="148"/>
      <c r="C34" s="464"/>
      <c r="D34" s="464"/>
      <c r="E34" s="475" t="n">
        <v>0</v>
      </c>
      <c r="F34" s="475" t="n">
        <v>0</v>
      </c>
      <c r="G34" s="475" t="n">
        <v>0</v>
      </c>
      <c r="H34" s="475" t="n">
        <v>0</v>
      </c>
      <c r="I34" s="475" t="n">
        <v>0</v>
      </c>
      <c r="J34" s="475" t="n">
        <v>0</v>
      </c>
      <c r="K34" s="131" t="n">
        <f aca="false">MIN(-SUM($E40:E40,$F39:J39)-SUM($E34:J34),0)</f>
        <v>0</v>
      </c>
      <c r="L34" s="131" t="n">
        <f aca="false">MIN(-SUM($E40:F40,$F39:K39)-SUM($E34:K34),0)</f>
        <v>0</v>
      </c>
      <c r="M34" s="131" t="n">
        <f aca="false">MIN(-SUM($E40:G40,$F39:L39)-SUM($E34:L34),0)</f>
        <v>0</v>
      </c>
      <c r="N34" s="131" t="n">
        <f aca="false">MIN(-SUM($E40:H40,$F39:M39)-SUM($E34:M34),0)</f>
        <v>0</v>
      </c>
      <c r="O34" s="131" t="n">
        <f aca="false">MIN(-SUM($E40:I40,$F39:N39)-SUM($E34:N34),0)</f>
        <v>0</v>
      </c>
      <c r="P34" s="131" t="n">
        <f aca="false">MIN(-SUM($E40:J40,$F39:O39)-SUM($E34:O34),0)</f>
        <v>0</v>
      </c>
      <c r="Q34" s="131" t="n">
        <f aca="false">MIN(-SUM($E40:K40,$F39:P39)-SUM($E34:P34),0)</f>
        <v>0</v>
      </c>
      <c r="R34" s="131" t="n">
        <f aca="false">MIN(-SUM($E40:L40,$F39:Q39)-SUM($E34:Q34),0)</f>
        <v>0</v>
      </c>
      <c r="S34" s="131" t="n">
        <f aca="false">MIN(-SUM($E40:M40,$F39:R39)-SUM($E34:R34),0)</f>
        <v>0</v>
      </c>
      <c r="T34" s="131" t="n">
        <f aca="false">MIN(-SUM($E40:N40,$F39:S39)-SUM($E34:S34),0)</f>
        <v>0</v>
      </c>
      <c r="U34" s="131" t="n">
        <f aca="false">MIN(-SUM($E40:O40,$F39:T39)-SUM($E34:T34),0)</f>
        <v>0</v>
      </c>
      <c r="V34" s="131" t="n">
        <f aca="false">MIN(-SUM($E40:P40,$F39:U39)-SUM($E34:U34),0)</f>
        <v>0</v>
      </c>
      <c r="W34" s="131" t="n">
        <f aca="false">MIN(-SUM($E40:Q40,$F39:V39)-SUM($E34:V34),0)</f>
        <v>0</v>
      </c>
      <c r="X34" s="131" t="n">
        <f aca="false">MIN(-SUM($E40:R40,$F39:W39)-SUM($E34:W34),0)</f>
        <v>0</v>
      </c>
      <c r="Y34" s="131" t="n">
        <f aca="false">MIN(-SUM($E40:S40,$F39:X39)-SUM($E34:X34),0)</f>
        <v>0</v>
      </c>
      <c r="Z34" s="131" t="n">
        <f aca="false">MIN(-SUM($E40:T40,$F39:Y39)-SUM($E34:Y34),0)</f>
        <v>0</v>
      </c>
      <c r="AA34" s="131" t="n">
        <f aca="false">MIN(-SUM($E40:U40,$F39:Z39)-SUM($E34:Z34),0)</f>
        <v>-7.90486352498385E-012</v>
      </c>
      <c r="AB34" s="131" t="n">
        <f aca="false">MIN(-SUM($E40:V40,$F39:AA39)-SUM($E34:AA34),0)</f>
        <v>-7.27595761418342E-012</v>
      </c>
      <c r="AC34" s="131" t="n">
        <f aca="false">MIN(-SUM($E40:W40,$F39:AB39)-SUM($E34:AB34),0)</f>
        <v>-7.27595761418343E-012</v>
      </c>
      <c r="AD34" s="131" t="n">
        <f aca="false">MIN(-SUM($E40:X40,$F39:AC39)-SUM($E34:AC34),0)</f>
        <v>-1.09139364212751E-011</v>
      </c>
      <c r="AE34" s="131" t="n">
        <f aca="false">MIN(-SUM($E40:Y40,$F39:AD39)-SUM($E34:AD34),0)</f>
        <v>-7.27595761418343E-012</v>
      </c>
      <c r="AF34" s="476" t="n">
        <f aca="false">+SUM(E34:AE34)</f>
        <v>-4.06466727888093E-011</v>
      </c>
      <c r="AG34" s="131"/>
      <c r="AH34" s="131"/>
      <c r="AI34" s="131"/>
      <c r="AJ34" s="131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344"/>
      <c r="DK34" s="344"/>
      <c r="DL34" s="344"/>
      <c r="DM34" s="344"/>
      <c r="DN34" s="344"/>
      <c r="DO34" s="344"/>
      <c r="DP34" s="344"/>
      <c r="DQ34" s="344"/>
      <c r="DR34" s="344"/>
      <c r="DS34" s="344"/>
      <c r="DT34" s="344"/>
      <c r="DU34" s="344"/>
      <c r="DV34" s="344"/>
      <c r="DW34" s="344"/>
      <c r="DX34" s="344"/>
      <c r="DY34" s="344"/>
      <c r="DZ34" s="344"/>
      <c r="EA34" s="344"/>
      <c r="EB34" s="344"/>
      <c r="EC34" s="344"/>
      <c r="ED34" s="344"/>
      <c r="EE34" s="344"/>
      <c r="EF34" s="344"/>
      <c r="EG34" s="344"/>
      <c r="EH34" s="344"/>
      <c r="EI34" s="344"/>
      <c r="EJ34" s="344"/>
      <c r="EK34" s="344"/>
      <c r="EL34" s="344"/>
      <c r="EM34" s="344"/>
      <c r="EN34" s="344"/>
      <c r="EO34" s="344"/>
      <c r="EP34" s="344"/>
      <c r="EQ34" s="344"/>
      <c r="ER34" s="344"/>
      <c r="ES34" s="344"/>
      <c r="ET34" s="344"/>
      <c r="EU34" s="344"/>
      <c r="EV34" s="344"/>
      <c r="EW34" s="344"/>
      <c r="EX34" s="344"/>
      <c r="EY34" s="344"/>
      <c r="EZ34" s="344"/>
      <c r="FA34" s="344"/>
      <c r="FB34" s="344"/>
      <c r="FC34" s="344"/>
      <c r="FD34" s="344"/>
      <c r="FE34" s="344"/>
      <c r="FF34" s="344"/>
      <c r="FG34" s="344"/>
      <c r="FH34" s="344"/>
      <c r="FI34" s="344"/>
      <c r="FJ34" s="344"/>
      <c r="FK34" s="344"/>
      <c r="FL34" s="344"/>
      <c r="FM34" s="344"/>
      <c r="FN34" s="344"/>
      <c r="FO34" s="344"/>
      <c r="FP34" s="344"/>
      <c r="FQ34" s="344"/>
      <c r="FR34" s="344"/>
      <c r="FS34" s="344"/>
      <c r="FT34" s="344"/>
      <c r="FU34" s="344"/>
      <c r="FV34" s="344"/>
      <c r="FW34" s="344"/>
      <c r="FX34" s="344"/>
      <c r="FY34" s="344"/>
      <c r="FZ34" s="344"/>
      <c r="GA34" s="344"/>
      <c r="GB34" s="344"/>
      <c r="GC34" s="344"/>
      <c r="GD34" s="344"/>
      <c r="GE34" s="344"/>
      <c r="GF34" s="344"/>
      <c r="GG34" s="344"/>
      <c r="GH34" s="344"/>
      <c r="GI34" s="344"/>
      <c r="GJ34" s="344"/>
      <c r="GK34" s="344"/>
      <c r="GL34" s="344"/>
      <c r="GM34" s="344"/>
      <c r="GN34" s="344"/>
      <c r="GO34" s="344"/>
      <c r="GP34" s="344"/>
      <c r="GQ34" s="344"/>
      <c r="GR34" s="344"/>
      <c r="GS34" s="344"/>
      <c r="GT34" s="344"/>
      <c r="GU34" s="344"/>
      <c r="GV34" s="344"/>
      <c r="GW34" s="344"/>
      <c r="GX34" s="344"/>
      <c r="GY34" s="344"/>
      <c r="GZ34" s="344"/>
      <c r="HA34" s="344"/>
      <c r="HB34" s="344"/>
      <c r="HC34" s="344"/>
      <c r="HD34" s="344"/>
      <c r="HE34" s="344"/>
      <c r="HF34" s="344"/>
      <c r="HG34" s="344"/>
      <c r="HH34" s="344"/>
      <c r="HI34" s="344"/>
      <c r="HJ34" s="344"/>
      <c r="HK34" s="344"/>
      <c r="HL34" s="344"/>
      <c r="HM34" s="344"/>
      <c r="HN34" s="344"/>
      <c r="HO34" s="344"/>
      <c r="HP34" s="344"/>
      <c r="HQ34" s="344"/>
      <c r="HR34" s="344"/>
      <c r="HS34" s="344"/>
      <c r="HT34" s="344"/>
      <c r="HU34" s="344"/>
      <c r="HV34" s="344"/>
      <c r="HW34" s="344"/>
      <c r="HX34" s="344"/>
      <c r="HY34" s="344"/>
      <c r="HZ34" s="344"/>
      <c r="IA34" s="344"/>
      <c r="IB34" s="344"/>
      <c r="IC34" s="344"/>
      <c r="ID34" s="344"/>
      <c r="IE34" s="344"/>
      <c r="IF34" s="344"/>
      <c r="IG34" s="344"/>
      <c r="IH34" s="344"/>
      <c r="II34" s="344"/>
      <c r="IJ34" s="344"/>
      <c r="IK34" s="344"/>
      <c r="IL34" s="344"/>
      <c r="IM34" s="344"/>
      <c r="IN34" s="344"/>
      <c r="IO34" s="344"/>
      <c r="IP34" s="344"/>
      <c r="IQ34" s="344"/>
      <c r="IR34" s="344"/>
      <c r="IS34" s="344"/>
      <c r="IT34" s="344"/>
      <c r="IU34" s="344"/>
      <c r="IV34" s="344"/>
      <c r="IW34" s="344"/>
    </row>
    <row r="35" customFormat="false" ht="12.75" hidden="false" customHeight="false" outlineLevel="0" collapsed="false">
      <c r="A35" s="669" t="s">
        <v>287</v>
      </c>
      <c r="B35" s="14"/>
      <c r="C35" s="492"/>
      <c r="D35" s="492"/>
      <c r="E35" s="107" t="n">
        <f aca="false">+SUM(E33:E34)</f>
        <v>0</v>
      </c>
      <c r="F35" s="107" t="n">
        <f aca="false">+SUM(F33:F34)</f>
        <v>9708.716352793</v>
      </c>
      <c r="G35" s="107" t="n">
        <f aca="false">+SUM(G33:G34)</f>
        <v>18968.3198314118</v>
      </c>
      <c r="H35" s="107" t="n">
        <f aca="false">+SUM(H33:H34)</f>
        <v>14659.8832242937</v>
      </c>
      <c r="I35" s="107" t="n">
        <f aca="false">+SUM(I33:I34)</f>
        <v>9145.22256099942</v>
      </c>
      <c r="J35" s="107" t="n">
        <f aca="false">+SUM(J33:J34)</f>
        <v>2844.44651779508</v>
      </c>
      <c r="K35" s="107" t="n">
        <f aca="false">+SUM(K33:K34)</f>
        <v>0</v>
      </c>
      <c r="L35" s="107" t="n">
        <f aca="false">+SUM(L33:L34)</f>
        <v>0</v>
      </c>
      <c r="M35" s="107" t="n">
        <f aca="false">+SUM(M33:M34)</f>
        <v>0</v>
      </c>
      <c r="N35" s="107" t="n">
        <f aca="false">+SUM(N33:N34)</f>
        <v>0</v>
      </c>
      <c r="O35" s="107" t="n">
        <f aca="false">+SUM(O33:O34)</f>
        <v>0</v>
      </c>
      <c r="P35" s="107" t="n">
        <f aca="false">+SUM(P33:P34)</f>
        <v>0</v>
      </c>
      <c r="Q35" s="107" t="n">
        <f aca="false">+SUM(Q33:Q34)</f>
        <v>0</v>
      </c>
      <c r="R35" s="107" t="n">
        <f aca="false">+SUM(R33:R34)</f>
        <v>0</v>
      </c>
      <c r="S35" s="107" t="n">
        <f aca="false">+SUM(S33:S34)</f>
        <v>0</v>
      </c>
      <c r="T35" s="107" t="n">
        <f aca="false">+SUM(T33:T34)</f>
        <v>0</v>
      </c>
      <c r="U35" s="107" t="n">
        <f aca="false">+SUM(U33:U34)</f>
        <v>0</v>
      </c>
      <c r="V35" s="107" t="n">
        <f aca="false">+SUM(V33:V34)</f>
        <v>7.90486352498385E-012</v>
      </c>
      <c r="W35" s="107" t="n">
        <f aca="false">+SUM(W33:W34)</f>
        <v>1.58097270499677E-011</v>
      </c>
      <c r="X35" s="107" t="n">
        <f aca="false">+SUM(X33:X34)</f>
        <v>2.37145905749516E-011</v>
      </c>
      <c r="Y35" s="107" t="n">
        <f aca="false">+SUM(Y33:Y34)</f>
        <v>3.16194540999354E-011</v>
      </c>
      <c r="Z35" s="107" t="n">
        <f aca="false">+SUM(Z33:Z34)</f>
        <v>3.95243176249193E-011</v>
      </c>
      <c r="AA35" s="107" t="n">
        <f aca="false">+SUM(AA33:AA34)</f>
        <v>3.95243176249193E-011</v>
      </c>
      <c r="AB35" s="107" t="n">
        <f aca="false">+SUM(AB33:AB34)</f>
        <v>4.01532235357197E-011</v>
      </c>
      <c r="AC35" s="107" t="n">
        <f aca="false">+SUM(AC33:AC34)</f>
        <v>4.07821294465201E-011</v>
      </c>
      <c r="AD35" s="107" t="n">
        <f aca="false">+SUM(AD33:AD34)</f>
        <v>3.77730565502288E-011</v>
      </c>
      <c r="AE35" s="107" t="n">
        <f aca="false">+SUM(AE33:AE34)</f>
        <v>3.84019624610293E-011</v>
      </c>
      <c r="AF35" s="478"/>
      <c r="AG35" s="107"/>
      <c r="AH35" s="107"/>
      <c r="AI35" s="107"/>
      <c r="AJ35" s="107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</row>
    <row r="36" customFormat="false" ht="12.75" hidden="false" customHeight="false" outlineLevel="0" collapsed="false">
      <c r="A36" s="677" t="s">
        <v>288</v>
      </c>
      <c r="B36" s="14"/>
      <c r="C36" s="492"/>
      <c r="D36" s="492"/>
      <c r="E36" s="107" t="n">
        <f aca="false">IF(E25&lt;0,0,E35*0.2)</f>
        <v>0</v>
      </c>
      <c r="F36" s="107" t="n">
        <f aca="false">IF(F25&lt;0,0,F35*0.2)</f>
        <v>0</v>
      </c>
      <c r="G36" s="107" t="n">
        <f aca="false">IF(G25&lt;0,0,G35*0.2)</f>
        <v>3793.66396628236</v>
      </c>
      <c r="H36" s="107" t="n">
        <f aca="false">IF(H25&lt;0,0,H35*0.2)</f>
        <v>2931.97664485874</v>
      </c>
      <c r="I36" s="107" t="n">
        <f aca="false">IF(I25&lt;0,0,I35*0.2)</f>
        <v>1829.04451219988</v>
      </c>
      <c r="J36" s="107" t="n">
        <f aca="false">IF(J25&lt;0,0,J35*0.2)</f>
        <v>568.889303559016</v>
      </c>
      <c r="K36" s="107" t="n">
        <f aca="false">IF(K25&lt;0,0,K35*0.2)</f>
        <v>0</v>
      </c>
      <c r="L36" s="107" t="n">
        <f aca="false">IF(L25&lt;0,0,L35*0.2)</f>
        <v>0</v>
      </c>
      <c r="M36" s="107" t="n">
        <f aca="false">IF(M25&lt;0,0,M35*0.2)</f>
        <v>0</v>
      </c>
      <c r="N36" s="107" t="n">
        <f aca="false">IF(N25&lt;0,0,N35*0.2)</f>
        <v>0</v>
      </c>
      <c r="O36" s="107" t="n">
        <f aca="false">IF(O25&lt;0,0,O35*0.2)</f>
        <v>0</v>
      </c>
      <c r="P36" s="107" t="n">
        <f aca="false">IF(P25&lt;0,0,P35*0.2)</f>
        <v>0</v>
      </c>
      <c r="Q36" s="107" t="n">
        <f aca="false">IF(Q25&lt;0,0,Q35*0.2)</f>
        <v>0</v>
      </c>
      <c r="R36" s="107" t="n">
        <f aca="false">IF(R25&lt;0,0,R35*0.2)</f>
        <v>0</v>
      </c>
      <c r="S36" s="107" t="n">
        <f aca="false">IF(S25&lt;0,0,S35*0.2)</f>
        <v>0</v>
      </c>
      <c r="T36" s="107" t="n">
        <f aca="false">IF(T25&lt;0,0,T35*0.2)</f>
        <v>0</v>
      </c>
      <c r="U36" s="107" t="n">
        <f aca="false">IF(U25&lt;0,0,U35*0.2)</f>
        <v>0</v>
      </c>
      <c r="V36" s="107" t="n">
        <f aca="false">IF(V25&lt;0,0,V35*0.2)</f>
        <v>0</v>
      </c>
      <c r="W36" s="107" t="n">
        <f aca="false">IF(W25&lt;0,0,W35*0.2)</f>
        <v>0</v>
      </c>
      <c r="X36" s="107" t="n">
        <f aca="false">IF(X25&lt;0,0,X35*0.2)</f>
        <v>0</v>
      </c>
      <c r="Y36" s="107" t="n">
        <f aca="false">IF(Y25&lt;0,0,Y35*0.2)</f>
        <v>0</v>
      </c>
      <c r="Z36" s="107" t="n">
        <f aca="false">IF(Z25&lt;0,0,Z35*0.2)</f>
        <v>0</v>
      </c>
      <c r="AA36" s="107" t="n">
        <f aca="false">IF(AA25&lt;0,0,AA35*0.2)</f>
        <v>0</v>
      </c>
      <c r="AB36" s="107" t="n">
        <f aca="false">IF(AB25&lt;0,0,AB35*0.2)</f>
        <v>0</v>
      </c>
      <c r="AC36" s="107" t="n">
        <f aca="false">IF(AC25&lt;0,0,AC35*0.2)</f>
        <v>0</v>
      </c>
      <c r="AD36" s="107" t="n">
        <f aca="false">IF(AD25&lt;0,0,AD35*0.2)</f>
        <v>0</v>
      </c>
      <c r="AE36" s="107" t="n">
        <f aca="false">IF(AE25&lt;0,0,AE35*0.2)</f>
        <v>7.68039249220585E-012</v>
      </c>
      <c r="AF36" s="478"/>
      <c r="AG36" s="107"/>
      <c r="AH36" s="107"/>
      <c r="AI36" s="107"/>
      <c r="AJ36" s="107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</row>
    <row r="37" customFormat="false" ht="12.75" hidden="false" customHeight="false" outlineLevel="0" collapsed="false">
      <c r="A37" s="677" t="s">
        <v>289</v>
      </c>
      <c r="B37" s="14"/>
      <c r="C37" s="492"/>
      <c r="D37" s="492"/>
      <c r="E37" s="107" t="n">
        <f aca="false">IF(E25&lt;0,0,E25*0.5)</f>
        <v>0</v>
      </c>
      <c r="F37" s="107" t="n">
        <f aca="false">IF(F25&lt;0,0,F25*0.5)</f>
        <v>0</v>
      </c>
      <c r="G37" s="107" t="n">
        <f aca="false">IF(G25&lt;0,0,G25*0.5)</f>
        <v>4308.43660711813</v>
      </c>
      <c r="H37" s="107" t="n">
        <f aca="false">IF(H25&lt;0,0,H25*0.5)</f>
        <v>5514.66066329427</v>
      </c>
      <c r="I37" s="107" t="n">
        <f aca="false">IF(I25&lt;0,0,I25*0.5)</f>
        <v>6300.77604320434</v>
      </c>
      <c r="J37" s="107" t="n">
        <f aca="false">IF(J25&lt;0,0,J25*0.5)</f>
        <v>7408.72826672553</v>
      </c>
      <c r="K37" s="107" t="n">
        <f aca="false">IF(K25&lt;0,0,K25*0.5)</f>
        <v>8345.58938206234</v>
      </c>
      <c r="L37" s="107" t="n">
        <f aca="false">IF(L25&lt;0,0,L25*0.5)</f>
        <v>26084.9962497755</v>
      </c>
      <c r="M37" s="107" t="n">
        <f aca="false">IF(M25&lt;0,0,M25*0.5)</f>
        <v>29743.8329739637</v>
      </c>
      <c r="N37" s="107" t="n">
        <f aca="false">IF(N25&lt;0,0,N25*0.5)</f>
        <v>31450.4822468417</v>
      </c>
      <c r="O37" s="107" t="n">
        <f aca="false">IF(O25&lt;0,0,O25*0.5)</f>
        <v>33335.2957531329</v>
      </c>
      <c r="P37" s="107" t="n">
        <f aca="false">IF(P25&lt;0,0,P25*0.5)</f>
        <v>35724.0692228875</v>
      </c>
      <c r="Q37" s="107" t="n">
        <f aca="false">IF(Q25&lt;0,0,Q25*0.5)</f>
        <v>37169.669075329</v>
      </c>
      <c r="R37" s="107" t="n">
        <f aca="false">IF(R25&lt;0,0,R25*0.5)</f>
        <v>37955.8281553173</v>
      </c>
      <c r="S37" s="107" t="n">
        <f aca="false">IF(S25&lt;0,0,S25*0.5)</f>
        <v>38757.7104169054</v>
      </c>
      <c r="T37" s="107" t="n">
        <f aca="false">IF(T25&lt;0,0,T25*0.5)</f>
        <v>7.90486352498385E-012</v>
      </c>
      <c r="U37" s="107" t="n">
        <f aca="false">IF(U25&lt;0,0,U25*0.5)</f>
        <v>0</v>
      </c>
      <c r="V37" s="107" t="n">
        <f aca="false">IF(V25&lt;0,0,V25*0.5)</f>
        <v>0</v>
      </c>
      <c r="W37" s="107" t="n">
        <f aca="false">IF(W25&lt;0,0,W25*0.5)</f>
        <v>0</v>
      </c>
      <c r="X37" s="107" t="n">
        <f aca="false">IF(X25&lt;0,0,X25*0.5)</f>
        <v>0</v>
      </c>
      <c r="Y37" s="107" t="n">
        <f aca="false">IF(Y25&lt;0,0,Y25*0.5)</f>
        <v>0</v>
      </c>
      <c r="Z37" s="107" t="n">
        <f aca="false">IF(Z25&lt;0,0,Z25*0.5)</f>
        <v>0</v>
      </c>
      <c r="AA37" s="107" t="n">
        <f aca="false">IF(AA25&lt;0,0,AA25*0.5)</f>
        <v>0</v>
      </c>
      <c r="AB37" s="107" t="n">
        <f aca="false">IF(AB25&lt;0,0,AB25*0.5)</f>
        <v>0</v>
      </c>
      <c r="AC37" s="107" t="n">
        <f aca="false">IF(AC25&lt;0,0,AC25*0.5)</f>
        <v>0</v>
      </c>
      <c r="AD37" s="107" t="n">
        <f aca="false">IF(AD25&lt;0,0,AD25*0.5)</f>
        <v>0</v>
      </c>
      <c r="AE37" s="107" t="n">
        <f aca="false">IF(AE25&lt;0,0,AE25*0.5)</f>
        <v>0</v>
      </c>
      <c r="AF37" s="478"/>
      <c r="AG37" s="107"/>
      <c r="AH37" s="107"/>
      <c r="AI37" s="107"/>
      <c r="AJ37" s="107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</row>
    <row r="38" customFormat="false" ht="12.75" hidden="false" customHeight="false" outlineLevel="0" collapsed="false">
      <c r="A38" s="677"/>
      <c r="B38" s="14"/>
      <c r="C38" s="492"/>
      <c r="D38" s="492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78"/>
      <c r="AG38" s="107"/>
      <c r="AH38" s="107"/>
      <c r="AI38" s="107"/>
      <c r="AJ38" s="107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</row>
    <row r="39" customFormat="false" ht="12.75" hidden="false" customHeight="false" outlineLevel="0" collapsed="false">
      <c r="A39" s="669" t="s">
        <v>290</v>
      </c>
      <c r="B39" s="14"/>
      <c r="C39" s="492"/>
      <c r="D39" s="492"/>
      <c r="E39" s="644" t="n">
        <v>0</v>
      </c>
      <c r="F39" s="107" t="n">
        <f aca="false">+IF(F25&lt;0,0,-MIN(MAX(F36,F37),F35))</f>
        <v>0</v>
      </c>
      <c r="G39" s="107" t="n">
        <f aca="false">+IF(G25&lt;0,0,-MIN(MAX(G36,G37),G35))</f>
        <v>-4308.43660711813</v>
      </c>
      <c r="H39" s="107" t="n">
        <f aca="false">+IF(H25&lt;0,0,-MIN(MAX(H36,H37),H35))</f>
        <v>-5514.66066329427</v>
      </c>
      <c r="I39" s="107" t="n">
        <f aca="false">+IF(I25&lt;0,0,-MIN(MAX(I36,I37),I35))</f>
        <v>-6300.77604320434</v>
      </c>
      <c r="J39" s="107" t="n">
        <f aca="false">+IF(J25&lt;0,0,-MIN(MAX(J36,J37),J35))</f>
        <v>-2844.44651779508</v>
      </c>
      <c r="K39" s="107" t="n">
        <f aca="false">+IF(K25&lt;0,0,-MIN(MAX(K36,K37),K35))</f>
        <v>-0</v>
      </c>
      <c r="L39" s="107" t="n">
        <f aca="false">+IF(L25&lt;0,0,-MIN(MAX(L36,L37),L35))</f>
        <v>-0</v>
      </c>
      <c r="M39" s="107" t="n">
        <f aca="false">+IF(M25&lt;0,0,-MIN(MAX(M36,M37),M35))</f>
        <v>-0</v>
      </c>
      <c r="N39" s="107" t="n">
        <f aca="false">+IF(N25&lt;0,0,-MIN(MAX(N36,N37),N35))</f>
        <v>-0</v>
      </c>
      <c r="O39" s="107" t="n">
        <f aca="false">+IF(O25&lt;0,0,-MIN(MAX(O36,O37),O35))</f>
        <v>-0</v>
      </c>
      <c r="P39" s="107" t="n">
        <f aca="false">+IF(P25&lt;0,0,-MIN(MAX(P36,P37),P35))</f>
        <v>-0</v>
      </c>
      <c r="Q39" s="107" t="n">
        <f aca="false">+IF(Q25&lt;0,0,-MIN(MAX(Q36,Q37),Q35))</f>
        <v>-0</v>
      </c>
      <c r="R39" s="107" t="n">
        <f aca="false">+IF(R25&lt;0,0,-MIN(MAX(R36,R37),R35))</f>
        <v>-0</v>
      </c>
      <c r="S39" s="107" t="n">
        <f aca="false">+IF(S25&lt;0,0,-MIN(MAX(S36,S37),S35))</f>
        <v>-0</v>
      </c>
      <c r="T39" s="107" t="n">
        <f aca="false">+IF(T25&lt;0,0,-MIN(MAX(T36,T37),T35))</f>
        <v>-0</v>
      </c>
      <c r="U39" s="107" t="n">
        <f aca="false">+IF(U25&lt;0,0,-MIN(MAX(U36,U37),U35))</f>
        <v>0</v>
      </c>
      <c r="V39" s="107" t="n">
        <f aca="false">+IF(V25&lt;0,0,-MIN(MAX(V36,V37),V35))</f>
        <v>0</v>
      </c>
      <c r="W39" s="107" t="n">
        <f aca="false">+IF(W25&lt;0,0,-MIN(MAX(W36,W37),W35))</f>
        <v>0</v>
      </c>
      <c r="X39" s="107" t="n">
        <f aca="false">+IF(X25&lt;0,0,-MIN(MAX(X36,X37),X35))</f>
        <v>0</v>
      </c>
      <c r="Y39" s="107" t="n">
        <f aca="false">+IF(Y25&lt;0,0,-MIN(MAX(Y36,Y37),Y35))</f>
        <v>0</v>
      </c>
      <c r="Z39" s="107" t="n">
        <f aca="false">+IF(Z25&lt;0,0,-MIN(MAX(Z36,Z37),Z35))</f>
        <v>0</v>
      </c>
      <c r="AA39" s="107" t="n">
        <f aca="false">+IF(AA25&lt;0,0,-MIN(MAX(AA36,AA37),AA35))</f>
        <v>0</v>
      </c>
      <c r="AB39" s="107" t="n">
        <f aca="false">+IF(AB25&lt;0,0,-MIN(MAX(AB36,AB37),AB35))</f>
        <v>0</v>
      </c>
      <c r="AC39" s="107" t="n">
        <f aca="false">+IF(AC25&lt;0,0,-MIN(MAX(AC36,AC37),AC35))</f>
        <v>0</v>
      </c>
      <c r="AD39" s="107" t="n">
        <f aca="false">+IF(AD25&lt;0,0,-MIN(MAX(AD36,AD37),AD35))</f>
        <v>0</v>
      </c>
      <c r="AE39" s="107" t="n">
        <f aca="false">+IF(AE25&lt;0,0,-MIN(MAX(AE36,AE37),AE35))</f>
        <v>-7.68039249220585E-012</v>
      </c>
      <c r="AF39" s="478" t="n">
        <f aca="false">+SUM(E39:AE39)</f>
        <v>-18968.3198314118</v>
      </c>
      <c r="AG39" s="107"/>
      <c r="AH39" s="107"/>
      <c r="AI39" s="107"/>
      <c r="AJ39" s="107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</row>
    <row r="40" customFormat="false" ht="12.75" hidden="false" customHeight="false" outlineLevel="0" collapsed="false">
      <c r="A40" s="670" t="s">
        <v>291</v>
      </c>
      <c r="B40" s="148"/>
      <c r="C40" s="464"/>
      <c r="D40" s="464"/>
      <c r="E40" s="131" t="n">
        <f aca="false">MAX(-E25,0)</f>
        <v>9708.716352793</v>
      </c>
      <c r="F40" s="131" t="n">
        <f aca="false">MAX(-F25,0)</f>
        <v>9259.60347861881</v>
      </c>
      <c r="G40" s="131" t="n">
        <f aca="false">MAX(-G25,0)</f>
        <v>0</v>
      </c>
      <c r="H40" s="131" t="n">
        <f aca="false">MAX(-H25,0)</f>
        <v>0</v>
      </c>
      <c r="I40" s="131" t="n">
        <f aca="false">MAX(-I25,0)</f>
        <v>0</v>
      </c>
      <c r="J40" s="131" t="n">
        <f aca="false">MAX(-J25,0)</f>
        <v>0</v>
      </c>
      <c r="K40" s="131" t="n">
        <f aca="false">MAX(-K25,0)</f>
        <v>0</v>
      </c>
      <c r="L40" s="131" t="n">
        <f aca="false">MAX(-L25,0)</f>
        <v>0</v>
      </c>
      <c r="M40" s="131" t="n">
        <f aca="false">MAX(-M25,0)</f>
        <v>0</v>
      </c>
      <c r="N40" s="131" t="n">
        <f aca="false">MAX(-N25,0)</f>
        <v>0</v>
      </c>
      <c r="O40" s="131" t="n">
        <f aca="false">MAX(-O25,0)</f>
        <v>0</v>
      </c>
      <c r="P40" s="131" t="n">
        <f aca="false">MAX(-P25,0)</f>
        <v>0</v>
      </c>
      <c r="Q40" s="131" t="n">
        <f aca="false">MAX(-Q25,0)</f>
        <v>0</v>
      </c>
      <c r="R40" s="131" t="n">
        <f aca="false">MAX(-R25,0)</f>
        <v>0</v>
      </c>
      <c r="S40" s="131" t="n">
        <f aca="false">MAX(-S25,0)</f>
        <v>0</v>
      </c>
      <c r="T40" s="131" t="n">
        <f aca="false">MAX(-T25,0)</f>
        <v>0</v>
      </c>
      <c r="U40" s="131" t="n">
        <f aca="false">MAX(-U25,0)</f>
        <v>7.90486352498385E-012</v>
      </c>
      <c r="V40" s="131" t="n">
        <f aca="false">MAX(-V25,0)</f>
        <v>7.90486352498385E-012</v>
      </c>
      <c r="W40" s="131" t="n">
        <f aca="false">MAX(-W25,0)</f>
        <v>7.90486352498385E-012</v>
      </c>
      <c r="X40" s="131" t="n">
        <f aca="false">MAX(-X25,0)</f>
        <v>7.90486352498385E-012</v>
      </c>
      <c r="Y40" s="131" t="n">
        <f aca="false">MAX(-Y25,0)</f>
        <v>7.90486352498385E-012</v>
      </c>
      <c r="Z40" s="131" t="n">
        <f aca="false">MAX(-Z25,0)</f>
        <v>7.90486352498385E-012</v>
      </c>
      <c r="AA40" s="131" t="n">
        <f aca="false">MAX(-AA25,0)</f>
        <v>7.90486352498385E-012</v>
      </c>
      <c r="AB40" s="131" t="n">
        <f aca="false">MAX(-AB25,0)</f>
        <v>7.90486352498385E-012</v>
      </c>
      <c r="AC40" s="131" t="n">
        <f aca="false">MAX(-AC25,0)</f>
        <v>7.90486352498385E-012</v>
      </c>
      <c r="AD40" s="131" t="n">
        <f aca="false">MAX(-AD25,0)</f>
        <v>7.90486352498385E-012</v>
      </c>
      <c r="AE40" s="131" t="n">
        <f aca="false">MAX(-AE25,0)</f>
        <v>0</v>
      </c>
      <c r="AF40" s="476" t="n">
        <f aca="false">+SUM(E40:AE40)</f>
        <v>18968.3198314119</v>
      </c>
      <c r="AG40" s="131"/>
      <c r="AH40" s="131"/>
      <c r="AI40" s="131"/>
      <c r="AJ40" s="131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344"/>
      <c r="DK40" s="344"/>
      <c r="DL40" s="344"/>
      <c r="DM40" s="344"/>
      <c r="DN40" s="344"/>
      <c r="DO40" s="344"/>
      <c r="DP40" s="344"/>
      <c r="DQ40" s="344"/>
      <c r="DR40" s="344"/>
      <c r="DS40" s="344"/>
      <c r="DT40" s="344"/>
      <c r="DU40" s="344"/>
      <c r="DV40" s="344"/>
      <c r="DW40" s="344"/>
      <c r="DX40" s="344"/>
      <c r="DY40" s="344"/>
      <c r="DZ40" s="344"/>
      <c r="EA40" s="344"/>
      <c r="EB40" s="344"/>
      <c r="EC40" s="344"/>
      <c r="ED40" s="344"/>
      <c r="EE40" s="344"/>
      <c r="EF40" s="344"/>
      <c r="EG40" s="344"/>
      <c r="EH40" s="344"/>
      <c r="EI40" s="344"/>
      <c r="EJ40" s="344"/>
      <c r="EK40" s="344"/>
      <c r="EL40" s="344"/>
      <c r="EM40" s="344"/>
      <c r="EN40" s="344"/>
      <c r="EO40" s="344"/>
      <c r="EP40" s="344"/>
      <c r="EQ40" s="344"/>
      <c r="ER40" s="344"/>
      <c r="ES40" s="344"/>
      <c r="ET40" s="344"/>
      <c r="EU40" s="344"/>
      <c r="EV40" s="344"/>
      <c r="EW40" s="344"/>
      <c r="EX40" s="344"/>
      <c r="EY40" s="344"/>
      <c r="EZ40" s="344"/>
      <c r="FA40" s="344"/>
      <c r="FB40" s="344"/>
      <c r="FC40" s="344"/>
      <c r="FD40" s="344"/>
      <c r="FE40" s="344"/>
      <c r="FF40" s="344"/>
      <c r="FG40" s="344"/>
      <c r="FH40" s="344"/>
      <c r="FI40" s="344"/>
      <c r="FJ40" s="344"/>
      <c r="FK40" s="344"/>
      <c r="FL40" s="344"/>
      <c r="FM40" s="344"/>
      <c r="FN40" s="344"/>
      <c r="FO40" s="344"/>
      <c r="FP40" s="344"/>
      <c r="FQ40" s="344"/>
      <c r="FR40" s="344"/>
      <c r="FS40" s="344"/>
      <c r="FT40" s="344"/>
      <c r="FU40" s="344"/>
      <c r="FV40" s="344"/>
      <c r="FW40" s="344"/>
      <c r="FX40" s="344"/>
      <c r="FY40" s="344"/>
      <c r="FZ40" s="344"/>
      <c r="GA40" s="344"/>
      <c r="GB40" s="344"/>
      <c r="GC40" s="344"/>
      <c r="GD40" s="344"/>
      <c r="GE40" s="344"/>
      <c r="GF40" s="344"/>
      <c r="GG40" s="344"/>
      <c r="GH40" s="344"/>
      <c r="GI40" s="344"/>
      <c r="GJ40" s="344"/>
      <c r="GK40" s="344"/>
      <c r="GL40" s="344"/>
      <c r="GM40" s="344"/>
      <c r="GN40" s="344"/>
      <c r="GO40" s="344"/>
      <c r="GP40" s="344"/>
      <c r="GQ40" s="344"/>
      <c r="GR40" s="344"/>
      <c r="GS40" s="344"/>
      <c r="GT40" s="344"/>
      <c r="GU40" s="344"/>
      <c r="GV40" s="344"/>
      <c r="GW40" s="344"/>
      <c r="GX40" s="344"/>
      <c r="GY40" s="344"/>
      <c r="GZ40" s="344"/>
      <c r="HA40" s="344"/>
      <c r="HB40" s="344"/>
      <c r="HC40" s="344"/>
      <c r="HD40" s="344"/>
      <c r="HE40" s="344"/>
      <c r="HF40" s="344"/>
      <c r="HG40" s="344"/>
      <c r="HH40" s="344"/>
      <c r="HI40" s="344"/>
      <c r="HJ40" s="344"/>
      <c r="HK40" s="344"/>
      <c r="HL40" s="344"/>
      <c r="HM40" s="344"/>
      <c r="HN40" s="344"/>
      <c r="HO40" s="344"/>
      <c r="HP40" s="344"/>
      <c r="HQ40" s="344"/>
      <c r="HR40" s="344"/>
      <c r="HS40" s="344"/>
      <c r="HT40" s="344"/>
      <c r="HU40" s="344"/>
      <c r="HV40" s="344"/>
      <c r="HW40" s="344"/>
      <c r="HX40" s="344"/>
      <c r="HY40" s="344"/>
      <c r="HZ40" s="344"/>
      <c r="IA40" s="344"/>
      <c r="IB40" s="344"/>
      <c r="IC40" s="344"/>
      <c r="ID40" s="344"/>
      <c r="IE40" s="344"/>
      <c r="IF40" s="344"/>
      <c r="IG40" s="344"/>
      <c r="IH40" s="344"/>
      <c r="II40" s="344"/>
      <c r="IJ40" s="344"/>
      <c r="IK40" s="344"/>
      <c r="IL40" s="344"/>
      <c r="IM40" s="344"/>
      <c r="IN40" s="344"/>
      <c r="IO40" s="344"/>
      <c r="IP40" s="344"/>
      <c r="IQ40" s="344"/>
      <c r="IR40" s="344"/>
      <c r="IS40" s="344"/>
      <c r="IT40" s="344"/>
      <c r="IU40" s="344"/>
      <c r="IV40" s="344"/>
      <c r="IW40" s="344"/>
    </row>
    <row r="41" customFormat="false" ht="12.75" hidden="false" customHeight="false" outlineLevel="0" collapsed="false">
      <c r="A41" s="678" t="s">
        <v>292</v>
      </c>
      <c r="B41" s="199"/>
      <c r="C41" s="679"/>
      <c r="D41" s="679"/>
      <c r="E41" s="481" t="n">
        <f aca="false">+E35+SUM(E39:E40)</f>
        <v>9708.716352793</v>
      </c>
      <c r="F41" s="481" t="n">
        <f aca="false">+F35+SUM(F39:F40)</f>
        <v>18968.3198314118</v>
      </c>
      <c r="G41" s="481" t="n">
        <f aca="false">+G35+SUM(G39:G40)</f>
        <v>14659.8832242937</v>
      </c>
      <c r="H41" s="481" t="n">
        <f aca="false">+H35+SUM(H39:H40)</f>
        <v>9145.22256099942</v>
      </c>
      <c r="I41" s="481" t="n">
        <f aca="false">+I35+SUM(I39:I40)</f>
        <v>2844.44651779508</v>
      </c>
      <c r="J41" s="481" t="n">
        <f aca="false">+J35+SUM(J39:J40)</f>
        <v>0</v>
      </c>
      <c r="K41" s="481" t="n">
        <f aca="false">+K35+SUM(K39:K40)</f>
        <v>0</v>
      </c>
      <c r="L41" s="481" t="n">
        <f aca="false">+L35+SUM(L39:L40)</f>
        <v>0</v>
      </c>
      <c r="M41" s="481" t="n">
        <f aca="false">+M35+SUM(M39:M40)</f>
        <v>0</v>
      </c>
      <c r="N41" s="481" t="n">
        <f aca="false">+N35+SUM(N39:N40)</f>
        <v>0</v>
      </c>
      <c r="O41" s="481" t="n">
        <f aca="false">+O35+SUM(O39:O40)</f>
        <v>0</v>
      </c>
      <c r="P41" s="481" t="n">
        <f aca="false">+P35+SUM(P39:P40)</f>
        <v>0</v>
      </c>
      <c r="Q41" s="481" t="n">
        <f aca="false">+Q35+SUM(Q39:Q40)</f>
        <v>0</v>
      </c>
      <c r="R41" s="481" t="n">
        <f aca="false">+R35+SUM(R39:R40)</f>
        <v>0</v>
      </c>
      <c r="S41" s="481" t="n">
        <f aca="false">+S35+SUM(S39:S40)</f>
        <v>0</v>
      </c>
      <c r="T41" s="481" t="n">
        <f aca="false">+T35+SUM(T39:T40)</f>
        <v>0</v>
      </c>
      <c r="U41" s="481" t="n">
        <f aca="false">+U35+SUM(U39:U40)</f>
        <v>7.90486352498385E-012</v>
      </c>
      <c r="V41" s="481" t="n">
        <f aca="false">+V35+SUM(V39:V40)</f>
        <v>1.58097270499677E-011</v>
      </c>
      <c r="W41" s="481" t="n">
        <f aca="false">+W35+SUM(W39:W40)</f>
        <v>2.37145905749516E-011</v>
      </c>
      <c r="X41" s="481" t="n">
        <f aca="false">+X35+SUM(X39:X40)</f>
        <v>3.16194540999354E-011</v>
      </c>
      <c r="Y41" s="481" t="n">
        <f aca="false">+Y35+SUM(Y39:Y40)</f>
        <v>3.95243176249193E-011</v>
      </c>
      <c r="Z41" s="481" t="n">
        <f aca="false">+Z35+SUM(Z39:Z40)</f>
        <v>4.74291811499031E-011</v>
      </c>
      <c r="AA41" s="481" t="n">
        <f aca="false">+AA35+SUM(AA39:AA40)</f>
        <v>4.74291811499031E-011</v>
      </c>
      <c r="AB41" s="481" t="n">
        <f aca="false">+AB35+SUM(AB39:AB40)</f>
        <v>4.80580870607036E-011</v>
      </c>
      <c r="AC41" s="481" t="n">
        <f aca="false">+AC35+SUM(AC39:AC40)</f>
        <v>4.8686992971504E-011</v>
      </c>
      <c r="AD41" s="481" t="n">
        <f aca="false">+AD35+SUM(AD39:AD40)</f>
        <v>4.56779200752127E-011</v>
      </c>
      <c r="AE41" s="481" t="n">
        <f aca="false">+AE35+SUM(AE39:AE40)</f>
        <v>3.07215699688234E-011</v>
      </c>
      <c r="AF41" s="666"/>
      <c r="AG41" s="107"/>
      <c r="AH41" s="107"/>
      <c r="AI41" s="107"/>
      <c r="AJ41" s="107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</row>
    <row r="43" customFormat="false" ht="12.75" hidden="false" customHeight="false" outlineLevel="0" collapsed="false">
      <c r="A43" s="668" t="s">
        <v>293</v>
      </c>
      <c r="B43" s="395"/>
      <c r="C43" s="395"/>
      <c r="D43" s="395"/>
      <c r="E43" s="472"/>
      <c r="F43" s="472"/>
      <c r="G43" s="472"/>
      <c r="H43" s="472"/>
      <c r="I43" s="472"/>
      <c r="J43" s="472"/>
      <c r="K43" s="472"/>
      <c r="L43" s="472"/>
      <c r="M43" s="472"/>
      <c r="N43" s="472"/>
      <c r="O43" s="472"/>
      <c r="P43" s="472"/>
      <c r="Q43" s="472"/>
      <c r="R43" s="472"/>
      <c r="S43" s="472"/>
      <c r="T43" s="472"/>
      <c r="U43" s="472"/>
      <c r="V43" s="472"/>
      <c r="W43" s="472"/>
      <c r="X43" s="472"/>
      <c r="Y43" s="472"/>
      <c r="Z43" s="472"/>
      <c r="AA43" s="472"/>
      <c r="AB43" s="472"/>
      <c r="AC43" s="472"/>
      <c r="AD43" s="472"/>
      <c r="AE43" s="472"/>
      <c r="AF43" s="473"/>
      <c r="AG43" s="107"/>
      <c r="AH43" s="107"/>
      <c r="AI43" s="107"/>
      <c r="AJ43" s="107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</row>
    <row r="44" customFormat="false" ht="12.75" hidden="false" customHeight="false" outlineLevel="0" collapsed="false">
      <c r="A44" s="372" t="s">
        <v>178</v>
      </c>
      <c r="B44" s="14"/>
      <c r="C44" s="14"/>
      <c r="D44" s="14"/>
      <c r="E44" s="107" t="n">
        <f aca="false">CF!E47</f>
        <v>7400.19883062925</v>
      </c>
      <c r="F44" s="107" t="n">
        <f aca="false">CF!F47</f>
        <v>7696.9266537338</v>
      </c>
      <c r="G44" s="107" t="n">
        <f aca="false">CF!G47</f>
        <v>24850.7210388356</v>
      </c>
      <c r="H44" s="107" t="n">
        <f aca="false">CF!H47</f>
        <v>26470.2014722413</v>
      </c>
      <c r="I44" s="107" t="n">
        <f aca="false">CF!I47</f>
        <v>27172.3434902892</v>
      </c>
      <c r="J44" s="107" t="n">
        <f aca="false">CF!J47</f>
        <v>28433.5376273673</v>
      </c>
      <c r="K44" s="107" t="n">
        <f aca="false">CF!K47</f>
        <v>29259.6980034933</v>
      </c>
      <c r="L44" s="107" t="n">
        <f aca="false">CF!L47</f>
        <v>63589.0679467556</v>
      </c>
      <c r="M44" s="107" t="n">
        <f aca="false">CF!M47</f>
        <v>69645.5070101564</v>
      </c>
      <c r="N44" s="107" t="n">
        <f aca="false">CF!N47</f>
        <v>71674.908244283</v>
      </c>
      <c r="O44" s="107" t="n">
        <f aca="false">CF!O47</f>
        <v>73926.0452823217</v>
      </c>
      <c r="P44" s="107" t="n">
        <f aca="false">CF!P47</f>
        <v>77037.4196067006</v>
      </c>
      <c r="Q44" s="107" t="n">
        <f aca="false">CF!Q47</f>
        <v>78578.9079988346</v>
      </c>
      <c r="R44" s="107" t="n">
        <f aca="false">CF!R47</f>
        <v>80151.2261588113</v>
      </c>
      <c r="S44" s="107" t="n">
        <f aca="false">CF!S47</f>
        <v>81754.9906819876</v>
      </c>
      <c r="T44" s="107" t="n">
        <f aca="false">CF!T47</f>
        <v>0</v>
      </c>
      <c r="U44" s="107" t="n">
        <f aca="false">CF!U47</f>
        <v>0</v>
      </c>
      <c r="V44" s="107" t="n">
        <f aca="false">CF!V47</f>
        <v>0</v>
      </c>
      <c r="W44" s="107" t="n">
        <f aca="false">CF!W47</f>
        <v>0</v>
      </c>
      <c r="X44" s="107" t="n">
        <f aca="false">CF!X47</f>
        <v>0</v>
      </c>
      <c r="Y44" s="107" t="n">
        <f aca="false">CF!Y47</f>
        <v>0</v>
      </c>
      <c r="Z44" s="107" t="n">
        <f aca="false">CF!Z47</f>
        <v>0</v>
      </c>
      <c r="AA44" s="107" t="n">
        <f aca="false">CF!AA47</f>
        <v>0</v>
      </c>
      <c r="AB44" s="107" t="n">
        <f aca="false">CF!AB47</f>
        <v>0</v>
      </c>
      <c r="AC44" s="107" t="n">
        <f aca="false">CF!AC47</f>
        <v>0</v>
      </c>
      <c r="AD44" s="107" t="n">
        <f aca="false">CF!AD47</f>
        <v>0</v>
      </c>
      <c r="AE44" s="107" t="n">
        <f aca="false">CF!AE47</f>
        <v>0</v>
      </c>
      <c r="AF44" s="478" t="n">
        <f aca="false">+SUM(E44:AE44)</f>
        <v>747641.700046441</v>
      </c>
      <c r="AG44" s="107"/>
      <c r="AH44" s="107"/>
      <c r="AI44" s="107"/>
      <c r="AJ44" s="107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</row>
    <row r="45" customFormat="false" ht="12.75" hidden="false" customHeight="false" outlineLevel="0" collapsed="false">
      <c r="A45" s="669" t="s">
        <v>277</v>
      </c>
      <c r="B45" s="107"/>
      <c r="C45" s="107"/>
      <c r="D45" s="107"/>
      <c r="E45" s="107" t="n">
        <f aca="false">CF!E49</f>
        <v>-12115.9846151308</v>
      </c>
      <c r="F45" s="107" t="n">
        <f aca="false">CF!F49</f>
        <v>-11953.9426671253</v>
      </c>
      <c r="G45" s="107" t="n">
        <f aca="false">CF!G49</f>
        <v>-11274.6212978373</v>
      </c>
      <c r="H45" s="107" t="n">
        <f aca="false">CF!H49</f>
        <v>-10529.2316796274</v>
      </c>
      <c r="I45" s="107" t="n">
        <f aca="false">CF!I49</f>
        <v>-9711.34826236155</v>
      </c>
      <c r="J45" s="107" t="n">
        <f aca="false">CF!J49</f>
        <v>-8813.9205709952</v>
      </c>
      <c r="K45" s="107" t="n">
        <f aca="false">CF!K49</f>
        <v>-7829.2124277204</v>
      </c>
      <c r="L45" s="107" t="n">
        <f aca="false">CF!L49</f>
        <v>-6748.73526308623</v>
      </c>
      <c r="M45" s="107" t="n">
        <f aca="false">CF!M49</f>
        <v>-5563.17494120911</v>
      </c>
      <c r="N45" s="107" t="n">
        <f aca="false">CF!N49</f>
        <v>-4262.31146827742</v>
      </c>
      <c r="O45" s="107" t="n">
        <f aca="false">CF!O49</f>
        <v>-2834.93089220643</v>
      </c>
      <c r="P45" s="107" t="n">
        <f aca="false">CF!P49</f>
        <v>-1268.72863398393</v>
      </c>
      <c r="Q45" s="107" t="n">
        <f aca="false">CF!Q49</f>
        <v>1.48611434269696E-011</v>
      </c>
      <c r="R45" s="107" t="n">
        <f aca="false">CF!R49</f>
        <v>1.11458575702272E-011</v>
      </c>
      <c r="S45" s="107" t="n">
        <f aca="false">CF!S49</f>
        <v>1.48611434269696E-011</v>
      </c>
      <c r="T45" s="107" t="n">
        <f aca="false">CF!T49</f>
        <v>1.48611434269696E-011</v>
      </c>
      <c r="U45" s="107" t="n">
        <f aca="false">CF!U49</f>
        <v>-7.43057171348482E-012</v>
      </c>
      <c r="V45" s="107" t="n">
        <f aca="false">CF!V49</f>
        <v>-7.43057171348482E-012</v>
      </c>
      <c r="W45" s="107" t="n">
        <f aca="false">CF!W49</f>
        <v>-7.43057171348482E-012</v>
      </c>
      <c r="X45" s="107" t="n">
        <f aca="false">CF!X49</f>
        <v>-7.43057171348482E-012</v>
      </c>
      <c r="Y45" s="107" t="n">
        <f aca="false">CF!Y49</f>
        <v>-7.43057171348482E-012</v>
      </c>
      <c r="Z45" s="107" t="n">
        <f aca="false">CF!Z49</f>
        <v>-7.43057171348482E-012</v>
      </c>
      <c r="AA45" s="107" t="n">
        <f aca="false">CF!AA49</f>
        <v>-7.43057171348482E-012</v>
      </c>
      <c r="AB45" s="107" t="n">
        <f aca="false">CF!AB49</f>
        <v>-7.43057171348482E-012</v>
      </c>
      <c r="AC45" s="107" t="n">
        <f aca="false">CF!AC49</f>
        <v>-7.43057171348482E-012</v>
      </c>
      <c r="AD45" s="107" t="n">
        <f aca="false">CF!AD49</f>
        <v>-7.43057171348482E-012</v>
      </c>
      <c r="AE45" s="107" t="n">
        <f aca="false">CF!AE49</f>
        <v>-0</v>
      </c>
      <c r="AF45" s="478" t="n">
        <f aca="false">+SUM(E45:AE45)</f>
        <v>-92906.1427195611</v>
      </c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7"/>
      <c r="DX45" s="107"/>
      <c r="DY45" s="107"/>
      <c r="DZ45" s="107"/>
      <c r="EA45" s="107"/>
      <c r="EB45" s="107"/>
      <c r="EC45" s="107"/>
      <c r="ED45" s="107"/>
      <c r="EE45" s="107"/>
      <c r="EF45" s="107"/>
      <c r="EG45" s="107"/>
      <c r="EH45" s="107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107"/>
      <c r="EY45" s="107"/>
      <c r="EZ45" s="107"/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  <c r="FM45" s="107"/>
      <c r="FN45" s="107"/>
      <c r="FO45" s="107"/>
      <c r="FP45" s="107"/>
      <c r="FQ45" s="107"/>
      <c r="FR45" s="107"/>
      <c r="FS45" s="107"/>
      <c r="FT45" s="107"/>
      <c r="FU45" s="107"/>
      <c r="FV45" s="107"/>
      <c r="FW45" s="107"/>
      <c r="FX45" s="107"/>
      <c r="FY45" s="107"/>
      <c r="FZ45" s="107"/>
      <c r="GA45" s="107"/>
      <c r="GB45" s="107"/>
      <c r="GC45" s="107"/>
      <c r="GD45" s="107"/>
      <c r="GE45" s="107"/>
      <c r="GF45" s="107"/>
      <c r="GG45" s="107"/>
      <c r="GH45" s="107"/>
      <c r="GI45" s="107"/>
      <c r="GJ45" s="107"/>
      <c r="GK45" s="107"/>
      <c r="GL45" s="107"/>
      <c r="GM45" s="107"/>
      <c r="GN45" s="107"/>
      <c r="GO45" s="107"/>
      <c r="GP45" s="107"/>
      <c r="GQ45" s="107"/>
      <c r="GR45" s="107"/>
      <c r="GS45" s="107"/>
      <c r="GT45" s="107"/>
      <c r="GU45" s="107"/>
      <c r="GV45" s="107"/>
      <c r="GW45" s="107"/>
      <c r="GX45" s="107"/>
      <c r="GY45" s="107"/>
      <c r="GZ45" s="107"/>
      <c r="HA45" s="107"/>
      <c r="HB45" s="107"/>
      <c r="HC45" s="107"/>
      <c r="HD45" s="107"/>
      <c r="HE45" s="107"/>
      <c r="HF45" s="107"/>
      <c r="HG45" s="107"/>
      <c r="HH45" s="107"/>
      <c r="HI45" s="107"/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7"/>
      <c r="HU45" s="107"/>
      <c r="HV45" s="107"/>
      <c r="HW45" s="107"/>
      <c r="HX45" s="107"/>
      <c r="HY45" s="107"/>
      <c r="HZ45" s="107"/>
      <c r="IA45" s="107"/>
      <c r="IB45" s="107"/>
      <c r="IC45" s="107"/>
      <c r="ID45" s="107"/>
      <c r="IE45" s="107"/>
      <c r="IF45" s="107"/>
      <c r="IG45" s="107"/>
      <c r="IH45" s="107"/>
      <c r="II45" s="107"/>
      <c r="IJ45" s="107"/>
      <c r="IK45" s="107"/>
      <c r="IL45" s="107"/>
      <c r="IM45" s="107"/>
      <c r="IN45" s="107"/>
      <c r="IO45" s="107"/>
      <c r="IP45" s="107"/>
      <c r="IQ45" s="107"/>
      <c r="IR45" s="107"/>
      <c r="IS45" s="107"/>
      <c r="IT45" s="107"/>
      <c r="IU45" s="107"/>
      <c r="IV45" s="107"/>
      <c r="IW45" s="107"/>
    </row>
    <row r="46" customFormat="false" ht="12.75" hidden="false" customHeight="false" outlineLevel="0" collapsed="false">
      <c r="A46" s="669" t="s">
        <v>180</v>
      </c>
      <c r="B46" s="107"/>
      <c r="C46" s="107"/>
      <c r="D46" s="107"/>
      <c r="E46" s="107" t="n">
        <f aca="false">CF!E50</f>
        <v>-773.360720114731</v>
      </c>
      <c r="F46" s="107" t="n">
        <f aca="false">CF!F50</f>
        <v>-763.017617050553</v>
      </c>
      <c r="G46" s="107" t="n">
        <f aca="false">CF!G50</f>
        <v>-719.656678585359</v>
      </c>
      <c r="H46" s="107" t="n">
        <f aca="false">CF!H50</f>
        <v>-672.07861784856</v>
      </c>
      <c r="I46" s="107" t="n">
        <f aca="false">CF!I50</f>
        <v>-619.873293342226</v>
      </c>
      <c r="J46" s="107" t="n">
        <f aca="false">CF!J50</f>
        <v>-562.590674744374</v>
      </c>
      <c r="K46" s="107" t="n">
        <f aca="false">CF!K50</f>
        <v>-499.736963471515</v>
      </c>
      <c r="L46" s="107" t="n">
        <f aca="false">CF!L50</f>
        <v>-430.770335941674</v>
      </c>
      <c r="M46" s="107" t="n">
        <f aca="false">CF!M50</f>
        <v>-355.096272843134</v>
      </c>
      <c r="N46" s="107" t="n">
        <f aca="false">CF!N50</f>
        <v>-272.062434145367</v>
      </c>
      <c r="O46" s="107" t="n">
        <f aca="false">CF!O50</f>
        <v>-180.953035672751</v>
      </c>
      <c r="P46" s="107" t="n">
        <f aca="false">CF!P50</f>
        <v>-80.9826787649315</v>
      </c>
      <c r="Q46" s="107" t="n">
        <f aca="false">CF!Q50</f>
        <v>9.48583622998062E-013</v>
      </c>
      <c r="R46" s="107" t="n">
        <f aca="false">CF!R50</f>
        <v>7.11437717248547E-013</v>
      </c>
      <c r="S46" s="107" t="n">
        <f aca="false">CF!S50</f>
        <v>9.48583622998062E-013</v>
      </c>
      <c r="T46" s="107" t="n">
        <f aca="false">CF!T50</f>
        <v>9.48583622998062E-013</v>
      </c>
      <c r="U46" s="107" t="n">
        <f aca="false">CF!U50</f>
        <v>-4.74291811499031E-013</v>
      </c>
      <c r="V46" s="107" t="n">
        <f aca="false">CF!V50</f>
        <v>-4.74291811499031E-013</v>
      </c>
      <c r="W46" s="107" t="n">
        <f aca="false">CF!W50</f>
        <v>-4.74291811499031E-013</v>
      </c>
      <c r="X46" s="107" t="n">
        <f aca="false">CF!X50</f>
        <v>-4.74291811499031E-013</v>
      </c>
      <c r="Y46" s="107" t="n">
        <f aca="false">CF!Y50</f>
        <v>-4.74291811499031E-013</v>
      </c>
      <c r="Z46" s="107" t="n">
        <f aca="false">CF!Z50</f>
        <v>-4.74291811499031E-013</v>
      </c>
      <c r="AA46" s="107" t="n">
        <f aca="false">CF!AA50</f>
        <v>-4.74291811499031E-013</v>
      </c>
      <c r="AB46" s="107" t="n">
        <f aca="false">CF!AB50</f>
        <v>-4.74291811499031E-013</v>
      </c>
      <c r="AC46" s="107" t="n">
        <f aca="false">CF!AC50</f>
        <v>-4.74291811499031E-013</v>
      </c>
      <c r="AD46" s="107" t="n">
        <f aca="false">CF!AD50</f>
        <v>-4.74291811499031E-013</v>
      </c>
      <c r="AE46" s="107" t="n">
        <f aca="false">CF!AE50</f>
        <v>-0</v>
      </c>
      <c r="AF46" s="478" t="n">
        <f aca="false">+SUM(E46:AE46)</f>
        <v>-5930.17932252518</v>
      </c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107"/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  <c r="FK46" s="107"/>
      <c r="FL46" s="107"/>
      <c r="FM46" s="107"/>
      <c r="FN46" s="107"/>
      <c r="FO46" s="107"/>
      <c r="FP46" s="107"/>
      <c r="FQ46" s="107"/>
      <c r="FR46" s="107"/>
      <c r="FS46" s="107"/>
      <c r="FT46" s="107"/>
      <c r="FU46" s="107"/>
      <c r="FV46" s="107"/>
      <c r="FW46" s="107"/>
      <c r="FX46" s="107"/>
      <c r="FY46" s="107"/>
      <c r="FZ46" s="107"/>
      <c r="GA46" s="107"/>
      <c r="GB46" s="107"/>
      <c r="GC46" s="107"/>
      <c r="GD46" s="107"/>
      <c r="GE46" s="107"/>
      <c r="GF46" s="107"/>
      <c r="GG46" s="107"/>
      <c r="GH46" s="107"/>
      <c r="GI46" s="107"/>
      <c r="GJ46" s="107"/>
      <c r="GK46" s="107"/>
      <c r="GL46" s="107"/>
      <c r="GM46" s="107"/>
      <c r="GN46" s="107"/>
      <c r="GO46" s="107"/>
      <c r="GP46" s="107"/>
      <c r="GQ46" s="107"/>
      <c r="GR46" s="107"/>
      <c r="GS46" s="107"/>
      <c r="GT46" s="107"/>
      <c r="GU46" s="107"/>
      <c r="GV46" s="107"/>
      <c r="GW46" s="107"/>
      <c r="GX46" s="107"/>
      <c r="GY46" s="107"/>
      <c r="GZ46" s="107"/>
      <c r="HA46" s="107"/>
      <c r="HB46" s="107"/>
      <c r="HC46" s="107"/>
      <c r="HD46" s="107"/>
      <c r="HE46" s="107"/>
      <c r="HF46" s="107"/>
      <c r="HG46" s="107"/>
      <c r="HH46" s="107"/>
      <c r="HI46" s="107"/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7"/>
      <c r="HU46" s="107"/>
      <c r="HV46" s="107"/>
      <c r="HW46" s="107"/>
      <c r="HX46" s="107"/>
      <c r="HY46" s="107"/>
      <c r="HZ46" s="107"/>
      <c r="IA46" s="107"/>
      <c r="IB46" s="107"/>
      <c r="IC46" s="107"/>
      <c r="ID46" s="107"/>
      <c r="IE46" s="107"/>
      <c r="IF46" s="107"/>
      <c r="IG46" s="107"/>
      <c r="IH46" s="107"/>
      <c r="II46" s="107"/>
      <c r="IJ46" s="107"/>
      <c r="IK46" s="107"/>
      <c r="IL46" s="107"/>
      <c r="IM46" s="107"/>
      <c r="IN46" s="107"/>
      <c r="IO46" s="107"/>
      <c r="IP46" s="107"/>
      <c r="IQ46" s="107"/>
      <c r="IR46" s="107"/>
      <c r="IS46" s="107"/>
      <c r="IT46" s="107"/>
      <c r="IU46" s="107"/>
      <c r="IV46" s="107"/>
      <c r="IW46" s="107"/>
    </row>
    <row r="47" customFormat="false" ht="12.75" hidden="false" customHeight="false" outlineLevel="0" collapsed="false">
      <c r="A47" s="669" t="s">
        <v>181</v>
      </c>
      <c r="B47" s="107"/>
      <c r="C47" s="107"/>
      <c r="D47" s="107"/>
      <c r="E47" s="107" t="n">
        <f aca="false">-E87</f>
        <v>-0</v>
      </c>
      <c r="F47" s="107" t="n">
        <f aca="false">-F87</f>
        <v>-20</v>
      </c>
      <c r="G47" s="107" t="n">
        <f aca="false">-G87</f>
        <v>-20</v>
      </c>
      <c r="H47" s="107" t="n">
        <f aca="false">-H87</f>
        <v>-20</v>
      </c>
      <c r="I47" s="107" t="n">
        <f aca="false">-I87</f>
        <v>-20</v>
      </c>
      <c r="J47" s="107" t="n">
        <f aca="false">-J87</f>
        <v>-20</v>
      </c>
      <c r="K47" s="107" t="n">
        <f aca="false">-K87</f>
        <v>-20</v>
      </c>
      <c r="L47" s="107" t="n">
        <f aca="false">-L87</f>
        <v>-20</v>
      </c>
      <c r="M47" s="107" t="n">
        <f aca="false">-M87</f>
        <v>-20</v>
      </c>
      <c r="N47" s="107" t="n">
        <f aca="false">-N87</f>
        <v>-20</v>
      </c>
      <c r="O47" s="107" t="n">
        <f aca="false">-O87</f>
        <v>-20</v>
      </c>
      <c r="P47" s="107" t="n">
        <f aca="false">-P87</f>
        <v>-20</v>
      </c>
      <c r="Q47" s="107" t="n">
        <f aca="false">-Q87</f>
        <v>-20</v>
      </c>
      <c r="R47" s="107" t="n">
        <f aca="false">-R87</f>
        <v>-20</v>
      </c>
      <c r="S47" s="107" t="n">
        <f aca="false">-S87</f>
        <v>-20</v>
      </c>
      <c r="T47" s="107" t="n">
        <f aca="false">-T87</f>
        <v>-0</v>
      </c>
      <c r="U47" s="107" t="n">
        <f aca="false">-U87</f>
        <v>-0</v>
      </c>
      <c r="V47" s="107" t="n">
        <f aca="false">-V87</f>
        <v>-0</v>
      </c>
      <c r="W47" s="107" t="n">
        <f aca="false">-W87</f>
        <v>-0</v>
      </c>
      <c r="X47" s="107" t="n">
        <f aca="false">-X87</f>
        <v>-0</v>
      </c>
      <c r="Y47" s="107" t="n">
        <f aca="false">-Y87</f>
        <v>-0</v>
      </c>
      <c r="Z47" s="107" t="n">
        <f aca="false">-Z87</f>
        <v>-0</v>
      </c>
      <c r="AA47" s="107" t="n">
        <f aca="false">-AA87</f>
        <v>-0</v>
      </c>
      <c r="AB47" s="107" t="n">
        <f aca="false">-AB87</f>
        <v>-0</v>
      </c>
      <c r="AC47" s="107" t="n">
        <f aca="false">-AC87</f>
        <v>-0</v>
      </c>
      <c r="AD47" s="107" t="n">
        <f aca="false">-AD87</f>
        <v>-0</v>
      </c>
      <c r="AE47" s="107" t="n">
        <f aca="false">-AE87</f>
        <v>-0</v>
      </c>
      <c r="AF47" s="478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E47" s="107"/>
      <c r="EF47" s="107"/>
      <c r="EG47" s="107"/>
      <c r="EH47" s="107"/>
      <c r="EI47" s="107"/>
      <c r="EJ47" s="107"/>
      <c r="EK47" s="107"/>
      <c r="EL47" s="107"/>
      <c r="EM47" s="107"/>
      <c r="EN47" s="107"/>
      <c r="EO47" s="107"/>
      <c r="EP47" s="107"/>
      <c r="EQ47" s="107"/>
      <c r="ER47" s="107"/>
      <c r="ES47" s="107"/>
      <c r="ET47" s="107"/>
      <c r="EU47" s="107"/>
      <c r="EV47" s="107"/>
      <c r="EW47" s="107"/>
      <c r="EX47" s="107"/>
      <c r="EY47" s="107"/>
      <c r="EZ47" s="107"/>
      <c r="FA47" s="107"/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  <c r="FM47" s="107"/>
      <c r="FN47" s="107"/>
      <c r="FO47" s="107"/>
      <c r="FP47" s="107"/>
      <c r="FQ47" s="107"/>
      <c r="FR47" s="107"/>
      <c r="FS47" s="107"/>
      <c r="FT47" s="107"/>
      <c r="FU47" s="107"/>
      <c r="FV47" s="107"/>
      <c r="FW47" s="107"/>
      <c r="FX47" s="107"/>
      <c r="FY47" s="107"/>
      <c r="FZ47" s="107"/>
      <c r="GA47" s="107"/>
      <c r="GB47" s="107"/>
      <c r="GC47" s="107"/>
      <c r="GD47" s="107"/>
      <c r="GE47" s="107"/>
      <c r="GF47" s="107"/>
      <c r="GG47" s="107"/>
      <c r="GH47" s="107"/>
      <c r="GI47" s="107"/>
      <c r="GJ47" s="107"/>
      <c r="GK47" s="107"/>
      <c r="GL47" s="107"/>
      <c r="GM47" s="107"/>
      <c r="GN47" s="107"/>
      <c r="GO47" s="107"/>
      <c r="GP47" s="107"/>
      <c r="GQ47" s="107"/>
      <c r="GR47" s="107"/>
      <c r="GS47" s="107"/>
      <c r="GT47" s="107"/>
      <c r="GU47" s="107"/>
      <c r="GV47" s="107"/>
      <c r="GW47" s="107"/>
      <c r="GX47" s="107"/>
      <c r="GY47" s="107"/>
      <c r="GZ47" s="107"/>
      <c r="HA47" s="107"/>
      <c r="HB47" s="107"/>
      <c r="HC47" s="107"/>
      <c r="HD47" s="107"/>
      <c r="HE47" s="107"/>
      <c r="HF47" s="107"/>
      <c r="HG47" s="107"/>
      <c r="HH47" s="107"/>
      <c r="HI47" s="107"/>
      <c r="HJ47" s="107"/>
      <c r="HK47" s="107"/>
      <c r="HL47" s="107"/>
      <c r="HM47" s="107"/>
      <c r="HN47" s="107"/>
      <c r="HO47" s="107"/>
      <c r="HP47" s="107"/>
      <c r="HQ47" s="107"/>
      <c r="HR47" s="107"/>
      <c r="HS47" s="107"/>
      <c r="HT47" s="107"/>
      <c r="HU47" s="107"/>
      <c r="HV47" s="107"/>
      <c r="HW47" s="107"/>
      <c r="HX47" s="107"/>
      <c r="HY47" s="107"/>
      <c r="HZ47" s="107"/>
      <c r="IA47" s="107"/>
      <c r="IB47" s="107"/>
      <c r="IC47" s="107"/>
      <c r="ID47" s="107"/>
      <c r="IE47" s="107"/>
      <c r="IF47" s="107"/>
      <c r="IG47" s="107"/>
      <c r="IH47" s="107"/>
      <c r="II47" s="107"/>
      <c r="IJ47" s="107"/>
      <c r="IK47" s="107"/>
      <c r="IL47" s="107"/>
      <c r="IM47" s="107"/>
      <c r="IN47" s="107"/>
      <c r="IO47" s="107"/>
      <c r="IP47" s="107"/>
      <c r="IQ47" s="107"/>
      <c r="IR47" s="107"/>
      <c r="IS47" s="107"/>
      <c r="IT47" s="107"/>
      <c r="IU47" s="107"/>
      <c r="IV47" s="107"/>
      <c r="IW47" s="107"/>
    </row>
    <row r="48" customFormat="false" ht="12.75" hidden="false" customHeight="false" outlineLevel="0" collapsed="false">
      <c r="A48" s="670" t="s">
        <v>294</v>
      </c>
      <c r="B48" s="148"/>
      <c r="C48" s="148"/>
      <c r="D48" s="148"/>
      <c r="E48" s="131" t="n">
        <f aca="false">E16</f>
        <v>-8439.13969635345</v>
      </c>
      <c r="F48" s="131" t="n">
        <f aca="false">F16</f>
        <v>-8439.13969635345</v>
      </c>
      <c r="G48" s="131" t="n">
        <f aca="false">G16</f>
        <v>-8439.13969635345</v>
      </c>
      <c r="H48" s="131" t="n">
        <f aca="false">H16</f>
        <v>-8439.13969635345</v>
      </c>
      <c r="I48" s="131" t="n">
        <f aca="false">I16</f>
        <v>-8439.13969635345</v>
      </c>
      <c r="J48" s="131" t="n">
        <f aca="false">J16</f>
        <v>-8439.13969635345</v>
      </c>
      <c r="K48" s="131" t="n">
        <f aca="false">K16</f>
        <v>-8439.13969635345</v>
      </c>
      <c r="L48" s="131" t="n">
        <f aca="false">L16</f>
        <v>-8439.13969635345</v>
      </c>
      <c r="M48" s="131" t="n">
        <f aca="false">M16</f>
        <v>-8439.13969635345</v>
      </c>
      <c r="N48" s="131" t="n">
        <f aca="false">N16</f>
        <v>-8439.13969635345</v>
      </c>
      <c r="O48" s="131" t="n">
        <f aca="false">O16</f>
        <v>-8439.13969635345</v>
      </c>
      <c r="P48" s="131" t="n">
        <f aca="false">P16</f>
        <v>-8439.13969635345</v>
      </c>
      <c r="Q48" s="131" t="n">
        <f aca="false">Q16</f>
        <v>-8439.13969635345</v>
      </c>
      <c r="R48" s="131" t="n">
        <f aca="false">R16</f>
        <v>-8439.13969635345</v>
      </c>
      <c r="S48" s="131" t="n">
        <f aca="false">S16</f>
        <v>-8439.13969635345</v>
      </c>
      <c r="T48" s="131" t="n">
        <f aca="false">T16</f>
        <v>-0</v>
      </c>
      <c r="U48" s="131" t="n">
        <f aca="false">U16</f>
        <v>-0</v>
      </c>
      <c r="V48" s="131" t="n">
        <f aca="false">V16</f>
        <v>-0</v>
      </c>
      <c r="W48" s="131" t="n">
        <f aca="false">W16</f>
        <v>-0</v>
      </c>
      <c r="X48" s="131" t="n">
        <f aca="false">X16</f>
        <v>-0</v>
      </c>
      <c r="Y48" s="131" t="n">
        <f aca="false">Y16</f>
        <v>-0</v>
      </c>
      <c r="Z48" s="131" t="n">
        <f aca="false">Z16</f>
        <v>-0</v>
      </c>
      <c r="AA48" s="131" t="n">
        <f aca="false">AA16</f>
        <v>-0</v>
      </c>
      <c r="AB48" s="131" t="n">
        <f aca="false">AB16</f>
        <v>-0</v>
      </c>
      <c r="AC48" s="131" t="n">
        <f aca="false">AC16</f>
        <v>-0</v>
      </c>
      <c r="AD48" s="131" t="n">
        <f aca="false">AD16</f>
        <v>-0</v>
      </c>
      <c r="AE48" s="131" t="n">
        <f aca="false">AE16</f>
        <v>-0</v>
      </c>
      <c r="AF48" s="476" t="n">
        <f aca="false">+SUM(E48:AE48)</f>
        <v>-126587.095445302</v>
      </c>
      <c r="AG48" s="131"/>
      <c r="AH48" s="131"/>
      <c r="AI48" s="131"/>
      <c r="AJ48" s="131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/>
      <c r="DD48" s="148"/>
      <c r="DE48" s="148"/>
      <c r="DF48" s="148"/>
      <c r="DG48" s="148"/>
      <c r="DH48" s="148"/>
      <c r="DI48" s="148"/>
      <c r="DJ48" s="344"/>
      <c r="DK48" s="344"/>
      <c r="DL48" s="344"/>
      <c r="DM48" s="344"/>
      <c r="DN48" s="344"/>
      <c r="DO48" s="344"/>
      <c r="DP48" s="344"/>
      <c r="DQ48" s="344"/>
      <c r="DR48" s="344"/>
      <c r="DS48" s="344"/>
      <c r="DT48" s="344"/>
      <c r="DU48" s="344"/>
      <c r="DV48" s="344"/>
      <c r="DW48" s="344"/>
      <c r="DX48" s="344"/>
      <c r="DY48" s="344"/>
      <c r="DZ48" s="344"/>
      <c r="EA48" s="344"/>
      <c r="EB48" s="344"/>
      <c r="EC48" s="344"/>
      <c r="ED48" s="344"/>
      <c r="EE48" s="344"/>
      <c r="EF48" s="344"/>
      <c r="EG48" s="344"/>
      <c r="EH48" s="344"/>
      <c r="EI48" s="344"/>
      <c r="EJ48" s="344"/>
      <c r="EK48" s="344"/>
      <c r="EL48" s="344"/>
      <c r="EM48" s="344"/>
      <c r="EN48" s="344"/>
      <c r="EO48" s="344"/>
      <c r="EP48" s="344"/>
      <c r="EQ48" s="344"/>
      <c r="ER48" s="344"/>
      <c r="ES48" s="344"/>
      <c r="ET48" s="344"/>
      <c r="EU48" s="344"/>
      <c r="EV48" s="344"/>
      <c r="EW48" s="344"/>
      <c r="EX48" s="344"/>
      <c r="EY48" s="344"/>
      <c r="EZ48" s="344"/>
      <c r="FA48" s="344"/>
      <c r="FB48" s="344"/>
      <c r="FC48" s="344"/>
      <c r="FD48" s="344"/>
      <c r="FE48" s="344"/>
      <c r="FF48" s="344"/>
      <c r="FG48" s="344"/>
      <c r="FH48" s="344"/>
      <c r="FI48" s="344"/>
      <c r="FJ48" s="344"/>
      <c r="FK48" s="344"/>
      <c r="FL48" s="344"/>
      <c r="FM48" s="344"/>
      <c r="FN48" s="344"/>
      <c r="FO48" s="344"/>
      <c r="FP48" s="344"/>
      <c r="FQ48" s="344"/>
      <c r="FR48" s="344"/>
      <c r="FS48" s="344"/>
      <c r="FT48" s="344"/>
      <c r="FU48" s="344"/>
      <c r="FV48" s="344"/>
      <c r="FW48" s="344"/>
      <c r="FX48" s="344"/>
      <c r="FY48" s="344"/>
      <c r="FZ48" s="344"/>
      <c r="GA48" s="344"/>
      <c r="GB48" s="344"/>
      <c r="GC48" s="344"/>
      <c r="GD48" s="344"/>
      <c r="GE48" s="344"/>
      <c r="GF48" s="344"/>
      <c r="GG48" s="344"/>
      <c r="GH48" s="344"/>
      <c r="GI48" s="344"/>
      <c r="GJ48" s="344"/>
      <c r="GK48" s="344"/>
      <c r="GL48" s="344"/>
      <c r="GM48" s="344"/>
      <c r="GN48" s="344"/>
      <c r="GO48" s="344"/>
      <c r="GP48" s="344"/>
      <c r="GQ48" s="344"/>
      <c r="GR48" s="344"/>
      <c r="GS48" s="344"/>
      <c r="GT48" s="344"/>
      <c r="GU48" s="344"/>
      <c r="GV48" s="344"/>
      <c r="GW48" s="344"/>
      <c r="GX48" s="344"/>
      <c r="GY48" s="344"/>
      <c r="GZ48" s="344"/>
      <c r="HA48" s="344"/>
      <c r="HB48" s="344"/>
      <c r="HC48" s="344"/>
      <c r="HD48" s="344"/>
      <c r="HE48" s="344"/>
      <c r="HF48" s="344"/>
      <c r="HG48" s="344"/>
      <c r="HH48" s="344"/>
      <c r="HI48" s="344"/>
      <c r="HJ48" s="344"/>
      <c r="HK48" s="344"/>
      <c r="HL48" s="344"/>
      <c r="HM48" s="344"/>
      <c r="HN48" s="344"/>
      <c r="HO48" s="344"/>
      <c r="HP48" s="344"/>
      <c r="HQ48" s="344"/>
      <c r="HR48" s="344"/>
      <c r="HS48" s="344"/>
      <c r="HT48" s="344"/>
      <c r="HU48" s="344"/>
      <c r="HV48" s="344"/>
      <c r="HW48" s="344"/>
      <c r="HX48" s="344"/>
      <c r="HY48" s="344"/>
      <c r="HZ48" s="344"/>
      <c r="IA48" s="344"/>
      <c r="IB48" s="344"/>
      <c r="IC48" s="344"/>
      <c r="ID48" s="344"/>
      <c r="IE48" s="344"/>
      <c r="IF48" s="344"/>
      <c r="IG48" s="344"/>
      <c r="IH48" s="344"/>
      <c r="II48" s="344"/>
      <c r="IJ48" s="344"/>
      <c r="IK48" s="344"/>
      <c r="IL48" s="344"/>
      <c r="IM48" s="344"/>
      <c r="IN48" s="344"/>
      <c r="IO48" s="344"/>
      <c r="IP48" s="344"/>
      <c r="IQ48" s="344"/>
      <c r="IR48" s="344"/>
      <c r="IS48" s="344"/>
      <c r="IT48" s="344"/>
      <c r="IU48" s="344"/>
      <c r="IV48" s="344"/>
      <c r="IW48" s="344"/>
    </row>
    <row r="49" customFormat="false" ht="12.75" hidden="false" customHeight="false" outlineLevel="0" collapsed="false">
      <c r="A49" s="669" t="s">
        <v>279</v>
      </c>
      <c r="B49" s="14"/>
      <c r="C49" s="14"/>
      <c r="D49" s="14"/>
      <c r="E49" s="107" t="n">
        <f aca="false">SUM(E44:E48)</f>
        <v>-13928.2862009697</v>
      </c>
      <c r="F49" s="107" t="n">
        <f aca="false">SUM(F44:F48)</f>
        <v>-13479.1733267955</v>
      </c>
      <c r="G49" s="107" t="n">
        <f aca="false">SUM(G44:G48)</f>
        <v>4397.30336605953</v>
      </c>
      <c r="H49" s="107" t="n">
        <f aca="false">SUM(H44:H48)</f>
        <v>6809.75147841181</v>
      </c>
      <c r="I49" s="107" t="n">
        <f aca="false">SUM(I44:I48)</f>
        <v>8381.98223823196</v>
      </c>
      <c r="J49" s="107" t="n">
        <f aca="false">SUM(J44:J48)</f>
        <v>10597.8866852743</v>
      </c>
      <c r="K49" s="107" t="n">
        <f aca="false">SUM(K44:K48)</f>
        <v>12471.608915948</v>
      </c>
      <c r="L49" s="107" t="n">
        <f aca="false">SUM(L44:L48)</f>
        <v>47950.4226513743</v>
      </c>
      <c r="M49" s="107" t="n">
        <f aca="false">SUM(M44:M48)</f>
        <v>55268.0960997507</v>
      </c>
      <c r="N49" s="107" t="n">
        <f aca="false">SUM(N44:N48)</f>
        <v>58681.3946455067</v>
      </c>
      <c r="O49" s="107" t="n">
        <f aca="false">SUM(O44:O48)</f>
        <v>62451.0216580891</v>
      </c>
      <c r="P49" s="107" t="n">
        <f aca="false">SUM(P44:P48)</f>
        <v>67228.5685975983</v>
      </c>
      <c r="Q49" s="107" t="n">
        <f aca="false">SUM(Q44:Q48)</f>
        <v>70119.7683024812</v>
      </c>
      <c r="R49" s="107" t="n">
        <f aca="false">SUM(R44:R48)</f>
        <v>71692.0864624579</v>
      </c>
      <c r="S49" s="107" t="n">
        <f aca="false">SUM(S44:S48)</f>
        <v>73295.8509856341</v>
      </c>
      <c r="T49" s="107" t="n">
        <f aca="false">SUM(T44:T48)</f>
        <v>1.58097270499677E-011</v>
      </c>
      <c r="U49" s="107" t="n">
        <f aca="false">SUM(U44:U48)</f>
        <v>-7.90486352498385E-012</v>
      </c>
      <c r="V49" s="107" t="n">
        <f aca="false">SUM(V44:V48)</f>
        <v>-7.90486352498385E-012</v>
      </c>
      <c r="W49" s="107" t="n">
        <f aca="false">SUM(W44:W48)</f>
        <v>-7.90486352498385E-012</v>
      </c>
      <c r="X49" s="107" t="n">
        <f aca="false">SUM(X44:X48)</f>
        <v>-7.90486352498385E-012</v>
      </c>
      <c r="Y49" s="107" t="n">
        <f aca="false">SUM(Y44:Y48)</f>
        <v>-7.90486352498385E-012</v>
      </c>
      <c r="Z49" s="107" t="n">
        <f aca="false">SUM(Z44:Z48)</f>
        <v>-7.90486352498385E-012</v>
      </c>
      <c r="AA49" s="107" t="n">
        <f aca="false">SUM(AA44:AA48)</f>
        <v>-7.90486352498385E-012</v>
      </c>
      <c r="AB49" s="107" t="n">
        <f aca="false">SUM(AB44:AB48)</f>
        <v>-7.90486352498385E-012</v>
      </c>
      <c r="AC49" s="107" t="n">
        <f aca="false">SUM(AC44:AC48)</f>
        <v>-7.90486352498385E-012</v>
      </c>
      <c r="AD49" s="107" t="n">
        <f aca="false">SUM(AD44:AD48)</f>
        <v>-7.90486352498385E-012</v>
      </c>
      <c r="AE49" s="107" t="n">
        <f aca="false">SUM(AE44:AE48)</f>
        <v>0</v>
      </c>
      <c r="AF49" s="478" t="n">
        <f aca="false">+SUM(E49:AE49)</f>
        <v>521938.282559053</v>
      </c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</row>
    <row r="50" customFormat="false" ht="12.75" hidden="false" customHeight="false" outlineLevel="0" collapsed="false">
      <c r="A50" s="671" t="s">
        <v>280</v>
      </c>
      <c r="B50" s="148"/>
      <c r="C50" s="148"/>
      <c r="D50" s="148"/>
      <c r="E50" s="131" t="n">
        <f aca="false">+E63</f>
        <v>0</v>
      </c>
      <c r="F50" s="131" t="n">
        <f aca="false">+F63</f>
        <v>0</v>
      </c>
      <c r="G50" s="131" t="n">
        <f aca="false">+G63</f>
        <v>-5481.49190555305</v>
      </c>
      <c r="H50" s="131" t="n">
        <f aca="false">+H63</f>
        <v>-4385.19352444244</v>
      </c>
      <c r="I50" s="131" t="n">
        <f aca="false">+I63</f>
        <v>-4190.99111911598</v>
      </c>
      <c r="J50" s="131" t="n">
        <f aca="false">+J63</f>
        <v>-5298.94334263716</v>
      </c>
      <c r="K50" s="131" t="n">
        <f aca="false">+K63</f>
        <v>-6235.80445797398</v>
      </c>
      <c r="L50" s="131" t="n">
        <f aca="false">+L63</f>
        <v>-0</v>
      </c>
      <c r="M50" s="131" t="n">
        <f aca="false">+M63</f>
        <v>-0</v>
      </c>
      <c r="N50" s="131" t="n">
        <f aca="false">+N63</f>
        <v>-0</v>
      </c>
      <c r="O50" s="131" t="n">
        <f aca="false">+O63</f>
        <v>-0</v>
      </c>
      <c r="P50" s="131" t="n">
        <f aca="false">+P63</f>
        <v>-0</v>
      </c>
      <c r="Q50" s="131" t="n">
        <f aca="false">+Q63</f>
        <v>-0</v>
      </c>
      <c r="R50" s="131" t="n">
        <f aca="false">+R63</f>
        <v>-0</v>
      </c>
      <c r="S50" s="131" t="n">
        <f aca="false">+S63</f>
        <v>-0</v>
      </c>
      <c r="T50" s="131" t="n">
        <f aca="false">+T63</f>
        <v>-0</v>
      </c>
      <c r="U50" s="131" t="n">
        <f aca="false">+U63</f>
        <v>0</v>
      </c>
      <c r="V50" s="131" t="n">
        <f aca="false">+V63</f>
        <v>0</v>
      </c>
      <c r="W50" s="131" t="n">
        <f aca="false">+W63</f>
        <v>0</v>
      </c>
      <c r="X50" s="131" t="n">
        <f aca="false">+X63</f>
        <v>0</v>
      </c>
      <c r="Y50" s="131" t="n">
        <f aca="false">+Y63</f>
        <v>0</v>
      </c>
      <c r="Z50" s="131" t="n">
        <f aca="false">+Z63</f>
        <v>0</v>
      </c>
      <c r="AA50" s="131" t="n">
        <f aca="false">+AA63</f>
        <v>0</v>
      </c>
      <c r="AB50" s="131" t="n">
        <f aca="false">+AB63</f>
        <v>0</v>
      </c>
      <c r="AC50" s="131" t="n">
        <f aca="false">+AC63</f>
        <v>0</v>
      </c>
      <c r="AD50" s="131" t="n">
        <f aca="false">+AD63</f>
        <v>0</v>
      </c>
      <c r="AE50" s="131" t="n">
        <f aca="false">+AE63</f>
        <v>-7.6697494691E-012</v>
      </c>
      <c r="AF50" s="476" t="n">
        <f aca="false">+SUM(E50:AE50)</f>
        <v>-25592.4243497226</v>
      </c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344"/>
      <c r="DK50" s="344"/>
      <c r="DL50" s="344"/>
      <c r="DM50" s="344"/>
      <c r="DN50" s="344"/>
      <c r="DO50" s="344"/>
      <c r="DP50" s="344"/>
      <c r="DQ50" s="344"/>
      <c r="DR50" s="344"/>
      <c r="DS50" s="344"/>
      <c r="DT50" s="344"/>
      <c r="DU50" s="344"/>
      <c r="DV50" s="344"/>
      <c r="DW50" s="344"/>
      <c r="DX50" s="344"/>
      <c r="DY50" s="344"/>
      <c r="DZ50" s="344"/>
      <c r="EA50" s="344"/>
      <c r="EB50" s="344"/>
      <c r="EC50" s="344"/>
      <c r="ED50" s="344"/>
      <c r="EE50" s="344"/>
      <c r="EF50" s="344"/>
      <c r="EG50" s="344"/>
      <c r="EH50" s="344"/>
      <c r="EI50" s="344"/>
      <c r="EJ50" s="344"/>
      <c r="EK50" s="344"/>
      <c r="EL50" s="344"/>
      <c r="EM50" s="344"/>
      <c r="EN50" s="344"/>
      <c r="EO50" s="344"/>
      <c r="EP50" s="344"/>
      <c r="EQ50" s="344"/>
      <c r="ER50" s="344"/>
      <c r="ES50" s="344"/>
      <c r="ET50" s="344"/>
      <c r="EU50" s="344"/>
      <c r="EV50" s="344"/>
      <c r="EW50" s="344"/>
      <c r="EX50" s="344"/>
      <c r="EY50" s="344"/>
      <c r="EZ50" s="344"/>
      <c r="FA50" s="344"/>
      <c r="FB50" s="344"/>
      <c r="FC50" s="344"/>
      <c r="FD50" s="344"/>
      <c r="FE50" s="344"/>
      <c r="FF50" s="344"/>
      <c r="FG50" s="344"/>
      <c r="FH50" s="344"/>
      <c r="FI50" s="344"/>
      <c r="FJ50" s="344"/>
      <c r="FK50" s="344"/>
      <c r="FL50" s="344"/>
      <c r="FM50" s="344"/>
      <c r="FN50" s="344"/>
      <c r="FO50" s="344"/>
      <c r="FP50" s="344"/>
      <c r="FQ50" s="344"/>
      <c r="FR50" s="344"/>
      <c r="FS50" s="344"/>
      <c r="FT50" s="344"/>
      <c r="FU50" s="344"/>
      <c r="FV50" s="344"/>
      <c r="FW50" s="344"/>
      <c r="FX50" s="344"/>
      <c r="FY50" s="344"/>
      <c r="FZ50" s="344"/>
      <c r="GA50" s="344"/>
      <c r="GB50" s="344"/>
      <c r="GC50" s="344"/>
      <c r="GD50" s="344"/>
      <c r="GE50" s="344"/>
      <c r="GF50" s="344"/>
      <c r="GG50" s="344"/>
      <c r="GH50" s="344"/>
      <c r="GI50" s="344"/>
      <c r="GJ50" s="344"/>
      <c r="GK50" s="344"/>
      <c r="GL50" s="344"/>
      <c r="GM50" s="344"/>
      <c r="GN50" s="344"/>
      <c r="GO50" s="344"/>
      <c r="GP50" s="344"/>
      <c r="GQ50" s="344"/>
      <c r="GR50" s="344"/>
      <c r="GS50" s="344"/>
      <c r="GT50" s="344"/>
      <c r="GU50" s="344"/>
      <c r="GV50" s="344"/>
      <c r="GW50" s="344"/>
      <c r="GX50" s="344"/>
      <c r="GY50" s="344"/>
      <c r="GZ50" s="344"/>
      <c r="HA50" s="344"/>
      <c r="HB50" s="344"/>
      <c r="HC50" s="344"/>
      <c r="HD50" s="344"/>
      <c r="HE50" s="344"/>
      <c r="HF50" s="344"/>
      <c r="HG50" s="344"/>
      <c r="HH50" s="344"/>
      <c r="HI50" s="344"/>
      <c r="HJ50" s="344"/>
      <c r="HK50" s="344"/>
      <c r="HL50" s="344"/>
      <c r="HM50" s="344"/>
      <c r="HN50" s="344"/>
      <c r="HO50" s="344"/>
      <c r="HP50" s="344"/>
      <c r="HQ50" s="344"/>
      <c r="HR50" s="344"/>
      <c r="HS50" s="344"/>
      <c r="HT50" s="344"/>
      <c r="HU50" s="344"/>
      <c r="HV50" s="344"/>
      <c r="HW50" s="344"/>
      <c r="HX50" s="344"/>
      <c r="HY50" s="344"/>
      <c r="HZ50" s="344"/>
      <c r="IA50" s="344"/>
      <c r="IB50" s="344"/>
      <c r="IC50" s="344"/>
      <c r="ID50" s="344"/>
      <c r="IE50" s="344"/>
      <c r="IF50" s="344"/>
      <c r="IG50" s="344"/>
      <c r="IH50" s="344"/>
      <c r="II50" s="344"/>
      <c r="IJ50" s="344"/>
      <c r="IK50" s="344"/>
      <c r="IL50" s="344"/>
      <c r="IM50" s="344"/>
      <c r="IN50" s="344"/>
      <c r="IO50" s="344"/>
      <c r="IP50" s="344"/>
      <c r="IQ50" s="344"/>
      <c r="IR50" s="344"/>
      <c r="IS50" s="344"/>
      <c r="IT50" s="344"/>
      <c r="IU50" s="344"/>
      <c r="IV50" s="344"/>
      <c r="IW50" s="344"/>
    </row>
    <row r="51" customFormat="false" ht="12.75" hidden="false" customHeight="false" outlineLevel="0" collapsed="false">
      <c r="A51" s="673" t="s">
        <v>281</v>
      </c>
      <c r="B51" s="14"/>
      <c r="C51" s="14"/>
      <c r="D51" s="14"/>
      <c r="E51" s="107" t="n">
        <f aca="false">+SUM(E49:E50)</f>
        <v>-13928.2862009697</v>
      </c>
      <c r="F51" s="107" t="n">
        <f aca="false">+SUM(F49:F50)</f>
        <v>-13479.1733267955</v>
      </c>
      <c r="G51" s="107" t="n">
        <f aca="false">+SUM(G49:G50)</f>
        <v>-1084.18853949352</v>
      </c>
      <c r="H51" s="107" t="n">
        <f aca="false">+SUM(H49:H50)</f>
        <v>2424.55795396937</v>
      </c>
      <c r="I51" s="107" t="n">
        <f aca="false">+SUM(I49:I50)</f>
        <v>4190.99111911598</v>
      </c>
      <c r="J51" s="107" t="n">
        <f aca="false">+SUM(J49:J50)</f>
        <v>5298.94334263716</v>
      </c>
      <c r="K51" s="107" t="n">
        <f aca="false">+SUM(K49:K50)</f>
        <v>6235.80445797398</v>
      </c>
      <c r="L51" s="107" t="n">
        <f aca="false">+SUM(L49:L50)</f>
        <v>47950.4226513743</v>
      </c>
      <c r="M51" s="107" t="n">
        <f aca="false">+SUM(M49:M50)</f>
        <v>55268.0960997507</v>
      </c>
      <c r="N51" s="107" t="n">
        <f aca="false">+SUM(N49:N50)</f>
        <v>58681.3946455067</v>
      </c>
      <c r="O51" s="107" t="n">
        <f aca="false">+SUM(O49:O50)</f>
        <v>62451.0216580891</v>
      </c>
      <c r="P51" s="107" t="n">
        <f aca="false">+SUM(P49:P50)</f>
        <v>67228.5685975983</v>
      </c>
      <c r="Q51" s="107" t="n">
        <f aca="false">+SUM(Q49:Q50)</f>
        <v>70119.7683024812</v>
      </c>
      <c r="R51" s="107" t="n">
        <f aca="false">+SUM(R49:R50)</f>
        <v>71692.0864624579</v>
      </c>
      <c r="S51" s="107" t="n">
        <f aca="false">+SUM(S49:S50)</f>
        <v>73295.8509856341</v>
      </c>
      <c r="T51" s="107" t="n">
        <f aca="false">+SUM(T49:T50)</f>
        <v>1.58097270499677E-011</v>
      </c>
      <c r="U51" s="107" t="n">
        <f aca="false">+SUM(U49:U50)</f>
        <v>-7.90486352498385E-012</v>
      </c>
      <c r="V51" s="107" t="n">
        <f aca="false">+SUM(V49:V50)</f>
        <v>-7.90486352498385E-012</v>
      </c>
      <c r="W51" s="107" t="n">
        <f aca="false">+SUM(W49:W50)</f>
        <v>-7.90486352498385E-012</v>
      </c>
      <c r="X51" s="107" t="n">
        <f aca="false">+SUM(X49:X50)</f>
        <v>-7.90486352498385E-012</v>
      </c>
      <c r="Y51" s="107" t="n">
        <f aca="false">+SUM(Y49:Y50)</f>
        <v>-7.90486352498385E-012</v>
      </c>
      <c r="Z51" s="107" t="n">
        <f aca="false">+SUM(Z49:Z50)</f>
        <v>-7.90486352498385E-012</v>
      </c>
      <c r="AA51" s="107" t="n">
        <f aca="false">+SUM(AA49:AA50)</f>
        <v>-7.90486352498385E-012</v>
      </c>
      <c r="AB51" s="107" t="n">
        <f aca="false">+SUM(AB49:AB50)</f>
        <v>-7.90486352498385E-012</v>
      </c>
      <c r="AC51" s="107" t="n">
        <f aca="false">+SUM(AC49:AC50)</f>
        <v>-7.90486352498385E-012</v>
      </c>
      <c r="AD51" s="107" t="n">
        <f aca="false">+SUM(AD49:AD50)</f>
        <v>-7.90486352498385E-012</v>
      </c>
      <c r="AE51" s="107" t="n">
        <f aca="false">+SUM(AE49:AE50)</f>
        <v>-7.6697494691E-012</v>
      </c>
      <c r="AF51" s="478" t="n">
        <f aca="false">+SUM(E51:AE51)</f>
        <v>496345.85820933</v>
      </c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</row>
    <row r="52" customFormat="false" ht="12.75" hidden="false" customHeight="false" outlineLevel="0" collapsed="false">
      <c r="A52" s="606"/>
      <c r="B52" s="14"/>
      <c r="C52" s="14"/>
      <c r="D52" s="1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78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</row>
    <row r="53" customFormat="false" ht="12.75" hidden="false" customHeight="false" outlineLevel="0" collapsed="false">
      <c r="A53" s="606" t="s">
        <v>282</v>
      </c>
      <c r="B53" s="14"/>
      <c r="C53" s="492"/>
      <c r="D53" s="492"/>
      <c r="E53" s="462" t="n">
        <f aca="false">+Assumpt!$L$11</f>
        <v>0.3</v>
      </c>
      <c r="F53" s="462" t="n">
        <f aca="false">+Assumpt!$L$11</f>
        <v>0.3</v>
      </c>
      <c r="G53" s="462" t="n">
        <f aca="false">+Assumpt!$L$11</f>
        <v>0.3</v>
      </c>
      <c r="H53" s="462" t="n">
        <f aca="false">+Assumpt!$L$11</f>
        <v>0.3</v>
      </c>
      <c r="I53" s="462" t="n">
        <f aca="false">+Assumpt!$L$11</f>
        <v>0.3</v>
      </c>
      <c r="J53" s="462" t="n">
        <f aca="false">+Assumpt!$L$11</f>
        <v>0.3</v>
      </c>
      <c r="K53" s="462" t="n">
        <f aca="false">+Assumpt!$L$11</f>
        <v>0.3</v>
      </c>
      <c r="L53" s="462" t="n">
        <f aca="false">+Assumpt!$L$11</f>
        <v>0.3</v>
      </c>
      <c r="M53" s="462" t="n">
        <f aca="false">+Assumpt!$L$11</f>
        <v>0.3</v>
      </c>
      <c r="N53" s="462" t="n">
        <f aca="false">+Assumpt!$L$11</f>
        <v>0.3</v>
      </c>
      <c r="O53" s="462" t="n">
        <f aca="false">+Assumpt!$L$11</f>
        <v>0.3</v>
      </c>
      <c r="P53" s="462" t="n">
        <f aca="false">+Assumpt!$L$11</f>
        <v>0.3</v>
      </c>
      <c r="Q53" s="462" t="n">
        <f aca="false">+Assumpt!$L$11</f>
        <v>0.3</v>
      </c>
      <c r="R53" s="462" t="n">
        <f aca="false">+Assumpt!$L$11</f>
        <v>0.3</v>
      </c>
      <c r="S53" s="462" t="n">
        <f aca="false">+Assumpt!$L$11</f>
        <v>0.3</v>
      </c>
      <c r="T53" s="462" t="n">
        <f aca="false">+Assumpt!$L$11</f>
        <v>0.3</v>
      </c>
      <c r="U53" s="462" t="n">
        <f aca="false">+Assumpt!$L$11</f>
        <v>0.3</v>
      </c>
      <c r="V53" s="462" t="n">
        <f aca="false">+Assumpt!$L$11</f>
        <v>0.3</v>
      </c>
      <c r="W53" s="462" t="n">
        <f aca="false">+Assumpt!$L$11</f>
        <v>0.3</v>
      </c>
      <c r="X53" s="462" t="n">
        <f aca="false">+Assumpt!$L$11</f>
        <v>0.3</v>
      </c>
      <c r="Y53" s="462" t="n">
        <f aca="false">+Assumpt!$L$11</f>
        <v>0.3</v>
      </c>
      <c r="Z53" s="462" t="n">
        <f aca="false">+Assumpt!$L$11</f>
        <v>0.3</v>
      </c>
      <c r="AA53" s="462" t="n">
        <f aca="false">+Assumpt!$L$11</f>
        <v>0.3</v>
      </c>
      <c r="AB53" s="462" t="n">
        <f aca="false">+Assumpt!$L$11</f>
        <v>0.3</v>
      </c>
      <c r="AC53" s="462" t="n">
        <f aca="false">+Assumpt!$L$11</f>
        <v>0.3</v>
      </c>
      <c r="AD53" s="462" t="n">
        <f aca="false">+Assumpt!$L$11</f>
        <v>0.3</v>
      </c>
      <c r="AE53" s="462" t="n">
        <f aca="false">+Assumpt!$L$11</f>
        <v>0.3</v>
      </c>
      <c r="AF53" s="675"/>
      <c r="AG53" s="107"/>
      <c r="AH53" s="107"/>
      <c r="AI53" s="107"/>
      <c r="AJ53" s="107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</row>
    <row r="54" customFormat="false" ht="12.75" hidden="false" customHeight="false" outlineLevel="0" collapsed="false">
      <c r="A54" s="375" t="s">
        <v>283</v>
      </c>
      <c r="B54" s="295"/>
      <c r="C54" s="676"/>
      <c r="D54" s="676"/>
      <c r="E54" s="353" t="n">
        <f aca="false">MAX(+E53*E51,0)</f>
        <v>0</v>
      </c>
      <c r="F54" s="353" t="n">
        <f aca="false">MAX(+F53*F51,0)</f>
        <v>0</v>
      </c>
      <c r="G54" s="353" t="n">
        <f aca="false">MAX(+G53*G51,0)</f>
        <v>0</v>
      </c>
      <c r="H54" s="353" t="n">
        <f aca="false">MAX(+H53*H51,0)</f>
        <v>727.36738619081</v>
      </c>
      <c r="I54" s="353" t="n">
        <f aca="false">MAX(+I53*I51,0)</f>
        <v>1257.29733573479</v>
      </c>
      <c r="J54" s="353" t="n">
        <f aca="false">MAX(+J53*J51,0)</f>
        <v>1589.68300279115</v>
      </c>
      <c r="K54" s="353" t="n">
        <f aca="false">MAX(+K53*K51,0)</f>
        <v>1870.74133739219</v>
      </c>
      <c r="L54" s="353" t="n">
        <f aca="false">MAX(+L53*L51,0)</f>
        <v>14385.1267954123</v>
      </c>
      <c r="M54" s="353" t="n">
        <f aca="false">MAX(+M53*M51,0)</f>
        <v>16580.4288299252</v>
      </c>
      <c r="N54" s="353" t="n">
        <f aca="false">MAX(+N53*N51,0)</f>
        <v>17604.418393652</v>
      </c>
      <c r="O54" s="353" t="n">
        <f aca="false">MAX(+O53*O51,0)</f>
        <v>18735.3064974267</v>
      </c>
      <c r="P54" s="353" t="n">
        <f aca="false">MAX(+P53*P51,0)</f>
        <v>20168.5705792795</v>
      </c>
      <c r="Q54" s="353" t="n">
        <f aca="false">MAX(+Q53*Q51,0)</f>
        <v>21035.9304907444</v>
      </c>
      <c r="R54" s="353" t="n">
        <f aca="false">MAX(+R53*R51,0)</f>
        <v>21507.6259387374</v>
      </c>
      <c r="S54" s="353" t="n">
        <f aca="false">MAX(+S53*S51,0)</f>
        <v>21988.7552956902</v>
      </c>
      <c r="T54" s="353" t="n">
        <f aca="false">MAX(+T53*T51,0)</f>
        <v>4.74291811499031E-012</v>
      </c>
      <c r="U54" s="353" t="n">
        <f aca="false">MAX(+U53*U51,0)</f>
        <v>0</v>
      </c>
      <c r="V54" s="353" t="n">
        <f aca="false">MAX(+V53*V51,0)</f>
        <v>0</v>
      </c>
      <c r="W54" s="353" t="n">
        <f aca="false">MAX(+W53*W51,0)</f>
        <v>0</v>
      </c>
      <c r="X54" s="353" t="n">
        <f aca="false">MAX(+X53*X51,0)</f>
        <v>0</v>
      </c>
      <c r="Y54" s="353" t="n">
        <f aca="false">MAX(+Y53*Y51,0)</f>
        <v>0</v>
      </c>
      <c r="Z54" s="353" t="n">
        <f aca="false">MAX(+Z53*Z51,0)</f>
        <v>0</v>
      </c>
      <c r="AA54" s="353" t="n">
        <f aca="false">MAX(+AA53*AA51,0)</f>
        <v>0</v>
      </c>
      <c r="AB54" s="353" t="n">
        <f aca="false">MAX(+AB53*AB51,0)</f>
        <v>0</v>
      </c>
      <c r="AC54" s="353" t="n">
        <f aca="false">MAX(+AC53*AC51,0)</f>
        <v>0</v>
      </c>
      <c r="AD54" s="353" t="n">
        <f aca="false">MAX(+AD53*AD51,0)</f>
        <v>0</v>
      </c>
      <c r="AE54" s="353" t="n">
        <f aca="false">MAX(+AE53*AE51,0)</f>
        <v>0</v>
      </c>
      <c r="AF54" s="365" t="n">
        <f aca="false">+SUM(E54:AE54)</f>
        <v>157451.251882977</v>
      </c>
      <c r="AG54" s="353"/>
      <c r="AH54" s="353"/>
      <c r="AI54" s="353"/>
      <c r="AJ54" s="353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5"/>
      <c r="CE54" s="295"/>
      <c r="CF54" s="295"/>
      <c r="CG54" s="295"/>
      <c r="CH54" s="295"/>
      <c r="CI54" s="295"/>
      <c r="CJ54" s="295"/>
      <c r="CK54" s="295"/>
      <c r="CL54" s="295"/>
      <c r="CM54" s="295"/>
      <c r="CN54" s="295"/>
      <c r="CO54" s="295"/>
      <c r="CP54" s="295"/>
      <c r="CQ54" s="295"/>
      <c r="CR54" s="295"/>
      <c r="CS54" s="295"/>
      <c r="CT54" s="295"/>
      <c r="CU54" s="295"/>
      <c r="CV54" s="295"/>
      <c r="CW54" s="295"/>
      <c r="CX54" s="295"/>
      <c r="CY54" s="295"/>
      <c r="CZ54" s="295"/>
      <c r="DA54" s="295"/>
      <c r="DB54" s="295"/>
      <c r="DC54" s="295"/>
      <c r="DD54" s="295"/>
      <c r="DE54" s="295"/>
      <c r="DF54" s="295"/>
      <c r="DG54" s="295"/>
      <c r="DH54" s="295"/>
      <c r="DI54" s="295"/>
      <c r="DJ54" s="296"/>
      <c r="DK54" s="296"/>
      <c r="DL54" s="296"/>
      <c r="DM54" s="296"/>
      <c r="DN54" s="296"/>
      <c r="DO54" s="296"/>
      <c r="DP54" s="296"/>
      <c r="DQ54" s="296"/>
      <c r="DR54" s="296"/>
      <c r="DS54" s="296"/>
      <c r="DT54" s="296"/>
      <c r="DU54" s="296"/>
      <c r="DV54" s="296"/>
      <c r="DW54" s="296"/>
      <c r="DX54" s="296"/>
      <c r="DY54" s="296"/>
      <c r="DZ54" s="296"/>
      <c r="EA54" s="296"/>
      <c r="EB54" s="296"/>
      <c r="EC54" s="296"/>
      <c r="ED54" s="296"/>
      <c r="EE54" s="296"/>
      <c r="EF54" s="296"/>
      <c r="EG54" s="296"/>
      <c r="EH54" s="296"/>
      <c r="EI54" s="296"/>
      <c r="EJ54" s="296"/>
      <c r="EK54" s="296"/>
      <c r="EL54" s="296"/>
      <c r="EM54" s="296"/>
      <c r="EN54" s="296"/>
      <c r="EO54" s="296"/>
      <c r="EP54" s="296"/>
      <c r="EQ54" s="296"/>
      <c r="ER54" s="296"/>
      <c r="ES54" s="296"/>
      <c r="ET54" s="296"/>
      <c r="EU54" s="296"/>
      <c r="EV54" s="296"/>
      <c r="EW54" s="296"/>
      <c r="EX54" s="296"/>
      <c r="EY54" s="296"/>
      <c r="EZ54" s="296"/>
      <c r="FA54" s="296"/>
      <c r="FB54" s="296"/>
      <c r="FC54" s="296"/>
      <c r="FD54" s="296"/>
      <c r="FE54" s="296"/>
      <c r="FF54" s="296"/>
      <c r="FG54" s="296"/>
      <c r="FH54" s="296"/>
      <c r="FI54" s="296"/>
      <c r="FJ54" s="296"/>
      <c r="FK54" s="296"/>
      <c r="FL54" s="296"/>
      <c r="FM54" s="296"/>
      <c r="FN54" s="296"/>
      <c r="FO54" s="296"/>
      <c r="FP54" s="296"/>
      <c r="FQ54" s="296"/>
      <c r="FR54" s="296"/>
      <c r="FS54" s="296"/>
      <c r="FT54" s="296"/>
      <c r="FU54" s="296"/>
      <c r="FV54" s="296"/>
      <c r="FW54" s="296"/>
      <c r="FX54" s="296"/>
      <c r="FY54" s="296"/>
      <c r="FZ54" s="296"/>
      <c r="GA54" s="296"/>
      <c r="GB54" s="296"/>
      <c r="GC54" s="296"/>
      <c r="GD54" s="296"/>
      <c r="GE54" s="296"/>
      <c r="GF54" s="296"/>
      <c r="GG54" s="296"/>
      <c r="GH54" s="296"/>
      <c r="GI54" s="296"/>
      <c r="GJ54" s="296"/>
      <c r="GK54" s="296"/>
      <c r="GL54" s="296"/>
      <c r="GM54" s="296"/>
      <c r="GN54" s="296"/>
      <c r="GO54" s="296"/>
      <c r="GP54" s="296"/>
      <c r="GQ54" s="296"/>
      <c r="GR54" s="296"/>
      <c r="GS54" s="296"/>
      <c r="GT54" s="296"/>
      <c r="GU54" s="296"/>
      <c r="GV54" s="296"/>
      <c r="GW54" s="296"/>
      <c r="GX54" s="296"/>
      <c r="GY54" s="296"/>
      <c r="GZ54" s="296"/>
      <c r="HA54" s="296"/>
      <c r="HB54" s="296"/>
      <c r="HC54" s="296"/>
      <c r="HD54" s="296"/>
      <c r="HE54" s="296"/>
      <c r="HF54" s="296"/>
      <c r="HG54" s="296"/>
      <c r="HH54" s="296"/>
      <c r="HI54" s="296"/>
      <c r="HJ54" s="296"/>
      <c r="HK54" s="296"/>
      <c r="HL54" s="296"/>
      <c r="HM54" s="296"/>
      <c r="HN54" s="296"/>
      <c r="HO54" s="296"/>
      <c r="HP54" s="296"/>
      <c r="HQ54" s="296"/>
      <c r="HR54" s="296"/>
      <c r="HS54" s="296"/>
      <c r="HT54" s="296"/>
      <c r="HU54" s="296"/>
      <c r="HV54" s="296"/>
      <c r="HW54" s="296"/>
      <c r="HX54" s="296"/>
      <c r="HY54" s="296"/>
      <c r="HZ54" s="296"/>
      <c r="IA54" s="296"/>
      <c r="IB54" s="296"/>
      <c r="IC54" s="296"/>
      <c r="ID54" s="296"/>
      <c r="IE54" s="296"/>
      <c r="IF54" s="296"/>
      <c r="IG54" s="296"/>
      <c r="IH54" s="296"/>
      <c r="II54" s="296"/>
      <c r="IJ54" s="296"/>
      <c r="IK54" s="296"/>
      <c r="IL54" s="296"/>
      <c r="IM54" s="296"/>
      <c r="IN54" s="296"/>
      <c r="IO54" s="296"/>
      <c r="IP54" s="296"/>
      <c r="IQ54" s="296"/>
      <c r="IR54" s="296"/>
      <c r="IS54" s="296"/>
      <c r="IT54" s="296"/>
      <c r="IU54" s="296"/>
      <c r="IV54" s="296"/>
      <c r="IW54" s="296"/>
    </row>
    <row r="55" customFormat="false" ht="12.75" hidden="false" customHeight="false" outlineLevel="0" collapsed="false">
      <c r="A55" s="372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AA55" s="14"/>
      <c r="AB55" s="14"/>
      <c r="AC55" s="14"/>
      <c r="AD55" s="14"/>
      <c r="AE55" s="14"/>
      <c r="AF55" s="389"/>
    </row>
    <row r="56" customFormat="false" ht="12.75" hidden="false" customHeight="false" outlineLevel="0" collapsed="false">
      <c r="A56" s="606" t="s">
        <v>284</v>
      </c>
      <c r="B56" s="295"/>
      <c r="C56" s="676"/>
      <c r="D56" s="676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  <c r="AB56" s="353"/>
      <c r="AC56" s="353"/>
      <c r="AD56" s="353"/>
      <c r="AE56" s="353"/>
      <c r="AF56" s="365"/>
      <c r="AG56" s="353"/>
      <c r="AH56" s="353"/>
      <c r="AI56" s="353"/>
      <c r="AJ56" s="353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5"/>
      <c r="CE56" s="295"/>
      <c r="CF56" s="295"/>
      <c r="CG56" s="295"/>
      <c r="CH56" s="295"/>
      <c r="CI56" s="295"/>
      <c r="CJ56" s="295"/>
      <c r="CK56" s="295"/>
      <c r="CL56" s="295"/>
      <c r="CM56" s="295"/>
      <c r="CN56" s="295"/>
      <c r="CO56" s="295"/>
      <c r="CP56" s="295"/>
      <c r="CQ56" s="295"/>
      <c r="CR56" s="295"/>
      <c r="CS56" s="295"/>
      <c r="CT56" s="295"/>
      <c r="CU56" s="295"/>
      <c r="CV56" s="295"/>
      <c r="CW56" s="295"/>
      <c r="CX56" s="295"/>
      <c r="CY56" s="295"/>
      <c r="CZ56" s="295"/>
      <c r="DA56" s="295"/>
      <c r="DB56" s="295"/>
      <c r="DC56" s="295"/>
      <c r="DD56" s="295"/>
      <c r="DE56" s="295"/>
      <c r="DF56" s="295"/>
      <c r="DG56" s="295"/>
      <c r="DH56" s="295"/>
      <c r="DI56" s="295"/>
      <c r="DJ56" s="296"/>
      <c r="DK56" s="296"/>
      <c r="DL56" s="296"/>
      <c r="DM56" s="296"/>
      <c r="DN56" s="296"/>
      <c r="DO56" s="296"/>
      <c r="DP56" s="296"/>
      <c r="DQ56" s="296"/>
      <c r="DR56" s="296"/>
      <c r="DS56" s="296"/>
      <c r="DT56" s="296"/>
      <c r="DU56" s="296"/>
      <c r="DV56" s="296"/>
      <c r="DW56" s="296"/>
      <c r="DX56" s="296"/>
      <c r="DY56" s="296"/>
      <c r="DZ56" s="296"/>
      <c r="EA56" s="296"/>
      <c r="EB56" s="296"/>
      <c r="EC56" s="296"/>
      <c r="ED56" s="296"/>
      <c r="EE56" s="296"/>
      <c r="EF56" s="296"/>
      <c r="EG56" s="296"/>
      <c r="EH56" s="296"/>
      <c r="EI56" s="296"/>
      <c r="EJ56" s="296"/>
      <c r="EK56" s="296"/>
      <c r="EL56" s="296"/>
      <c r="EM56" s="296"/>
      <c r="EN56" s="296"/>
      <c r="EO56" s="296"/>
      <c r="EP56" s="296"/>
      <c r="EQ56" s="296"/>
      <c r="ER56" s="296"/>
      <c r="ES56" s="296"/>
      <c r="ET56" s="296"/>
      <c r="EU56" s="296"/>
      <c r="EV56" s="296"/>
      <c r="EW56" s="296"/>
      <c r="EX56" s="296"/>
      <c r="EY56" s="296"/>
      <c r="EZ56" s="296"/>
      <c r="FA56" s="296"/>
      <c r="FB56" s="296"/>
      <c r="FC56" s="296"/>
      <c r="FD56" s="296"/>
      <c r="FE56" s="296"/>
      <c r="FF56" s="296"/>
      <c r="FG56" s="296"/>
      <c r="FH56" s="296"/>
      <c r="FI56" s="296"/>
      <c r="FJ56" s="296"/>
      <c r="FK56" s="296"/>
      <c r="FL56" s="296"/>
      <c r="FM56" s="296"/>
      <c r="FN56" s="296"/>
      <c r="FO56" s="296"/>
      <c r="FP56" s="296"/>
      <c r="FQ56" s="296"/>
      <c r="FR56" s="296"/>
      <c r="FS56" s="296"/>
      <c r="FT56" s="296"/>
      <c r="FU56" s="296"/>
      <c r="FV56" s="296"/>
      <c r="FW56" s="296"/>
      <c r="FX56" s="296"/>
      <c r="FY56" s="296"/>
      <c r="FZ56" s="296"/>
      <c r="GA56" s="296"/>
      <c r="GB56" s="296"/>
      <c r="GC56" s="296"/>
      <c r="GD56" s="296"/>
      <c r="GE56" s="296"/>
      <c r="GF56" s="296"/>
      <c r="GG56" s="296"/>
      <c r="GH56" s="296"/>
      <c r="GI56" s="296"/>
      <c r="GJ56" s="296"/>
      <c r="GK56" s="296"/>
      <c r="GL56" s="296"/>
      <c r="GM56" s="296"/>
      <c r="GN56" s="296"/>
      <c r="GO56" s="296"/>
      <c r="GP56" s="296"/>
      <c r="GQ56" s="296"/>
      <c r="GR56" s="296"/>
      <c r="GS56" s="296"/>
      <c r="GT56" s="296"/>
      <c r="GU56" s="296"/>
      <c r="GV56" s="296"/>
      <c r="GW56" s="296"/>
      <c r="GX56" s="296"/>
      <c r="GY56" s="296"/>
      <c r="GZ56" s="296"/>
      <c r="HA56" s="296"/>
      <c r="HB56" s="296"/>
      <c r="HC56" s="296"/>
      <c r="HD56" s="296"/>
      <c r="HE56" s="296"/>
      <c r="HF56" s="296"/>
      <c r="HG56" s="296"/>
      <c r="HH56" s="296"/>
      <c r="HI56" s="296"/>
      <c r="HJ56" s="296"/>
      <c r="HK56" s="296"/>
      <c r="HL56" s="296"/>
      <c r="HM56" s="296"/>
      <c r="HN56" s="296"/>
      <c r="HO56" s="296"/>
      <c r="HP56" s="296"/>
      <c r="HQ56" s="296"/>
      <c r="HR56" s="296"/>
      <c r="HS56" s="296"/>
      <c r="HT56" s="296"/>
      <c r="HU56" s="296"/>
      <c r="HV56" s="296"/>
      <c r="HW56" s="296"/>
      <c r="HX56" s="296"/>
      <c r="HY56" s="296"/>
      <c r="HZ56" s="296"/>
      <c r="IA56" s="296"/>
      <c r="IB56" s="296"/>
      <c r="IC56" s="296"/>
      <c r="ID56" s="296"/>
      <c r="IE56" s="296"/>
      <c r="IF56" s="296"/>
      <c r="IG56" s="296"/>
      <c r="IH56" s="296"/>
      <c r="II56" s="296"/>
      <c r="IJ56" s="296"/>
      <c r="IK56" s="296"/>
      <c r="IL56" s="296"/>
      <c r="IM56" s="296"/>
      <c r="IN56" s="296"/>
      <c r="IO56" s="296"/>
      <c r="IP56" s="296"/>
      <c r="IQ56" s="296"/>
      <c r="IR56" s="296"/>
      <c r="IS56" s="296"/>
      <c r="IT56" s="296"/>
      <c r="IU56" s="296"/>
      <c r="IV56" s="296"/>
      <c r="IW56" s="296"/>
    </row>
    <row r="57" customFormat="false" ht="12.75" hidden="false" customHeight="false" outlineLevel="0" collapsed="false">
      <c r="A57" s="669" t="s">
        <v>285</v>
      </c>
      <c r="B57" s="14"/>
      <c r="C57" s="492"/>
      <c r="D57" s="492"/>
      <c r="E57" s="644" t="n">
        <v>0</v>
      </c>
      <c r="F57" s="107" t="n">
        <f aca="false">+E65</f>
        <v>13928.2862009697</v>
      </c>
      <c r="G57" s="107" t="n">
        <f aca="false">+F65</f>
        <v>27407.4595277653</v>
      </c>
      <c r="H57" s="107" t="n">
        <f aca="false">+G65</f>
        <v>21925.9676222122</v>
      </c>
      <c r="I57" s="107" t="n">
        <f aca="false">+H65</f>
        <v>17540.7740977698</v>
      </c>
      <c r="J57" s="107" t="n">
        <f aca="false">+I65</f>
        <v>13349.7829786538</v>
      </c>
      <c r="K57" s="107" t="n">
        <f aca="false">+J65</f>
        <v>8050.83963601662</v>
      </c>
      <c r="L57" s="107" t="n">
        <f aca="false">+K65</f>
        <v>1815.03517804264</v>
      </c>
      <c r="M57" s="107" t="n">
        <f aca="false">+L65</f>
        <v>0</v>
      </c>
      <c r="N57" s="107" t="n">
        <f aca="false">+M65</f>
        <v>0</v>
      </c>
      <c r="O57" s="107" t="n">
        <f aca="false">+N65</f>
        <v>0</v>
      </c>
      <c r="P57" s="107" t="n">
        <f aca="false">+O65</f>
        <v>0</v>
      </c>
      <c r="Q57" s="107" t="n">
        <f aca="false">+P65</f>
        <v>0</v>
      </c>
      <c r="R57" s="107" t="n">
        <f aca="false">+Q65</f>
        <v>0</v>
      </c>
      <c r="S57" s="107" t="n">
        <f aca="false">+R65</f>
        <v>0</v>
      </c>
      <c r="T57" s="107" t="n">
        <f aca="false">+S65</f>
        <v>0</v>
      </c>
      <c r="U57" s="107" t="n">
        <f aca="false">+T65</f>
        <v>0</v>
      </c>
      <c r="V57" s="107" t="n">
        <f aca="false">+U65</f>
        <v>7.90486352498385E-012</v>
      </c>
      <c r="W57" s="107" t="n">
        <f aca="false">+V65</f>
        <v>1.58097270499677E-011</v>
      </c>
      <c r="X57" s="107" t="n">
        <f aca="false">+W65</f>
        <v>2.37145905749516E-011</v>
      </c>
      <c r="Y57" s="107" t="n">
        <f aca="false">+X65</f>
        <v>3.16194540999354E-011</v>
      </c>
      <c r="Z57" s="107" t="n">
        <f aca="false">+Y65</f>
        <v>3.95243176249193E-011</v>
      </c>
      <c r="AA57" s="107" t="n">
        <f aca="false">+Z65</f>
        <v>4.74291811499031E-011</v>
      </c>
      <c r="AB57" s="107" t="n">
        <f aca="false">+AA65</f>
        <v>4.73759660343739E-011</v>
      </c>
      <c r="AC57" s="107" t="n">
        <f aca="false">+AB65</f>
        <v>4.80048719451743E-011</v>
      </c>
      <c r="AD57" s="107" t="n">
        <f aca="false">+AC65</f>
        <v>4.86337778559747E-011</v>
      </c>
      <c r="AE57" s="107" t="n">
        <f aca="false">+AD65</f>
        <v>4.56247049596834E-011</v>
      </c>
      <c r="AF57" s="478"/>
      <c r="AG57" s="107"/>
      <c r="AH57" s="107"/>
      <c r="AI57" s="107"/>
      <c r="AJ57" s="107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</row>
    <row r="58" customFormat="false" ht="12.75" hidden="false" customHeight="false" outlineLevel="0" collapsed="false">
      <c r="A58" s="670" t="s">
        <v>286</v>
      </c>
      <c r="B58" s="148"/>
      <c r="C58" s="464"/>
      <c r="D58" s="464"/>
      <c r="E58" s="475" t="n">
        <v>0</v>
      </c>
      <c r="F58" s="475" t="n">
        <v>0</v>
      </c>
      <c r="G58" s="475" t="n">
        <v>0</v>
      </c>
      <c r="H58" s="475" t="n">
        <v>0</v>
      </c>
      <c r="I58" s="475" t="n">
        <v>0</v>
      </c>
      <c r="J58" s="475" t="n">
        <v>0</v>
      </c>
      <c r="K58" s="131" t="n">
        <f aca="false">MIN(-SUM($E64:E64,$F63:J63)-SUM($E58:J58),0)</f>
        <v>0</v>
      </c>
      <c r="L58" s="131" t="n">
        <f aca="false">MIN(-SUM($E64:F64,$F63:K63)-SUM($E58:K58),0)</f>
        <v>-1815.03517804264</v>
      </c>
      <c r="M58" s="131" t="n">
        <f aca="false">MIN(-SUM($E64:G64,$F63:L63)-SUM($E58:L58),0)</f>
        <v>0</v>
      </c>
      <c r="N58" s="131" t="n">
        <f aca="false">MIN(-SUM($E64:H64,$F63:M63)-SUM($E58:M58),0)</f>
        <v>0</v>
      </c>
      <c r="O58" s="131" t="n">
        <f aca="false">MIN(-SUM($E64:I64,$F63:N63)-SUM($E58:N58),0)</f>
        <v>0</v>
      </c>
      <c r="P58" s="131" t="n">
        <f aca="false">MIN(-SUM($E64:J64,$F63:O63)-SUM($E58:O58),0)</f>
        <v>0</v>
      </c>
      <c r="Q58" s="131" t="n">
        <f aca="false">MIN(-SUM($E64:K64,$F63:P63)-SUM($E58:P58),0)</f>
        <v>0</v>
      </c>
      <c r="R58" s="131" t="n">
        <f aca="false">MIN(-SUM($E64:L64,$F63:Q63)-SUM($E58:Q58),0)</f>
        <v>0</v>
      </c>
      <c r="S58" s="131" t="n">
        <f aca="false">MIN(-SUM($E64:M64,$F63:R63)-SUM($E58:R58),0)</f>
        <v>0</v>
      </c>
      <c r="T58" s="131" t="n">
        <f aca="false">MIN(-SUM($E64:N64,$F63:S63)-SUM($E58:S58),0)</f>
        <v>0</v>
      </c>
      <c r="U58" s="131" t="n">
        <f aca="false">MIN(-SUM($E64:O64,$F63:T63)-SUM($E58:T58),0)</f>
        <v>0</v>
      </c>
      <c r="V58" s="131" t="n">
        <f aca="false">MIN(-SUM($E64:P64,$F63:U63)-SUM($E58:U58),0)</f>
        <v>0</v>
      </c>
      <c r="W58" s="131" t="n">
        <f aca="false">MIN(-SUM($E64:Q64,$F63:V63)-SUM($E58:V58),0)</f>
        <v>0</v>
      </c>
      <c r="X58" s="131" t="n">
        <f aca="false">MIN(-SUM($E64:R64,$F63:W63)-SUM($E58:W58),0)</f>
        <v>0</v>
      </c>
      <c r="Y58" s="131" t="n">
        <f aca="false">MIN(-SUM($E64:S64,$F63:X63)-SUM($E58:X58),0)</f>
        <v>0</v>
      </c>
      <c r="Z58" s="131" t="n">
        <f aca="false">MIN(-SUM($E64:T64,$F63:Y63)-SUM($E58:Y58),0)</f>
        <v>0</v>
      </c>
      <c r="AA58" s="131" t="n">
        <f aca="false">MIN(-SUM($E64:U64,$F63:Z63)-SUM($E58:Z58),0)</f>
        <v>-7.95807864051312E-012</v>
      </c>
      <c r="AB58" s="131" t="n">
        <f aca="false">MIN(-SUM($E64:V64,$F63:AA63)-SUM($E58:AA58),0)</f>
        <v>-7.27595761418343E-012</v>
      </c>
      <c r="AC58" s="131" t="n">
        <f aca="false">MIN(-SUM($E64:W64,$F63:AB63)-SUM($E58:AB58),0)</f>
        <v>-7.27595761418343E-012</v>
      </c>
      <c r="AD58" s="131" t="n">
        <f aca="false">MIN(-SUM($E64:X64,$F63:AC63)-SUM($E58:AC58),0)</f>
        <v>-1.09139364212751E-011</v>
      </c>
      <c r="AE58" s="131" t="n">
        <f aca="false">MIN(-SUM($E64:Y64,$F63:AD63)-SUM($E58:AD58),0)</f>
        <v>-7.27595761418343E-012</v>
      </c>
      <c r="AF58" s="476" t="n">
        <f aca="false">+SUM(E58:AE58)</f>
        <v>-1815.03517804268</v>
      </c>
      <c r="AG58" s="131"/>
      <c r="AH58" s="131"/>
      <c r="AI58" s="131"/>
      <c r="AJ58" s="131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  <c r="CP58" s="148"/>
      <c r="CQ58" s="148"/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  <c r="DB58" s="148"/>
      <c r="DC58" s="148"/>
      <c r="DD58" s="148"/>
      <c r="DE58" s="148"/>
      <c r="DF58" s="148"/>
      <c r="DG58" s="148"/>
      <c r="DH58" s="148"/>
      <c r="DI58" s="148"/>
      <c r="DJ58" s="344"/>
      <c r="DK58" s="344"/>
      <c r="DL58" s="344"/>
      <c r="DM58" s="344"/>
      <c r="DN58" s="344"/>
      <c r="DO58" s="344"/>
      <c r="DP58" s="344"/>
      <c r="DQ58" s="344"/>
      <c r="DR58" s="344"/>
      <c r="DS58" s="344"/>
      <c r="DT58" s="344"/>
      <c r="DU58" s="344"/>
      <c r="DV58" s="344"/>
      <c r="DW58" s="344"/>
      <c r="DX58" s="344"/>
      <c r="DY58" s="344"/>
      <c r="DZ58" s="344"/>
      <c r="EA58" s="344"/>
      <c r="EB58" s="344"/>
      <c r="EC58" s="344"/>
      <c r="ED58" s="344"/>
      <c r="EE58" s="344"/>
      <c r="EF58" s="344"/>
      <c r="EG58" s="344"/>
      <c r="EH58" s="344"/>
      <c r="EI58" s="344"/>
      <c r="EJ58" s="344"/>
      <c r="EK58" s="344"/>
      <c r="EL58" s="344"/>
      <c r="EM58" s="344"/>
      <c r="EN58" s="344"/>
      <c r="EO58" s="344"/>
      <c r="EP58" s="344"/>
      <c r="EQ58" s="344"/>
      <c r="ER58" s="344"/>
      <c r="ES58" s="344"/>
      <c r="ET58" s="344"/>
      <c r="EU58" s="344"/>
      <c r="EV58" s="344"/>
      <c r="EW58" s="344"/>
      <c r="EX58" s="344"/>
      <c r="EY58" s="344"/>
      <c r="EZ58" s="344"/>
      <c r="FA58" s="344"/>
      <c r="FB58" s="344"/>
      <c r="FC58" s="344"/>
      <c r="FD58" s="344"/>
      <c r="FE58" s="344"/>
      <c r="FF58" s="344"/>
      <c r="FG58" s="344"/>
      <c r="FH58" s="344"/>
      <c r="FI58" s="344"/>
      <c r="FJ58" s="344"/>
      <c r="FK58" s="344"/>
      <c r="FL58" s="344"/>
      <c r="FM58" s="344"/>
      <c r="FN58" s="344"/>
      <c r="FO58" s="344"/>
      <c r="FP58" s="344"/>
      <c r="FQ58" s="344"/>
      <c r="FR58" s="344"/>
      <c r="FS58" s="344"/>
      <c r="FT58" s="344"/>
      <c r="FU58" s="344"/>
      <c r="FV58" s="344"/>
      <c r="FW58" s="344"/>
      <c r="FX58" s="344"/>
      <c r="FY58" s="344"/>
      <c r="FZ58" s="344"/>
      <c r="GA58" s="344"/>
      <c r="GB58" s="344"/>
      <c r="GC58" s="344"/>
      <c r="GD58" s="344"/>
      <c r="GE58" s="344"/>
      <c r="GF58" s="344"/>
      <c r="GG58" s="344"/>
      <c r="GH58" s="344"/>
      <c r="GI58" s="344"/>
      <c r="GJ58" s="344"/>
      <c r="GK58" s="344"/>
      <c r="GL58" s="344"/>
      <c r="GM58" s="344"/>
      <c r="GN58" s="344"/>
      <c r="GO58" s="344"/>
      <c r="GP58" s="344"/>
      <c r="GQ58" s="344"/>
      <c r="GR58" s="344"/>
      <c r="GS58" s="344"/>
      <c r="GT58" s="344"/>
      <c r="GU58" s="344"/>
      <c r="GV58" s="344"/>
      <c r="GW58" s="344"/>
      <c r="GX58" s="344"/>
      <c r="GY58" s="344"/>
      <c r="GZ58" s="344"/>
      <c r="HA58" s="344"/>
      <c r="HB58" s="344"/>
      <c r="HC58" s="344"/>
      <c r="HD58" s="344"/>
      <c r="HE58" s="344"/>
      <c r="HF58" s="344"/>
      <c r="HG58" s="344"/>
      <c r="HH58" s="344"/>
      <c r="HI58" s="344"/>
      <c r="HJ58" s="344"/>
      <c r="HK58" s="344"/>
      <c r="HL58" s="344"/>
      <c r="HM58" s="344"/>
      <c r="HN58" s="344"/>
      <c r="HO58" s="344"/>
      <c r="HP58" s="344"/>
      <c r="HQ58" s="344"/>
      <c r="HR58" s="344"/>
      <c r="HS58" s="344"/>
      <c r="HT58" s="344"/>
      <c r="HU58" s="344"/>
      <c r="HV58" s="344"/>
      <c r="HW58" s="344"/>
      <c r="HX58" s="344"/>
      <c r="HY58" s="344"/>
      <c r="HZ58" s="344"/>
      <c r="IA58" s="344"/>
      <c r="IB58" s="344"/>
      <c r="IC58" s="344"/>
      <c r="ID58" s="344"/>
      <c r="IE58" s="344"/>
      <c r="IF58" s="344"/>
      <c r="IG58" s="344"/>
      <c r="IH58" s="344"/>
      <c r="II58" s="344"/>
      <c r="IJ58" s="344"/>
      <c r="IK58" s="344"/>
      <c r="IL58" s="344"/>
      <c r="IM58" s="344"/>
      <c r="IN58" s="344"/>
      <c r="IO58" s="344"/>
      <c r="IP58" s="344"/>
      <c r="IQ58" s="344"/>
      <c r="IR58" s="344"/>
      <c r="IS58" s="344"/>
      <c r="IT58" s="344"/>
      <c r="IU58" s="344"/>
      <c r="IV58" s="344"/>
      <c r="IW58" s="344"/>
    </row>
    <row r="59" customFormat="false" ht="12.75" hidden="false" customHeight="false" outlineLevel="0" collapsed="false">
      <c r="A59" s="669" t="s">
        <v>287</v>
      </c>
      <c r="B59" s="14"/>
      <c r="C59" s="492"/>
      <c r="D59" s="492"/>
      <c r="E59" s="107" t="n">
        <f aca="false">+SUM(E57:E58)</f>
        <v>0</v>
      </c>
      <c r="F59" s="107" t="n">
        <f aca="false">+SUM(F57:F58)</f>
        <v>13928.2862009697</v>
      </c>
      <c r="G59" s="107" t="n">
        <f aca="false">+SUM(G57:G58)</f>
        <v>27407.4595277653</v>
      </c>
      <c r="H59" s="107" t="n">
        <f aca="false">+SUM(H57:H58)</f>
        <v>21925.9676222122</v>
      </c>
      <c r="I59" s="107" t="n">
        <f aca="false">+SUM(I57:I58)</f>
        <v>17540.7740977698</v>
      </c>
      <c r="J59" s="107" t="n">
        <f aca="false">+SUM(J57:J58)</f>
        <v>13349.7829786538</v>
      </c>
      <c r="K59" s="107" t="n">
        <f aca="false">+SUM(K57:K58)</f>
        <v>8050.83963601662</v>
      </c>
      <c r="L59" s="107" t="n">
        <f aca="false">+SUM(L57:L58)</f>
        <v>0</v>
      </c>
      <c r="M59" s="107" t="n">
        <f aca="false">+SUM(M57:M58)</f>
        <v>0</v>
      </c>
      <c r="N59" s="107" t="n">
        <f aca="false">+SUM(N57:N58)</f>
        <v>0</v>
      </c>
      <c r="O59" s="107" t="n">
        <f aca="false">+SUM(O57:O58)</f>
        <v>0</v>
      </c>
      <c r="P59" s="107" t="n">
        <f aca="false">+SUM(P57:P58)</f>
        <v>0</v>
      </c>
      <c r="Q59" s="107" t="n">
        <f aca="false">+SUM(Q57:Q58)</f>
        <v>0</v>
      </c>
      <c r="R59" s="107" t="n">
        <f aca="false">+SUM(R57:R58)</f>
        <v>0</v>
      </c>
      <c r="S59" s="107" t="n">
        <f aca="false">+SUM(S57:S58)</f>
        <v>0</v>
      </c>
      <c r="T59" s="107" t="n">
        <f aca="false">+SUM(T57:T58)</f>
        <v>0</v>
      </c>
      <c r="U59" s="107" t="n">
        <f aca="false">+SUM(U57:U58)</f>
        <v>0</v>
      </c>
      <c r="V59" s="107" t="n">
        <f aca="false">+SUM(V57:V58)</f>
        <v>7.90486352498385E-012</v>
      </c>
      <c r="W59" s="107" t="n">
        <f aca="false">+SUM(W57:W58)</f>
        <v>1.58097270499677E-011</v>
      </c>
      <c r="X59" s="107" t="n">
        <f aca="false">+SUM(X57:X58)</f>
        <v>2.37145905749516E-011</v>
      </c>
      <c r="Y59" s="107" t="n">
        <f aca="false">+SUM(Y57:Y58)</f>
        <v>3.16194540999354E-011</v>
      </c>
      <c r="Z59" s="107" t="n">
        <f aca="false">+SUM(Z57:Z58)</f>
        <v>3.95243176249193E-011</v>
      </c>
      <c r="AA59" s="107" t="n">
        <f aca="false">+SUM(AA57:AA58)</f>
        <v>3.947110250939E-011</v>
      </c>
      <c r="AB59" s="107" t="n">
        <f aca="false">+SUM(AB57:AB58)</f>
        <v>4.01000084201904E-011</v>
      </c>
      <c r="AC59" s="107" t="n">
        <f aca="false">+SUM(AC57:AC58)</f>
        <v>4.07289143309909E-011</v>
      </c>
      <c r="AD59" s="107" t="n">
        <f aca="false">+SUM(AD57:AD58)</f>
        <v>3.77198414346996E-011</v>
      </c>
      <c r="AE59" s="107" t="n">
        <f aca="false">+SUM(AE57:AE58)</f>
        <v>3.83487473455E-011</v>
      </c>
      <c r="AF59" s="478"/>
      <c r="AG59" s="107"/>
      <c r="AH59" s="107"/>
      <c r="AI59" s="107"/>
      <c r="AJ59" s="107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</row>
    <row r="60" customFormat="false" ht="12.75" hidden="false" customHeight="false" outlineLevel="0" collapsed="false">
      <c r="A60" s="677" t="s">
        <v>288</v>
      </c>
      <c r="B60" s="14"/>
      <c r="C60" s="492"/>
      <c r="D60" s="492"/>
      <c r="E60" s="107" t="n">
        <f aca="false">IF(E49&lt;0,0,E59*0.2)</f>
        <v>0</v>
      </c>
      <c r="F60" s="107" t="n">
        <f aca="false">IF(F49&lt;0,0,F59*0.2)</f>
        <v>0</v>
      </c>
      <c r="G60" s="107" t="n">
        <f aca="false">IF(G49&lt;0,0,G59*0.2)</f>
        <v>5481.49190555305</v>
      </c>
      <c r="H60" s="107" t="n">
        <f aca="false">IF(H49&lt;0,0,H59*0.2)</f>
        <v>4385.19352444244</v>
      </c>
      <c r="I60" s="107" t="n">
        <f aca="false">IF(I49&lt;0,0,I59*0.2)</f>
        <v>3508.15481955395</v>
      </c>
      <c r="J60" s="107" t="n">
        <f aca="false">IF(J49&lt;0,0,J59*0.2)</f>
        <v>2669.95659573076</v>
      </c>
      <c r="K60" s="107" t="n">
        <f aca="false">IF(K49&lt;0,0,K59*0.2)</f>
        <v>1610.16792720332</v>
      </c>
      <c r="L60" s="107" t="n">
        <f aca="false">IF(L49&lt;0,0,L59*0.2)</f>
        <v>0</v>
      </c>
      <c r="M60" s="107" t="n">
        <f aca="false">IF(M49&lt;0,0,M59*0.2)</f>
        <v>0</v>
      </c>
      <c r="N60" s="107" t="n">
        <f aca="false">IF(N49&lt;0,0,N59*0.2)</f>
        <v>0</v>
      </c>
      <c r="O60" s="107" t="n">
        <f aca="false">IF(O49&lt;0,0,O59*0.2)</f>
        <v>0</v>
      </c>
      <c r="P60" s="107" t="n">
        <f aca="false">IF(P49&lt;0,0,P59*0.2)</f>
        <v>0</v>
      </c>
      <c r="Q60" s="107" t="n">
        <f aca="false">IF(Q49&lt;0,0,Q59*0.2)</f>
        <v>0</v>
      </c>
      <c r="R60" s="107" t="n">
        <f aca="false">IF(R49&lt;0,0,R59*0.2)</f>
        <v>0</v>
      </c>
      <c r="S60" s="107" t="n">
        <f aca="false">IF(S49&lt;0,0,S59*0.2)</f>
        <v>0</v>
      </c>
      <c r="T60" s="107" t="n">
        <f aca="false">IF(T49&lt;0,0,T59*0.2)</f>
        <v>0</v>
      </c>
      <c r="U60" s="107" t="n">
        <f aca="false">IF(U49&lt;0,0,U59*0.2)</f>
        <v>0</v>
      </c>
      <c r="V60" s="107" t="n">
        <f aca="false">IF(V49&lt;0,0,V59*0.2)</f>
        <v>0</v>
      </c>
      <c r="W60" s="107" t="n">
        <f aca="false">IF(W49&lt;0,0,W59*0.2)</f>
        <v>0</v>
      </c>
      <c r="X60" s="107" t="n">
        <f aca="false">IF(X49&lt;0,0,X59*0.2)</f>
        <v>0</v>
      </c>
      <c r="Y60" s="107" t="n">
        <f aca="false">IF(Y49&lt;0,0,Y59*0.2)</f>
        <v>0</v>
      </c>
      <c r="Z60" s="107" t="n">
        <f aca="false">IF(Z49&lt;0,0,Z59*0.2)</f>
        <v>0</v>
      </c>
      <c r="AA60" s="107" t="n">
        <f aca="false">IF(AA49&lt;0,0,AA59*0.2)</f>
        <v>0</v>
      </c>
      <c r="AB60" s="107" t="n">
        <f aca="false">IF(AB49&lt;0,0,AB59*0.2)</f>
        <v>0</v>
      </c>
      <c r="AC60" s="107" t="n">
        <f aca="false">IF(AC49&lt;0,0,AC59*0.2)</f>
        <v>0</v>
      </c>
      <c r="AD60" s="107" t="n">
        <f aca="false">IF(AD49&lt;0,0,AD59*0.2)</f>
        <v>0</v>
      </c>
      <c r="AE60" s="107" t="n">
        <f aca="false">IF(AE49&lt;0,0,AE59*0.2)</f>
        <v>7.6697494691E-012</v>
      </c>
      <c r="AF60" s="478"/>
      <c r="AG60" s="107"/>
      <c r="AH60" s="107"/>
      <c r="AI60" s="107"/>
      <c r="AJ60" s="107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</row>
    <row r="61" customFormat="false" ht="12.75" hidden="false" customHeight="false" outlineLevel="0" collapsed="false">
      <c r="A61" s="677" t="s">
        <v>289</v>
      </c>
      <c r="B61" s="14"/>
      <c r="C61" s="492"/>
      <c r="D61" s="492"/>
      <c r="E61" s="107" t="n">
        <f aca="false">IF(E49&lt;0,0,E49*0.5)</f>
        <v>0</v>
      </c>
      <c r="F61" s="107" t="n">
        <f aca="false">IF(F49&lt;0,0,F49*0.5)</f>
        <v>0</v>
      </c>
      <c r="G61" s="107" t="n">
        <f aca="false">IF(G49&lt;0,0,G49*0.5)</f>
        <v>2198.65168302977</v>
      </c>
      <c r="H61" s="107" t="n">
        <f aca="false">IF(H49&lt;0,0,H49*0.5)</f>
        <v>3404.87573920591</v>
      </c>
      <c r="I61" s="107" t="n">
        <f aca="false">IF(I49&lt;0,0,I49*0.5)</f>
        <v>4190.99111911598</v>
      </c>
      <c r="J61" s="107" t="n">
        <f aca="false">IF(J49&lt;0,0,J49*0.5)</f>
        <v>5298.94334263716</v>
      </c>
      <c r="K61" s="107" t="n">
        <f aca="false">IF(K49&lt;0,0,K49*0.5)</f>
        <v>6235.80445797398</v>
      </c>
      <c r="L61" s="107" t="n">
        <f aca="false">IF(L49&lt;0,0,L49*0.5)</f>
        <v>23975.2113256871</v>
      </c>
      <c r="M61" s="107" t="n">
        <f aca="false">IF(M49&lt;0,0,M49*0.5)</f>
        <v>27634.0480498754</v>
      </c>
      <c r="N61" s="107" t="n">
        <f aca="false">IF(N49&lt;0,0,N49*0.5)</f>
        <v>29340.6973227534</v>
      </c>
      <c r="O61" s="107" t="n">
        <f aca="false">IF(O49&lt;0,0,O49*0.5)</f>
        <v>31225.5108290445</v>
      </c>
      <c r="P61" s="107" t="n">
        <f aca="false">IF(P49&lt;0,0,P49*0.5)</f>
        <v>33614.2842987992</v>
      </c>
      <c r="Q61" s="107" t="n">
        <f aca="false">IF(Q49&lt;0,0,Q49*0.5)</f>
        <v>35059.8841512406</v>
      </c>
      <c r="R61" s="107" t="n">
        <f aca="false">IF(R49&lt;0,0,R49*0.5)</f>
        <v>35846.043231229</v>
      </c>
      <c r="S61" s="107" t="n">
        <f aca="false">IF(S49&lt;0,0,S49*0.5)</f>
        <v>36647.9254928171</v>
      </c>
      <c r="T61" s="107" t="n">
        <f aca="false">IF(T49&lt;0,0,T49*0.5)</f>
        <v>7.90486352498385E-012</v>
      </c>
      <c r="U61" s="107" t="n">
        <f aca="false">IF(U49&lt;0,0,U49*0.5)</f>
        <v>0</v>
      </c>
      <c r="V61" s="107" t="n">
        <f aca="false">IF(V49&lt;0,0,V49*0.5)</f>
        <v>0</v>
      </c>
      <c r="W61" s="107" t="n">
        <f aca="false">IF(W49&lt;0,0,W49*0.5)</f>
        <v>0</v>
      </c>
      <c r="X61" s="107" t="n">
        <f aca="false">IF(X49&lt;0,0,X49*0.5)</f>
        <v>0</v>
      </c>
      <c r="Y61" s="107" t="n">
        <f aca="false">IF(Y49&lt;0,0,Y49*0.5)</f>
        <v>0</v>
      </c>
      <c r="Z61" s="107" t="n">
        <f aca="false">IF(Z49&lt;0,0,Z49*0.5)</f>
        <v>0</v>
      </c>
      <c r="AA61" s="107" t="n">
        <f aca="false">IF(AA49&lt;0,0,AA49*0.5)</f>
        <v>0</v>
      </c>
      <c r="AB61" s="107" t="n">
        <f aca="false">IF(AB49&lt;0,0,AB49*0.5)</f>
        <v>0</v>
      </c>
      <c r="AC61" s="107" t="n">
        <f aca="false">IF(AC49&lt;0,0,AC49*0.5)</f>
        <v>0</v>
      </c>
      <c r="AD61" s="107" t="n">
        <f aca="false">IF(AD49&lt;0,0,AD49*0.5)</f>
        <v>0</v>
      </c>
      <c r="AE61" s="107" t="n">
        <f aca="false">IF(AE49&lt;0,0,AE49*0.5)</f>
        <v>0</v>
      </c>
      <c r="AF61" s="478"/>
      <c r="AG61" s="107"/>
      <c r="AH61" s="107"/>
      <c r="AI61" s="107"/>
      <c r="AJ61" s="107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</row>
    <row r="62" customFormat="false" ht="12.75" hidden="false" customHeight="false" outlineLevel="0" collapsed="false">
      <c r="A62" s="677"/>
      <c r="B62" s="14"/>
      <c r="C62" s="492"/>
      <c r="D62" s="492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78"/>
      <c r="AG62" s="107"/>
      <c r="AH62" s="107"/>
      <c r="AI62" s="107"/>
      <c r="AJ62" s="107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</row>
    <row r="63" customFormat="false" ht="12.75" hidden="false" customHeight="false" outlineLevel="0" collapsed="false">
      <c r="A63" s="669" t="s">
        <v>290</v>
      </c>
      <c r="B63" s="14"/>
      <c r="C63" s="492"/>
      <c r="D63" s="492"/>
      <c r="E63" s="644" t="n">
        <v>0</v>
      </c>
      <c r="F63" s="107" t="n">
        <f aca="false">+IF(F49&lt;0,0,-MIN(MAX(F60,F61),F59))</f>
        <v>0</v>
      </c>
      <c r="G63" s="107" t="n">
        <f aca="false">+IF(G49&lt;0,0,-MIN(MAX(G60,G61),G59))</f>
        <v>-5481.49190555305</v>
      </c>
      <c r="H63" s="107" t="n">
        <f aca="false">+IF(H49&lt;0,0,-MIN(MAX(H60,H61),H59))</f>
        <v>-4385.19352444244</v>
      </c>
      <c r="I63" s="107" t="n">
        <f aca="false">+IF(I49&lt;0,0,-MIN(MAX(I60,I61),I59))</f>
        <v>-4190.99111911598</v>
      </c>
      <c r="J63" s="107" t="n">
        <f aca="false">+IF(J49&lt;0,0,-MIN(MAX(J60,J61),J59))</f>
        <v>-5298.94334263716</v>
      </c>
      <c r="K63" s="107" t="n">
        <f aca="false">+IF(K49&lt;0,0,-MIN(MAX(K60,K61),K59))</f>
        <v>-6235.80445797398</v>
      </c>
      <c r="L63" s="107" t="n">
        <f aca="false">+IF(L49&lt;0,0,-MIN(MAX(L60,L61),L59))</f>
        <v>-0</v>
      </c>
      <c r="M63" s="107" t="n">
        <f aca="false">+IF(M49&lt;0,0,-MIN(MAX(M60,M61),M59))</f>
        <v>-0</v>
      </c>
      <c r="N63" s="107" t="n">
        <f aca="false">+IF(N49&lt;0,0,-MIN(MAX(N60,N61),N59))</f>
        <v>-0</v>
      </c>
      <c r="O63" s="107" t="n">
        <f aca="false">+IF(O49&lt;0,0,-MIN(MAX(O60,O61),O59))</f>
        <v>-0</v>
      </c>
      <c r="P63" s="107" t="n">
        <f aca="false">+IF(P49&lt;0,0,-MIN(MAX(P60,P61),P59))</f>
        <v>-0</v>
      </c>
      <c r="Q63" s="107" t="n">
        <f aca="false">+IF(Q49&lt;0,0,-MIN(MAX(Q60,Q61),Q59))</f>
        <v>-0</v>
      </c>
      <c r="R63" s="107" t="n">
        <f aca="false">+IF(R49&lt;0,0,-MIN(MAX(R60,R61),R59))</f>
        <v>-0</v>
      </c>
      <c r="S63" s="107" t="n">
        <f aca="false">+IF(S49&lt;0,0,-MIN(MAX(S60,S61),S59))</f>
        <v>-0</v>
      </c>
      <c r="T63" s="107" t="n">
        <f aca="false">+IF(T49&lt;0,0,-MIN(MAX(T60,T61),T59))</f>
        <v>-0</v>
      </c>
      <c r="U63" s="107" t="n">
        <f aca="false">+IF(U49&lt;0,0,-MIN(MAX(U60,U61),U59))</f>
        <v>0</v>
      </c>
      <c r="V63" s="107" t="n">
        <f aca="false">+IF(V49&lt;0,0,-MIN(MAX(V60,V61),V59))</f>
        <v>0</v>
      </c>
      <c r="W63" s="107" t="n">
        <f aca="false">+IF(W49&lt;0,0,-MIN(MAX(W60,W61),W59))</f>
        <v>0</v>
      </c>
      <c r="X63" s="107" t="n">
        <f aca="false">+IF(X49&lt;0,0,-MIN(MAX(X60,X61),X59))</f>
        <v>0</v>
      </c>
      <c r="Y63" s="107" t="n">
        <f aca="false">+IF(Y49&lt;0,0,-MIN(MAX(Y60,Y61),Y59))</f>
        <v>0</v>
      </c>
      <c r="Z63" s="107" t="n">
        <f aca="false">+IF(Z49&lt;0,0,-MIN(MAX(Z60,Z61),Z59))</f>
        <v>0</v>
      </c>
      <c r="AA63" s="107" t="n">
        <f aca="false">+IF(AA49&lt;0,0,-MIN(MAX(AA60,AA61),AA59))</f>
        <v>0</v>
      </c>
      <c r="AB63" s="107" t="n">
        <f aca="false">+IF(AB49&lt;0,0,-MIN(MAX(AB60,AB61),AB59))</f>
        <v>0</v>
      </c>
      <c r="AC63" s="107" t="n">
        <f aca="false">+IF(AC49&lt;0,0,-MIN(MAX(AC60,AC61),AC59))</f>
        <v>0</v>
      </c>
      <c r="AD63" s="107" t="n">
        <f aca="false">+IF(AD49&lt;0,0,-MIN(MAX(AD60,AD61),AD59))</f>
        <v>0</v>
      </c>
      <c r="AE63" s="107" t="n">
        <f aca="false">+IF(AE49&lt;0,0,-MIN(MAX(AE60,AE61),AE59))</f>
        <v>-7.6697494691E-012</v>
      </c>
      <c r="AF63" s="478" t="n">
        <f aca="false">+SUM(E63:AE63)</f>
        <v>-25592.4243497226</v>
      </c>
      <c r="AG63" s="107"/>
      <c r="AH63" s="107"/>
      <c r="AI63" s="107"/>
      <c r="AJ63" s="107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</row>
    <row r="64" customFormat="false" ht="12.75" hidden="false" customHeight="false" outlineLevel="0" collapsed="false">
      <c r="A64" s="670" t="s">
        <v>291</v>
      </c>
      <c r="B64" s="148"/>
      <c r="C64" s="464"/>
      <c r="D64" s="464"/>
      <c r="E64" s="131" t="n">
        <f aca="false">MAX(-E49,0)</f>
        <v>13928.2862009697</v>
      </c>
      <c r="F64" s="131" t="n">
        <f aca="false">MAX(-F49,0)</f>
        <v>13479.1733267955</v>
      </c>
      <c r="G64" s="131" t="n">
        <f aca="false">MAX(-G49,0)</f>
        <v>0</v>
      </c>
      <c r="H64" s="131" t="n">
        <f aca="false">MAX(-H49,0)</f>
        <v>0</v>
      </c>
      <c r="I64" s="131" t="n">
        <f aca="false">MAX(-I49,0)</f>
        <v>0</v>
      </c>
      <c r="J64" s="131" t="n">
        <f aca="false">MAX(-J49,0)</f>
        <v>0</v>
      </c>
      <c r="K64" s="131" t="n">
        <f aca="false">MAX(-K49,0)</f>
        <v>0</v>
      </c>
      <c r="L64" s="131" t="n">
        <f aca="false">MAX(-L49,0)</f>
        <v>0</v>
      </c>
      <c r="M64" s="131" t="n">
        <f aca="false">MAX(-M49,0)</f>
        <v>0</v>
      </c>
      <c r="N64" s="131" t="n">
        <f aca="false">MAX(-N49,0)</f>
        <v>0</v>
      </c>
      <c r="O64" s="131" t="n">
        <f aca="false">MAX(-O49,0)</f>
        <v>0</v>
      </c>
      <c r="P64" s="131" t="n">
        <f aca="false">MAX(-P49,0)</f>
        <v>0</v>
      </c>
      <c r="Q64" s="131" t="n">
        <f aca="false">MAX(-Q49,0)</f>
        <v>0</v>
      </c>
      <c r="R64" s="131" t="n">
        <f aca="false">MAX(-R49,0)</f>
        <v>0</v>
      </c>
      <c r="S64" s="131" t="n">
        <f aca="false">MAX(-S49,0)</f>
        <v>0</v>
      </c>
      <c r="T64" s="131" t="n">
        <f aca="false">MAX(-T49,0)</f>
        <v>0</v>
      </c>
      <c r="U64" s="131" t="n">
        <f aca="false">MAX(-U49,0)</f>
        <v>7.90486352498385E-012</v>
      </c>
      <c r="V64" s="131" t="n">
        <f aca="false">MAX(-V49,0)</f>
        <v>7.90486352498385E-012</v>
      </c>
      <c r="W64" s="131" t="n">
        <f aca="false">MAX(-W49,0)</f>
        <v>7.90486352498385E-012</v>
      </c>
      <c r="X64" s="131" t="n">
        <f aca="false">MAX(-X49,0)</f>
        <v>7.90486352498385E-012</v>
      </c>
      <c r="Y64" s="131" t="n">
        <f aca="false">MAX(-Y49,0)</f>
        <v>7.90486352498385E-012</v>
      </c>
      <c r="Z64" s="131" t="n">
        <f aca="false">MAX(-Z49,0)</f>
        <v>7.90486352498385E-012</v>
      </c>
      <c r="AA64" s="131" t="n">
        <f aca="false">MAX(-AA49,0)</f>
        <v>7.90486352498385E-012</v>
      </c>
      <c r="AB64" s="131" t="n">
        <f aca="false">MAX(-AB49,0)</f>
        <v>7.90486352498385E-012</v>
      </c>
      <c r="AC64" s="131" t="n">
        <f aca="false">MAX(-AC49,0)</f>
        <v>7.90486352498385E-012</v>
      </c>
      <c r="AD64" s="131" t="n">
        <f aca="false">MAX(-AD49,0)</f>
        <v>7.90486352498385E-012</v>
      </c>
      <c r="AE64" s="131" t="n">
        <f aca="false">MAX(-AE49,0)</f>
        <v>0</v>
      </c>
      <c r="AF64" s="476" t="n">
        <f aca="false">+SUM(E64:AE64)</f>
        <v>27407.4595277653</v>
      </c>
      <c r="AG64" s="131"/>
      <c r="AH64" s="131"/>
      <c r="AI64" s="131"/>
      <c r="AJ64" s="131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  <c r="CP64" s="148"/>
      <c r="CQ64" s="148"/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  <c r="DB64" s="148"/>
      <c r="DC64" s="148"/>
      <c r="DD64" s="148"/>
      <c r="DE64" s="148"/>
      <c r="DF64" s="148"/>
      <c r="DG64" s="148"/>
      <c r="DH64" s="148"/>
      <c r="DI64" s="148"/>
      <c r="DJ64" s="344"/>
      <c r="DK64" s="344"/>
      <c r="DL64" s="344"/>
      <c r="DM64" s="344"/>
      <c r="DN64" s="344"/>
      <c r="DO64" s="344"/>
      <c r="DP64" s="344"/>
      <c r="DQ64" s="344"/>
      <c r="DR64" s="344"/>
      <c r="DS64" s="344"/>
      <c r="DT64" s="344"/>
      <c r="DU64" s="344"/>
      <c r="DV64" s="344"/>
      <c r="DW64" s="344"/>
      <c r="DX64" s="344"/>
      <c r="DY64" s="344"/>
      <c r="DZ64" s="344"/>
      <c r="EA64" s="344"/>
      <c r="EB64" s="344"/>
      <c r="EC64" s="344"/>
      <c r="ED64" s="344"/>
      <c r="EE64" s="344"/>
      <c r="EF64" s="344"/>
      <c r="EG64" s="344"/>
      <c r="EH64" s="344"/>
      <c r="EI64" s="344"/>
      <c r="EJ64" s="344"/>
      <c r="EK64" s="344"/>
      <c r="EL64" s="344"/>
      <c r="EM64" s="344"/>
      <c r="EN64" s="344"/>
      <c r="EO64" s="344"/>
      <c r="EP64" s="344"/>
      <c r="EQ64" s="344"/>
      <c r="ER64" s="344"/>
      <c r="ES64" s="344"/>
      <c r="ET64" s="344"/>
      <c r="EU64" s="344"/>
      <c r="EV64" s="344"/>
      <c r="EW64" s="344"/>
      <c r="EX64" s="344"/>
      <c r="EY64" s="344"/>
      <c r="EZ64" s="344"/>
      <c r="FA64" s="344"/>
      <c r="FB64" s="344"/>
      <c r="FC64" s="344"/>
      <c r="FD64" s="344"/>
      <c r="FE64" s="344"/>
      <c r="FF64" s="344"/>
      <c r="FG64" s="344"/>
      <c r="FH64" s="344"/>
      <c r="FI64" s="344"/>
      <c r="FJ64" s="344"/>
      <c r="FK64" s="344"/>
      <c r="FL64" s="344"/>
      <c r="FM64" s="344"/>
      <c r="FN64" s="344"/>
      <c r="FO64" s="344"/>
      <c r="FP64" s="344"/>
      <c r="FQ64" s="344"/>
      <c r="FR64" s="344"/>
      <c r="FS64" s="344"/>
      <c r="FT64" s="344"/>
      <c r="FU64" s="344"/>
      <c r="FV64" s="344"/>
      <c r="FW64" s="344"/>
      <c r="FX64" s="344"/>
      <c r="FY64" s="344"/>
      <c r="FZ64" s="344"/>
      <c r="GA64" s="344"/>
      <c r="GB64" s="344"/>
      <c r="GC64" s="344"/>
      <c r="GD64" s="344"/>
      <c r="GE64" s="344"/>
      <c r="GF64" s="344"/>
      <c r="GG64" s="344"/>
      <c r="GH64" s="344"/>
      <c r="GI64" s="344"/>
      <c r="GJ64" s="344"/>
      <c r="GK64" s="344"/>
      <c r="GL64" s="344"/>
      <c r="GM64" s="344"/>
      <c r="GN64" s="344"/>
      <c r="GO64" s="344"/>
      <c r="GP64" s="344"/>
      <c r="GQ64" s="344"/>
      <c r="GR64" s="344"/>
      <c r="GS64" s="344"/>
      <c r="GT64" s="344"/>
      <c r="GU64" s="344"/>
      <c r="GV64" s="344"/>
      <c r="GW64" s="344"/>
      <c r="GX64" s="344"/>
      <c r="GY64" s="344"/>
      <c r="GZ64" s="344"/>
      <c r="HA64" s="344"/>
      <c r="HB64" s="344"/>
      <c r="HC64" s="344"/>
      <c r="HD64" s="344"/>
      <c r="HE64" s="344"/>
      <c r="HF64" s="344"/>
      <c r="HG64" s="344"/>
      <c r="HH64" s="344"/>
      <c r="HI64" s="344"/>
      <c r="HJ64" s="344"/>
      <c r="HK64" s="344"/>
      <c r="HL64" s="344"/>
      <c r="HM64" s="344"/>
      <c r="HN64" s="344"/>
      <c r="HO64" s="344"/>
      <c r="HP64" s="344"/>
      <c r="HQ64" s="344"/>
      <c r="HR64" s="344"/>
      <c r="HS64" s="344"/>
      <c r="HT64" s="344"/>
      <c r="HU64" s="344"/>
      <c r="HV64" s="344"/>
      <c r="HW64" s="344"/>
      <c r="HX64" s="344"/>
      <c r="HY64" s="344"/>
      <c r="HZ64" s="344"/>
      <c r="IA64" s="344"/>
      <c r="IB64" s="344"/>
      <c r="IC64" s="344"/>
      <c r="ID64" s="344"/>
      <c r="IE64" s="344"/>
      <c r="IF64" s="344"/>
      <c r="IG64" s="344"/>
      <c r="IH64" s="344"/>
      <c r="II64" s="344"/>
      <c r="IJ64" s="344"/>
      <c r="IK64" s="344"/>
      <c r="IL64" s="344"/>
      <c r="IM64" s="344"/>
      <c r="IN64" s="344"/>
      <c r="IO64" s="344"/>
      <c r="IP64" s="344"/>
      <c r="IQ64" s="344"/>
      <c r="IR64" s="344"/>
      <c r="IS64" s="344"/>
      <c r="IT64" s="344"/>
      <c r="IU64" s="344"/>
      <c r="IV64" s="344"/>
      <c r="IW64" s="344"/>
    </row>
    <row r="65" customFormat="false" ht="12.75" hidden="false" customHeight="false" outlineLevel="0" collapsed="false">
      <c r="A65" s="678" t="s">
        <v>292</v>
      </c>
      <c r="B65" s="199"/>
      <c r="C65" s="679"/>
      <c r="D65" s="679"/>
      <c r="E65" s="481" t="n">
        <f aca="false">+E59+SUM(E63:E64)</f>
        <v>13928.2862009697</v>
      </c>
      <c r="F65" s="481" t="n">
        <f aca="false">+F59+SUM(F63:F64)</f>
        <v>27407.4595277653</v>
      </c>
      <c r="G65" s="481" t="n">
        <f aca="false">+G59+SUM(G63:G64)</f>
        <v>21925.9676222122</v>
      </c>
      <c r="H65" s="481" t="n">
        <f aca="false">+H59+SUM(H63:H64)</f>
        <v>17540.7740977698</v>
      </c>
      <c r="I65" s="481" t="n">
        <f aca="false">+I59+SUM(I63:I64)</f>
        <v>13349.7829786538</v>
      </c>
      <c r="J65" s="481" t="n">
        <f aca="false">+J59+SUM(J63:J64)</f>
        <v>8050.83963601662</v>
      </c>
      <c r="K65" s="481" t="n">
        <f aca="false">+K59+SUM(K63:K64)</f>
        <v>1815.03517804264</v>
      </c>
      <c r="L65" s="481" t="n">
        <f aca="false">+L59+SUM(L63:L64)</f>
        <v>0</v>
      </c>
      <c r="M65" s="481" t="n">
        <f aca="false">+M59+SUM(M63:M64)</f>
        <v>0</v>
      </c>
      <c r="N65" s="481" t="n">
        <f aca="false">+N59+SUM(N63:N64)</f>
        <v>0</v>
      </c>
      <c r="O65" s="481" t="n">
        <f aca="false">+O59+SUM(O63:O64)</f>
        <v>0</v>
      </c>
      <c r="P65" s="481" t="n">
        <f aca="false">+P59+SUM(P63:P64)</f>
        <v>0</v>
      </c>
      <c r="Q65" s="481" t="n">
        <f aca="false">+Q59+SUM(Q63:Q64)</f>
        <v>0</v>
      </c>
      <c r="R65" s="481" t="n">
        <f aca="false">+R59+SUM(R63:R64)</f>
        <v>0</v>
      </c>
      <c r="S65" s="481" t="n">
        <f aca="false">+S59+SUM(S63:S64)</f>
        <v>0</v>
      </c>
      <c r="T65" s="481" t="n">
        <f aca="false">+T59+SUM(T63:T64)</f>
        <v>0</v>
      </c>
      <c r="U65" s="481" t="n">
        <f aca="false">+U59+SUM(U63:U64)</f>
        <v>7.90486352498385E-012</v>
      </c>
      <c r="V65" s="481" t="n">
        <f aca="false">+V59+SUM(V63:V64)</f>
        <v>1.58097270499677E-011</v>
      </c>
      <c r="W65" s="481" t="n">
        <f aca="false">+W59+SUM(W63:W64)</f>
        <v>2.37145905749516E-011</v>
      </c>
      <c r="X65" s="481" t="n">
        <f aca="false">+X59+SUM(X63:X64)</f>
        <v>3.16194540999354E-011</v>
      </c>
      <c r="Y65" s="481" t="n">
        <f aca="false">+Y59+SUM(Y63:Y64)</f>
        <v>3.95243176249193E-011</v>
      </c>
      <c r="Z65" s="481" t="n">
        <f aca="false">+Z59+SUM(Z63:Z64)</f>
        <v>4.74291811499031E-011</v>
      </c>
      <c r="AA65" s="481" t="n">
        <f aca="false">+AA59+SUM(AA63:AA64)</f>
        <v>4.73759660343739E-011</v>
      </c>
      <c r="AB65" s="481" t="n">
        <f aca="false">+AB59+SUM(AB63:AB64)</f>
        <v>4.80048719451743E-011</v>
      </c>
      <c r="AC65" s="481" t="n">
        <f aca="false">+AC59+SUM(AC63:AC64)</f>
        <v>4.86337778559747E-011</v>
      </c>
      <c r="AD65" s="481" t="n">
        <f aca="false">+AD59+SUM(AD63:AD64)</f>
        <v>4.56247049596834E-011</v>
      </c>
      <c r="AE65" s="481" t="n">
        <f aca="false">+AE59+SUM(AE63:AE64)</f>
        <v>3.06789978764E-011</v>
      </c>
      <c r="AF65" s="666"/>
      <c r="AG65" s="107"/>
      <c r="AH65" s="107"/>
      <c r="AI65" s="107"/>
      <c r="AJ65" s="107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</row>
    <row r="67" customFormat="false" ht="12.75" hidden="false" customHeight="false" outlineLevel="0" collapsed="false">
      <c r="A67" s="668" t="s">
        <v>295</v>
      </c>
      <c r="B67" s="395"/>
      <c r="C67" s="395"/>
      <c r="D67" s="395"/>
      <c r="E67" s="472"/>
      <c r="F67" s="472"/>
      <c r="G67" s="472"/>
      <c r="H67" s="472"/>
      <c r="I67" s="472"/>
      <c r="J67" s="472"/>
      <c r="K67" s="472"/>
      <c r="L67" s="472"/>
      <c r="M67" s="472"/>
      <c r="N67" s="472"/>
      <c r="O67" s="472"/>
      <c r="P67" s="472"/>
      <c r="Q67" s="472"/>
      <c r="R67" s="472"/>
      <c r="S67" s="472"/>
      <c r="T67" s="472"/>
      <c r="U67" s="472"/>
      <c r="V67" s="472"/>
      <c r="W67" s="472"/>
      <c r="X67" s="472"/>
      <c r="Y67" s="472"/>
      <c r="Z67" s="472"/>
      <c r="AA67" s="472"/>
      <c r="AB67" s="472"/>
      <c r="AC67" s="472"/>
      <c r="AD67" s="472"/>
      <c r="AE67" s="472"/>
      <c r="AF67" s="473"/>
      <c r="AG67" s="107"/>
      <c r="AH67" s="107"/>
      <c r="AI67" s="107"/>
      <c r="AJ67" s="107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</row>
    <row r="68" customFormat="false" ht="12.75" hidden="false" customHeight="false" outlineLevel="0" collapsed="false">
      <c r="A68" s="645" t="s">
        <v>296</v>
      </c>
      <c r="B68" s="107"/>
      <c r="C68" s="107"/>
      <c r="D68" s="680"/>
      <c r="E68" s="107" t="n">
        <f aca="false">+CF!E64</f>
        <v>-5489.14650461628</v>
      </c>
      <c r="F68" s="107" t="n">
        <f aca="false">+CF!F64</f>
        <v>-12024.8944418351</v>
      </c>
      <c r="G68" s="107" t="n">
        <f aca="false">+CF!G64</f>
        <v>5172.26088173192</v>
      </c>
      <c r="H68" s="107" t="n">
        <f aca="false">+CF!H64</f>
        <v>6111.95198968353</v>
      </c>
      <c r="I68" s="107" t="n">
        <f aca="false">+CF!I64</f>
        <v>6336.36938269381</v>
      </c>
      <c r="J68" s="107" t="n">
        <f aca="false">+CF!J64</f>
        <v>7322.46047131347</v>
      </c>
      <c r="K68" s="107" t="n">
        <f aca="false">+CF!K64</f>
        <v>7930.41622411125</v>
      </c>
      <c r="L68" s="107" t="n">
        <f aca="false">+CF!L64</f>
        <v>29814.3673368833</v>
      </c>
      <c r="M68" s="107" t="n">
        <f aca="false">+CF!M64</f>
        <v>33751.1784288697</v>
      </c>
      <c r="N68" s="107" t="n">
        <f aca="false">+CF!N64</f>
        <v>34839.6239379672</v>
      </c>
      <c r="O68" s="107" t="n">
        <f aca="false">+CF!O64</f>
        <v>36050.9822707039</v>
      </c>
      <c r="P68" s="107" t="n">
        <f aca="false">+CF!P64</f>
        <v>37829.0628701378</v>
      </c>
      <c r="Q68" s="107" t="n">
        <f aca="false">+CF!Q64</f>
        <v>57522.9775080903</v>
      </c>
      <c r="R68" s="107" t="n">
        <f aca="false">+CF!R64</f>
        <v>58623.600220074</v>
      </c>
      <c r="S68" s="107" t="n">
        <f aca="false">+CF!S64</f>
        <v>59746.2353862973</v>
      </c>
      <c r="T68" s="107" t="n">
        <f aca="false">+CF!T64</f>
        <v>1.10668089349774E-011</v>
      </c>
      <c r="U68" s="107" t="n">
        <f aca="false">+CF!U64</f>
        <v>-7.90486352498385E-012</v>
      </c>
      <c r="V68" s="107" t="n">
        <f aca="false">+CF!V64</f>
        <v>-7.90486352498385E-012</v>
      </c>
      <c r="W68" s="107" t="n">
        <f aca="false">+CF!W64</f>
        <v>-7.90486352498385E-012</v>
      </c>
      <c r="X68" s="107" t="n">
        <f aca="false">+CF!X64</f>
        <v>-7.90486352498385E-012</v>
      </c>
      <c r="Y68" s="107" t="n">
        <f aca="false">+CF!Y64</f>
        <v>-7.90486352498385E-012</v>
      </c>
      <c r="Z68" s="107" t="n">
        <f aca="false">+CF!Z64</f>
        <v>-7.90486352498385E-012</v>
      </c>
      <c r="AA68" s="107" t="n">
        <f aca="false">+CF!AA64</f>
        <v>-7.90486352498385E-012</v>
      </c>
      <c r="AB68" s="107" t="n">
        <f aca="false">+CF!AB64</f>
        <v>-7.90486352498385E-012</v>
      </c>
      <c r="AC68" s="107" t="n">
        <f aca="false">+CF!AC64</f>
        <v>-7.90486352498385E-012</v>
      </c>
      <c r="AD68" s="107" t="n">
        <f aca="false">+CF!AD64</f>
        <v>-7.90486352498385E-012</v>
      </c>
      <c r="AE68" s="107" t="n">
        <f aca="false">+CF!AE64</f>
        <v>0</v>
      </c>
      <c r="AF68" s="478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07"/>
      <c r="DQ68" s="107"/>
      <c r="DR68" s="107"/>
      <c r="DS68" s="107"/>
      <c r="DT68" s="107"/>
      <c r="DU68" s="107"/>
      <c r="DV68" s="107"/>
      <c r="DW68" s="107"/>
      <c r="DX68" s="107"/>
      <c r="DY68" s="107"/>
      <c r="DZ68" s="107"/>
      <c r="EA68" s="107"/>
      <c r="EB68" s="107"/>
      <c r="EC68" s="107"/>
      <c r="ED68" s="107"/>
      <c r="EE68" s="107"/>
      <c r="EF68" s="107"/>
      <c r="EG68" s="107"/>
      <c r="EH68" s="107"/>
      <c r="EI68" s="107"/>
      <c r="EJ68" s="107"/>
      <c r="EK68" s="107"/>
      <c r="EL68" s="107"/>
      <c r="EM68" s="107"/>
      <c r="EN68" s="107"/>
      <c r="EO68" s="107"/>
      <c r="EP68" s="107"/>
      <c r="EQ68" s="107"/>
      <c r="ER68" s="107"/>
      <c r="ES68" s="107"/>
      <c r="ET68" s="107"/>
      <c r="EU68" s="107"/>
      <c r="EV68" s="107"/>
      <c r="EW68" s="107"/>
      <c r="EX68" s="107"/>
      <c r="EY68" s="107"/>
      <c r="EZ68" s="107"/>
      <c r="FA68" s="107"/>
      <c r="FB68" s="107"/>
      <c r="FC68" s="107"/>
      <c r="FD68" s="107"/>
      <c r="FE68" s="107"/>
      <c r="FF68" s="107"/>
      <c r="FG68" s="107"/>
      <c r="FH68" s="107"/>
      <c r="FI68" s="107"/>
      <c r="FJ68" s="107"/>
      <c r="FK68" s="107"/>
      <c r="FL68" s="107"/>
      <c r="FM68" s="107"/>
      <c r="FN68" s="107"/>
      <c r="FO68" s="107"/>
      <c r="FP68" s="107"/>
      <c r="FQ68" s="107"/>
      <c r="FR68" s="107"/>
      <c r="FS68" s="107"/>
      <c r="FT68" s="107"/>
      <c r="FU68" s="107"/>
      <c r="FV68" s="107"/>
      <c r="FW68" s="107"/>
      <c r="FX68" s="107"/>
      <c r="FY68" s="107"/>
      <c r="FZ68" s="107"/>
      <c r="GA68" s="107"/>
      <c r="GB68" s="107"/>
      <c r="GC68" s="107"/>
      <c r="GD68" s="107"/>
      <c r="GE68" s="107"/>
      <c r="GF68" s="107"/>
      <c r="GG68" s="107"/>
      <c r="GH68" s="107"/>
      <c r="GI68" s="107"/>
      <c r="GJ68" s="107"/>
      <c r="GK68" s="107"/>
      <c r="GL68" s="107"/>
      <c r="GM68" s="107"/>
      <c r="GN68" s="107"/>
      <c r="GO68" s="107"/>
      <c r="GP68" s="107"/>
      <c r="GQ68" s="107"/>
      <c r="GR68" s="107"/>
      <c r="GS68" s="107"/>
      <c r="GT68" s="107"/>
      <c r="GU68" s="107"/>
      <c r="GV68" s="107"/>
      <c r="GW68" s="107"/>
      <c r="GX68" s="107"/>
      <c r="GY68" s="107"/>
      <c r="GZ68" s="107"/>
      <c r="HA68" s="107"/>
      <c r="HB68" s="107"/>
      <c r="HC68" s="107"/>
      <c r="HD68" s="107"/>
      <c r="HE68" s="107"/>
      <c r="HF68" s="107"/>
      <c r="HG68" s="107"/>
      <c r="HH68" s="107"/>
      <c r="HI68" s="107"/>
      <c r="HJ68" s="107"/>
      <c r="HK68" s="107"/>
      <c r="HL68" s="107"/>
      <c r="HM68" s="107"/>
      <c r="HN68" s="107"/>
      <c r="HO68" s="107"/>
      <c r="HP68" s="107"/>
      <c r="HQ68" s="107"/>
      <c r="HR68" s="107"/>
      <c r="HS68" s="107"/>
      <c r="HT68" s="107"/>
      <c r="HU68" s="107"/>
      <c r="HV68" s="107"/>
      <c r="HW68" s="107"/>
      <c r="HX68" s="107"/>
      <c r="HY68" s="107"/>
      <c r="HZ68" s="107"/>
      <c r="IA68" s="107"/>
      <c r="IB68" s="107"/>
      <c r="IC68" s="107"/>
      <c r="ID68" s="107"/>
      <c r="IE68" s="107"/>
      <c r="IF68" s="107"/>
      <c r="IG68" s="107"/>
      <c r="IH68" s="107"/>
      <c r="II68" s="107"/>
      <c r="IJ68" s="107"/>
      <c r="IK68" s="107"/>
      <c r="IL68" s="107"/>
      <c r="IM68" s="107"/>
      <c r="IN68" s="107"/>
      <c r="IO68" s="107"/>
      <c r="IP68" s="107"/>
      <c r="IQ68" s="107"/>
      <c r="IR68" s="107"/>
      <c r="IS68" s="107"/>
      <c r="IT68" s="107"/>
      <c r="IU68" s="107"/>
      <c r="IV68" s="107"/>
      <c r="IW68" s="107"/>
    </row>
    <row r="69" customFormat="false" ht="12.75" hidden="false" customHeight="false" outlineLevel="0" collapsed="false">
      <c r="A69" s="681" t="s">
        <v>297</v>
      </c>
      <c r="B69" s="107"/>
      <c r="C69" s="107"/>
      <c r="D69" s="680" t="n">
        <f aca="false">+Assumpt!$L$16</f>
        <v>0.1</v>
      </c>
      <c r="E69" s="107" t="n">
        <f aca="false">MAX(0,E68*$D$69)</f>
        <v>0</v>
      </c>
      <c r="F69" s="107" t="n">
        <f aca="false">MAX(0,F68*$D$69)</f>
        <v>0</v>
      </c>
      <c r="G69" s="107" t="n">
        <f aca="false">MAX(0,G68*$D$69)</f>
        <v>517.226088173192</v>
      </c>
      <c r="H69" s="107" t="n">
        <f aca="false">MAX(0,H68*$D$69)</f>
        <v>611.195198968353</v>
      </c>
      <c r="I69" s="107" t="n">
        <f aca="false">MAX(0,I68*$D$69)</f>
        <v>633.636938269381</v>
      </c>
      <c r="J69" s="107" t="n">
        <f aca="false">MAX(0,J68*$D$69)</f>
        <v>732.246047131347</v>
      </c>
      <c r="K69" s="107" t="n">
        <f aca="false">MAX(0,K68*$D$69)</f>
        <v>793.041622411125</v>
      </c>
      <c r="L69" s="107" t="n">
        <f aca="false">MAX(0,L68*$D$69)</f>
        <v>2981.43673368833</v>
      </c>
      <c r="M69" s="107" t="n">
        <f aca="false">MAX(0,M68*$D$69)</f>
        <v>3375.11784288697</v>
      </c>
      <c r="N69" s="107" t="n">
        <f aca="false">MAX(0,N68*$D$69)</f>
        <v>3483.96239379672</v>
      </c>
      <c r="O69" s="107" t="n">
        <f aca="false">MAX(0,O68*$D$69)</f>
        <v>3605.09822707039</v>
      </c>
      <c r="P69" s="107" t="n">
        <f aca="false">MAX(0,P68*$D$69)</f>
        <v>3782.90628701378</v>
      </c>
      <c r="Q69" s="107" t="n">
        <f aca="false">MAX(0,Q68*$D$69)</f>
        <v>5752.29775080903</v>
      </c>
      <c r="R69" s="107" t="n">
        <f aca="false">MAX(0,R68*$D$69)</f>
        <v>5862.3600220074</v>
      </c>
      <c r="S69" s="107" t="n">
        <f aca="false">MAX(0,S68*$D$69)</f>
        <v>5974.62353862973</v>
      </c>
      <c r="T69" s="107" t="n">
        <f aca="false">MAX(0,T68*$D$69)</f>
        <v>1.10668089349774E-012</v>
      </c>
      <c r="U69" s="107" t="n">
        <f aca="false">MAX(0,U68*$D$69)</f>
        <v>0</v>
      </c>
      <c r="V69" s="107" t="n">
        <f aca="false">MAX(0,V68*$D$69)</f>
        <v>0</v>
      </c>
      <c r="W69" s="107" t="n">
        <f aca="false">MAX(0,W68*$D$69)</f>
        <v>0</v>
      </c>
      <c r="X69" s="107" t="n">
        <f aca="false">MAX(0,X68*$D$69)</f>
        <v>0</v>
      </c>
      <c r="Y69" s="107" t="n">
        <f aca="false">MAX(0,Y68*$D$69)</f>
        <v>0</v>
      </c>
      <c r="Z69" s="107" t="n">
        <f aca="false">MAX(0,Z68*$D$69)</f>
        <v>0</v>
      </c>
      <c r="AA69" s="107" t="n">
        <f aca="false">MAX(0,AA68*$D$69)</f>
        <v>0</v>
      </c>
      <c r="AB69" s="107" t="n">
        <f aca="false">MAX(0,AB68*$D$69)</f>
        <v>0</v>
      </c>
      <c r="AC69" s="107" t="n">
        <f aca="false">MAX(0,AC68*$D$69)</f>
        <v>0</v>
      </c>
      <c r="AD69" s="107" t="n">
        <f aca="false">MAX(0,AD68*$D$69)</f>
        <v>0</v>
      </c>
      <c r="AE69" s="107" t="n">
        <f aca="false">MAX(0,AE68*$D$69)</f>
        <v>0</v>
      </c>
      <c r="AF69" s="478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7"/>
      <c r="DC69" s="107"/>
      <c r="DD69" s="107"/>
      <c r="DE69" s="107"/>
      <c r="DF69" s="107"/>
      <c r="DG69" s="107"/>
      <c r="DH69" s="107"/>
      <c r="DI69" s="107"/>
      <c r="DJ69" s="107"/>
      <c r="DK69" s="107"/>
      <c r="DL69" s="107"/>
      <c r="DM69" s="107"/>
      <c r="DN69" s="107"/>
      <c r="DO69" s="107"/>
      <c r="DP69" s="107"/>
      <c r="DQ69" s="107"/>
      <c r="DR69" s="107"/>
      <c r="DS69" s="107"/>
      <c r="DT69" s="107"/>
      <c r="DU69" s="107"/>
      <c r="DV69" s="107"/>
      <c r="DW69" s="107"/>
      <c r="DX69" s="107"/>
      <c r="DY69" s="107"/>
      <c r="DZ69" s="107"/>
      <c r="EA69" s="107"/>
      <c r="EB69" s="107"/>
      <c r="EC69" s="107"/>
      <c r="ED69" s="107"/>
      <c r="EE69" s="107"/>
      <c r="EF69" s="107"/>
      <c r="EG69" s="107"/>
      <c r="EH69" s="107"/>
      <c r="EI69" s="107"/>
      <c r="EJ69" s="107"/>
      <c r="EK69" s="107"/>
      <c r="EL69" s="107"/>
      <c r="EM69" s="107"/>
      <c r="EN69" s="107"/>
      <c r="EO69" s="107"/>
      <c r="EP69" s="107"/>
      <c r="EQ69" s="107"/>
      <c r="ER69" s="107"/>
      <c r="ES69" s="107"/>
      <c r="ET69" s="107"/>
      <c r="EU69" s="107"/>
      <c r="EV69" s="107"/>
      <c r="EW69" s="107"/>
      <c r="EX69" s="107"/>
      <c r="EY69" s="107"/>
      <c r="EZ69" s="107"/>
      <c r="FA69" s="107"/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  <c r="FM69" s="107"/>
      <c r="FN69" s="107"/>
      <c r="FO69" s="107"/>
      <c r="FP69" s="107"/>
      <c r="FQ69" s="107"/>
      <c r="FR69" s="107"/>
      <c r="FS69" s="107"/>
      <c r="FT69" s="107"/>
      <c r="FU69" s="107"/>
      <c r="FV69" s="107"/>
      <c r="FW69" s="107"/>
      <c r="FX69" s="107"/>
      <c r="FY69" s="107"/>
      <c r="FZ69" s="107"/>
      <c r="GA69" s="107"/>
      <c r="GB69" s="107"/>
      <c r="GC69" s="107"/>
      <c r="GD69" s="107"/>
      <c r="GE69" s="107"/>
      <c r="GF69" s="107"/>
      <c r="GG69" s="107"/>
      <c r="GH69" s="107"/>
      <c r="GI69" s="107"/>
      <c r="GJ69" s="107"/>
      <c r="GK69" s="107"/>
      <c r="GL69" s="107"/>
      <c r="GM69" s="107"/>
      <c r="GN69" s="107"/>
      <c r="GO69" s="107"/>
      <c r="GP69" s="107"/>
      <c r="GQ69" s="107"/>
      <c r="GR69" s="107"/>
      <c r="GS69" s="107"/>
      <c r="GT69" s="107"/>
      <c r="GU69" s="107"/>
      <c r="GV69" s="107"/>
      <c r="GW69" s="107"/>
      <c r="GX69" s="107"/>
      <c r="GY69" s="107"/>
      <c r="GZ69" s="107"/>
      <c r="HA69" s="107"/>
      <c r="HB69" s="107"/>
      <c r="HC69" s="107"/>
      <c r="HD69" s="107"/>
      <c r="HE69" s="107"/>
      <c r="HF69" s="107"/>
      <c r="HG69" s="107"/>
      <c r="HH69" s="107"/>
      <c r="HI69" s="107"/>
      <c r="HJ69" s="107"/>
      <c r="HK69" s="107"/>
      <c r="HL69" s="107"/>
      <c r="HM69" s="107"/>
      <c r="HN69" s="107"/>
      <c r="HO69" s="107"/>
      <c r="HP69" s="107"/>
      <c r="HQ69" s="107"/>
      <c r="HR69" s="107"/>
      <c r="HS69" s="107"/>
      <c r="HT69" s="107"/>
      <c r="HU69" s="107"/>
      <c r="HV69" s="107"/>
      <c r="HW69" s="107"/>
      <c r="HX69" s="107"/>
      <c r="HY69" s="107"/>
      <c r="HZ69" s="107"/>
      <c r="IA69" s="107"/>
      <c r="IB69" s="107"/>
      <c r="IC69" s="107"/>
      <c r="ID69" s="107"/>
      <c r="IE69" s="107"/>
      <c r="IF69" s="107"/>
      <c r="IG69" s="107"/>
      <c r="IH69" s="107"/>
      <c r="II69" s="107"/>
      <c r="IJ69" s="107"/>
      <c r="IK69" s="107"/>
      <c r="IL69" s="107"/>
      <c r="IM69" s="107"/>
      <c r="IN69" s="107"/>
      <c r="IO69" s="107"/>
      <c r="IP69" s="107"/>
      <c r="IQ69" s="107"/>
      <c r="IR69" s="107"/>
      <c r="IS69" s="107"/>
      <c r="IT69" s="107"/>
      <c r="IU69" s="107"/>
      <c r="IV69" s="107"/>
      <c r="IW69" s="107"/>
    </row>
    <row r="70" customFormat="false" ht="12.75" hidden="false" customHeight="false" outlineLevel="0" collapsed="false">
      <c r="A70" s="682" t="s">
        <v>298</v>
      </c>
      <c r="B70" s="131"/>
      <c r="C70" s="131"/>
      <c r="D70" s="683"/>
      <c r="E70" s="131" t="n">
        <f aca="false">-MIN(SUM($D78:D78)+SUM($D70:D70),E69)</f>
        <v>-0</v>
      </c>
      <c r="F70" s="131" t="n">
        <f aca="false">-MIN(SUM($D78:E78)+SUM($D70:E70),F69)</f>
        <v>-0</v>
      </c>
      <c r="G70" s="131" t="n">
        <f aca="false">-MIN(SUM($D78:F78)+SUM($D70:F70),G69)</f>
        <v>-0</v>
      </c>
      <c r="H70" s="131" t="n">
        <f aca="false">-MIN(SUM($D78:G78)+SUM($D70:G70),H69)</f>
        <v>-0</v>
      </c>
      <c r="I70" s="131" t="n">
        <f aca="false">-MIN(SUM($D78:H78)+SUM($D70:H70),I69)</f>
        <v>-0</v>
      </c>
      <c r="J70" s="131" t="n">
        <f aca="false">-MIN(SUM($D78:I78)+SUM($D70:I70),J69)</f>
        <v>-0</v>
      </c>
      <c r="K70" s="131" t="n">
        <f aca="false">-MIN(SUM($D78:J78)+SUM($D70:J70),K69)</f>
        <v>-0</v>
      </c>
      <c r="L70" s="131" t="n">
        <f aca="false">-MIN(SUM($D78:K78)+SUM($D70:K70),L69)</f>
        <v>-0</v>
      </c>
      <c r="M70" s="131" t="n">
        <f aca="false">-MIN(SUM($D78:L78)+SUM($D70:L70),M69)</f>
        <v>-0</v>
      </c>
      <c r="N70" s="131" t="n">
        <f aca="false">-MIN(SUM($D78:M78)+SUM($D70:M70),N69)</f>
        <v>-0</v>
      </c>
      <c r="O70" s="131" t="n">
        <f aca="false">-MIN(SUM($D78:N78)+SUM($D70:N70),O69)</f>
        <v>-0</v>
      </c>
      <c r="P70" s="131" t="n">
        <f aca="false">-MIN(SUM($D78:O78)+SUM($D70:O70),P69)</f>
        <v>-0</v>
      </c>
      <c r="Q70" s="131" t="n">
        <f aca="false">-MIN(SUM($D78:P78)+SUM($D70:P70),Q69)</f>
        <v>-0</v>
      </c>
      <c r="R70" s="131" t="n">
        <f aca="false">-MIN(SUM($D78:Q78)+SUM($D70:Q70),R69)</f>
        <v>-0</v>
      </c>
      <c r="S70" s="131" t="n">
        <f aca="false">-MIN(SUM($D78:R78)+SUM($D70:R70),S69)</f>
        <v>-0</v>
      </c>
      <c r="T70" s="131" t="n">
        <f aca="false">-MIN(SUM($D78:S78)+SUM($D70:S70),T69)</f>
        <v>-0</v>
      </c>
      <c r="U70" s="131" t="n">
        <f aca="false">-MIN(SUM($D78:T78)+SUM($D70:T70),U69)</f>
        <v>-0</v>
      </c>
      <c r="V70" s="131" t="n">
        <f aca="false">-MIN(SUM($D78:U78)+SUM($D70:U70),V69)</f>
        <v>-0</v>
      </c>
      <c r="W70" s="131" t="n">
        <f aca="false">-MIN(SUM($D78:V78)+SUM($D70:V70),W69)</f>
        <v>-0</v>
      </c>
      <c r="X70" s="131" t="n">
        <f aca="false">-MIN(SUM($D78:W78)+SUM($D70:W70),X69)</f>
        <v>-0</v>
      </c>
      <c r="Y70" s="131" t="n">
        <f aca="false">-MIN(SUM($D78:X78)+SUM($D70:X70),Y69)</f>
        <v>-0</v>
      </c>
      <c r="Z70" s="131" t="n">
        <f aca="false">-MIN(SUM($D78:Y78)+SUM($D70:Y70),Z69)</f>
        <v>-0</v>
      </c>
      <c r="AA70" s="131" t="n">
        <f aca="false">-MIN(SUM($D78:Z78)+SUM($D70:Z70),AA69)</f>
        <v>-0</v>
      </c>
      <c r="AB70" s="131" t="n">
        <f aca="false">-MIN(SUM($D78:AA78)+SUM($D70:AA70),AB69)</f>
        <v>-0</v>
      </c>
      <c r="AC70" s="131" t="n">
        <f aca="false">-MIN(SUM($D78:AB78)+SUM($D70:AB70),AC69)</f>
        <v>-0</v>
      </c>
      <c r="AD70" s="131" t="n">
        <f aca="false">-MIN(SUM($D78:AC78)+SUM($D70:AC70),AD69)</f>
        <v>-0</v>
      </c>
      <c r="AE70" s="131" t="n">
        <f aca="false">-MIN(SUM($D78:AD78)+SUM($D70:AD70),AE69)</f>
        <v>-0</v>
      </c>
      <c r="AF70" s="476" t="n">
        <f aca="false">+SUM(E70:AE70)</f>
        <v>0</v>
      </c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31"/>
      <c r="BR70" s="131"/>
      <c r="BS70" s="131"/>
      <c r="BT70" s="131"/>
      <c r="BU70" s="131"/>
      <c r="BV70" s="131"/>
      <c r="BW70" s="131"/>
      <c r="BX70" s="131"/>
      <c r="BY70" s="131"/>
      <c r="BZ70" s="131"/>
      <c r="CA70" s="131"/>
      <c r="CB70" s="131"/>
      <c r="CC70" s="131"/>
      <c r="CD70" s="131"/>
      <c r="CE70" s="131"/>
      <c r="CF70" s="131"/>
      <c r="CG70" s="131"/>
      <c r="CH70" s="131"/>
      <c r="CI70" s="131"/>
      <c r="CJ70" s="131"/>
      <c r="CK70" s="131"/>
      <c r="CL70" s="131"/>
      <c r="CM70" s="131"/>
      <c r="CN70" s="131"/>
      <c r="CO70" s="131"/>
      <c r="CP70" s="131"/>
      <c r="CQ70" s="131"/>
      <c r="CR70" s="131"/>
      <c r="CS70" s="131"/>
      <c r="CT70" s="131"/>
      <c r="CU70" s="131"/>
      <c r="CV70" s="131"/>
      <c r="CW70" s="131"/>
      <c r="CX70" s="131"/>
      <c r="CY70" s="131"/>
      <c r="CZ70" s="131"/>
      <c r="DA70" s="131"/>
      <c r="DB70" s="131"/>
      <c r="DC70" s="131"/>
      <c r="DD70" s="131"/>
      <c r="DE70" s="131"/>
      <c r="DF70" s="131"/>
      <c r="DG70" s="131"/>
      <c r="DH70" s="131"/>
      <c r="DI70" s="131"/>
      <c r="DJ70" s="131"/>
      <c r="DK70" s="131"/>
      <c r="DL70" s="131"/>
      <c r="DM70" s="131"/>
      <c r="DN70" s="131"/>
      <c r="DO70" s="131"/>
      <c r="DP70" s="131"/>
      <c r="DQ70" s="131"/>
      <c r="DR70" s="131"/>
      <c r="DS70" s="131"/>
      <c r="DT70" s="131"/>
      <c r="DU70" s="131"/>
      <c r="DV70" s="131"/>
      <c r="DW70" s="131"/>
      <c r="DX70" s="131"/>
      <c r="DY70" s="131"/>
      <c r="DZ70" s="131"/>
      <c r="EA70" s="131"/>
      <c r="EB70" s="131"/>
      <c r="EC70" s="131"/>
      <c r="ED70" s="131"/>
      <c r="EE70" s="131"/>
      <c r="EF70" s="131"/>
      <c r="EG70" s="131"/>
      <c r="EH70" s="131"/>
      <c r="EI70" s="131"/>
      <c r="EJ70" s="131"/>
      <c r="EK70" s="131"/>
      <c r="EL70" s="131"/>
      <c r="EM70" s="131"/>
      <c r="EN70" s="131"/>
      <c r="EO70" s="131"/>
      <c r="EP70" s="131"/>
      <c r="EQ70" s="131"/>
      <c r="ER70" s="131"/>
      <c r="ES70" s="131"/>
      <c r="ET70" s="131"/>
      <c r="EU70" s="131"/>
      <c r="EV70" s="131"/>
      <c r="EW70" s="131"/>
      <c r="EX70" s="131"/>
      <c r="EY70" s="131"/>
      <c r="EZ70" s="131"/>
      <c r="FA70" s="131"/>
      <c r="FB70" s="131"/>
      <c r="FC70" s="131"/>
      <c r="FD70" s="131"/>
      <c r="FE70" s="131"/>
      <c r="FF70" s="131"/>
      <c r="FG70" s="131"/>
      <c r="FH70" s="131"/>
      <c r="FI70" s="131"/>
      <c r="FJ70" s="131"/>
      <c r="FK70" s="131"/>
      <c r="FL70" s="131"/>
      <c r="FM70" s="131"/>
      <c r="FN70" s="131"/>
      <c r="FO70" s="131"/>
      <c r="FP70" s="131"/>
      <c r="FQ70" s="131"/>
      <c r="FR70" s="131"/>
      <c r="FS70" s="131"/>
      <c r="FT70" s="131"/>
      <c r="FU70" s="131"/>
      <c r="FV70" s="131"/>
      <c r="FW70" s="131"/>
      <c r="FX70" s="131"/>
      <c r="FY70" s="131"/>
      <c r="FZ70" s="131"/>
      <c r="GA70" s="131"/>
      <c r="GB70" s="131"/>
      <c r="GC70" s="131"/>
      <c r="GD70" s="131"/>
      <c r="GE70" s="131"/>
      <c r="GF70" s="131"/>
      <c r="GG70" s="131"/>
      <c r="GH70" s="131"/>
      <c r="GI70" s="131"/>
      <c r="GJ70" s="131"/>
      <c r="GK70" s="131"/>
      <c r="GL70" s="131"/>
      <c r="GM70" s="131"/>
      <c r="GN70" s="131"/>
      <c r="GO70" s="131"/>
      <c r="GP70" s="131"/>
      <c r="GQ70" s="131"/>
      <c r="GR70" s="131"/>
      <c r="GS70" s="131"/>
      <c r="GT70" s="131"/>
      <c r="GU70" s="131"/>
      <c r="GV70" s="131"/>
      <c r="GW70" s="131"/>
      <c r="GX70" s="131"/>
      <c r="GY70" s="131"/>
      <c r="GZ70" s="131"/>
      <c r="HA70" s="131"/>
      <c r="HB70" s="131"/>
      <c r="HC70" s="131"/>
      <c r="HD70" s="131"/>
      <c r="HE70" s="131"/>
      <c r="HF70" s="131"/>
      <c r="HG70" s="131"/>
      <c r="HH70" s="131"/>
      <c r="HI70" s="131"/>
      <c r="HJ70" s="131"/>
      <c r="HK70" s="131"/>
      <c r="HL70" s="131"/>
      <c r="HM70" s="131"/>
      <c r="HN70" s="131"/>
      <c r="HO70" s="131"/>
      <c r="HP70" s="131"/>
      <c r="HQ70" s="131"/>
      <c r="HR70" s="131"/>
      <c r="HS70" s="131"/>
      <c r="HT70" s="131"/>
      <c r="HU70" s="131"/>
      <c r="HV70" s="131"/>
      <c r="HW70" s="131"/>
      <c r="HX70" s="131"/>
      <c r="HY70" s="131"/>
      <c r="HZ70" s="131"/>
      <c r="IA70" s="131"/>
      <c r="IB70" s="131"/>
      <c r="IC70" s="131"/>
      <c r="ID70" s="131"/>
      <c r="IE70" s="131"/>
      <c r="IF70" s="131"/>
      <c r="IG70" s="131"/>
      <c r="IH70" s="131"/>
      <c r="II70" s="131"/>
      <c r="IJ70" s="131"/>
      <c r="IK70" s="131"/>
      <c r="IL70" s="131"/>
      <c r="IM70" s="131"/>
      <c r="IN70" s="131"/>
      <c r="IO70" s="131"/>
      <c r="IP70" s="131"/>
      <c r="IQ70" s="131"/>
      <c r="IR70" s="131"/>
      <c r="IS70" s="131"/>
      <c r="IT70" s="131"/>
      <c r="IU70" s="131"/>
      <c r="IV70" s="131"/>
      <c r="IW70" s="131"/>
    </row>
    <row r="71" customFormat="false" ht="12.75" hidden="false" customHeight="false" outlineLevel="0" collapsed="false">
      <c r="A71" s="681" t="s">
        <v>299</v>
      </c>
      <c r="B71" s="107"/>
      <c r="C71" s="107"/>
      <c r="D71" s="107"/>
      <c r="E71" s="107" t="n">
        <f aca="false">+SUM(E69:E70)</f>
        <v>0</v>
      </c>
      <c r="F71" s="107" t="n">
        <f aca="false">+SUM(F69:F70)</f>
        <v>0</v>
      </c>
      <c r="G71" s="107" t="n">
        <f aca="false">+SUM(G69:G70)</f>
        <v>517.226088173192</v>
      </c>
      <c r="H71" s="107" t="n">
        <f aca="false">+SUM(H69:H70)</f>
        <v>611.195198968353</v>
      </c>
      <c r="I71" s="107" t="n">
        <f aca="false">+SUM(I69:I70)</f>
        <v>633.636938269381</v>
      </c>
      <c r="J71" s="107" t="n">
        <f aca="false">+SUM(J69:J70)</f>
        <v>732.246047131347</v>
      </c>
      <c r="K71" s="107" t="n">
        <f aca="false">+SUM(K69:K70)</f>
        <v>793.041622411125</v>
      </c>
      <c r="L71" s="107" t="n">
        <f aca="false">+SUM(L69:L70)</f>
        <v>2981.43673368833</v>
      </c>
      <c r="M71" s="107" t="n">
        <f aca="false">+SUM(M69:M70)</f>
        <v>3375.11784288697</v>
      </c>
      <c r="N71" s="107" t="n">
        <f aca="false">+SUM(N69:N70)</f>
        <v>3483.96239379672</v>
      </c>
      <c r="O71" s="107" t="n">
        <f aca="false">+SUM(O69:O70)</f>
        <v>3605.09822707039</v>
      </c>
      <c r="P71" s="107" t="n">
        <f aca="false">+SUM(P69:P70)</f>
        <v>3782.90628701378</v>
      </c>
      <c r="Q71" s="107" t="n">
        <f aca="false">+SUM(Q69:Q70)</f>
        <v>5752.29775080903</v>
      </c>
      <c r="R71" s="107" t="n">
        <f aca="false">+SUM(R69:R70)</f>
        <v>5862.3600220074</v>
      </c>
      <c r="S71" s="107" t="n">
        <f aca="false">+SUM(S69:S70)</f>
        <v>5974.62353862973</v>
      </c>
      <c r="T71" s="107" t="n">
        <f aca="false">+SUM(T69:T70)</f>
        <v>1.10668089349774E-012</v>
      </c>
      <c r="U71" s="107" t="n">
        <f aca="false">+SUM(U69:U70)</f>
        <v>0</v>
      </c>
      <c r="V71" s="107" t="n">
        <f aca="false">+SUM(V69:V70)</f>
        <v>0</v>
      </c>
      <c r="W71" s="107" t="n">
        <f aca="false">+SUM(W69:W70)</f>
        <v>0</v>
      </c>
      <c r="X71" s="107" t="n">
        <f aca="false">+SUM(X69:X70)</f>
        <v>0</v>
      </c>
      <c r="Y71" s="107" t="n">
        <f aca="false">+SUM(Y69:Y70)</f>
        <v>0</v>
      </c>
      <c r="Z71" s="107" t="n">
        <f aca="false">+SUM(Z69:Z70)</f>
        <v>0</v>
      </c>
      <c r="AA71" s="107" t="n">
        <f aca="false">+SUM(AA69:AA70)</f>
        <v>0</v>
      </c>
      <c r="AB71" s="107" t="n">
        <f aca="false">+SUM(AB69:AB70)</f>
        <v>0</v>
      </c>
      <c r="AC71" s="107" t="n">
        <f aca="false">+SUM(AC69:AC70)</f>
        <v>0</v>
      </c>
      <c r="AD71" s="107" t="n">
        <f aca="false">+SUM(AD69:AD70)</f>
        <v>0</v>
      </c>
      <c r="AE71" s="107" t="n">
        <f aca="false">+SUM(AE69:AE70)</f>
        <v>0</v>
      </c>
      <c r="AF71" s="478" t="n">
        <f aca="false">+SUM(E71:AE71)</f>
        <v>38105.1486908558</v>
      </c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7"/>
      <c r="DC71" s="107"/>
      <c r="DD71" s="107"/>
      <c r="DE71" s="107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7"/>
      <c r="DQ71" s="107"/>
      <c r="DR71" s="107"/>
      <c r="DS71" s="107"/>
      <c r="DT71" s="107"/>
      <c r="DU71" s="107"/>
      <c r="DV71" s="107"/>
      <c r="DW71" s="107"/>
      <c r="DX71" s="107"/>
      <c r="DY71" s="107"/>
      <c r="DZ71" s="107"/>
      <c r="EA71" s="107"/>
      <c r="EB71" s="107"/>
      <c r="EC71" s="107"/>
      <c r="ED71" s="107"/>
      <c r="EE71" s="107"/>
      <c r="EF71" s="107"/>
      <c r="EG71" s="107"/>
      <c r="EH71" s="107"/>
      <c r="EI71" s="107"/>
      <c r="EJ71" s="107"/>
      <c r="EK71" s="107"/>
      <c r="EL71" s="107"/>
      <c r="EM71" s="107"/>
      <c r="EN71" s="107"/>
      <c r="EO71" s="107"/>
      <c r="EP71" s="107"/>
      <c r="EQ71" s="107"/>
      <c r="ER71" s="107"/>
      <c r="ES71" s="107"/>
      <c r="ET71" s="107"/>
      <c r="EU71" s="107"/>
      <c r="EV71" s="107"/>
      <c r="EW71" s="107"/>
      <c r="EX71" s="107"/>
      <c r="EY71" s="107"/>
      <c r="EZ71" s="107"/>
      <c r="FA71" s="107"/>
      <c r="FB71" s="107"/>
      <c r="FC71" s="107"/>
      <c r="FD71" s="107"/>
      <c r="FE71" s="107"/>
      <c r="FF71" s="107"/>
      <c r="FG71" s="107"/>
      <c r="FH71" s="107"/>
      <c r="FI71" s="107"/>
      <c r="FJ71" s="107"/>
      <c r="FK71" s="107"/>
      <c r="FL71" s="107"/>
      <c r="FM71" s="107"/>
      <c r="FN71" s="107"/>
      <c r="FO71" s="107"/>
      <c r="FP71" s="107"/>
      <c r="FQ71" s="107"/>
      <c r="FR71" s="107"/>
      <c r="FS71" s="107"/>
      <c r="FT71" s="107"/>
      <c r="FU71" s="107"/>
      <c r="FV71" s="107"/>
      <c r="FW71" s="107"/>
      <c r="FX71" s="107"/>
      <c r="FY71" s="107"/>
      <c r="FZ71" s="107"/>
      <c r="GA71" s="107"/>
      <c r="GB71" s="107"/>
      <c r="GC71" s="107"/>
      <c r="GD71" s="107"/>
      <c r="GE71" s="107"/>
      <c r="GF71" s="107"/>
      <c r="GG71" s="107"/>
      <c r="GH71" s="107"/>
      <c r="GI71" s="107"/>
      <c r="GJ71" s="107"/>
      <c r="GK71" s="107"/>
      <c r="GL71" s="107"/>
      <c r="GM71" s="107"/>
      <c r="GN71" s="107"/>
      <c r="GO71" s="107"/>
      <c r="GP71" s="107"/>
      <c r="GQ71" s="107"/>
      <c r="GR71" s="107"/>
      <c r="GS71" s="107"/>
      <c r="GT71" s="107"/>
      <c r="GU71" s="107"/>
      <c r="GV71" s="107"/>
      <c r="GW71" s="107"/>
      <c r="GX71" s="107"/>
      <c r="GY71" s="107"/>
      <c r="GZ71" s="107"/>
      <c r="HA71" s="107"/>
      <c r="HB71" s="107"/>
      <c r="HC71" s="107"/>
      <c r="HD71" s="107"/>
      <c r="HE71" s="107"/>
      <c r="HF71" s="107"/>
      <c r="HG71" s="107"/>
      <c r="HH71" s="107"/>
      <c r="HI71" s="107"/>
      <c r="HJ71" s="107"/>
      <c r="HK71" s="107"/>
      <c r="HL71" s="107"/>
      <c r="HM71" s="107"/>
      <c r="HN71" s="107"/>
      <c r="HO71" s="107"/>
      <c r="HP71" s="107"/>
      <c r="HQ71" s="107"/>
      <c r="HR71" s="107"/>
      <c r="HS71" s="107"/>
      <c r="HT71" s="107"/>
      <c r="HU71" s="107"/>
      <c r="HV71" s="107"/>
      <c r="HW71" s="107"/>
      <c r="HX71" s="107"/>
      <c r="HY71" s="107"/>
      <c r="HZ71" s="107"/>
      <c r="IA71" s="107"/>
      <c r="IB71" s="107"/>
      <c r="IC71" s="107"/>
      <c r="ID71" s="107"/>
      <c r="IE71" s="107"/>
      <c r="IF71" s="107"/>
      <c r="IG71" s="107"/>
      <c r="IH71" s="107"/>
      <c r="II71" s="107"/>
      <c r="IJ71" s="107"/>
      <c r="IK71" s="107"/>
      <c r="IL71" s="107"/>
      <c r="IM71" s="107"/>
      <c r="IN71" s="107"/>
      <c r="IO71" s="107"/>
      <c r="IP71" s="107"/>
      <c r="IQ71" s="107"/>
      <c r="IR71" s="107"/>
      <c r="IS71" s="107"/>
      <c r="IT71" s="107"/>
      <c r="IU71" s="107"/>
      <c r="IV71" s="107"/>
      <c r="IW71" s="107"/>
    </row>
    <row r="72" customFormat="false" ht="12.75" hidden="false" customHeight="false" outlineLevel="0" collapsed="false">
      <c r="A72" s="681"/>
      <c r="B72" s="107"/>
      <c r="C72" s="107"/>
      <c r="D72" s="680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78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  <c r="CN72" s="107"/>
      <c r="CO72" s="107"/>
      <c r="CP72" s="107"/>
      <c r="CQ72" s="107"/>
      <c r="CR72" s="107"/>
      <c r="CS72" s="107"/>
      <c r="CT72" s="107"/>
      <c r="CU72" s="107"/>
      <c r="CV72" s="107"/>
      <c r="CW72" s="107"/>
      <c r="CX72" s="107"/>
      <c r="CY72" s="107"/>
      <c r="CZ72" s="107"/>
      <c r="DA72" s="107"/>
      <c r="DB72" s="107"/>
      <c r="DC72" s="107"/>
      <c r="DD72" s="107"/>
      <c r="DE72" s="107"/>
      <c r="DF72" s="107"/>
      <c r="DG72" s="107"/>
      <c r="DH72" s="107"/>
      <c r="DI72" s="107"/>
      <c r="DJ72" s="107"/>
      <c r="DK72" s="107"/>
      <c r="DL72" s="107"/>
      <c r="DM72" s="107"/>
      <c r="DN72" s="107"/>
      <c r="DO72" s="107"/>
      <c r="DP72" s="107"/>
      <c r="DQ72" s="107"/>
      <c r="DR72" s="107"/>
      <c r="DS72" s="107"/>
      <c r="DT72" s="107"/>
      <c r="DU72" s="107"/>
      <c r="DV72" s="107"/>
      <c r="DW72" s="107"/>
      <c r="DX72" s="107"/>
      <c r="DY72" s="107"/>
      <c r="DZ72" s="107"/>
      <c r="EA72" s="107"/>
      <c r="EB72" s="107"/>
      <c r="EC72" s="107"/>
      <c r="ED72" s="107"/>
      <c r="EE72" s="107"/>
      <c r="EF72" s="107"/>
      <c r="EG72" s="107"/>
      <c r="EH72" s="107"/>
      <c r="EI72" s="107"/>
      <c r="EJ72" s="107"/>
      <c r="EK72" s="107"/>
      <c r="EL72" s="107"/>
      <c r="EM72" s="107"/>
      <c r="EN72" s="107"/>
      <c r="EO72" s="107"/>
      <c r="EP72" s="107"/>
      <c r="EQ72" s="107"/>
      <c r="ER72" s="107"/>
      <c r="ES72" s="107"/>
      <c r="ET72" s="107"/>
      <c r="EU72" s="107"/>
      <c r="EV72" s="107"/>
      <c r="EW72" s="107"/>
      <c r="EX72" s="107"/>
      <c r="EY72" s="107"/>
      <c r="EZ72" s="107"/>
      <c r="FA72" s="107"/>
      <c r="FB72" s="107"/>
      <c r="FC72" s="107"/>
      <c r="FD72" s="107"/>
      <c r="FE72" s="107"/>
      <c r="FF72" s="107"/>
      <c r="FG72" s="107"/>
      <c r="FH72" s="107"/>
      <c r="FI72" s="107"/>
      <c r="FJ72" s="107"/>
      <c r="FK72" s="107"/>
      <c r="FL72" s="107"/>
      <c r="FM72" s="107"/>
      <c r="FN72" s="107"/>
      <c r="FO72" s="107"/>
      <c r="FP72" s="107"/>
      <c r="FQ72" s="107"/>
      <c r="FR72" s="107"/>
      <c r="FS72" s="107"/>
      <c r="FT72" s="107"/>
      <c r="FU72" s="107"/>
      <c r="FV72" s="107"/>
      <c r="FW72" s="107"/>
      <c r="FX72" s="107"/>
      <c r="FY72" s="107"/>
      <c r="FZ72" s="107"/>
      <c r="GA72" s="107"/>
      <c r="GB72" s="107"/>
      <c r="GC72" s="107"/>
      <c r="GD72" s="107"/>
      <c r="GE72" s="107"/>
      <c r="GF72" s="107"/>
      <c r="GG72" s="107"/>
      <c r="GH72" s="107"/>
      <c r="GI72" s="107"/>
      <c r="GJ72" s="107"/>
      <c r="GK72" s="107"/>
      <c r="GL72" s="107"/>
      <c r="GM72" s="107"/>
      <c r="GN72" s="107"/>
      <c r="GO72" s="107"/>
      <c r="GP72" s="107"/>
      <c r="GQ72" s="107"/>
      <c r="GR72" s="107"/>
      <c r="GS72" s="107"/>
      <c r="GT72" s="107"/>
      <c r="GU72" s="107"/>
      <c r="GV72" s="107"/>
      <c r="GW72" s="107"/>
      <c r="GX72" s="107"/>
      <c r="GY72" s="107"/>
      <c r="GZ72" s="107"/>
      <c r="HA72" s="107"/>
      <c r="HB72" s="107"/>
      <c r="HC72" s="107"/>
      <c r="HD72" s="107"/>
      <c r="HE72" s="107"/>
      <c r="HF72" s="107"/>
      <c r="HG72" s="107"/>
      <c r="HH72" s="107"/>
      <c r="HI72" s="107"/>
      <c r="HJ72" s="107"/>
      <c r="HK72" s="107"/>
      <c r="HL72" s="107"/>
      <c r="HM72" s="107"/>
      <c r="HN72" s="107"/>
      <c r="HO72" s="107"/>
      <c r="HP72" s="107"/>
      <c r="HQ72" s="107"/>
      <c r="HR72" s="107"/>
      <c r="HS72" s="107"/>
      <c r="HT72" s="107"/>
      <c r="HU72" s="107"/>
      <c r="HV72" s="107"/>
      <c r="HW72" s="107"/>
      <c r="HX72" s="107"/>
      <c r="HY72" s="107"/>
      <c r="HZ72" s="107"/>
      <c r="IA72" s="107"/>
      <c r="IB72" s="107"/>
      <c r="IC72" s="107"/>
      <c r="ID72" s="107"/>
      <c r="IE72" s="107"/>
      <c r="IF72" s="107"/>
      <c r="IG72" s="107"/>
      <c r="IH72" s="107"/>
      <c r="II72" s="107"/>
      <c r="IJ72" s="107"/>
      <c r="IK72" s="107"/>
      <c r="IL72" s="107"/>
      <c r="IM72" s="107"/>
      <c r="IN72" s="107"/>
      <c r="IO72" s="107"/>
      <c r="IP72" s="107"/>
      <c r="IQ72" s="107"/>
      <c r="IR72" s="107"/>
      <c r="IS72" s="107"/>
      <c r="IT72" s="107"/>
      <c r="IU72" s="107"/>
      <c r="IV72" s="107"/>
      <c r="IW72" s="107"/>
    </row>
    <row r="73" customFormat="false" ht="12.75" hidden="false" customHeight="false" outlineLevel="0" collapsed="false">
      <c r="A73" s="372" t="s">
        <v>300</v>
      </c>
      <c r="B73" s="14"/>
      <c r="C73" s="14"/>
      <c r="D73" s="14"/>
      <c r="E73" s="107" t="n">
        <f aca="false">+E25-E30</f>
        <v>-9708.716352793</v>
      </c>
      <c r="F73" s="107" t="n">
        <f aca="false">+F25-F30</f>
        <v>-9259.60347861881</v>
      </c>
      <c r="G73" s="107" t="n">
        <f aca="false">+G25-G30</f>
        <v>7324.34223210082</v>
      </c>
      <c r="H73" s="107" t="n">
        <f aca="false">+H25-H30</f>
        <v>9374.92312760026</v>
      </c>
      <c r="I73" s="107" t="n">
        <f aca="false">+I25-I30</f>
        <v>10711.3192734474</v>
      </c>
      <c r="J73" s="107" t="n">
        <f aca="false">+J25-J30</f>
        <v>11225.5535287543</v>
      </c>
      <c r="K73" s="107" t="n">
        <f aca="false">+K25-K30</f>
        <v>11683.8251348873</v>
      </c>
      <c r="L73" s="107" t="n">
        <f aca="false">+L25-L30</f>
        <v>36518.9947496857</v>
      </c>
      <c r="M73" s="107" t="n">
        <f aca="false">+M25-M30</f>
        <v>41641.3661635492</v>
      </c>
      <c r="N73" s="107" t="n">
        <f aca="false">+N25-N30</f>
        <v>44030.6751455784</v>
      </c>
      <c r="O73" s="107" t="n">
        <f aca="false">+O25-O30</f>
        <v>46669.4140543861</v>
      </c>
      <c r="P73" s="107" t="n">
        <f aca="false">+P25-P30</f>
        <v>50013.6969120425</v>
      </c>
      <c r="Q73" s="107" t="n">
        <f aca="false">+Q25-Q30</f>
        <v>52037.5367054606</v>
      </c>
      <c r="R73" s="107" t="n">
        <f aca="false">+R25-R30</f>
        <v>53138.1594174442</v>
      </c>
      <c r="S73" s="107" t="n">
        <f aca="false">+S25-S30</f>
        <v>54260.7945836676</v>
      </c>
      <c r="T73" s="107" t="n">
        <f aca="false">+T25-T30</f>
        <v>1.10668089349774E-011</v>
      </c>
      <c r="U73" s="107" t="n">
        <f aca="false">+U25-U30</f>
        <v>-7.90486352498385E-012</v>
      </c>
      <c r="V73" s="107" t="n">
        <f aca="false">+V25-V30</f>
        <v>-7.90486352498385E-012</v>
      </c>
      <c r="W73" s="107" t="n">
        <f aca="false">+W25-W30</f>
        <v>-7.90486352498385E-012</v>
      </c>
      <c r="X73" s="107" t="n">
        <f aca="false">+X25-X30</f>
        <v>-7.90486352498385E-012</v>
      </c>
      <c r="Y73" s="107" t="n">
        <f aca="false">+Y25-Y30</f>
        <v>-7.90486352498385E-012</v>
      </c>
      <c r="Z73" s="107" t="n">
        <f aca="false">+Z25-Z30</f>
        <v>-7.90486352498385E-012</v>
      </c>
      <c r="AA73" s="107" t="n">
        <f aca="false">+AA25-AA30</f>
        <v>-7.90486352498385E-012</v>
      </c>
      <c r="AB73" s="107" t="n">
        <f aca="false">+AB25-AB30</f>
        <v>-7.90486352498385E-012</v>
      </c>
      <c r="AC73" s="107" t="n">
        <f aca="false">+AC25-AC30</f>
        <v>-7.90486352498385E-012</v>
      </c>
      <c r="AD73" s="107" t="n">
        <f aca="false">+AD25-AD30</f>
        <v>-7.90486352498385E-012</v>
      </c>
      <c r="AE73" s="107" t="n">
        <f aca="false">+AE25-AE30</f>
        <v>0</v>
      </c>
      <c r="AF73" s="478" t="n">
        <f aca="false">+SUM(E73:AE73)</f>
        <v>409662.281197192</v>
      </c>
      <c r="AG73" s="107"/>
      <c r="AH73" s="107"/>
      <c r="AI73" s="107"/>
      <c r="AJ73" s="107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</row>
    <row r="74" customFormat="false" ht="12.75" hidden="false" customHeight="false" outlineLevel="0" collapsed="false">
      <c r="A74" s="681" t="s">
        <v>301</v>
      </c>
      <c r="B74" s="107"/>
      <c r="C74" s="107"/>
      <c r="D74" s="680" t="n">
        <f aca="false">+Assumpt!$L$17</f>
        <v>0.4</v>
      </c>
      <c r="E74" s="107" t="n">
        <f aca="false">MAX($D$74*E73,0)</f>
        <v>0</v>
      </c>
      <c r="F74" s="107" t="n">
        <f aca="false">MAX($D$74*F73,0)</f>
        <v>0</v>
      </c>
      <c r="G74" s="107" t="n">
        <f aca="false">MAX($D$74*G73,0)</f>
        <v>2929.73689284033</v>
      </c>
      <c r="H74" s="107" t="n">
        <f aca="false">MAX($D$74*H73,0)</f>
        <v>3749.9692510401</v>
      </c>
      <c r="I74" s="107" t="n">
        <f aca="false">MAX($D$74*I73,0)</f>
        <v>4284.52770937895</v>
      </c>
      <c r="J74" s="107" t="n">
        <f aca="false">MAX($D$74*J73,0)</f>
        <v>4490.2214115017</v>
      </c>
      <c r="K74" s="107" t="n">
        <f aca="false">MAX($D$74*K73,0)</f>
        <v>4673.53005395491</v>
      </c>
      <c r="L74" s="107" t="n">
        <f aca="false">MAX($D$74*L73,0)</f>
        <v>14607.5978998743</v>
      </c>
      <c r="M74" s="107" t="n">
        <f aca="false">MAX($D$74*M73,0)</f>
        <v>16656.5464654197</v>
      </c>
      <c r="N74" s="107" t="n">
        <f aca="false">MAX($D$74*N73,0)</f>
        <v>17612.2700582314</v>
      </c>
      <c r="O74" s="107" t="n">
        <f aca="false">MAX($D$74*O73,0)</f>
        <v>18667.7656217544</v>
      </c>
      <c r="P74" s="107" t="n">
        <f aca="false">MAX($D$74*P73,0)</f>
        <v>20005.478764817</v>
      </c>
      <c r="Q74" s="107" t="n">
        <f aca="false">MAX($D$74*Q73,0)</f>
        <v>20815.0146821842</v>
      </c>
      <c r="R74" s="107" t="n">
        <f aca="false">MAX($D$74*R73,0)</f>
        <v>21255.2637669777</v>
      </c>
      <c r="S74" s="107" t="n">
        <f aca="false">MAX($D$74*S73,0)</f>
        <v>21704.317833467</v>
      </c>
      <c r="T74" s="107" t="n">
        <f aca="false">MAX($D$74*T73,0)</f>
        <v>4.42672357399096E-012</v>
      </c>
      <c r="U74" s="107" t="n">
        <f aca="false">MAX($D$74*U73,0)</f>
        <v>0</v>
      </c>
      <c r="V74" s="107" t="n">
        <f aca="false">MAX($D$74*V73,0)</f>
        <v>0</v>
      </c>
      <c r="W74" s="107" t="n">
        <f aca="false">MAX($D$74*W73,0)</f>
        <v>0</v>
      </c>
      <c r="X74" s="107" t="n">
        <f aca="false">MAX($D$74*X73,0)</f>
        <v>0</v>
      </c>
      <c r="Y74" s="107" t="n">
        <f aca="false">MAX($D$74*Y73,0)</f>
        <v>0</v>
      </c>
      <c r="Z74" s="107" t="n">
        <f aca="false">MAX($D$74*Z73,0)</f>
        <v>0</v>
      </c>
      <c r="AA74" s="107" t="n">
        <f aca="false">MAX($D$74*AA73,0)</f>
        <v>0</v>
      </c>
      <c r="AB74" s="107" t="n">
        <f aca="false">MAX($D$74*AB73,0)</f>
        <v>0</v>
      </c>
      <c r="AC74" s="107" t="n">
        <f aca="false">MAX($D$74*AC73,0)</f>
        <v>0</v>
      </c>
      <c r="AD74" s="107" t="n">
        <f aca="false">MAX($D$74*AD73,0)</f>
        <v>0</v>
      </c>
      <c r="AE74" s="107" t="n">
        <f aca="false">MAX($D$74*AE73,0)</f>
        <v>0</v>
      </c>
      <c r="AF74" s="478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107"/>
      <c r="BX74" s="107"/>
      <c r="BY74" s="107"/>
      <c r="BZ74" s="107"/>
      <c r="CA74" s="107"/>
      <c r="CB74" s="107"/>
      <c r="CC74" s="107"/>
      <c r="CD74" s="107"/>
      <c r="CE74" s="107"/>
      <c r="CF74" s="107"/>
      <c r="CG74" s="107"/>
      <c r="CH74" s="107"/>
      <c r="CI74" s="107"/>
      <c r="CJ74" s="107"/>
      <c r="CK74" s="107"/>
      <c r="CL74" s="107"/>
      <c r="CM74" s="107"/>
      <c r="CN74" s="107"/>
      <c r="CO74" s="107"/>
      <c r="CP74" s="107"/>
      <c r="CQ74" s="107"/>
      <c r="CR74" s="107"/>
      <c r="CS74" s="107"/>
      <c r="CT74" s="107"/>
      <c r="CU74" s="107"/>
      <c r="CV74" s="107"/>
      <c r="CW74" s="107"/>
      <c r="CX74" s="107"/>
      <c r="CY74" s="107"/>
      <c r="CZ74" s="107"/>
      <c r="DA74" s="107"/>
      <c r="DB74" s="107"/>
      <c r="DC74" s="107"/>
      <c r="DD74" s="107"/>
      <c r="DE74" s="107"/>
      <c r="DF74" s="107"/>
      <c r="DG74" s="107"/>
      <c r="DH74" s="107"/>
      <c r="DI74" s="107"/>
      <c r="DJ74" s="107"/>
      <c r="DK74" s="107"/>
      <c r="DL74" s="107"/>
      <c r="DM74" s="107"/>
      <c r="DN74" s="107"/>
      <c r="DO74" s="107"/>
      <c r="DP74" s="107"/>
      <c r="DQ74" s="107"/>
      <c r="DR74" s="107"/>
      <c r="DS74" s="107"/>
      <c r="DT74" s="107"/>
      <c r="DU74" s="107"/>
      <c r="DV74" s="107"/>
      <c r="DW74" s="107"/>
      <c r="DX74" s="107"/>
      <c r="DY74" s="107"/>
      <c r="DZ74" s="107"/>
      <c r="EA74" s="107"/>
      <c r="EB74" s="107"/>
      <c r="EC74" s="107"/>
      <c r="ED74" s="107"/>
      <c r="EE74" s="107"/>
      <c r="EF74" s="107"/>
      <c r="EG74" s="107"/>
      <c r="EH74" s="107"/>
      <c r="EI74" s="107"/>
      <c r="EJ74" s="107"/>
      <c r="EK74" s="107"/>
      <c r="EL74" s="107"/>
      <c r="EM74" s="107"/>
      <c r="EN74" s="107"/>
      <c r="EO74" s="107"/>
      <c r="EP74" s="107"/>
      <c r="EQ74" s="107"/>
      <c r="ER74" s="107"/>
      <c r="ES74" s="107"/>
      <c r="ET74" s="107"/>
      <c r="EU74" s="107"/>
      <c r="EV74" s="107"/>
      <c r="EW74" s="107"/>
      <c r="EX74" s="107"/>
      <c r="EY74" s="107"/>
      <c r="EZ74" s="107"/>
      <c r="FA74" s="107"/>
      <c r="FB74" s="107"/>
      <c r="FC74" s="107"/>
      <c r="FD74" s="107"/>
      <c r="FE74" s="107"/>
      <c r="FF74" s="107"/>
      <c r="FG74" s="107"/>
      <c r="FH74" s="107"/>
      <c r="FI74" s="107"/>
      <c r="FJ74" s="107"/>
      <c r="FK74" s="107"/>
      <c r="FL74" s="107"/>
      <c r="FM74" s="107"/>
      <c r="FN74" s="107"/>
      <c r="FO74" s="107"/>
      <c r="FP74" s="107"/>
      <c r="FQ74" s="107"/>
      <c r="FR74" s="107"/>
      <c r="FS74" s="107"/>
      <c r="FT74" s="107"/>
      <c r="FU74" s="107"/>
      <c r="FV74" s="107"/>
      <c r="FW74" s="107"/>
      <c r="FX74" s="107"/>
      <c r="FY74" s="107"/>
      <c r="FZ74" s="107"/>
      <c r="GA74" s="107"/>
      <c r="GB74" s="107"/>
      <c r="GC74" s="107"/>
      <c r="GD74" s="107"/>
      <c r="GE74" s="107"/>
      <c r="GF74" s="107"/>
      <c r="GG74" s="107"/>
      <c r="GH74" s="107"/>
      <c r="GI74" s="107"/>
      <c r="GJ74" s="107"/>
      <c r="GK74" s="107"/>
      <c r="GL74" s="107"/>
      <c r="GM74" s="107"/>
      <c r="GN74" s="107"/>
      <c r="GO74" s="107"/>
      <c r="GP74" s="107"/>
      <c r="GQ74" s="107"/>
      <c r="GR74" s="107"/>
      <c r="GS74" s="107"/>
      <c r="GT74" s="107"/>
      <c r="GU74" s="107"/>
      <c r="GV74" s="107"/>
      <c r="GW74" s="107"/>
      <c r="GX74" s="107"/>
      <c r="GY74" s="107"/>
      <c r="GZ74" s="107"/>
      <c r="HA74" s="107"/>
      <c r="HB74" s="107"/>
      <c r="HC74" s="107"/>
      <c r="HD74" s="107"/>
      <c r="HE74" s="107"/>
      <c r="HF74" s="107"/>
      <c r="HG74" s="107"/>
      <c r="HH74" s="107"/>
      <c r="HI74" s="107"/>
      <c r="HJ74" s="107"/>
      <c r="HK74" s="107"/>
      <c r="HL74" s="107"/>
      <c r="HM74" s="107"/>
      <c r="HN74" s="107"/>
      <c r="HO74" s="107"/>
      <c r="HP74" s="107"/>
      <c r="HQ74" s="107"/>
      <c r="HR74" s="107"/>
      <c r="HS74" s="107"/>
      <c r="HT74" s="107"/>
      <c r="HU74" s="107"/>
      <c r="HV74" s="107"/>
      <c r="HW74" s="107"/>
      <c r="HX74" s="107"/>
      <c r="HY74" s="107"/>
      <c r="HZ74" s="107"/>
      <c r="IA74" s="107"/>
      <c r="IB74" s="107"/>
      <c r="IC74" s="107"/>
      <c r="ID74" s="107"/>
      <c r="IE74" s="107"/>
      <c r="IF74" s="107"/>
      <c r="IG74" s="107"/>
      <c r="IH74" s="107"/>
      <c r="II74" s="107"/>
      <c r="IJ74" s="107"/>
      <c r="IK74" s="107"/>
      <c r="IL74" s="107"/>
      <c r="IM74" s="107"/>
      <c r="IN74" s="107"/>
      <c r="IO74" s="107"/>
      <c r="IP74" s="107"/>
      <c r="IQ74" s="107"/>
      <c r="IR74" s="107"/>
      <c r="IS74" s="107"/>
      <c r="IT74" s="107"/>
      <c r="IU74" s="107"/>
      <c r="IV74" s="107"/>
      <c r="IW74" s="107"/>
    </row>
    <row r="75" customFormat="false" ht="12.75" hidden="false" customHeight="false" outlineLevel="0" collapsed="false">
      <c r="A75" s="681"/>
      <c r="B75" s="107"/>
      <c r="C75" s="107"/>
      <c r="D75" s="680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78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  <c r="CN75" s="107"/>
      <c r="CO75" s="107"/>
      <c r="CP75" s="107"/>
      <c r="CQ75" s="107"/>
      <c r="CR75" s="107"/>
      <c r="CS75" s="107"/>
      <c r="CT75" s="107"/>
      <c r="CU75" s="107"/>
      <c r="CV75" s="107"/>
      <c r="CW75" s="107"/>
      <c r="CX75" s="107"/>
      <c r="CY75" s="107"/>
      <c r="CZ75" s="107"/>
      <c r="DA75" s="107"/>
      <c r="DB75" s="107"/>
      <c r="DC75" s="107"/>
      <c r="DD75" s="107"/>
      <c r="DE75" s="107"/>
      <c r="DF75" s="107"/>
      <c r="DG75" s="107"/>
      <c r="DH75" s="107"/>
      <c r="DI75" s="107"/>
      <c r="DJ75" s="107"/>
      <c r="DK75" s="107"/>
      <c r="DL75" s="107"/>
      <c r="DM75" s="107"/>
      <c r="DN75" s="107"/>
      <c r="DO75" s="107"/>
      <c r="DP75" s="107"/>
      <c r="DQ75" s="107"/>
      <c r="DR75" s="107"/>
      <c r="DS75" s="107"/>
      <c r="DT75" s="107"/>
      <c r="DU75" s="107"/>
      <c r="DV75" s="107"/>
      <c r="DW75" s="107"/>
      <c r="DX75" s="107"/>
      <c r="DY75" s="107"/>
      <c r="DZ75" s="107"/>
      <c r="EA75" s="107"/>
      <c r="EB75" s="107"/>
      <c r="EC75" s="107"/>
      <c r="ED75" s="107"/>
      <c r="EE75" s="107"/>
      <c r="EF75" s="107"/>
      <c r="EG75" s="107"/>
      <c r="EH75" s="107"/>
      <c r="EI75" s="107"/>
      <c r="EJ75" s="107"/>
      <c r="EK75" s="107"/>
      <c r="EL75" s="107"/>
      <c r="EM75" s="107"/>
      <c r="EN75" s="107"/>
      <c r="EO75" s="107"/>
      <c r="EP75" s="107"/>
      <c r="EQ75" s="107"/>
      <c r="ER75" s="107"/>
      <c r="ES75" s="107"/>
      <c r="ET75" s="107"/>
      <c r="EU75" s="107"/>
      <c r="EV75" s="107"/>
      <c r="EW75" s="107"/>
      <c r="EX75" s="107"/>
      <c r="EY75" s="107"/>
      <c r="EZ75" s="107"/>
      <c r="FA75" s="107"/>
      <c r="FB75" s="107"/>
      <c r="FC75" s="107"/>
      <c r="FD75" s="107"/>
      <c r="FE75" s="107"/>
      <c r="FF75" s="107"/>
      <c r="FG75" s="107"/>
      <c r="FH75" s="107"/>
      <c r="FI75" s="107"/>
      <c r="FJ75" s="107"/>
      <c r="FK75" s="107"/>
      <c r="FL75" s="107"/>
      <c r="FM75" s="107"/>
      <c r="FN75" s="107"/>
      <c r="FO75" s="107"/>
      <c r="FP75" s="107"/>
      <c r="FQ75" s="107"/>
      <c r="FR75" s="107"/>
      <c r="FS75" s="107"/>
      <c r="FT75" s="107"/>
      <c r="FU75" s="107"/>
      <c r="FV75" s="107"/>
      <c r="FW75" s="107"/>
      <c r="FX75" s="107"/>
      <c r="FY75" s="107"/>
      <c r="FZ75" s="107"/>
      <c r="GA75" s="107"/>
      <c r="GB75" s="107"/>
      <c r="GC75" s="107"/>
      <c r="GD75" s="107"/>
      <c r="GE75" s="107"/>
      <c r="GF75" s="107"/>
      <c r="GG75" s="107"/>
      <c r="GH75" s="107"/>
      <c r="GI75" s="107"/>
      <c r="GJ75" s="107"/>
      <c r="GK75" s="107"/>
      <c r="GL75" s="107"/>
      <c r="GM75" s="107"/>
      <c r="GN75" s="107"/>
      <c r="GO75" s="107"/>
      <c r="GP75" s="107"/>
      <c r="GQ75" s="107"/>
      <c r="GR75" s="107"/>
      <c r="GS75" s="107"/>
      <c r="GT75" s="107"/>
      <c r="GU75" s="107"/>
      <c r="GV75" s="107"/>
      <c r="GW75" s="107"/>
      <c r="GX75" s="107"/>
      <c r="GY75" s="107"/>
      <c r="GZ75" s="107"/>
      <c r="HA75" s="107"/>
      <c r="HB75" s="107"/>
      <c r="HC75" s="107"/>
      <c r="HD75" s="107"/>
      <c r="HE75" s="107"/>
      <c r="HF75" s="107"/>
      <c r="HG75" s="107"/>
      <c r="HH75" s="107"/>
      <c r="HI75" s="107"/>
      <c r="HJ75" s="107"/>
      <c r="HK75" s="107"/>
      <c r="HL75" s="107"/>
      <c r="HM75" s="107"/>
      <c r="HN75" s="107"/>
      <c r="HO75" s="107"/>
      <c r="HP75" s="107"/>
      <c r="HQ75" s="107"/>
      <c r="HR75" s="107"/>
      <c r="HS75" s="107"/>
      <c r="HT75" s="107"/>
      <c r="HU75" s="107"/>
      <c r="HV75" s="107"/>
      <c r="HW75" s="107"/>
      <c r="HX75" s="107"/>
      <c r="HY75" s="107"/>
      <c r="HZ75" s="107"/>
      <c r="IA75" s="107"/>
      <c r="IB75" s="107"/>
      <c r="IC75" s="107"/>
      <c r="ID75" s="107"/>
      <c r="IE75" s="107"/>
      <c r="IF75" s="107"/>
      <c r="IG75" s="107"/>
      <c r="IH75" s="107"/>
      <c r="II75" s="107"/>
      <c r="IJ75" s="107"/>
      <c r="IK75" s="107"/>
      <c r="IL75" s="107"/>
      <c r="IM75" s="107"/>
      <c r="IN75" s="107"/>
      <c r="IO75" s="107"/>
      <c r="IP75" s="107"/>
      <c r="IQ75" s="107"/>
      <c r="IR75" s="107"/>
      <c r="IS75" s="107"/>
      <c r="IT75" s="107"/>
      <c r="IU75" s="107"/>
      <c r="IV75" s="107"/>
      <c r="IW75" s="107"/>
    </row>
    <row r="76" customFormat="false" ht="12.75" hidden="false" customHeight="false" outlineLevel="0" collapsed="false">
      <c r="A76" s="684" t="s">
        <v>302</v>
      </c>
      <c r="B76" s="107"/>
      <c r="C76" s="107"/>
      <c r="D76" s="680"/>
      <c r="E76" s="107" t="n">
        <f aca="false">+MAX(E74-MAX(E68,0),0)</f>
        <v>0</v>
      </c>
      <c r="F76" s="107" t="n">
        <f aca="false">+MAX(F74-MAX(F68,0),0)</f>
        <v>0</v>
      </c>
      <c r="G76" s="107" t="n">
        <f aca="false">+MAX(G74-MAX(G68,0),0)</f>
        <v>0</v>
      </c>
      <c r="H76" s="107" t="n">
        <f aca="false">+MAX(H74-MAX(H68,0),0)</f>
        <v>0</v>
      </c>
      <c r="I76" s="107" t="n">
        <f aca="false">+MAX(I74-MAX(I68,0),0)</f>
        <v>0</v>
      </c>
      <c r="J76" s="107" t="n">
        <f aca="false">+MAX(J74-MAX(J68,0),0)</f>
        <v>0</v>
      </c>
      <c r="K76" s="107" t="n">
        <f aca="false">+MAX(K74-MAX(K68,0),0)</f>
        <v>0</v>
      </c>
      <c r="L76" s="107" t="n">
        <f aca="false">+MAX(L74-MAX(L68,0),0)</f>
        <v>0</v>
      </c>
      <c r="M76" s="107" t="n">
        <f aca="false">+MAX(M74-MAX(M68,0),0)</f>
        <v>0</v>
      </c>
      <c r="N76" s="107" t="n">
        <f aca="false">+MAX(N74-MAX(N68,0),0)</f>
        <v>0</v>
      </c>
      <c r="O76" s="107" t="n">
        <f aca="false">+MAX(O74-MAX(O68,0),0)</f>
        <v>0</v>
      </c>
      <c r="P76" s="107" t="n">
        <f aca="false">+MAX(P74-MAX(P68,0),0)</f>
        <v>0</v>
      </c>
      <c r="Q76" s="107" t="n">
        <f aca="false">+MAX(Q74-MAX(Q68,0),0)</f>
        <v>0</v>
      </c>
      <c r="R76" s="107" t="n">
        <f aca="false">+MAX(R74-MAX(R68,0),0)</f>
        <v>0</v>
      </c>
      <c r="S76" s="107" t="n">
        <f aca="false">+MAX(S74-MAX(S68,0),0)</f>
        <v>0</v>
      </c>
      <c r="T76" s="107" t="n">
        <f aca="false">+MAX(T74-MAX(T68,0),0)</f>
        <v>0</v>
      </c>
      <c r="U76" s="107" t="n">
        <f aca="false">+MAX(U74-MAX(U68,0),0)</f>
        <v>0</v>
      </c>
      <c r="V76" s="107" t="n">
        <f aca="false">+MAX(V74-MAX(V68,0),0)</f>
        <v>0</v>
      </c>
      <c r="W76" s="107" t="n">
        <f aca="false">+MAX(W74-MAX(W68,0),0)</f>
        <v>0</v>
      </c>
      <c r="X76" s="107" t="n">
        <f aca="false">+MAX(X74-MAX(X68,0),0)</f>
        <v>0</v>
      </c>
      <c r="Y76" s="107" t="n">
        <f aca="false">+MAX(Y74-MAX(Y68,0),0)</f>
        <v>0</v>
      </c>
      <c r="Z76" s="107" t="n">
        <f aca="false">+MAX(Z74-MAX(Z68,0),0)</f>
        <v>0</v>
      </c>
      <c r="AA76" s="107" t="n">
        <f aca="false">+MAX(AA74-MAX(AA68,0),0)</f>
        <v>0</v>
      </c>
      <c r="AB76" s="107" t="n">
        <f aca="false">+MAX(AB74-MAX(AB68,0),0)</f>
        <v>0</v>
      </c>
      <c r="AC76" s="107" t="n">
        <f aca="false">+MAX(AC74-MAX(AC68,0),0)</f>
        <v>0</v>
      </c>
      <c r="AD76" s="107" t="n">
        <f aca="false">+MAX(AD74-MAX(AD68,0),0)</f>
        <v>0</v>
      </c>
      <c r="AE76" s="107" t="n">
        <f aca="false">+MAX(AE74-MAX(AE68,0),0)</f>
        <v>0</v>
      </c>
      <c r="AF76" s="478" t="n">
        <f aca="false">+SUM(E76:AE76)</f>
        <v>0</v>
      </c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7"/>
      <c r="CO76" s="107"/>
      <c r="CP76" s="107"/>
      <c r="CQ76" s="107"/>
      <c r="CR76" s="107"/>
      <c r="CS76" s="107"/>
      <c r="CT76" s="107"/>
      <c r="CU76" s="107"/>
      <c r="CV76" s="107"/>
      <c r="CW76" s="107"/>
      <c r="CX76" s="107"/>
      <c r="CY76" s="107"/>
      <c r="CZ76" s="107"/>
      <c r="DA76" s="107"/>
      <c r="DB76" s="107"/>
      <c r="DC76" s="107"/>
      <c r="DD76" s="107"/>
      <c r="DE76" s="107"/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07"/>
      <c r="DQ76" s="107"/>
      <c r="DR76" s="107"/>
      <c r="DS76" s="107"/>
      <c r="DT76" s="107"/>
      <c r="DU76" s="107"/>
      <c r="DV76" s="107"/>
      <c r="DW76" s="107"/>
      <c r="DX76" s="107"/>
      <c r="DY76" s="107"/>
      <c r="DZ76" s="107"/>
      <c r="EA76" s="107"/>
      <c r="EB76" s="107"/>
      <c r="EC76" s="107"/>
      <c r="ED76" s="107"/>
      <c r="EE76" s="107"/>
      <c r="EF76" s="107"/>
      <c r="EG76" s="107"/>
      <c r="EH76" s="107"/>
      <c r="EI76" s="107"/>
      <c r="EJ76" s="107"/>
      <c r="EK76" s="107"/>
      <c r="EL76" s="107"/>
      <c r="EM76" s="107"/>
      <c r="EN76" s="107"/>
      <c r="EO76" s="107"/>
      <c r="EP76" s="107"/>
      <c r="EQ76" s="107"/>
      <c r="ER76" s="107"/>
      <c r="ES76" s="107"/>
      <c r="ET76" s="107"/>
      <c r="EU76" s="107"/>
      <c r="EV76" s="107"/>
      <c r="EW76" s="107"/>
      <c r="EX76" s="107"/>
      <c r="EY76" s="107"/>
      <c r="EZ76" s="107"/>
      <c r="FA76" s="107"/>
      <c r="FB76" s="107"/>
      <c r="FC76" s="107"/>
      <c r="FD76" s="107"/>
      <c r="FE76" s="107"/>
      <c r="FF76" s="107"/>
      <c r="FG76" s="107"/>
      <c r="FH76" s="107"/>
      <c r="FI76" s="107"/>
      <c r="FJ76" s="107"/>
      <c r="FK76" s="107"/>
      <c r="FL76" s="107"/>
      <c r="FM76" s="107"/>
      <c r="FN76" s="107"/>
      <c r="FO76" s="107"/>
      <c r="FP76" s="107"/>
      <c r="FQ76" s="107"/>
      <c r="FR76" s="107"/>
      <c r="FS76" s="107"/>
      <c r="FT76" s="107"/>
      <c r="FU76" s="107"/>
      <c r="FV76" s="107"/>
      <c r="FW76" s="107"/>
      <c r="FX76" s="107"/>
      <c r="FY76" s="107"/>
      <c r="FZ76" s="107"/>
      <c r="GA76" s="107"/>
      <c r="GB76" s="107"/>
      <c r="GC76" s="107"/>
      <c r="GD76" s="107"/>
      <c r="GE76" s="107"/>
      <c r="GF76" s="107"/>
      <c r="GG76" s="107"/>
      <c r="GH76" s="107"/>
      <c r="GI76" s="107"/>
      <c r="GJ76" s="107"/>
      <c r="GK76" s="107"/>
      <c r="GL76" s="107"/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7"/>
      <c r="HA76" s="107"/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7"/>
      <c r="HP76" s="107"/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7"/>
      <c r="IE76" s="107"/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7"/>
      <c r="IT76" s="107"/>
      <c r="IU76" s="107"/>
      <c r="IV76" s="107"/>
      <c r="IW76" s="107"/>
    </row>
    <row r="77" customFormat="false" ht="12.75" hidden="false" customHeight="false" outlineLevel="0" collapsed="false">
      <c r="A77" s="682" t="s">
        <v>303</v>
      </c>
      <c r="B77" s="14"/>
      <c r="C77" s="492"/>
      <c r="D77" s="492"/>
      <c r="E77" s="462" t="n">
        <f aca="false">+Assumpt!$L$18</f>
        <v>0.1</v>
      </c>
      <c r="F77" s="462" t="n">
        <f aca="false">+Assumpt!$L$18</f>
        <v>0.1</v>
      </c>
      <c r="G77" s="462" t="n">
        <f aca="false">+Assumpt!$L$18</f>
        <v>0.1</v>
      </c>
      <c r="H77" s="462" t="n">
        <f aca="false">+Assumpt!$L$18</f>
        <v>0.1</v>
      </c>
      <c r="I77" s="462" t="n">
        <f aca="false">+Assumpt!$L$18</f>
        <v>0.1</v>
      </c>
      <c r="J77" s="462" t="n">
        <f aca="false">+Assumpt!$L$18</f>
        <v>0.1</v>
      </c>
      <c r="K77" s="462" t="n">
        <f aca="false">+Assumpt!$L$18</f>
        <v>0.1</v>
      </c>
      <c r="L77" s="462" t="n">
        <f aca="false">+Assumpt!$L$18</f>
        <v>0.1</v>
      </c>
      <c r="M77" s="462" t="n">
        <f aca="false">+Assumpt!$L$18</f>
        <v>0.1</v>
      </c>
      <c r="N77" s="462" t="n">
        <f aca="false">+Assumpt!$L$18</f>
        <v>0.1</v>
      </c>
      <c r="O77" s="462" t="n">
        <f aca="false">+Assumpt!$L$18</f>
        <v>0.1</v>
      </c>
      <c r="P77" s="462" t="n">
        <f aca="false">+Assumpt!$L$18</f>
        <v>0.1</v>
      </c>
      <c r="Q77" s="462" t="n">
        <f aca="false">+Assumpt!$L$18</f>
        <v>0.1</v>
      </c>
      <c r="R77" s="462" t="n">
        <f aca="false">+Assumpt!$L$18</f>
        <v>0.1</v>
      </c>
      <c r="S77" s="462" t="n">
        <f aca="false">+Assumpt!$L$18</f>
        <v>0.1</v>
      </c>
      <c r="T77" s="462" t="n">
        <f aca="false">+Assumpt!$L$18</f>
        <v>0.1</v>
      </c>
      <c r="U77" s="462" t="n">
        <f aca="false">+Assumpt!$L$18</f>
        <v>0.1</v>
      </c>
      <c r="V77" s="462" t="n">
        <f aca="false">+Assumpt!$L$18</f>
        <v>0.1</v>
      </c>
      <c r="W77" s="462" t="n">
        <f aca="false">+Assumpt!$L$18</f>
        <v>0.1</v>
      </c>
      <c r="X77" s="462" t="n">
        <f aca="false">+Assumpt!$L$18</f>
        <v>0.1</v>
      </c>
      <c r="Y77" s="462" t="n">
        <f aca="false">+Assumpt!$L$18</f>
        <v>0.1</v>
      </c>
      <c r="Z77" s="462" t="n">
        <f aca="false">+Assumpt!$L$18</f>
        <v>0.1</v>
      </c>
      <c r="AA77" s="462" t="n">
        <f aca="false">+Assumpt!$L$18</f>
        <v>0.1</v>
      </c>
      <c r="AB77" s="462" t="n">
        <f aca="false">+Assumpt!$L$18</f>
        <v>0.1</v>
      </c>
      <c r="AC77" s="462" t="n">
        <f aca="false">+Assumpt!$L$18</f>
        <v>0.1</v>
      </c>
      <c r="AD77" s="462" t="n">
        <f aca="false">+Assumpt!$L$18</f>
        <v>0.1</v>
      </c>
      <c r="AE77" s="674" t="n">
        <f aca="false">+Assumpt!$L$18</f>
        <v>0.1</v>
      </c>
      <c r="AF77" s="675"/>
      <c r="AG77" s="107"/>
      <c r="AH77" s="107"/>
      <c r="AI77" s="107"/>
      <c r="AJ77" s="107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</row>
    <row r="78" customFormat="false" ht="12.75" hidden="false" customHeight="false" outlineLevel="0" collapsed="false">
      <c r="A78" s="681" t="s">
        <v>304</v>
      </c>
      <c r="B78" s="14"/>
      <c r="C78" s="492"/>
      <c r="D78" s="492"/>
      <c r="E78" s="107" t="n">
        <f aca="false">+E76*E77</f>
        <v>0</v>
      </c>
      <c r="F78" s="107" t="n">
        <f aca="false">+F76*F77</f>
        <v>0</v>
      </c>
      <c r="G78" s="107" t="n">
        <f aca="false">+G76*G77</f>
        <v>0</v>
      </c>
      <c r="H78" s="107" t="n">
        <f aca="false">+H76*H77</f>
        <v>0</v>
      </c>
      <c r="I78" s="107" t="n">
        <f aca="false">+I76*I77</f>
        <v>0</v>
      </c>
      <c r="J78" s="107" t="n">
        <f aca="false">+J76*J77</f>
        <v>0</v>
      </c>
      <c r="K78" s="107" t="n">
        <f aca="false">+K76*K77</f>
        <v>0</v>
      </c>
      <c r="L78" s="107" t="n">
        <f aca="false">+L76*L77</f>
        <v>0</v>
      </c>
      <c r="M78" s="107" t="n">
        <f aca="false">+M76*M77</f>
        <v>0</v>
      </c>
      <c r="N78" s="107" t="n">
        <f aca="false">+N76*N77</f>
        <v>0</v>
      </c>
      <c r="O78" s="107" t="n">
        <f aca="false">+O76*O77</f>
        <v>0</v>
      </c>
      <c r="P78" s="107" t="n">
        <f aca="false">+P76*P77</f>
        <v>0</v>
      </c>
      <c r="Q78" s="107" t="n">
        <f aca="false">+Q76*Q77</f>
        <v>0</v>
      </c>
      <c r="R78" s="107" t="n">
        <f aca="false">+R76*R77</f>
        <v>0</v>
      </c>
      <c r="S78" s="107" t="n">
        <f aca="false">+S76*S77</f>
        <v>0</v>
      </c>
      <c r="T78" s="107" t="n">
        <f aca="false">+T76*T77</f>
        <v>0</v>
      </c>
      <c r="U78" s="107" t="n">
        <f aca="false">+U76*U77</f>
        <v>0</v>
      </c>
      <c r="V78" s="107" t="n">
        <f aca="false">+V76*V77</f>
        <v>0</v>
      </c>
      <c r="W78" s="107" t="n">
        <f aca="false">+W76*W77</f>
        <v>0</v>
      </c>
      <c r="X78" s="107" t="n">
        <f aca="false">+X76*X77</f>
        <v>0</v>
      </c>
      <c r="Y78" s="107" t="n">
        <f aca="false">+Y76*Y77</f>
        <v>0</v>
      </c>
      <c r="Z78" s="107" t="n">
        <f aca="false">+Z76*Z77</f>
        <v>0</v>
      </c>
      <c r="AA78" s="107" t="n">
        <f aca="false">+AA76*AA77</f>
        <v>0</v>
      </c>
      <c r="AB78" s="107" t="n">
        <f aca="false">+AB76*AB77</f>
        <v>0</v>
      </c>
      <c r="AC78" s="107" t="n">
        <f aca="false">+AC76*AC77</f>
        <v>0</v>
      </c>
      <c r="AD78" s="107" t="n">
        <f aca="false">+AD76*AD77</f>
        <v>0</v>
      </c>
      <c r="AE78" s="517" t="n">
        <f aca="false">+AE76*AE77</f>
        <v>0</v>
      </c>
      <c r="AF78" s="478" t="n">
        <f aca="false">+SUM(E78:AE78)</f>
        <v>0</v>
      </c>
      <c r="AG78" s="107"/>
      <c r="AH78" s="107"/>
      <c r="AI78" s="107"/>
      <c r="AJ78" s="107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</row>
    <row r="79" customFormat="false" ht="12.75" hidden="false" customHeight="false" outlineLevel="0" collapsed="false">
      <c r="A79" s="606"/>
      <c r="B79" s="14"/>
      <c r="C79" s="492"/>
      <c r="D79" s="49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62"/>
      <c r="V79" s="462"/>
      <c r="W79" s="462"/>
      <c r="X79" s="462"/>
      <c r="Y79" s="462"/>
      <c r="Z79" s="462"/>
      <c r="AA79" s="462"/>
      <c r="AB79" s="462"/>
      <c r="AC79" s="462"/>
      <c r="AD79" s="462"/>
      <c r="AE79" s="674"/>
      <c r="AF79" s="675"/>
      <c r="AG79" s="107"/>
      <c r="AH79" s="107"/>
      <c r="AI79" s="107"/>
      <c r="AJ79" s="107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</row>
    <row r="80" customFormat="false" ht="12.75" hidden="false" customHeight="false" outlineLevel="0" collapsed="false">
      <c r="A80" s="522" t="s">
        <v>305</v>
      </c>
      <c r="B80" s="685"/>
      <c r="C80" s="686"/>
      <c r="D80" s="686"/>
      <c r="E80" s="523" t="n">
        <f aca="false">+E78+E71</f>
        <v>0</v>
      </c>
      <c r="F80" s="523" t="n">
        <f aca="false">+F78+F71</f>
        <v>0</v>
      </c>
      <c r="G80" s="523" t="n">
        <f aca="false">+G78+G71</f>
        <v>517.226088173192</v>
      </c>
      <c r="H80" s="523" t="n">
        <f aca="false">+H78+H71</f>
        <v>611.195198968353</v>
      </c>
      <c r="I80" s="523" t="n">
        <f aca="false">+I78+I71</f>
        <v>633.636938269381</v>
      </c>
      <c r="J80" s="523" t="n">
        <f aca="false">+J78+J71</f>
        <v>732.246047131347</v>
      </c>
      <c r="K80" s="523" t="n">
        <f aca="false">+K78+K71</f>
        <v>793.041622411125</v>
      </c>
      <c r="L80" s="523" t="n">
        <f aca="false">+L78+L71</f>
        <v>2981.43673368833</v>
      </c>
      <c r="M80" s="523" t="n">
        <f aca="false">+M78+M71</f>
        <v>3375.11784288697</v>
      </c>
      <c r="N80" s="523" t="n">
        <f aca="false">+N78+N71</f>
        <v>3483.96239379672</v>
      </c>
      <c r="O80" s="523" t="n">
        <f aca="false">+O78+O71</f>
        <v>3605.09822707039</v>
      </c>
      <c r="P80" s="523" t="n">
        <f aca="false">+P78+P71</f>
        <v>3782.90628701378</v>
      </c>
      <c r="Q80" s="523" t="n">
        <f aca="false">+Q78+Q71</f>
        <v>5752.29775080903</v>
      </c>
      <c r="R80" s="523" t="n">
        <f aca="false">+R78+R71</f>
        <v>5862.3600220074</v>
      </c>
      <c r="S80" s="523" t="n">
        <f aca="false">+S78+S71</f>
        <v>5974.62353862973</v>
      </c>
      <c r="T80" s="523" t="n">
        <f aca="false">+T78+T71</f>
        <v>1.10668089349774E-012</v>
      </c>
      <c r="U80" s="523" t="n">
        <f aca="false">+U78+U71</f>
        <v>0</v>
      </c>
      <c r="V80" s="523" t="n">
        <f aca="false">+V78+V71</f>
        <v>0</v>
      </c>
      <c r="W80" s="523" t="n">
        <f aca="false">+W78+W71</f>
        <v>0</v>
      </c>
      <c r="X80" s="523" t="n">
        <f aca="false">+X78+X71</f>
        <v>0</v>
      </c>
      <c r="Y80" s="523" t="n">
        <f aca="false">+Y78+Y71</f>
        <v>0</v>
      </c>
      <c r="Z80" s="523" t="n">
        <f aca="false">+Z78+Z71</f>
        <v>0</v>
      </c>
      <c r="AA80" s="523" t="n">
        <f aca="false">+AA78+AA71</f>
        <v>0</v>
      </c>
      <c r="AB80" s="523" t="n">
        <f aca="false">+AB78+AB71</f>
        <v>0</v>
      </c>
      <c r="AC80" s="523" t="n">
        <f aca="false">+AC78+AC71</f>
        <v>0</v>
      </c>
      <c r="AD80" s="523" t="n">
        <f aca="false">+AD78+AD71</f>
        <v>0</v>
      </c>
      <c r="AE80" s="687" t="n">
        <f aca="false">+AE78+AE71</f>
        <v>0</v>
      </c>
      <c r="AF80" s="688" t="n">
        <f aca="false">+SUM(E80:AE80)</f>
        <v>38105.1486908558</v>
      </c>
      <c r="AG80" s="353"/>
      <c r="AH80" s="353"/>
      <c r="AI80" s="353"/>
      <c r="AJ80" s="353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5"/>
      <c r="CD80" s="295"/>
      <c r="CE80" s="295"/>
      <c r="CF80" s="295"/>
      <c r="CG80" s="295"/>
      <c r="CH80" s="295"/>
      <c r="CI80" s="295"/>
      <c r="CJ80" s="295"/>
      <c r="CK80" s="295"/>
      <c r="CL80" s="295"/>
      <c r="CM80" s="295"/>
      <c r="CN80" s="295"/>
      <c r="CO80" s="295"/>
      <c r="CP80" s="295"/>
      <c r="CQ80" s="295"/>
      <c r="CR80" s="295"/>
      <c r="CS80" s="295"/>
      <c r="CT80" s="295"/>
      <c r="CU80" s="295"/>
      <c r="CV80" s="295"/>
      <c r="CW80" s="295"/>
      <c r="CX80" s="295"/>
      <c r="CY80" s="295"/>
      <c r="CZ80" s="295"/>
      <c r="DA80" s="295"/>
      <c r="DB80" s="295"/>
      <c r="DC80" s="295"/>
      <c r="DD80" s="295"/>
      <c r="DE80" s="295"/>
      <c r="DF80" s="295"/>
      <c r="DG80" s="295"/>
      <c r="DH80" s="295"/>
      <c r="DI80" s="295"/>
      <c r="DJ80" s="296"/>
      <c r="DK80" s="296"/>
      <c r="DL80" s="296"/>
      <c r="DM80" s="296"/>
      <c r="DN80" s="296"/>
      <c r="DO80" s="296"/>
      <c r="DP80" s="296"/>
      <c r="DQ80" s="296"/>
      <c r="DR80" s="296"/>
      <c r="DS80" s="296"/>
      <c r="DT80" s="296"/>
      <c r="DU80" s="296"/>
      <c r="DV80" s="296"/>
      <c r="DW80" s="296"/>
      <c r="DX80" s="296"/>
      <c r="DY80" s="296"/>
      <c r="DZ80" s="296"/>
      <c r="EA80" s="296"/>
      <c r="EB80" s="296"/>
      <c r="EC80" s="296"/>
      <c r="ED80" s="296"/>
      <c r="EE80" s="296"/>
      <c r="EF80" s="296"/>
      <c r="EG80" s="296"/>
      <c r="EH80" s="296"/>
      <c r="EI80" s="296"/>
      <c r="EJ80" s="296"/>
      <c r="EK80" s="296"/>
      <c r="EL80" s="296"/>
      <c r="EM80" s="296"/>
      <c r="EN80" s="296"/>
      <c r="EO80" s="296"/>
      <c r="EP80" s="296"/>
      <c r="EQ80" s="296"/>
      <c r="ER80" s="296"/>
      <c r="ES80" s="296"/>
      <c r="ET80" s="296"/>
      <c r="EU80" s="296"/>
      <c r="EV80" s="296"/>
      <c r="EW80" s="296"/>
      <c r="EX80" s="296"/>
      <c r="EY80" s="296"/>
      <c r="EZ80" s="296"/>
      <c r="FA80" s="296"/>
      <c r="FB80" s="296"/>
      <c r="FC80" s="296"/>
      <c r="FD80" s="296"/>
      <c r="FE80" s="296"/>
      <c r="FF80" s="296"/>
      <c r="FG80" s="296"/>
      <c r="FH80" s="296"/>
      <c r="FI80" s="296"/>
      <c r="FJ80" s="296"/>
      <c r="FK80" s="296"/>
      <c r="FL80" s="296"/>
      <c r="FM80" s="296"/>
      <c r="FN80" s="296"/>
      <c r="FO80" s="296"/>
      <c r="FP80" s="296"/>
      <c r="FQ80" s="296"/>
      <c r="FR80" s="296"/>
      <c r="FS80" s="296"/>
      <c r="FT80" s="296"/>
      <c r="FU80" s="296"/>
      <c r="FV80" s="296"/>
      <c r="FW80" s="296"/>
      <c r="FX80" s="296"/>
      <c r="FY80" s="296"/>
      <c r="FZ80" s="296"/>
      <c r="GA80" s="296"/>
      <c r="GB80" s="296"/>
      <c r="GC80" s="296"/>
      <c r="GD80" s="296"/>
      <c r="GE80" s="296"/>
      <c r="GF80" s="296"/>
      <c r="GG80" s="296"/>
      <c r="GH80" s="296"/>
      <c r="GI80" s="296"/>
      <c r="GJ80" s="296"/>
      <c r="GK80" s="296"/>
      <c r="GL80" s="296"/>
      <c r="GM80" s="296"/>
      <c r="GN80" s="296"/>
      <c r="GO80" s="296"/>
      <c r="GP80" s="296"/>
      <c r="GQ80" s="296"/>
      <c r="GR80" s="296"/>
      <c r="GS80" s="296"/>
      <c r="GT80" s="296"/>
      <c r="GU80" s="296"/>
      <c r="GV80" s="296"/>
      <c r="GW80" s="296"/>
      <c r="GX80" s="296"/>
      <c r="GY80" s="296"/>
      <c r="GZ80" s="296"/>
      <c r="HA80" s="296"/>
      <c r="HB80" s="296"/>
      <c r="HC80" s="296"/>
      <c r="HD80" s="296"/>
      <c r="HE80" s="296"/>
      <c r="HF80" s="296"/>
      <c r="HG80" s="296"/>
      <c r="HH80" s="296"/>
      <c r="HI80" s="296"/>
      <c r="HJ80" s="296"/>
      <c r="HK80" s="296"/>
      <c r="HL80" s="296"/>
      <c r="HM80" s="296"/>
      <c r="HN80" s="296"/>
      <c r="HO80" s="296"/>
      <c r="HP80" s="296"/>
      <c r="HQ80" s="296"/>
      <c r="HR80" s="296"/>
      <c r="HS80" s="296"/>
      <c r="HT80" s="296"/>
      <c r="HU80" s="296"/>
      <c r="HV80" s="296"/>
      <c r="HW80" s="296"/>
      <c r="HX80" s="296"/>
      <c r="HY80" s="296"/>
      <c r="HZ80" s="296"/>
      <c r="IA80" s="296"/>
      <c r="IB80" s="296"/>
      <c r="IC80" s="296"/>
      <c r="ID80" s="296"/>
      <c r="IE80" s="296"/>
      <c r="IF80" s="296"/>
      <c r="IG80" s="296"/>
      <c r="IH80" s="296"/>
      <c r="II80" s="296"/>
      <c r="IJ80" s="296"/>
      <c r="IK80" s="296"/>
      <c r="IL80" s="296"/>
      <c r="IM80" s="296"/>
      <c r="IN80" s="296"/>
      <c r="IO80" s="296"/>
      <c r="IP80" s="296"/>
      <c r="IQ80" s="296"/>
      <c r="IR80" s="296"/>
      <c r="IS80" s="296"/>
      <c r="IT80" s="296"/>
      <c r="IU80" s="296"/>
      <c r="IV80" s="296"/>
      <c r="IW80" s="296"/>
    </row>
    <row r="82" customFormat="false" ht="12.75" hidden="false" customHeight="false" outlineLevel="0" collapsed="false">
      <c r="A82" s="668" t="s">
        <v>306</v>
      </c>
      <c r="B82" s="395"/>
      <c r="C82" s="395"/>
      <c r="D82" s="395"/>
      <c r="E82" s="472"/>
      <c r="F82" s="472"/>
      <c r="G82" s="472"/>
      <c r="H82" s="472"/>
      <c r="I82" s="472"/>
      <c r="J82" s="472"/>
      <c r="K82" s="472"/>
      <c r="L82" s="472"/>
      <c r="M82" s="472"/>
      <c r="N82" s="472"/>
      <c r="O82" s="472"/>
      <c r="P82" s="472"/>
      <c r="Q82" s="472"/>
      <c r="R82" s="472"/>
      <c r="S82" s="472"/>
      <c r="T82" s="472"/>
      <c r="U82" s="472"/>
      <c r="V82" s="472"/>
      <c r="W82" s="472"/>
      <c r="X82" s="472"/>
      <c r="Y82" s="472"/>
      <c r="Z82" s="472"/>
      <c r="AA82" s="472"/>
      <c r="AB82" s="472"/>
      <c r="AC82" s="472"/>
      <c r="AD82" s="472"/>
      <c r="AE82" s="472"/>
      <c r="AF82" s="473"/>
      <c r="AG82" s="107"/>
      <c r="AH82" s="107"/>
      <c r="AI82" s="107"/>
      <c r="AJ82" s="107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</row>
    <row r="83" customFormat="false" ht="12.75" hidden="false" customHeight="false" outlineLevel="0" collapsed="false">
      <c r="A83" s="645" t="s">
        <v>307</v>
      </c>
      <c r="B83" s="107"/>
      <c r="C83" s="107"/>
      <c r="D83" s="680"/>
      <c r="E83" s="107" t="n">
        <f aca="false">IF(E6&gt;0,BS!D25,0)</f>
        <v>0</v>
      </c>
      <c r="F83" s="107" t="n">
        <f aca="false">IF(F6&gt;0,BS!E25,0)</f>
        <v>38292.6568715804</v>
      </c>
      <c r="G83" s="107" t="n">
        <f aca="false">IF(G6&gt;0,BS!F25,0)</f>
        <v>41057.9478347967</v>
      </c>
      <c r="H83" s="107" t="n">
        <f aca="false">IF(H6&gt;0,BS!G25,0)</f>
        <v>43210.0291851656</v>
      </c>
      <c r="I83" s="107" t="n">
        <f aca="false">IF(I6&gt;0,BS!H25,0)</f>
        <v>46473.0003230823</v>
      </c>
      <c r="J83" s="107" t="n">
        <f aca="false">IF(J6&gt;0,BS!I25,0)</f>
        <v>50847.9502138359</v>
      </c>
      <c r="K83" s="107" t="n">
        <f aca="false">IF(K6&gt;0,BS!J25,0)</f>
        <v>54751.0432712767</v>
      </c>
      <c r="L83" s="107" t="n">
        <f aca="false">IF(L6&gt;0,BS!K25,0)</f>
        <v>58504.4521820527</v>
      </c>
      <c r="M83" s="107" t="n">
        <f aca="false">IF(M6&gt;0,BS!L25,0)</f>
        <v>65209.0795948551</v>
      </c>
      <c r="N83" s="107" t="n">
        <f aca="false">IF(N6&gt;0,BS!M25,0)</f>
        <v>73099.2673295346</v>
      </c>
      <c r="O83" s="107" t="n">
        <f aca="false">IF(O6&gt;0,BS!N25,0)</f>
        <v>82290.3185371458</v>
      </c>
      <c r="P83" s="107" t="n">
        <f aca="false">IF(P6&gt;0,BS!O25,0)</f>
        <v>92908.750320828</v>
      </c>
      <c r="Q83" s="107" t="n">
        <f aca="false">IF(Q6&gt;0,BS!P25,0)</f>
        <v>105093.384362733</v>
      </c>
      <c r="R83" s="107" t="n">
        <f aca="false">IF(R6&gt;0,BS!Q25,0)</f>
        <v>99607.943560103</v>
      </c>
      <c r="S83" s="107" t="n">
        <f aca="false">IF(S6&gt;0,BS!R25,0)</f>
        <v>94122.5027574732</v>
      </c>
      <c r="T83" s="107" t="n">
        <f aca="false">IF(T6&gt;0,BS!S25,0)</f>
        <v>0</v>
      </c>
      <c r="U83" s="107" t="n">
        <f aca="false">IF(U6&gt;0,BS!T25,0)</f>
        <v>0</v>
      </c>
      <c r="V83" s="107" t="n">
        <f aca="false">IF(V6&gt;0,BS!U25,0)</f>
        <v>0</v>
      </c>
      <c r="W83" s="107" t="n">
        <f aca="false">IF(W6&gt;0,BS!V25,0)</f>
        <v>0</v>
      </c>
      <c r="X83" s="107" t="n">
        <f aca="false">IF(X6&gt;0,BS!W25,0)</f>
        <v>0</v>
      </c>
      <c r="Y83" s="107" t="n">
        <f aca="false">IF(Y6&gt;0,BS!X25,0)</f>
        <v>0</v>
      </c>
      <c r="Z83" s="107" t="n">
        <f aca="false">IF(Z6&gt;0,BS!Y25,0)</f>
        <v>0</v>
      </c>
      <c r="AA83" s="107" t="n">
        <f aca="false">IF(AA6&gt;0,BS!Z25,0)</f>
        <v>0</v>
      </c>
      <c r="AB83" s="107" t="n">
        <f aca="false">IF(AB6&gt;0,BS!AA25,0)</f>
        <v>0</v>
      </c>
      <c r="AC83" s="107" t="n">
        <f aca="false">IF(AC6&gt;0,BS!AB25,0)</f>
        <v>0</v>
      </c>
      <c r="AD83" s="107" t="n">
        <f aca="false">IF(AD6&gt;0,BS!AC25,0)</f>
        <v>0</v>
      </c>
      <c r="AE83" s="107" t="n">
        <f aca="false">IF(AE6&gt;0,BS!AD25,0)</f>
        <v>0</v>
      </c>
      <c r="AF83" s="478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  <c r="CN83" s="107"/>
      <c r="CO83" s="107"/>
      <c r="CP83" s="107"/>
      <c r="CQ83" s="107"/>
      <c r="CR83" s="107"/>
      <c r="CS83" s="107"/>
      <c r="CT83" s="107"/>
      <c r="CU83" s="107"/>
      <c r="CV83" s="107"/>
      <c r="CW83" s="107"/>
      <c r="CX83" s="107"/>
      <c r="CY83" s="107"/>
      <c r="CZ83" s="107"/>
      <c r="DA83" s="107"/>
      <c r="DB83" s="107"/>
      <c r="DC83" s="107"/>
      <c r="DD83" s="107"/>
      <c r="DE83" s="107"/>
      <c r="DF83" s="107"/>
      <c r="DG83" s="107"/>
      <c r="DH83" s="107"/>
      <c r="DI83" s="107"/>
      <c r="DJ83" s="107"/>
      <c r="DK83" s="107"/>
      <c r="DL83" s="107"/>
      <c r="DM83" s="107"/>
      <c r="DN83" s="107"/>
      <c r="DO83" s="107"/>
      <c r="DP83" s="107"/>
      <c r="DQ83" s="107"/>
      <c r="DR83" s="107"/>
      <c r="DS83" s="107"/>
      <c r="DT83" s="107"/>
      <c r="DU83" s="107"/>
      <c r="DV83" s="107"/>
      <c r="DW83" s="107"/>
      <c r="DX83" s="107"/>
      <c r="DY83" s="107"/>
      <c r="DZ83" s="107"/>
      <c r="EA83" s="107"/>
      <c r="EB83" s="107"/>
      <c r="EC83" s="107"/>
      <c r="ED83" s="107"/>
      <c r="EE83" s="107"/>
      <c r="EF83" s="107"/>
      <c r="EG83" s="107"/>
      <c r="EH83" s="107"/>
      <c r="EI83" s="107"/>
      <c r="EJ83" s="107"/>
      <c r="EK83" s="107"/>
      <c r="EL83" s="107"/>
      <c r="EM83" s="107"/>
      <c r="EN83" s="107"/>
      <c r="EO83" s="107"/>
      <c r="EP83" s="107"/>
      <c r="EQ83" s="107"/>
      <c r="ER83" s="107"/>
      <c r="ES83" s="107"/>
      <c r="ET83" s="107"/>
      <c r="EU83" s="107"/>
      <c r="EV83" s="107"/>
      <c r="EW83" s="107"/>
      <c r="EX83" s="107"/>
      <c r="EY83" s="107"/>
      <c r="EZ83" s="107"/>
      <c r="FA83" s="107"/>
      <c r="FB83" s="107"/>
      <c r="FC83" s="107"/>
      <c r="FD83" s="107"/>
      <c r="FE83" s="107"/>
      <c r="FF83" s="107"/>
      <c r="FG83" s="107"/>
      <c r="FH83" s="107"/>
      <c r="FI83" s="107"/>
      <c r="FJ83" s="107"/>
      <c r="FK83" s="107"/>
      <c r="FL83" s="107"/>
      <c r="FM83" s="107"/>
      <c r="FN83" s="107"/>
      <c r="FO83" s="107"/>
      <c r="FP83" s="107"/>
      <c r="FQ83" s="107"/>
      <c r="FR83" s="107"/>
      <c r="FS83" s="107"/>
      <c r="FT83" s="107"/>
      <c r="FU83" s="107"/>
      <c r="FV83" s="107"/>
      <c r="FW83" s="107"/>
      <c r="FX83" s="107"/>
      <c r="FY83" s="107"/>
      <c r="FZ83" s="107"/>
      <c r="GA83" s="107"/>
      <c r="GB83" s="107"/>
      <c r="GC83" s="107"/>
      <c r="GD83" s="107"/>
      <c r="GE83" s="107"/>
      <c r="GF83" s="107"/>
      <c r="GG83" s="107"/>
      <c r="GH83" s="107"/>
      <c r="GI83" s="107"/>
      <c r="GJ83" s="107"/>
      <c r="GK83" s="107"/>
      <c r="GL83" s="107"/>
      <c r="GM83" s="107"/>
      <c r="GN83" s="107"/>
      <c r="GO83" s="107"/>
      <c r="GP83" s="107"/>
      <c r="GQ83" s="107"/>
      <c r="GR83" s="107"/>
      <c r="GS83" s="107"/>
      <c r="GT83" s="107"/>
      <c r="GU83" s="107"/>
      <c r="GV83" s="107"/>
      <c r="GW83" s="107"/>
      <c r="GX83" s="107"/>
      <c r="GY83" s="107"/>
      <c r="GZ83" s="107"/>
      <c r="HA83" s="107"/>
      <c r="HB83" s="107"/>
      <c r="HC83" s="107"/>
      <c r="HD83" s="107"/>
      <c r="HE83" s="107"/>
      <c r="HF83" s="107"/>
      <c r="HG83" s="107"/>
      <c r="HH83" s="107"/>
      <c r="HI83" s="107"/>
      <c r="HJ83" s="107"/>
      <c r="HK83" s="107"/>
      <c r="HL83" s="107"/>
      <c r="HM83" s="107"/>
      <c r="HN83" s="107"/>
      <c r="HO83" s="107"/>
      <c r="HP83" s="107"/>
      <c r="HQ83" s="107"/>
      <c r="HR83" s="107"/>
      <c r="HS83" s="107"/>
      <c r="HT83" s="107"/>
      <c r="HU83" s="107"/>
      <c r="HV83" s="107"/>
      <c r="HW83" s="107"/>
      <c r="HX83" s="107"/>
      <c r="HY83" s="107"/>
      <c r="HZ83" s="107"/>
      <c r="IA83" s="107"/>
      <c r="IB83" s="107"/>
      <c r="IC83" s="107"/>
      <c r="ID83" s="107"/>
      <c r="IE83" s="107"/>
      <c r="IF83" s="107"/>
      <c r="IG83" s="107"/>
      <c r="IH83" s="107"/>
      <c r="II83" s="107"/>
      <c r="IJ83" s="107"/>
      <c r="IK83" s="107"/>
      <c r="IL83" s="107"/>
      <c r="IM83" s="107"/>
      <c r="IN83" s="107"/>
      <c r="IO83" s="107"/>
      <c r="IP83" s="107"/>
      <c r="IQ83" s="107"/>
      <c r="IR83" s="107"/>
      <c r="IS83" s="107"/>
      <c r="IT83" s="107"/>
      <c r="IU83" s="107"/>
      <c r="IV83" s="107"/>
      <c r="IW83" s="107"/>
    </row>
    <row r="84" customFormat="false" ht="12.75" hidden="false" customHeight="false" outlineLevel="0" collapsed="false">
      <c r="A84" s="681" t="s">
        <v>308</v>
      </c>
      <c r="B84" s="107"/>
      <c r="C84" s="107"/>
      <c r="D84" s="680" t="n">
        <f aca="false">+Assumpt!$L$20</f>
        <v>0.01</v>
      </c>
      <c r="E84" s="107" t="n">
        <f aca="false">MAX(0,E83*$D$84)</f>
        <v>0</v>
      </c>
      <c r="F84" s="107" t="n">
        <f aca="false">MAX(0,F83*$D$84)</f>
        <v>382.926568715804</v>
      </c>
      <c r="G84" s="107" t="n">
        <f aca="false">MAX(0,G83*$D$84)</f>
        <v>410.579478347967</v>
      </c>
      <c r="H84" s="107" t="n">
        <f aca="false">MAX(0,H83*$D$84)</f>
        <v>432.100291851656</v>
      </c>
      <c r="I84" s="107" t="n">
        <f aca="false">MAX(0,I83*$D$84)</f>
        <v>464.730003230823</v>
      </c>
      <c r="J84" s="107" t="n">
        <f aca="false">MAX(0,J83*$D$84)</f>
        <v>508.479502138359</v>
      </c>
      <c r="K84" s="107" t="n">
        <f aca="false">MAX(0,K83*$D$84)</f>
        <v>547.510432712767</v>
      </c>
      <c r="L84" s="107" t="n">
        <f aca="false">MAX(0,L83*$D$84)</f>
        <v>585.044521820527</v>
      </c>
      <c r="M84" s="107" t="n">
        <f aca="false">MAX(0,M83*$D$84)</f>
        <v>652.090795948551</v>
      </c>
      <c r="N84" s="107" t="n">
        <f aca="false">MAX(0,N83*$D$84)</f>
        <v>730.992673295346</v>
      </c>
      <c r="O84" s="107" t="n">
        <f aca="false">MAX(0,O83*$D$84)</f>
        <v>822.903185371458</v>
      </c>
      <c r="P84" s="107" t="n">
        <f aca="false">MAX(0,P83*$D$84)</f>
        <v>929.08750320828</v>
      </c>
      <c r="Q84" s="107" t="n">
        <f aca="false">MAX(0,Q83*$D$84)</f>
        <v>1050.93384362733</v>
      </c>
      <c r="R84" s="107" t="n">
        <f aca="false">MAX(0,R83*$D$84)</f>
        <v>996.07943560103</v>
      </c>
      <c r="S84" s="107" t="n">
        <f aca="false">MAX(0,S83*$D$84)</f>
        <v>941.225027574732</v>
      </c>
      <c r="T84" s="107" t="n">
        <f aca="false">MAX(0,T83*$D$84)</f>
        <v>0</v>
      </c>
      <c r="U84" s="107" t="n">
        <f aca="false">MAX(0,U83*$D$84)</f>
        <v>0</v>
      </c>
      <c r="V84" s="107" t="n">
        <f aca="false">MAX(0,V83*$D$84)</f>
        <v>0</v>
      </c>
      <c r="W84" s="107" t="n">
        <f aca="false">MAX(0,W83*$D$84)</f>
        <v>0</v>
      </c>
      <c r="X84" s="107" t="n">
        <f aca="false">MAX(0,X83*$D$84)</f>
        <v>0</v>
      </c>
      <c r="Y84" s="107" t="n">
        <f aca="false">MAX(0,Y83*$D$84)</f>
        <v>0</v>
      </c>
      <c r="Z84" s="107" t="n">
        <f aca="false">MAX(0,Z83*$D$84)</f>
        <v>0</v>
      </c>
      <c r="AA84" s="107" t="n">
        <f aca="false">MAX(0,AA83*$D$84)</f>
        <v>0</v>
      </c>
      <c r="AB84" s="107" t="n">
        <f aca="false">MAX(0,AB83*$D$84)</f>
        <v>0</v>
      </c>
      <c r="AC84" s="107" t="n">
        <f aca="false">MAX(0,AC83*$D$84)</f>
        <v>0</v>
      </c>
      <c r="AD84" s="107" t="n">
        <f aca="false">MAX(0,AD83*$D$84)</f>
        <v>0</v>
      </c>
      <c r="AE84" s="107" t="n">
        <f aca="false">MAX(0,AE83*$D$84)</f>
        <v>0</v>
      </c>
      <c r="AF84" s="478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  <c r="IW84" s="107"/>
    </row>
    <row r="85" customFormat="false" ht="12.75" hidden="false" customHeight="false" outlineLevel="0" collapsed="false">
      <c r="A85" s="682" t="s">
        <v>309</v>
      </c>
      <c r="B85" s="131"/>
      <c r="C85" s="131"/>
      <c r="D85" s="683"/>
      <c r="E85" s="475" t="n">
        <v>20</v>
      </c>
      <c r="F85" s="131" t="n">
        <f aca="false">+E85</f>
        <v>20</v>
      </c>
      <c r="G85" s="131" t="n">
        <f aca="false">+F85</f>
        <v>20</v>
      </c>
      <c r="H85" s="131" t="n">
        <f aca="false">+G85</f>
        <v>20</v>
      </c>
      <c r="I85" s="131" t="n">
        <f aca="false">+H85</f>
        <v>20</v>
      </c>
      <c r="J85" s="131" t="n">
        <f aca="false">+I85</f>
        <v>20</v>
      </c>
      <c r="K85" s="131" t="n">
        <f aca="false">+J85</f>
        <v>20</v>
      </c>
      <c r="L85" s="131" t="n">
        <f aca="false">+K85</f>
        <v>20</v>
      </c>
      <c r="M85" s="131" t="n">
        <f aca="false">+L85</f>
        <v>20</v>
      </c>
      <c r="N85" s="131" t="n">
        <f aca="false">+M85</f>
        <v>20</v>
      </c>
      <c r="O85" s="131" t="n">
        <f aca="false">+N85</f>
        <v>20</v>
      </c>
      <c r="P85" s="131" t="n">
        <f aca="false">+O85</f>
        <v>20</v>
      </c>
      <c r="Q85" s="131" t="n">
        <f aca="false">+P85</f>
        <v>20</v>
      </c>
      <c r="R85" s="131" t="n">
        <f aca="false">+Q85</f>
        <v>20</v>
      </c>
      <c r="S85" s="131" t="n">
        <f aca="false">+R85</f>
        <v>20</v>
      </c>
      <c r="T85" s="131" t="n">
        <f aca="false">+S85</f>
        <v>20</v>
      </c>
      <c r="U85" s="131" t="n">
        <f aca="false">+T85</f>
        <v>20</v>
      </c>
      <c r="V85" s="131" t="n">
        <f aca="false">+U85</f>
        <v>20</v>
      </c>
      <c r="W85" s="131" t="n">
        <f aca="false">+V85</f>
        <v>20</v>
      </c>
      <c r="X85" s="131" t="n">
        <f aca="false">+W85</f>
        <v>20</v>
      </c>
      <c r="Y85" s="131" t="n">
        <f aca="false">+X85</f>
        <v>20</v>
      </c>
      <c r="Z85" s="131" t="n">
        <f aca="false">+Y85</f>
        <v>20</v>
      </c>
      <c r="AA85" s="131" t="n">
        <f aca="false">+Z85</f>
        <v>20</v>
      </c>
      <c r="AB85" s="131" t="n">
        <f aca="false">+AA85</f>
        <v>20</v>
      </c>
      <c r="AC85" s="131" t="n">
        <f aca="false">+AB85</f>
        <v>20</v>
      </c>
      <c r="AD85" s="131" t="n">
        <f aca="false">+AC85</f>
        <v>20</v>
      </c>
      <c r="AE85" s="131" t="n">
        <f aca="false">+AD85</f>
        <v>20</v>
      </c>
      <c r="AF85" s="476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1"/>
      <c r="BZ85" s="131"/>
      <c r="CA85" s="131"/>
      <c r="CB85" s="131"/>
      <c r="CC85" s="131"/>
      <c r="CD85" s="131"/>
      <c r="CE85" s="131"/>
      <c r="CF85" s="131"/>
      <c r="CG85" s="131"/>
      <c r="CH85" s="131"/>
      <c r="CI85" s="131"/>
      <c r="CJ85" s="131"/>
      <c r="CK85" s="131"/>
      <c r="CL85" s="131"/>
      <c r="CM85" s="131"/>
      <c r="CN85" s="131"/>
      <c r="CO85" s="131"/>
      <c r="CP85" s="131"/>
      <c r="CQ85" s="131"/>
      <c r="CR85" s="131"/>
      <c r="CS85" s="131"/>
      <c r="CT85" s="131"/>
      <c r="CU85" s="131"/>
      <c r="CV85" s="131"/>
      <c r="CW85" s="131"/>
      <c r="CX85" s="131"/>
      <c r="CY85" s="131"/>
      <c r="CZ85" s="131"/>
      <c r="DA85" s="131"/>
      <c r="DB85" s="131"/>
      <c r="DC85" s="131"/>
      <c r="DD85" s="131"/>
      <c r="DE85" s="131"/>
      <c r="DF85" s="131"/>
      <c r="DG85" s="131"/>
      <c r="DH85" s="131"/>
      <c r="DI85" s="131"/>
      <c r="DJ85" s="131"/>
      <c r="DK85" s="131"/>
      <c r="DL85" s="131"/>
      <c r="DM85" s="131"/>
      <c r="DN85" s="131"/>
      <c r="DO85" s="131"/>
      <c r="DP85" s="131"/>
      <c r="DQ85" s="131"/>
      <c r="DR85" s="131"/>
      <c r="DS85" s="131"/>
      <c r="DT85" s="131"/>
      <c r="DU85" s="131"/>
      <c r="DV85" s="131"/>
      <c r="DW85" s="131"/>
      <c r="DX85" s="131"/>
      <c r="DY85" s="131"/>
      <c r="DZ85" s="131"/>
      <c r="EA85" s="131"/>
      <c r="EB85" s="131"/>
      <c r="EC85" s="131"/>
      <c r="ED85" s="131"/>
      <c r="EE85" s="131"/>
      <c r="EF85" s="131"/>
      <c r="EG85" s="131"/>
      <c r="EH85" s="131"/>
      <c r="EI85" s="131"/>
      <c r="EJ85" s="131"/>
      <c r="EK85" s="131"/>
      <c r="EL85" s="131"/>
      <c r="EM85" s="131"/>
      <c r="EN85" s="131"/>
      <c r="EO85" s="131"/>
      <c r="EP85" s="131"/>
      <c r="EQ85" s="131"/>
      <c r="ER85" s="131"/>
      <c r="ES85" s="131"/>
      <c r="ET85" s="131"/>
      <c r="EU85" s="131"/>
      <c r="EV85" s="131"/>
      <c r="EW85" s="131"/>
      <c r="EX85" s="131"/>
      <c r="EY85" s="131"/>
      <c r="EZ85" s="131"/>
      <c r="FA85" s="131"/>
      <c r="FB85" s="131"/>
      <c r="FC85" s="131"/>
      <c r="FD85" s="131"/>
      <c r="FE85" s="131"/>
      <c r="FF85" s="131"/>
      <c r="FG85" s="131"/>
      <c r="FH85" s="131"/>
      <c r="FI85" s="131"/>
      <c r="FJ85" s="131"/>
      <c r="FK85" s="131"/>
      <c r="FL85" s="131"/>
      <c r="FM85" s="131"/>
      <c r="FN85" s="131"/>
      <c r="FO85" s="131"/>
      <c r="FP85" s="131"/>
      <c r="FQ85" s="131"/>
      <c r="FR85" s="131"/>
      <c r="FS85" s="131"/>
      <c r="FT85" s="131"/>
      <c r="FU85" s="131"/>
      <c r="FV85" s="131"/>
      <c r="FW85" s="131"/>
      <c r="FX85" s="131"/>
      <c r="FY85" s="131"/>
      <c r="FZ85" s="131"/>
      <c r="GA85" s="131"/>
      <c r="GB85" s="131"/>
      <c r="GC85" s="131"/>
      <c r="GD85" s="131"/>
      <c r="GE85" s="131"/>
      <c r="GF85" s="131"/>
      <c r="GG85" s="131"/>
      <c r="GH85" s="131"/>
      <c r="GI85" s="131"/>
      <c r="GJ85" s="131"/>
      <c r="GK85" s="131"/>
      <c r="GL85" s="131"/>
      <c r="GM85" s="131"/>
      <c r="GN85" s="131"/>
      <c r="GO85" s="131"/>
      <c r="GP85" s="131"/>
      <c r="GQ85" s="131"/>
      <c r="GR85" s="131"/>
      <c r="GS85" s="131"/>
      <c r="GT85" s="131"/>
      <c r="GU85" s="131"/>
      <c r="GV85" s="131"/>
      <c r="GW85" s="131"/>
      <c r="GX85" s="131"/>
      <c r="GY85" s="131"/>
      <c r="GZ85" s="131"/>
      <c r="HA85" s="131"/>
      <c r="HB85" s="131"/>
      <c r="HC85" s="131"/>
      <c r="HD85" s="131"/>
      <c r="HE85" s="131"/>
      <c r="HF85" s="131"/>
      <c r="HG85" s="131"/>
      <c r="HH85" s="131"/>
      <c r="HI85" s="131"/>
      <c r="HJ85" s="131"/>
      <c r="HK85" s="131"/>
      <c r="HL85" s="131"/>
      <c r="HM85" s="131"/>
      <c r="HN85" s="131"/>
      <c r="HO85" s="131"/>
      <c r="HP85" s="131"/>
      <c r="HQ85" s="131"/>
      <c r="HR85" s="131"/>
      <c r="HS85" s="131"/>
      <c r="HT85" s="131"/>
      <c r="HU85" s="131"/>
      <c r="HV85" s="131"/>
      <c r="HW85" s="131"/>
      <c r="HX85" s="131"/>
      <c r="HY85" s="131"/>
      <c r="HZ85" s="131"/>
      <c r="IA85" s="131"/>
      <c r="IB85" s="131"/>
      <c r="IC85" s="131"/>
      <c r="ID85" s="131"/>
      <c r="IE85" s="131"/>
      <c r="IF85" s="131"/>
      <c r="IG85" s="131"/>
      <c r="IH85" s="131"/>
      <c r="II85" s="131"/>
      <c r="IJ85" s="131"/>
      <c r="IK85" s="131"/>
      <c r="IL85" s="131"/>
      <c r="IM85" s="131"/>
      <c r="IN85" s="131"/>
      <c r="IO85" s="131"/>
      <c r="IP85" s="131"/>
      <c r="IQ85" s="131"/>
      <c r="IR85" s="131"/>
      <c r="IS85" s="131"/>
      <c r="IT85" s="131"/>
      <c r="IU85" s="131"/>
      <c r="IV85" s="131"/>
      <c r="IW85" s="131"/>
    </row>
    <row r="86" customFormat="false" ht="12.75" hidden="false" customHeight="false" outlineLevel="0" collapsed="false">
      <c r="A86" s="606"/>
      <c r="B86" s="14"/>
      <c r="C86" s="492"/>
      <c r="D86" s="49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674"/>
      <c r="AF86" s="675"/>
      <c r="AG86" s="107"/>
      <c r="AH86" s="107"/>
      <c r="AI86" s="107"/>
      <c r="AJ86" s="107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</row>
    <row r="87" customFormat="false" ht="12.75" hidden="false" customHeight="false" outlineLevel="0" collapsed="false">
      <c r="A87" s="522" t="s">
        <v>310</v>
      </c>
      <c r="B87" s="685"/>
      <c r="C87" s="686"/>
      <c r="D87" s="686"/>
      <c r="E87" s="523" t="n">
        <f aca="false">+MIN(E84:E85)</f>
        <v>0</v>
      </c>
      <c r="F87" s="523" t="n">
        <f aca="false">+MIN(F84:F85)</f>
        <v>20</v>
      </c>
      <c r="G87" s="523" t="n">
        <f aca="false">+MIN(G84:G85)</f>
        <v>20</v>
      </c>
      <c r="H87" s="523" t="n">
        <f aca="false">+MIN(H84:H85)</f>
        <v>20</v>
      </c>
      <c r="I87" s="523" t="n">
        <f aca="false">+MIN(I84:I85)</f>
        <v>20</v>
      </c>
      <c r="J87" s="523" t="n">
        <f aca="false">+MIN(J84:J85)</f>
        <v>20</v>
      </c>
      <c r="K87" s="523" t="n">
        <f aca="false">+MIN(K84:K85)</f>
        <v>20</v>
      </c>
      <c r="L87" s="523" t="n">
        <f aca="false">+MIN(L84:L85)</f>
        <v>20</v>
      </c>
      <c r="M87" s="523" t="n">
        <f aca="false">+MIN(M84:M85)</f>
        <v>20</v>
      </c>
      <c r="N87" s="523" t="n">
        <f aca="false">+MIN(N84:N85)</f>
        <v>20</v>
      </c>
      <c r="O87" s="523" t="n">
        <f aca="false">+MIN(O84:O85)</f>
        <v>20</v>
      </c>
      <c r="P87" s="523" t="n">
        <f aca="false">+MIN(P84:P85)</f>
        <v>20</v>
      </c>
      <c r="Q87" s="523" t="n">
        <f aca="false">+MIN(Q84:Q85)</f>
        <v>20</v>
      </c>
      <c r="R87" s="523" t="n">
        <f aca="false">+MIN(R84:R85)</f>
        <v>20</v>
      </c>
      <c r="S87" s="523" t="n">
        <f aca="false">+MIN(S84:S85)</f>
        <v>20</v>
      </c>
      <c r="T87" s="523" t="n">
        <f aca="false">+MIN(T84:T85)</f>
        <v>0</v>
      </c>
      <c r="U87" s="523" t="n">
        <f aca="false">+MIN(U84:U85)</f>
        <v>0</v>
      </c>
      <c r="V87" s="523" t="n">
        <f aca="false">+MIN(V84:V85)</f>
        <v>0</v>
      </c>
      <c r="W87" s="523" t="n">
        <f aca="false">+MIN(W84:W85)</f>
        <v>0</v>
      </c>
      <c r="X87" s="523" t="n">
        <f aca="false">+MIN(X84:X85)</f>
        <v>0</v>
      </c>
      <c r="Y87" s="523" t="n">
        <f aca="false">+MIN(Y84:Y85)</f>
        <v>0</v>
      </c>
      <c r="Z87" s="523" t="n">
        <f aca="false">+MIN(Z84:Z85)</f>
        <v>0</v>
      </c>
      <c r="AA87" s="523" t="n">
        <f aca="false">+MIN(AA84:AA85)</f>
        <v>0</v>
      </c>
      <c r="AB87" s="523" t="n">
        <f aca="false">+MIN(AB84:AB85)</f>
        <v>0</v>
      </c>
      <c r="AC87" s="523" t="n">
        <f aca="false">+MIN(AC84:AC85)</f>
        <v>0</v>
      </c>
      <c r="AD87" s="523" t="n">
        <f aca="false">+MIN(AD84:AD85)</f>
        <v>0</v>
      </c>
      <c r="AE87" s="687" t="n">
        <f aca="false">+MIN(AE84:AE85)</f>
        <v>0</v>
      </c>
      <c r="AF87" s="688" t="n">
        <f aca="false">+SUM(E87:AE87)</f>
        <v>280</v>
      </c>
      <c r="AG87" s="353"/>
      <c r="AH87" s="353"/>
      <c r="AI87" s="353"/>
      <c r="AJ87" s="353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5"/>
      <c r="CM87" s="295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5"/>
      <c r="DB87" s="295"/>
      <c r="DC87" s="295"/>
      <c r="DD87" s="295"/>
      <c r="DE87" s="295"/>
      <c r="DF87" s="295"/>
      <c r="DG87" s="295"/>
      <c r="DH87" s="295"/>
      <c r="DI87" s="295"/>
      <c r="DJ87" s="296"/>
      <c r="DK87" s="296"/>
      <c r="DL87" s="296"/>
      <c r="DM87" s="296"/>
      <c r="DN87" s="296"/>
      <c r="DO87" s="296"/>
      <c r="DP87" s="296"/>
      <c r="DQ87" s="296"/>
      <c r="DR87" s="296"/>
      <c r="DS87" s="296"/>
      <c r="DT87" s="296"/>
      <c r="DU87" s="296"/>
      <c r="DV87" s="296"/>
      <c r="DW87" s="296"/>
      <c r="DX87" s="296"/>
      <c r="DY87" s="296"/>
      <c r="DZ87" s="296"/>
      <c r="EA87" s="296"/>
      <c r="EB87" s="296"/>
      <c r="EC87" s="296"/>
      <c r="ED87" s="296"/>
      <c r="EE87" s="296"/>
      <c r="EF87" s="296"/>
      <c r="EG87" s="296"/>
      <c r="EH87" s="296"/>
      <c r="EI87" s="296"/>
      <c r="EJ87" s="296"/>
      <c r="EK87" s="296"/>
      <c r="EL87" s="296"/>
      <c r="EM87" s="296"/>
      <c r="EN87" s="296"/>
      <c r="EO87" s="296"/>
      <c r="EP87" s="296"/>
      <c r="EQ87" s="296"/>
      <c r="ER87" s="296"/>
      <c r="ES87" s="296"/>
      <c r="ET87" s="296"/>
      <c r="EU87" s="296"/>
      <c r="EV87" s="296"/>
      <c r="EW87" s="296"/>
      <c r="EX87" s="296"/>
      <c r="EY87" s="296"/>
      <c r="EZ87" s="296"/>
      <c r="FA87" s="296"/>
      <c r="FB87" s="296"/>
      <c r="FC87" s="296"/>
      <c r="FD87" s="296"/>
      <c r="FE87" s="296"/>
      <c r="FF87" s="296"/>
      <c r="FG87" s="296"/>
      <c r="FH87" s="296"/>
      <c r="FI87" s="296"/>
      <c r="FJ87" s="296"/>
      <c r="FK87" s="296"/>
      <c r="FL87" s="296"/>
      <c r="FM87" s="296"/>
      <c r="FN87" s="296"/>
      <c r="FO87" s="296"/>
      <c r="FP87" s="296"/>
      <c r="FQ87" s="296"/>
      <c r="FR87" s="296"/>
      <c r="FS87" s="296"/>
      <c r="FT87" s="296"/>
      <c r="FU87" s="296"/>
      <c r="FV87" s="296"/>
      <c r="FW87" s="296"/>
      <c r="FX87" s="296"/>
      <c r="FY87" s="296"/>
      <c r="FZ87" s="296"/>
      <c r="GA87" s="296"/>
      <c r="GB87" s="296"/>
      <c r="GC87" s="296"/>
      <c r="GD87" s="296"/>
      <c r="GE87" s="296"/>
      <c r="GF87" s="296"/>
      <c r="GG87" s="296"/>
      <c r="GH87" s="296"/>
      <c r="GI87" s="296"/>
      <c r="GJ87" s="296"/>
      <c r="GK87" s="296"/>
      <c r="GL87" s="296"/>
      <c r="GM87" s="296"/>
      <c r="GN87" s="296"/>
      <c r="GO87" s="296"/>
      <c r="GP87" s="296"/>
      <c r="GQ87" s="296"/>
      <c r="GR87" s="296"/>
      <c r="GS87" s="296"/>
      <c r="GT87" s="296"/>
      <c r="GU87" s="296"/>
      <c r="GV87" s="296"/>
      <c r="GW87" s="296"/>
      <c r="GX87" s="296"/>
      <c r="GY87" s="296"/>
      <c r="GZ87" s="296"/>
      <c r="HA87" s="296"/>
      <c r="HB87" s="296"/>
      <c r="HC87" s="296"/>
      <c r="HD87" s="296"/>
      <c r="HE87" s="296"/>
      <c r="HF87" s="296"/>
      <c r="HG87" s="296"/>
      <c r="HH87" s="296"/>
      <c r="HI87" s="296"/>
      <c r="HJ87" s="296"/>
      <c r="HK87" s="296"/>
      <c r="HL87" s="296"/>
      <c r="HM87" s="296"/>
      <c r="HN87" s="296"/>
      <c r="HO87" s="296"/>
      <c r="HP87" s="296"/>
      <c r="HQ87" s="296"/>
      <c r="HR87" s="296"/>
      <c r="HS87" s="296"/>
      <c r="HT87" s="296"/>
      <c r="HU87" s="296"/>
      <c r="HV87" s="296"/>
      <c r="HW87" s="296"/>
      <c r="HX87" s="296"/>
      <c r="HY87" s="296"/>
      <c r="HZ87" s="296"/>
      <c r="IA87" s="296"/>
      <c r="IB87" s="296"/>
      <c r="IC87" s="296"/>
      <c r="ID87" s="296"/>
      <c r="IE87" s="296"/>
      <c r="IF87" s="296"/>
      <c r="IG87" s="296"/>
      <c r="IH87" s="296"/>
      <c r="II87" s="296"/>
      <c r="IJ87" s="296"/>
      <c r="IK87" s="296"/>
      <c r="IL87" s="296"/>
      <c r="IM87" s="296"/>
      <c r="IN87" s="296"/>
      <c r="IO87" s="296"/>
      <c r="IP87" s="296"/>
      <c r="IQ87" s="296"/>
      <c r="IR87" s="296"/>
      <c r="IS87" s="296"/>
      <c r="IT87" s="296"/>
      <c r="IU87" s="296"/>
      <c r="IV87" s="296"/>
      <c r="IW87" s="296"/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1" outlineLevelCol="1"/>
  <cols>
    <col collapsed="false" customWidth="true" hidden="false" outlineLevel="0" max="1" min="1" style="1" width="4.99"/>
    <col collapsed="false" customWidth="true" hidden="false" outlineLevel="0" max="2" min="2" style="1" width="36.32"/>
    <col collapsed="false" customWidth="true" hidden="false" outlineLevel="0" max="3" min="3" style="1" width="17.99"/>
    <col collapsed="false" customWidth="true" hidden="false" outlineLevel="0" max="25" min="4" style="1" width="11.65"/>
    <col collapsed="false" customWidth="true" hidden="false" outlineLevel="1" max="31" min="26" style="1" width="11.65"/>
    <col collapsed="false" customWidth="true" hidden="false" outlineLevel="0" max="35" min="32" style="1" width="10.82"/>
    <col collapsed="false" customWidth="false" hidden="false" outlineLevel="0" max="257" min="36" style="1" width="9.32"/>
  </cols>
  <sheetData>
    <row r="1" customFormat="false" ht="15.75" hidden="false" customHeight="false" outlineLevel="0" collapsed="false">
      <c r="A1" s="689" t="str">
        <f aca="false">+Assumpt!$A$1</f>
        <v>Panama Regas Terminal</v>
      </c>
      <c r="B1" s="690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7"/>
      <c r="Z1" s="590"/>
      <c r="AA1" s="395"/>
      <c r="AB1" s="395"/>
      <c r="AC1" s="395"/>
      <c r="AD1" s="395"/>
      <c r="AE1" s="397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</row>
    <row r="2" customFormat="false" ht="15.75" hidden="false" customHeight="false" outlineLevel="0" collapsed="false">
      <c r="A2" s="691" t="str">
        <f aca="false">+Assumpt!$A$2</f>
        <v>Enron International</v>
      </c>
      <c r="B2" s="692"/>
      <c r="C2" s="425"/>
      <c r="D2" s="693" t="s">
        <v>156</v>
      </c>
      <c r="E2" s="693" t="n">
        <f aca="false">+CF!E5</f>
        <v>2003</v>
      </c>
      <c r="F2" s="693" t="n">
        <f aca="false">+CF!F5</f>
        <v>2004</v>
      </c>
      <c r="G2" s="693" t="n">
        <f aca="false">+CF!G5</f>
        <v>2005</v>
      </c>
      <c r="H2" s="693" t="n">
        <f aca="false">+CF!H5</f>
        <v>2006</v>
      </c>
      <c r="I2" s="693" t="n">
        <f aca="false">+CF!I5</f>
        <v>2007</v>
      </c>
      <c r="J2" s="693" t="n">
        <f aca="false">+CF!J5</f>
        <v>2008</v>
      </c>
      <c r="K2" s="693" t="n">
        <f aca="false">+CF!K5</f>
        <v>2009</v>
      </c>
      <c r="L2" s="693" t="n">
        <f aca="false">+CF!L5</f>
        <v>2010</v>
      </c>
      <c r="M2" s="693" t="n">
        <f aca="false">+CF!M5</f>
        <v>2011</v>
      </c>
      <c r="N2" s="693" t="n">
        <f aca="false">+CF!N5</f>
        <v>2012</v>
      </c>
      <c r="O2" s="693" t="n">
        <f aca="false">+CF!O5</f>
        <v>2013</v>
      </c>
      <c r="P2" s="693" t="n">
        <f aca="false">+CF!P5</f>
        <v>2014</v>
      </c>
      <c r="Q2" s="693" t="n">
        <f aca="false">+CF!Q5</f>
        <v>2015</v>
      </c>
      <c r="R2" s="693" t="n">
        <f aca="false">+CF!R5</f>
        <v>2016</v>
      </c>
      <c r="S2" s="693" t="n">
        <f aca="false">+CF!S5</f>
        <v>2017</v>
      </c>
      <c r="T2" s="693" t="n">
        <f aca="false">+CF!T5</f>
        <v>2018</v>
      </c>
      <c r="U2" s="693" t="n">
        <f aca="false">+CF!U5</f>
        <v>2019</v>
      </c>
      <c r="V2" s="693" t="n">
        <f aca="false">+CF!V5</f>
        <v>2020</v>
      </c>
      <c r="W2" s="693" t="n">
        <f aca="false">+CF!W5</f>
        <v>2021</v>
      </c>
      <c r="X2" s="693" t="n">
        <f aca="false">+CF!X5</f>
        <v>2022</v>
      </c>
      <c r="Y2" s="694" t="n">
        <f aca="false">+CF!Y5</f>
        <v>2023</v>
      </c>
      <c r="Z2" s="695" t="n">
        <f aca="false">+CF!Z5</f>
        <v>2024</v>
      </c>
      <c r="AA2" s="693" t="n">
        <f aca="false">+CF!AA5</f>
        <v>2025</v>
      </c>
      <c r="AB2" s="693" t="n">
        <f aca="false">+CF!AB5</f>
        <v>2026</v>
      </c>
      <c r="AC2" s="693" t="n">
        <f aca="false">+CF!AC5</f>
        <v>2027</v>
      </c>
      <c r="AD2" s="693" t="n">
        <f aca="false">+CF!AD5</f>
        <v>2028</v>
      </c>
      <c r="AE2" s="694" t="n">
        <f aca="false">+CF!AE5</f>
        <v>2029</v>
      </c>
      <c r="AF2" s="265"/>
      <c r="AG2" s="693"/>
      <c r="AH2" s="425"/>
      <c r="AI2" s="425"/>
      <c r="AJ2" s="425"/>
      <c r="AK2" s="425"/>
      <c r="AL2" s="425"/>
      <c r="AM2" s="425"/>
      <c r="AN2" s="425"/>
      <c r="AO2" s="425"/>
      <c r="AP2" s="425"/>
      <c r="AQ2" s="425"/>
      <c r="AR2" s="425"/>
      <c r="AS2" s="425"/>
      <c r="AT2" s="425"/>
      <c r="AU2" s="425"/>
      <c r="AV2" s="425"/>
      <c r="AW2" s="425"/>
      <c r="AX2" s="425"/>
      <c r="AY2" s="425"/>
      <c r="AZ2" s="425"/>
      <c r="BA2" s="425"/>
      <c r="BB2" s="425"/>
      <c r="BC2" s="425"/>
      <c r="BD2" s="425"/>
      <c r="BE2" s="425"/>
      <c r="BF2" s="425"/>
      <c r="BG2" s="425"/>
      <c r="BH2" s="425"/>
      <c r="BI2" s="425"/>
      <c r="BJ2" s="425"/>
      <c r="BK2" s="425"/>
      <c r="BL2" s="425"/>
      <c r="BM2" s="425"/>
      <c r="BN2" s="425"/>
      <c r="BO2" s="425"/>
      <c r="BP2" s="425"/>
      <c r="BQ2" s="425"/>
      <c r="BR2" s="425"/>
      <c r="BS2" s="425"/>
      <c r="BT2" s="425"/>
      <c r="BU2" s="425"/>
      <c r="BV2" s="425"/>
      <c r="BW2" s="425"/>
      <c r="BX2" s="425"/>
      <c r="BY2" s="425"/>
      <c r="BZ2" s="425"/>
      <c r="CA2" s="425"/>
      <c r="CB2" s="425"/>
      <c r="CC2" s="425"/>
      <c r="CD2" s="425"/>
      <c r="CE2" s="425"/>
      <c r="CF2" s="425"/>
      <c r="CG2" s="425"/>
      <c r="CH2" s="425"/>
      <c r="CI2" s="425"/>
      <c r="CJ2" s="425"/>
      <c r="CK2" s="425"/>
      <c r="CL2" s="425"/>
      <c r="CM2" s="425"/>
      <c r="CN2" s="425"/>
      <c r="CO2" s="425"/>
      <c r="CP2" s="425"/>
      <c r="CQ2" s="425"/>
      <c r="CR2" s="425"/>
      <c r="CS2" s="425"/>
      <c r="CT2" s="425"/>
      <c r="CU2" s="425"/>
      <c r="CV2" s="425"/>
      <c r="CW2" s="425"/>
      <c r="CX2" s="425"/>
      <c r="CY2" s="425"/>
      <c r="CZ2" s="425"/>
      <c r="DA2" s="425"/>
      <c r="DB2" s="425"/>
      <c r="DC2" s="425"/>
      <c r="DD2" s="425"/>
      <c r="DE2" s="425"/>
      <c r="DF2" s="425"/>
      <c r="DG2" s="425"/>
      <c r="DH2" s="425"/>
      <c r="DI2" s="425"/>
      <c r="DJ2" s="425"/>
      <c r="DK2" s="425"/>
      <c r="DL2" s="425"/>
      <c r="DM2" s="425"/>
      <c r="DN2" s="425"/>
      <c r="DO2" s="425"/>
      <c r="DP2" s="425"/>
      <c r="DQ2" s="425"/>
      <c r="DR2" s="425"/>
      <c r="DS2" s="425"/>
      <c r="DT2" s="425"/>
      <c r="DU2" s="425"/>
      <c r="DV2" s="425"/>
      <c r="DW2" s="425"/>
      <c r="DX2" s="425"/>
      <c r="DY2" s="425"/>
      <c r="DZ2" s="425"/>
      <c r="EA2" s="425"/>
      <c r="EB2" s="425"/>
      <c r="EC2" s="425"/>
      <c r="ED2" s="425"/>
      <c r="EE2" s="425"/>
      <c r="EF2" s="425"/>
      <c r="EG2" s="425"/>
      <c r="EH2" s="425"/>
      <c r="EI2" s="425"/>
      <c r="EJ2" s="425"/>
      <c r="EK2" s="425"/>
      <c r="EL2" s="425"/>
      <c r="EM2" s="425"/>
      <c r="EN2" s="425"/>
      <c r="EO2" s="425"/>
      <c r="EP2" s="425"/>
      <c r="EQ2" s="425"/>
      <c r="ER2" s="425"/>
      <c r="ES2" s="425"/>
      <c r="ET2" s="425"/>
      <c r="EU2" s="425"/>
      <c r="EV2" s="425"/>
      <c r="EW2" s="425"/>
      <c r="EX2" s="425"/>
      <c r="EY2" s="425"/>
      <c r="EZ2" s="425"/>
      <c r="FA2" s="425"/>
      <c r="FB2" s="425"/>
      <c r="FC2" s="425"/>
      <c r="FD2" s="425"/>
      <c r="FE2" s="425"/>
      <c r="FF2" s="425"/>
      <c r="FG2" s="425"/>
      <c r="FH2" s="425"/>
      <c r="FI2" s="425"/>
      <c r="FJ2" s="425"/>
      <c r="FK2" s="425"/>
      <c r="FL2" s="425"/>
      <c r="FM2" s="425"/>
      <c r="FN2" s="425"/>
      <c r="FO2" s="425"/>
      <c r="FP2" s="425"/>
      <c r="FQ2" s="425"/>
      <c r="FR2" s="425"/>
      <c r="FS2" s="425"/>
      <c r="FT2" s="425"/>
      <c r="FU2" s="425"/>
      <c r="FV2" s="425"/>
      <c r="FW2" s="425"/>
      <c r="FX2" s="425"/>
      <c r="FY2" s="425"/>
      <c r="FZ2" s="425"/>
      <c r="GA2" s="425"/>
      <c r="GB2" s="425"/>
      <c r="GC2" s="425"/>
      <c r="GD2" s="425"/>
      <c r="GE2" s="425"/>
      <c r="GF2" s="425"/>
      <c r="GG2" s="425"/>
      <c r="GH2" s="425"/>
      <c r="GI2" s="425"/>
      <c r="GJ2" s="425"/>
      <c r="GK2" s="425"/>
      <c r="GL2" s="425"/>
      <c r="GM2" s="425"/>
      <c r="GN2" s="425"/>
      <c r="GO2" s="425"/>
      <c r="GP2" s="425"/>
      <c r="GQ2" s="425"/>
      <c r="GR2" s="425"/>
      <c r="GS2" s="425"/>
      <c r="GT2" s="425"/>
      <c r="GU2" s="425"/>
      <c r="GV2" s="425"/>
      <c r="GW2" s="425"/>
      <c r="GX2" s="425"/>
      <c r="GY2" s="425"/>
      <c r="GZ2" s="425"/>
      <c r="HA2" s="425"/>
      <c r="HB2" s="425"/>
      <c r="HC2" s="425"/>
      <c r="HD2" s="425"/>
      <c r="HE2" s="425"/>
      <c r="HF2" s="425"/>
      <c r="HG2" s="425"/>
      <c r="HH2" s="425"/>
      <c r="HI2" s="425"/>
      <c r="HJ2" s="425"/>
      <c r="HK2" s="425"/>
      <c r="HL2" s="425"/>
      <c r="HM2" s="425"/>
      <c r="HN2" s="425"/>
      <c r="HO2" s="425"/>
      <c r="HP2" s="425"/>
      <c r="HQ2" s="425"/>
      <c r="HR2" s="425"/>
      <c r="HS2" s="425"/>
      <c r="HT2" s="425"/>
      <c r="HU2" s="425"/>
      <c r="HV2" s="425"/>
      <c r="HW2" s="425"/>
      <c r="HX2" s="425"/>
      <c r="HY2" s="425"/>
      <c r="HZ2" s="425"/>
      <c r="IA2" s="425"/>
      <c r="IB2" s="425"/>
      <c r="IC2" s="425"/>
      <c r="ID2" s="425"/>
      <c r="IE2" s="425"/>
      <c r="IF2" s="425"/>
      <c r="IG2" s="425"/>
      <c r="IH2" s="425"/>
      <c r="II2" s="425"/>
      <c r="IJ2" s="425"/>
      <c r="IK2" s="425"/>
      <c r="IL2" s="425"/>
      <c r="IM2" s="425"/>
      <c r="IN2" s="425"/>
      <c r="IO2" s="425"/>
      <c r="IP2" s="425"/>
      <c r="IQ2" s="425"/>
      <c r="IR2" s="425"/>
      <c r="IS2" s="425"/>
      <c r="IT2" s="425"/>
      <c r="IU2" s="425"/>
      <c r="IV2" s="425"/>
      <c r="IW2" s="425"/>
    </row>
    <row r="3" customFormat="false" ht="15.75" hidden="false" customHeight="false" outlineLevel="0" collapsed="false">
      <c r="A3" s="696" t="s">
        <v>311</v>
      </c>
      <c r="B3" s="697"/>
      <c r="C3" s="265"/>
      <c r="D3" s="321" t="s">
        <v>159</v>
      </c>
      <c r="E3" s="468" t="n">
        <f aca="false">+CF!E7</f>
        <v>1</v>
      </c>
      <c r="F3" s="468" t="n">
        <f aca="false">+CF!F7</f>
        <v>2</v>
      </c>
      <c r="G3" s="468" t="n">
        <f aca="false">+CF!G7</f>
        <v>3</v>
      </c>
      <c r="H3" s="468" t="n">
        <f aca="false">+CF!H7</f>
        <v>4</v>
      </c>
      <c r="I3" s="468" t="n">
        <f aca="false">+CF!I7</f>
        <v>5</v>
      </c>
      <c r="J3" s="468" t="n">
        <f aca="false">+CF!J7</f>
        <v>6</v>
      </c>
      <c r="K3" s="468" t="n">
        <f aca="false">+CF!K7</f>
        <v>7</v>
      </c>
      <c r="L3" s="468" t="n">
        <f aca="false">+CF!L7</f>
        <v>8</v>
      </c>
      <c r="M3" s="468" t="n">
        <f aca="false">+CF!M7</f>
        <v>9</v>
      </c>
      <c r="N3" s="468" t="n">
        <f aca="false">+CF!N7</f>
        <v>10</v>
      </c>
      <c r="O3" s="468" t="n">
        <f aca="false">+CF!O7</f>
        <v>11</v>
      </c>
      <c r="P3" s="468" t="n">
        <f aca="false">+CF!P7</f>
        <v>12</v>
      </c>
      <c r="Q3" s="468" t="n">
        <f aca="false">+CF!Q7</f>
        <v>13</v>
      </c>
      <c r="R3" s="468" t="n">
        <f aca="false">+CF!R7</f>
        <v>14</v>
      </c>
      <c r="S3" s="468" t="n">
        <f aca="false">+CF!S7</f>
        <v>15</v>
      </c>
      <c r="T3" s="468" t="n">
        <f aca="false">+CF!T7</f>
        <v>15</v>
      </c>
      <c r="U3" s="468" t="n">
        <f aca="false">+CF!U7</f>
        <v>15</v>
      </c>
      <c r="V3" s="468" t="n">
        <f aca="false">+CF!V7</f>
        <v>15</v>
      </c>
      <c r="W3" s="468" t="n">
        <f aca="false">+CF!W7</f>
        <v>15</v>
      </c>
      <c r="X3" s="468" t="n">
        <f aca="false">+CF!X7</f>
        <v>15</v>
      </c>
      <c r="Y3" s="698" t="n">
        <f aca="false">+CF!Y7</f>
        <v>15</v>
      </c>
      <c r="Z3" s="699" t="n">
        <f aca="false">+CF!Z7</f>
        <v>15</v>
      </c>
      <c r="AA3" s="468" t="n">
        <f aca="false">+CF!AA7</f>
        <v>15</v>
      </c>
      <c r="AB3" s="468" t="n">
        <f aca="false">+CF!AB7</f>
        <v>15</v>
      </c>
      <c r="AC3" s="468" t="n">
        <f aca="false">+CF!AC7</f>
        <v>15</v>
      </c>
      <c r="AD3" s="468" t="n">
        <f aca="false">+CF!AD7</f>
        <v>15</v>
      </c>
      <c r="AE3" s="698" t="n">
        <f aca="false">+CF!AE7</f>
        <v>15</v>
      </c>
      <c r="AF3" s="265"/>
      <c r="AG3" s="307"/>
      <c r="AH3" s="302"/>
      <c r="AI3" s="302"/>
      <c r="AJ3" s="302"/>
      <c r="AK3" s="302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  <c r="EA3" s="265"/>
      <c r="EB3" s="265"/>
      <c r="EC3" s="265"/>
      <c r="ED3" s="265"/>
      <c r="EE3" s="265"/>
      <c r="EF3" s="265"/>
      <c r="EG3" s="265"/>
      <c r="EH3" s="265"/>
      <c r="EI3" s="265"/>
      <c r="EJ3" s="265"/>
      <c r="EK3" s="265"/>
      <c r="EL3" s="265"/>
      <c r="EM3" s="265"/>
      <c r="EN3" s="265"/>
      <c r="EO3" s="265"/>
      <c r="EP3" s="265"/>
      <c r="EQ3" s="265"/>
      <c r="ER3" s="265"/>
      <c r="ES3" s="265"/>
      <c r="ET3" s="265"/>
      <c r="EU3" s="265"/>
      <c r="EV3" s="265"/>
      <c r="EW3" s="265"/>
      <c r="EX3" s="265"/>
      <c r="EY3" s="265"/>
      <c r="EZ3" s="265"/>
      <c r="FA3" s="265"/>
      <c r="FB3" s="265"/>
      <c r="FC3" s="265"/>
      <c r="FD3" s="265"/>
      <c r="FE3" s="265"/>
      <c r="FF3" s="265"/>
      <c r="FG3" s="265"/>
      <c r="FH3" s="265"/>
      <c r="FI3" s="265"/>
      <c r="FJ3" s="265"/>
      <c r="FK3" s="265"/>
      <c r="FL3" s="265"/>
      <c r="FM3" s="265"/>
      <c r="FN3" s="265"/>
      <c r="FO3" s="265"/>
      <c r="FP3" s="265"/>
      <c r="FQ3" s="265"/>
      <c r="FR3" s="265"/>
      <c r="FS3" s="265"/>
      <c r="FT3" s="265"/>
      <c r="FU3" s="265"/>
      <c r="FV3" s="265"/>
      <c r="FW3" s="265"/>
      <c r="FX3" s="265"/>
      <c r="FY3" s="265"/>
      <c r="FZ3" s="265"/>
      <c r="GA3" s="265"/>
      <c r="GB3" s="265"/>
      <c r="GC3" s="265"/>
      <c r="GD3" s="265"/>
      <c r="GE3" s="265"/>
      <c r="GF3" s="265"/>
      <c r="GG3" s="265"/>
      <c r="GH3" s="265"/>
      <c r="GI3" s="265"/>
      <c r="GJ3" s="265"/>
      <c r="GK3" s="265"/>
      <c r="GL3" s="265"/>
      <c r="GM3" s="265"/>
      <c r="GN3" s="265"/>
      <c r="GO3" s="265"/>
      <c r="GP3" s="265"/>
      <c r="GQ3" s="265"/>
      <c r="GR3" s="265"/>
      <c r="GS3" s="265"/>
      <c r="GT3" s="265"/>
      <c r="GU3" s="265"/>
      <c r="GV3" s="265"/>
      <c r="GW3" s="265"/>
      <c r="GX3" s="265"/>
      <c r="GY3" s="265"/>
      <c r="GZ3" s="265"/>
      <c r="HA3" s="265"/>
      <c r="HB3" s="265"/>
      <c r="HC3" s="265"/>
      <c r="HD3" s="265"/>
      <c r="HE3" s="265"/>
      <c r="HF3" s="265"/>
      <c r="HG3" s="265"/>
      <c r="HH3" s="265"/>
      <c r="HI3" s="265"/>
      <c r="HJ3" s="265"/>
      <c r="HK3" s="265"/>
      <c r="HL3" s="265"/>
      <c r="HM3" s="265"/>
      <c r="HN3" s="265"/>
      <c r="HO3" s="265"/>
      <c r="HP3" s="265"/>
      <c r="HQ3" s="265"/>
      <c r="HR3" s="265"/>
      <c r="HS3" s="265"/>
      <c r="HT3" s="265"/>
      <c r="HU3" s="265"/>
      <c r="HV3" s="265"/>
      <c r="HW3" s="265"/>
      <c r="HX3" s="265"/>
      <c r="HY3" s="265"/>
      <c r="HZ3" s="265"/>
      <c r="IA3" s="265"/>
      <c r="IB3" s="265"/>
      <c r="IC3" s="265"/>
      <c r="ID3" s="265"/>
      <c r="IE3" s="265"/>
      <c r="IF3" s="265"/>
      <c r="IG3" s="265"/>
      <c r="IH3" s="265"/>
      <c r="II3" s="265"/>
      <c r="IJ3" s="265"/>
      <c r="IK3" s="265"/>
      <c r="IL3" s="265"/>
      <c r="IM3" s="265"/>
      <c r="IN3" s="265"/>
      <c r="IO3" s="265"/>
      <c r="IP3" s="265"/>
      <c r="IQ3" s="265"/>
      <c r="IR3" s="265"/>
      <c r="IS3" s="265"/>
      <c r="IT3" s="265"/>
      <c r="IU3" s="265"/>
      <c r="IV3" s="265"/>
      <c r="IW3" s="265"/>
    </row>
    <row r="4" customFormat="false" ht="12.75" hidden="false" customHeight="false" outlineLevel="0" collapsed="false">
      <c r="A4" s="700"/>
      <c r="B4" s="265"/>
      <c r="C4" s="265"/>
      <c r="D4" s="434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701"/>
      <c r="Z4" s="702"/>
      <c r="AA4" s="340"/>
      <c r="AB4" s="340"/>
      <c r="AC4" s="340"/>
      <c r="AD4" s="340"/>
      <c r="AE4" s="701"/>
      <c r="AF4" s="340"/>
      <c r="AG4" s="340"/>
      <c r="AH4" s="340"/>
      <c r="AI4" s="340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5"/>
      <c r="CR4" s="265"/>
      <c r="CS4" s="265"/>
      <c r="CT4" s="265"/>
      <c r="CU4" s="265"/>
      <c r="CV4" s="265"/>
      <c r="CW4" s="265"/>
      <c r="CX4" s="265"/>
      <c r="CY4" s="265"/>
      <c r="CZ4" s="265"/>
      <c r="DA4" s="265"/>
      <c r="DB4" s="265"/>
      <c r="DC4" s="265"/>
      <c r="DD4" s="265"/>
      <c r="DE4" s="265"/>
      <c r="DF4" s="265"/>
      <c r="DG4" s="265"/>
      <c r="DH4" s="265"/>
      <c r="DI4" s="265"/>
      <c r="DJ4" s="265"/>
      <c r="DK4" s="265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  <c r="DW4" s="265"/>
      <c r="DX4" s="265"/>
      <c r="DY4" s="265"/>
      <c r="DZ4" s="265"/>
      <c r="EA4" s="265"/>
      <c r="EB4" s="265"/>
      <c r="EC4" s="265"/>
      <c r="ED4" s="265"/>
      <c r="EE4" s="265"/>
      <c r="EF4" s="265"/>
      <c r="EG4" s="265"/>
      <c r="EH4" s="265"/>
      <c r="EI4" s="265"/>
      <c r="EJ4" s="265"/>
      <c r="EK4" s="265"/>
      <c r="EL4" s="265"/>
      <c r="EM4" s="265"/>
      <c r="EN4" s="265"/>
      <c r="EO4" s="265"/>
      <c r="EP4" s="265"/>
      <c r="EQ4" s="265"/>
      <c r="ER4" s="265"/>
      <c r="ES4" s="265"/>
      <c r="ET4" s="265"/>
      <c r="EU4" s="265"/>
      <c r="EV4" s="265"/>
      <c r="EW4" s="265"/>
      <c r="EX4" s="265"/>
      <c r="EY4" s="265"/>
      <c r="EZ4" s="265"/>
      <c r="FA4" s="265"/>
      <c r="FB4" s="265"/>
      <c r="FC4" s="265"/>
      <c r="FD4" s="265"/>
      <c r="FE4" s="265"/>
      <c r="FF4" s="265"/>
      <c r="FG4" s="265"/>
      <c r="FH4" s="265"/>
      <c r="FI4" s="265"/>
      <c r="FJ4" s="265"/>
      <c r="FK4" s="265"/>
      <c r="FL4" s="265"/>
      <c r="FM4" s="265"/>
      <c r="FN4" s="265"/>
      <c r="FO4" s="265"/>
      <c r="FP4" s="265"/>
      <c r="FQ4" s="265"/>
      <c r="FR4" s="265"/>
      <c r="FS4" s="265"/>
      <c r="FT4" s="265"/>
      <c r="FU4" s="265"/>
      <c r="FV4" s="265"/>
      <c r="FW4" s="265"/>
      <c r="FX4" s="265"/>
      <c r="FY4" s="265"/>
      <c r="FZ4" s="265"/>
      <c r="GA4" s="265"/>
      <c r="GB4" s="265"/>
      <c r="GC4" s="265"/>
      <c r="GD4" s="265"/>
      <c r="GE4" s="265"/>
      <c r="GF4" s="265"/>
      <c r="GG4" s="265"/>
      <c r="GH4" s="265"/>
      <c r="GI4" s="265"/>
      <c r="GJ4" s="265"/>
      <c r="GK4" s="265"/>
      <c r="GL4" s="265"/>
      <c r="GM4" s="265"/>
      <c r="GN4" s="265"/>
      <c r="GO4" s="265"/>
      <c r="GP4" s="265"/>
      <c r="GQ4" s="265"/>
      <c r="GR4" s="265"/>
      <c r="GS4" s="265"/>
      <c r="GT4" s="265"/>
      <c r="GU4" s="265"/>
      <c r="GV4" s="265"/>
      <c r="GW4" s="265"/>
      <c r="GX4" s="265"/>
      <c r="GY4" s="265"/>
      <c r="GZ4" s="265"/>
      <c r="HA4" s="265"/>
      <c r="HB4" s="265"/>
      <c r="HC4" s="265"/>
      <c r="HD4" s="265"/>
      <c r="HE4" s="265"/>
      <c r="HF4" s="265"/>
      <c r="HG4" s="265"/>
      <c r="HH4" s="265"/>
      <c r="HI4" s="265"/>
      <c r="HJ4" s="265"/>
      <c r="HK4" s="265"/>
      <c r="HL4" s="265"/>
      <c r="HM4" s="265"/>
      <c r="HN4" s="265"/>
      <c r="HO4" s="265"/>
      <c r="HP4" s="265"/>
      <c r="HQ4" s="265"/>
      <c r="HR4" s="265"/>
      <c r="HS4" s="265"/>
      <c r="HT4" s="265"/>
      <c r="HU4" s="265"/>
      <c r="HV4" s="265"/>
      <c r="HW4" s="265"/>
      <c r="HX4" s="265"/>
      <c r="HY4" s="265"/>
      <c r="HZ4" s="265"/>
      <c r="IA4" s="265"/>
      <c r="IB4" s="265"/>
      <c r="IC4" s="265"/>
      <c r="ID4" s="265"/>
      <c r="IE4" s="265"/>
      <c r="IF4" s="265"/>
      <c r="IG4" s="265"/>
      <c r="IH4" s="265"/>
      <c r="II4" s="265"/>
      <c r="IJ4" s="265"/>
      <c r="IK4" s="265"/>
      <c r="IL4" s="265"/>
      <c r="IM4" s="265"/>
      <c r="IN4" s="265"/>
      <c r="IO4" s="265"/>
      <c r="IP4" s="265"/>
      <c r="IQ4" s="265"/>
      <c r="IR4" s="265"/>
      <c r="IS4" s="265"/>
      <c r="IT4" s="265"/>
      <c r="IU4" s="265"/>
      <c r="IV4" s="265"/>
      <c r="IW4" s="265"/>
    </row>
    <row r="5" customFormat="false" ht="12.75" hidden="false" customHeight="false" outlineLevel="0" collapsed="false">
      <c r="A5" s="363" t="s">
        <v>312</v>
      </c>
      <c r="B5" s="14"/>
      <c r="C5" s="14"/>
      <c r="D5" s="17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703"/>
      <c r="Z5" s="593"/>
      <c r="AA5" s="148"/>
      <c r="AB5" s="148"/>
      <c r="AC5" s="148"/>
      <c r="AD5" s="148"/>
      <c r="AE5" s="703"/>
      <c r="AF5" s="148"/>
      <c r="AG5" s="148"/>
      <c r="AH5" s="148"/>
      <c r="AI5" s="148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customFormat="false" ht="12.75" hidden="false" customHeight="false" outlineLevel="0" collapsed="false">
      <c r="A6" s="366" t="s">
        <v>313</v>
      </c>
      <c r="B6" s="14"/>
      <c r="C6" s="14"/>
      <c r="D6" s="107" t="n">
        <f aca="false">+D72</f>
        <v>0</v>
      </c>
      <c r="E6" s="107" t="n">
        <f aca="false">+E72</f>
        <v>0</v>
      </c>
      <c r="F6" s="107" t="n">
        <f aca="false">+F72</f>
        <v>0</v>
      </c>
      <c r="G6" s="107" t="n">
        <f aca="false">+G72</f>
        <v>0</v>
      </c>
      <c r="H6" s="107" t="n">
        <f aca="false">+H72</f>
        <v>0</v>
      </c>
      <c r="I6" s="107" t="n">
        <f aca="false">+I72</f>
        <v>0</v>
      </c>
      <c r="J6" s="107" t="n">
        <f aca="false">+J72</f>
        <v>0</v>
      </c>
      <c r="K6" s="107" t="n">
        <f aca="false">+K72</f>
        <v>0</v>
      </c>
      <c r="L6" s="107" t="n">
        <f aca="false">+L72</f>
        <v>0</v>
      </c>
      <c r="M6" s="107" t="n">
        <f aca="false">+M72</f>
        <v>0</v>
      </c>
      <c r="N6" s="107" t="n">
        <f aca="false">+N72</f>
        <v>0</v>
      </c>
      <c r="O6" s="107" t="n">
        <f aca="false">+O72</f>
        <v>0</v>
      </c>
      <c r="P6" s="107" t="n">
        <f aca="false">+P72</f>
        <v>0</v>
      </c>
      <c r="Q6" s="107" t="n">
        <f aca="false">+Q72</f>
        <v>0</v>
      </c>
      <c r="R6" s="107" t="n">
        <f aca="false">+R72</f>
        <v>0</v>
      </c>
      <c r="S6" s="107" t="n">
        <f aca="false">+S72</f>
        <v>0</v>
      </c>
      <c r="T6" s="107" t="n">
        <f aca="false">+T72</f>
        <v>0</v>
      </c>
      <c r="U6" s="107" t="n">
        <f aca="false">+U72</f>
        <v>0</v>
      </c>
      <c r="V6" s="107" t="n">
        <f aca="false">+V72</f>
        <v>0</v>
      </c>
      <c r="W6" s="107" t="n">
        <f aca="false">+W72</f>
        <v>0</v>
      </c>
      <c r="X6" s="107" t="n">
        <f aca="false">+X72</f>
        <v>0</v>
      </c>
      <c r="Y6" s="517" t="n">
        <f aca="false">+Y72</f>
        <v>0</v>
      </c>
      <c r="Z6" s="477" t="n">
        <f aca="false">+Z72</f>
        <v>0</v>
      </c>
      <c r="AA6" s="107" t="n">
        <f aca="false">+AA72</f>
        <v>0</v>
      </c>
      <c r="AB6" s="107" t="n">
        <f aca="false">+AB72</f>
        <v>0</v>
      </c>
      <c r="AC6" s="107" t="n">
        <f aca="false">+AC72</f>
        <v>0</v>
      </c>
      <c r="AD6" s="107" t="n">
        <f aca="false">+AD72</f>
        <v>0</v>
      </c>
      <c r="AE6" s="517" t="n">
        <f aca="false">+AE72</f>
        <v>0</v>
      </c>
      <c r="AF6" s="107"/>
      <c r="AG6" s="430"/>
      <c r="AH6" s="430"/>
      <c r="AI6" s="430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customFormat="false" ht="12.75" hidden="false" customHeight="false" outlineLevel="0" collapsed="false">
      <c r="A7" s="366" t="s">
        <v>314</v>
      </c>
      <c r="B7" s="14"/>
      <c r="C7" s="428"/>
      <c r="D7" s="644" t="n">
        <v>0</v>
      </c>
      <c r="E7" s="644" t="n">
        <f aca="false">+D7+Assumpt!$S$52</f>
        <v>1266.4456272</v>
      </c>
      <c r="F7" s="107" t="n">
        <f aca="false">+E7</f>
        <v>1266.4456272</v>
      </c>
      <c r="G7" s="107" t="n">
        <f aca="false">+F7</f>
        <v>1266.4456272</v>
      </c>
      <c r="H7" s="107" t="n">
        <f aca="false">+G7</f>
        <v>1266.4456272</v>
      </c>
      <c r="I7" s="107" t="n">
        <f aca="false">+H7</f>
        <v>1266.4456272</v>
      </c>
      <c r="J7" s="107" t="n">
        <f aca="false">+I7</f>
        <v>1266.4456272</v>
      </c>
      <c r="K7" s="107" t="n">
        <f aca="false">+J7</f>
        <v>1266.4456272</v>
      </c>
      <c r="L7" s="107" t="n">
        <f aca="false">+K7</f>
        <v>1266.4456272</v>
      </c>
      <c r="M7" s="107" t="n">
        <f aca="false">+L7</f>
        <v>1266.4456272</v>
      </c>
      <c r="N7" s="107" t="n">
        <f aca="false">+M7</f>
        <v>1266.4456272</v>
      </c>
      <c r="O7" s="107" t="n">
        <f aca="false">+N7</f>
        <v>1266.4456272</v>
      </c>
      <c r="P7" s="107" t="n">
        <f aca="false">+O7</f>
        <v>1266.4456272</v>
      </c>
      <c r="Q7" s="107" t="n">
        <f aca="false">+P7</f>
        <v>1266.4456272</v>
      </c>
      <c r="R7" s="107" t="n">
        <f aca="false">+Q7</f>
        <v>1266.4456272</v>
      </c>
      <c r="S7" s="107" t="n">
        <f aca="false">+R7</f>
        <v>1266.4456272</v>
      </c>
      <c r="T7" s="107" t="n">
        <f aca="false">+S7</f>
        <v>1266.4456272</v>
      </c>
      <c r="U7" s="107" t="n">
        <f aca="false">+T7</f>
        <v>1266.4456272</v>
      </c>
      <c r="V7" s="107" t="n">
        <f aca="false">+U7</f>
        <v>1266.4456272</v>
      </c>
      <c r="W7" s="107" t="n">
        <f aca="false">+V7</f>
        <v>1266.4456272</v>
      </c>
      <c r="X7" s="107" t="n">
        <f aca="false">+W7</f>
        <v>1266.4456272</v>
      </c>
      <c r="Y7" s="517" t="n">
        <f aca="false">+X7</f>
        <v>1266.4456272</v>
      </c>
      <c r="Z7" s="477" t="n">
        <f aca="false">+Y7</f>
        <v>1266.4456272</v>
      </c>
      <c r="AA7" s="107" t="n">
        <f aca="false">+Z7</f>
        <v>1266.4456272</v>
      </c>
      <c r="AB7" s="107" t="n">
        <f aca="false">+AA7</f>
        <v>1266.4456272</v>
      </c>
      <c r="AC7" s="107" t="n">
        <f aca="false">+AB7</f>
        <v>1266.4456272</v>
      </c>
      <c r="AD7" s="107" t="n">
        <f aca="false">+AC7</f>
        <v>1266.4456272</v>
      </c>
      <c r="AE7" s="517" t="n">
        <f aca="false">+AD7</f>
        <v>1266.4456272</v>
      </c>
      <c r="AF7" s="107"/>
      <c r="AG7" s="430"/>
      <c r="AH7" s="430"/>
      <c r="AI7" s="430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customFormat="false" ht="12.75" hidden="false" customHeight="false" outlineLevel="0" collapsed="false">
      <c r="A8" s="704" t="s">
        <v>315</v>
      </c>
      <c r="B8" s="705"/>
      <c r="C8" s="705"/>
      <c r="D8" s="706" t="n">
        <v>0</v>
      </c>
      <c r="E8" s="706" t="n">
        <v>0</v>
      </c>
      <c r="F8" s="706" t="n">
        <v>0</v>
      </c>
      <c r="G8" s="706" t="n">
        <v>0</v>
      </c>
      <c r="H8" s="706" t="n">
        <v>0</v>
      </c>
      <c r="I8" s="706" t="n">
        <v>0</v>
      </c>
      <c r="J8" s="706" t="n">
        <v>0</v>
      </c>
      <c r="K8" s="706" t="n">
        <v>0</v>
      </c>
      <c r="L8" s="706" t="n">
        <v>0</v>
      </c>
      <c r="M8" s="706" t="n">
        <v>0</v>
      </c>
      <c r="N8" s="706" t="n">
        <v>0</v>
      </c>
      <c r="O8" s="706" t="n">
        <v>0</v>
      </c>
      <c r="P8" s="706" t="n">
        <v>0</v>
      </c>
      <c r="Q8" s="706" t="n">
        <v>0</v>
      </c>
      <c r="R8" s="706" t="n">
        <v>0</v>
      </c>
      <c r="S8" s="706" t="n">
        <v>0</v>
      </c>
      <c r="T8" s="706" t="n">
        <v>0</v>
      </c>
      <c r="U8" s="706" t="n">
        <v>0</v>
      </c>
      <c r="V8" s="706" t="n">
        <v>0</v>
      </c>
      <c r="W8" s="706" t="n">
        <v>0</v>
      </c>
      <c r="X8" s="706" t="n">
        <v>0</v>
      </c>
      <c r="Y8" s="707" t="n">
        <v>0</v>
      </c>
      <c r="Z8" s="708" t="n">
        <v>0</v>
      </c>
      <c r="AA8" s="706" t="n">
        <v>0</v>
      </c>
      <c r="AB8" s="706" t="n">
        <v>0</v>
      </c>
      <c r="AC8" s="706" t="n">
        <v>0</v>
      </c>
      <c r="AD8" s="706" t="n">
        <v>0</v>
      </c>
      <c r="AE8" s="707" t="n">
        <v>0</v>
      </c>
      <c r="AF8" s="706"/>
      <c r="AG8" s="709"/>
      <c r="AH8" s="709"/>
      <c r="AI8" s="709"/>
      <c r="AJ8" s="705"/>
      <c r="AK8" s="705"/>
      <c r="AL8" s="705"/>
      <c r="AM8" s="705"/>
      <c r="AN8" s="705"/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10"/>
      <c r="BA8" s="710"/>
      <c r="BB8" s="710"/>
      <c r="BC8" s="710"/>
      <c r="BD8" s="710"/>
      <c r="BE8" s="710"/>
      <c r="BF8" s="710"/>
      <c r="BG8" s="710"/>
      <c r="BH8" s="710"/>
      <c r="BI8" s="710"/>
      <c r="BJ8" s="710"/>
      <c r="BK8" s="710"/>
      <c r="BL8" s="710"/>
      <c r="BM8" s="710"/>
      <c r="BN8" s="710"/>
      <c r="BO8" s="710"/>
      <c r="BP8" s="710"/>
      <c r="BQ8" s="710"/>
      <c r="BR8" s="710"/>
      <c r="BS8" s="710"/>
      <c r="BT8" s="710"/>
      <c r="BU8" s="710"/>
      <c r="BV8" s="710"/>
      <c r="BW8" s="710"/>
      <c r="BX8" s="710"/>
      <c r="BY8" s="710"/>
      <c r="BZ8" s="710"/>
      <c r="CA8" s="710"/>
      <c r="CB8" s="710"/>
      <c r="CC8" s="710"/>
      <c r="CD8" s="710"/>
      <c r="CE8" s="710"/>
      <c r="CF8" s="710"/>
      <c r="CG8" s="710"/>
      <c r="CH8" s="710"/>
      <c r="CI8" s="710"/>
      <c r="CJ8" s="710"/>
      <c r="CK8" s="710"/>
      <c r="CL8" s="710"/>
      <c r="CM8" s="710"/>
      <c r="CN8" s="710"/>
      <c r="CO8" s="710"/>
      <c r="CP8" s="710"/>
      <c r="CQ8" s="710"/>
      <c r="CR8" s="710"/>
      <c r="CS8" s="710"/>
      <c r="CT8" s="710"/>
      <c r="CU8" s="710"/>
      <c r="CV8" s="710"/>
      <c r="CW8" s="710"/>
      <c r="CX8" s="710"/>
      <c r="CY8" s="710"/>
      <c r="CZ8" s="710"/>
      <c r="DA8" s="710"/>
      <c r="DB8" s="710"/>
      <c r="DC8" s="710"/>
      <c r="DD8" s="710"/>
      <c r="DE8" s="710"/>
      <c r="DF8" s="710"/>
      <c r="DG8" s="710"/>
      <c r="DH8" s="710"/>
      <c r="DI8" s="710"/>
      <c r="DJ8" s="710"/>
      <c r="DK8" s="710"/>
      <c r="DL8" s="710"/>
      <c r="DM8" s="710"/>
      <c r="DN8" s="710"/>
      <c r="DO8" s="710"/>
      <c r="DP8" s="710"/>
      <c r="DQ8" s="710"/>
      <c r="DR8" s="710"/>
      <c r="DS8" s="710"/>
      <c r="DT8" s="710"/>
      <c r="DU8" s="710"/>
      <c r="DV8" s="710"/>
      <c r="DW8" s="710"/>
      <c r="DX8" s="710"/>
      <c r="DY8" s="710"/>
      <c r="DZ8" s="710"/>
      <c r="EA8" s="710"/>
      <c r="EB8" s="710"/>
      <c r="EC8" s="710"/>
      <c r="ED8" s="710"/>
      <c r="EE8" s="710"/>
      <c r="EF8" s="710"/>
      <c r="EG8" s="710"/>
      <c r="EH8" s="710"/>
      <c r="EI8" s="710"/>
      <c r="EJ8" s="710"/>
      <c r="EK8" s="710"/>
      <c r="EL8" s="710"/>
      <c r="EM8" s="710"/>
      <c r="EN8" s="710"/>
      <c r="EO8" s="710"/>
      <c r="EP8" s="710"/>
      <c r="EQ8" s="710"/>
      <c r="ER8" s="710"/>
      <c r="ES8" s="710"/>
      <c r="ET8" s="710"/>
      <c r="EU8" s="710"/>
      <c r="EV8" s="710"/>
      <c r="EW8" s="710"/>
      <c r="EX8" s="710"/>
      <c r="EY8" s="710"/>
      <c r="EZ8" s="710"/>
      <c r="FA8" s="710"/>
      <c r="FB8" s="710"/>
      <c r="FC8" s="710"/>
      <c r="FD8" s="710"/>
      <c r="FE8" s="710"/>
      <c r="FF8" s="710"/>
      <c r="FG8" s="710"/>
      <c r="FH8" s="710"/>
      <c r="FI8" s="710"/>
      <c r="FJ8" s="710"/>
      <c r="FK8" s="710"/>
      <c r="FL8" s="710"/>
      <c r="FM8" s="710"/>
      <c r="FN8" s="710"/>
      <c r="FO8" s="710"/>
      <c r="FP8" s="710"/>
      <c r="FQ8" s="710"/>
      <c r="FR8" s="710"/>
      <c r="FS8" s="710"/>
      <c r="FT8" s="710"/>
      <c r="FU8" s="710"/>
      <c r="FV8" s="710"/>
      <c r="FW8" s="710"/>
      <c r="FX8" s="710"/>
      <c r="FY8" s="710"/>
      <c r="FZ8" s="710"/>
      <c r="GA8" s="710"/>
      <c r="GB8" s="710"/>
      <c r="GC8" s="710"/>
      <c r="GD8" s="710"/>
      <c r="GE8" s="710"/>
      <c r="GF8" s="710"/>
      <c r="GG8" s="710"/>
      <c r="GH8" s="710"/>
      <c r="GI8" s="710"/>
      <c r="GJ8" s="710"/>
      <c r="GK8" s="710"/>
      <c r="GL8" s="710"/>
      <c r="GM8" s="710"/>
      <c r="GN8" s="710"/>
      <c r="GO8" s="710"/>
      <c r="GP8" s="710"/>
      <c r="GQ8" s="710"/>
      <c r="GR8" s="710"/>
      <c r="GS8" s="710"/>
      <c r="GT8" s="710"/>
      <c r="GU8" s="710"/>
      <c r="GV8" s="710"/>
      <c r="GW8" s="710"/>
      <c r="GX8" s="710"/>
      <c r="GY8" s="710"/>
      <c r="GZ8" s="710"/>
      <c r="HA8" s="710"/>
      <c r="HB8" s="710"/>
      <c r="HC8" s="710"/>
      <c r="HD8" s="710"/>
      <c r="HE8" s="710"/>
      <c r="HF8" s="710"/>
      <c r="HG8" s="710"/>
      <c r="HH8" s="710"/>
      <c r="HI8" s="710"/>
      <c r="HJ8" s="710"/>
      <c r="HK8" s="710"/>
      <c r="HL8" s="710"/>
      <c r="HM8" s="710"/>
      <c r="HN8" s="710"/>
      <c r="HO8" s="710"/>
      <c r="HP8" s="710"/>
      <c r="HQ8" s="710"/>
      <c r="HR8" s="710"/>
      <c r="HS8" s="710"/>
      <c r="HT8" s="710"/>
      <c r="HU8" s="710"/>
      <c r="HV8" s="710"/>
      <c r="HW8" s="710"/>
      <c r="HX8" s="710"/>
      <c r="HY8" s="710"/>
      <c r="HZ8" s="710"/>
      <c r="IA8" s="710"/>
      <c r="IB8" s="710"/>
      <c r="IC8" s="710"/>
      <c r="ID8" s="710"/>
      <c r="IE8" s="710"/>
      <c r="IF8" s="710"/>
      <c r="IG8" s="710"/>
      <c r="IH8" s="710"/>
      <c r="II8" s="710"/>
      <c r="IJ8" s="710"/>
      <c r="IK8" s="710"/>
      <c r="IL8" s="710"/>
      <c r="IM8" s="710"/>
      <c r="IN8" s="710"/>
      <c r="IO8" s="710"/>
      <c r="IP8" s="710"/>
      <c r="IQ8" s="710"/>
      <c r="IR8" s="710"/>
      <c r="IS8" s="710"/>
      <c r="IT8" s="710"/>
      <c r="IU8" s="710"/>
      <c r="IV8" s="710"/>
      <c r="IW8" s="710"/>
    </row>
    <row r="9" customFormat="false" ht="12.75" hidden="false" customHeight="false" outlineLevel="0" collapsed="false">
      <c r="A9" s="366" t="s">
        <v>316</v>
      </c>
      <c r="B9" s="14"/>
      <c r="C9" s="14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517"/>
      <c r="Z9" s="477"/>
      <c r="AA9" s="107"/>
      <c r="AB9" s="107"/>
      <c r="AC9" s="107"/>
      <c r="AD9" s="107"/>
      <c r="AE9" s="517"/>
      <c r="AF9" s="107"/>
      <c r="AG9" s="430"/>
      <c r="AH9" s="430"/>
      <c r="AI9" s="430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customFormat="false" ht="12.75" hidden="false" customHeight="false" outlineLevel="0" collapsed="false">
      <c r="A10" s="711" t="s">
        <v>317</v>
      </c>
      <c r="B10" s="14"/>
      <c r="C10" s="14"/>
      <c r="D10" s="644" t="n">
        <v>0</v>
      </c>
      <c r="E10" s="107" t="n">
        <f aca="false">Assumpt!$S$58-Assumpt!$S$52</f>
        <v>168782.793927069</v>
      </c>
      <c r="F10" s="107" t="n">
        <f aca="false">+E10</f>
        <v>168782.793927069</v>
      </c>
      <c r="G10" s="107" t="n">
        <f aca="false">+F10</f>
        <v>168782.793927069</v>
      </c>
      <c r="H10" s="107" t="n">
        <f aca="false">+G10</f>
        <v>168782.793927069</v>
      </c>
      <c r="I10" s="107" t="n">
        <f aca="false">+H10</f>
        <v>168782.793927069</v>
      </c>
      <c r="J10" s="107" t="n">
        <f aca="false">+I10</f>
        <v>168782.793927069</v>
      </c>
      <c r="K10" s="107" t="n">
        <f aca="false">+J10</f>
        <v>168782.793927069</v>
      </c>
      <c r="L10" s="107" t="n">
        <f aca="false">+K10</f>
        <v>168782.793927069</v>
      </c>
      <c r="M10" s="107" t="n">
        <f aca="false">+L10</f>
        <v>168782.793927069</v>
      </c>
      <c r="N10" s="107" t="n">
        <f aca="false">+M10</f>
        <v>168782.793927069</v>
      </c>
      <c r="O10" s="107" t="n">
        <f aca="false">+N10</f>
        <v>168782.793927069</v>
      </c>
      <c r="P10" s="107" t="n">
        <f aca="false">+O10</f>
        <v>168782.793927069</v>
      </c>
      <c r="Q10" s="107" t="n">
        <f aca="false">+P10</f>
        <v>168782.793927069</v>
      </c>
      <c r="R10" s="107" t="n">
        <f aca="false">+Q10</f>
        <v>168782.793927069</v>
      </c>
      <c r="S10" s="107" t="n">
        <f aca="false">+R10</f>
        <v>168782.793927069</v>
      </c>
      <c r="T10" s="107" t="n">
        <f aca="false">+S10</f>
        <v>168782.793927069</v>
      </c>
      <c r="U10" s="107" t="n">
        <f aca="false">+T10</f>
        <v>168782.793927069</v>
      </c>
      <c r="V10" s="107" t="n">
        <f aca="false">+U10</f>
        <v>168782.793927069</v>
      </c>
      <c r="W10" s="107" t="n">
        <f aca="false">+V10</f>
        <v>168782.793927069</v>
      </c>
      <c r="X10" s="107" t="n">
        <f aca="false">+W10</f>
        <v>168782.793927069</v>
      </c>
      <c r="Y10" s="517" t="n">
        <f aca="false">+X10</f>
        <v>168782.793927069</v>
      </c>
      <c r="Z10" s="477" t="n">
        <f aca="false">+Y10</f>
        <v>168782.793927069</v>
      </c>
      <c r="AA10" s="107" t="n">
        <f aca="false">+Z10</f>
        <v>168782.793927069</v>
      </c>
      <c r="AB10" s="107" t="n">
        <f aca="false">+AA10</f>
        <v>168782.793927069</v>
      </c>
      <c r="AC10" s="107" t="n">
        <f aca="false">+AB10</f>
        <v>168782.793927069</v>
      </c>
      <c r="AD10" s="107" t="n">
        <f aca="false">+AC10</f>
        <v>168782.793927069</v>
      </c>
      <c r="AE10" s="517" t="n">
        <f aca="false">+AD10</f>
        <v>168782.793927069</v>
      </c>
      <c r="AF10" s="107"/>
      <c r="AG10" s="712"/>
      <c r="AH10" s="712"/>
      <c r="AI10" s="712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customFormat="false" ht="12.75" hidden="false" customHeight="false" outlineLevel="0" collapsed="false">
      <c r="A11" s="713" t="s">
        <v>318</v>
      </c>
      <c r="B11" s="148"/>
      <c r="C11" s="148"/>
      <c r="D11" s="131" t="n">
        <v>0</v>
      </c>
      <c r="E11" s="131" t="n">
        <f aca="false">SUM('Depn&amp;Tax'!$E$11:E11)</f>
        <v>-4219.56984817672</v>
      </c>
      <c r="F11" s="131" t="n">
        <f aca="false">SUM('Depn&amp;Tax'!$E$11:F11)</f>
        <v>-8439.13969635345</v>
      </c>
      <c r="G11" s="131" t="n">
        <f aca="false">SUM('Depn&amp;Tax'!$E$11:G11)</f>
        <v>-12658.7095445302</v>
      </c>
      <c r="H11" s="131" t="n">
        <f aca="false">SUM('Depn&amp;Tax'!$E$11:H11)</f>
        <v>-16878.2793927069</v>
      </c>
      <c r="I11" s="131" t="n">
        <f aca="false">SUM('Depn&amp;Tax'!$E$11:I11)</f>
        <v>-21097.8492408836</v>
      </c>
      <c r="J11" s="131" t="n">
        <f aca="false">SUM('Depn&amp;Tax'!$E$11:J11)</f>
        <v>-25317.4190890603</v>
      </c>
      <c r="K11" s="131" t="n">
        <f aca="false">SUM('Depn&amp;Tax'!$E$11:K11)</f>
        <v>-29536.9889372371</v>
      </c>
      <c r="L11" s="131" t="n">
        <f aca="false">SUM('Depn&amp;Tax'!$E$11:L11)</f>
        <v>-33756.5587854138</v>
      </c>
      <c r="M11" s="131" t="n">
        <f aca="false">SUM('Depn&amp;Tax'!$E$11:M11)</f>
        <v>-37976.1286335905</v>
      </c>
      <c r="N11" s="131" t="n">
        <f aca="false">SUM('Depn&amp;Tax'!$E$11:N11)</f>
        <v>-42195.6984817672</v>
      </c>
      <c r="O11" s="131" t="n">
        <f aca="false">SUM('Depn&amp;Tax'!$E$11:O11)</f>
        <v>-46415.268329944</v>
      </c>
      <c r="P11" s="131" t="n">
        <f aca="false">SUM('Depn&amp;Tax'!$E$11:P11)</f>
        <v>-50634.8381781207</v>
      </c>
      <c r="Q11" s="131" t="n">
        <f aca="false">SUM('Depn&amp;Tax'!$E$11:Q11)</f>
        <v>-54854.4080262974</v>
      </c>
      <c r="R11" s="131" t="n">
        <f aca="false">SUM('Depn&amp;Tax'!$E$11:R11)</f>
        <v>-59073.9778744741</v>
      </c>
      <c r="S11" s="131" t="n">
        <f aca="false">SUM('Depn&amp;Tax'!$E$11:S11)</f>
        <v>-63293.5477226509</v>
      </c>
      <c r="T11" s="131" t="n">
        <f aca="false">SUM('Depn&amp;Tax'!$E$11:T11)</f>
        <v>-63293.5477226509</v>
      </c>
      <c r="U11" s="131" t="n">
        <f aca="false">SUM('Depn&amp;Tax'!$E$11:U11)</f>
        <v>-63293.5477226509</v>
      </c>
      <c r="V11" s="131" t="n">
        <f aca="false">SUM('Depn&amp;Tax'!$E$11:V11)</f>
        <v>-63293.5477226509</v>
      </c>
      <c r="W11" s="131" t="n">
        <f aca="false">SUM('Depn&amp;Tax'!$E$11:W11)</f>
        <v>-63293.5477226509</v>
      </c>
      <c r="X11" s="131" t="n">
        <f aca="false">SUM('Depn&amp;Tax'!$E$11:X11)</f>
        <v>-63293.5477226509</v>
      </c>
      <c r="Y11" s="672" t="n">
        <f aca="false">SUM('Depn&amp;Tax'!$E$11:Y11)</f>
        <v>-63293.5477226509</v>
      </c>
      <c r="Z11" s="474" t="n">
        <f aca="false">SUM('Depn&amp;Tax'!$E$11:Z11)</f>
        <v>-63293.5477226509</v>
      </c>
      <c r="AA11" s="131" t="n">
        <f aca="false">SUM('Depn&amp;Tax'!$E$11:AA11)</f>
        <v>-63293.5477226509</v>
      </c>
      <c r="AB11" s="131" t="n">
        <f aca="false">SUM('Depn&amp;Tax'!$E$11:AB11)</f>
        <v>-63293.5477226509</v>
      </c>
      <c r="AC11" s="131" t="n">
        <f aca="false">SUM('Depn&amp;Tax'!$E$11:AC11)</f>
        <v>-63293.5477226509</v>
      </c>
      <c r="AD11" s="131" t="n">
        <f aca="false">SUM('Depn&amp;Tax'!$E$11:AD11)</f>
        <v>-63293.5477226509</v>
      </c>
      <c r="AE11" s="672" t="n">
        <f aca="false">SUM('Depn&amp;Tax'!$E$11:AE11)</f>
        <v>-63293.5477226509</v>
      </c>
      <c r="AF11" s="131"/>
      <c r="AG11" s="714"/>
      <c r="AH11" s="714"/>
      <c r="AI11" s="714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344"/>
      <c r="BA11" s="344"/>
      <c r="BB11" s="344"/>
      <c r="BC11" s="344"/>
      <c r="BD11" s="344"/>
      <c r="BE11" s="344"/>
      <c r="BF11" s="344"/>
      <c r="BG11" s="344"/>
      <c r="BH11" s="344"/>
      <c r="BI11" s="344"/>
      <c r="BJ11" s="344"/>
      <c r="BK11" s="344"/>
      <c r="BL11" s="344"/>
      <c r="BM11" s="344"/>
      <c r="BN11" s="344"/>
      <c r="BO11" s="344"/>
      <c r="BP11" s="344"/>
      <c r="BQ11" s="344"/>
      <c r="BR11" s="344"/>
      <c r="BS11" s="344"/>
      <c r="BT11" s="344"/>
      <c r="BU11" s="344"/>
      <c r="BV11" s="344"/>
      <c r="BW11" s="344"/>
      <c r="BX11" s="344"/>
      <c r="BY11" s="344"/>
      <c r="BZ11" s="344"/>
      <c r="CA11" s="344"/>
      <c r="CB11" s="344"/>
      <c r="CC11" s="344"/>
      <c r="CD11" s="344"/>
      <c r="CE11" s="344"/>
      <c r="CF11" s="344"/>
      <c r="CG11" s="344"/>
      <c r="CH11" s="344"/>
      <c r="CI11" s="344"/>
      <c r="CJ11" s="344"/>
      <c r="CK11" s="344"/>
      <c r="CL11" s="344"/>
      <c r="CM11" s="344"/>
      <c r="CN11" s="344"/>
      <c r="CO11" s="344"/>
      <c r="CP11" s="344"/>
      <c r="CQ11" s="344"/>
      <c r="CR11" s="344"/>
      <c r="CS11" s="344"/>
      <c r="CT11" s="344"/>
      <c r="CU11" s="344"/>
      <c r="CV11" s="344"/>
      <c r="CW11" s="344"/>
      <c r="CX11" s="344"/>
      <c r="CY11" s="344"/>
      <c r="CZ11" s="344"/>
      <c r="DA11" s="344"/>
      <c r="DB11" s="344"/>
      <c r="DC11" s="344"/>
      <c r="DD11" s="344"/>
      <c r="DE11" s="344"/>
      <c r="DF11" s="344"/>
      <c r="DG11" s="344"/>
      <c r="DH11" s="344"/>
      <c r="DI11" s="344"/>
      <c r="DJ11" s="344"/>
      <c r="DK11" s="344"/>
      <c r="DL11" s="344"/>
      <c r="DM11" s="344"/>
      <c r="DN11" s="344"/>
      <c r="DO11" s="344"/>
      <c r="DP11" s="344"/>
      <c r="DQ11" s="344"/>
      <c r="DR11" s="344"/>
      <c r="DS11" s="344"/>
      <c r="DT11" s="344"/>
      <c r="DU11" s="344"/>
      <c r="DV11" s="344"/>
      <c r="DW11" s="344"/>
      <c r="DX11" s="344"/>
      <c r="DY11" s="344"/>
      <c r="DZ11" s="344"/>
      <c r="EA11" s="344"/>
      <c r="EB11" s="344"/>
      <c r="EC11" s="344"/>
      <c r="ED11" s="344"/>
      <c r="EE11" s="344"/>
      <c r="EF11" s="344"/>
      <c r="EG11" s="344"/>
      <c r="EH11" s="344"/>
      <c r="EI11" s="344"/>
      <c r="EJ11" s="344"/>
      <c r="EK11" s="344"/>
      <c r="EL11" s="344"/>
      <c r="EM11" s="344"/>
      <c r="EN11" s="344"/>
      <c r="EO11" s="344"/>
      <c r="EP11" s="344"/>
      <c r="EQ11" s="344"/>
      <c r="ER11" s="344"/>
      <c r="ES11" s="344"/>
      <c r="ET11" s="344"/>
      <c r="EU11" s="344"/>
      <c r="EV11" s="344"/>
      <c r="EW11" s="344"/>
      <c r="EX11" s="344"/>
      <c r="EY11" s="344"/>
      <c r="EZ11" s="344"/>
      <c r="FA11" s="344"/>
      <c r="FB11" s="344"/>
      <c r="FC11" s="344"/>
      <c r="FD11" s="344"/>
      <c r="FE11" s="344"/>
      <c r="FF11" s="344"/>
      <c r="FG11" s="344"/>
      <c r="FH11" s="344"/>
      <c r="FI11" s="344"/>
      <c r="FJ11" s="344"/>
      <c r="FK11" s="344"/>
      <c r="FL11" s="344"/>
      <c r="FM11" s="344"/>
      <c r="FN11" s="344"/>
      <c r="FO11" s="344"/>
      <c r="FP11" s="344"/>
      <c r="FQ11" s="344"/>
      <c r="FR11" s="344"/>
      <c r="FS11" s="344"/>
      <c r="FT11" s="344"/>
      <c r="FU11" s="344"/>
      <c r="FV11" s="344"/>
      <c r="FW11" s="344"/>
      <c r="FX11" s="344"/>
      <c r="FY11" s="344"/>
      <c r="FZ11" s="344"/>
      <c r="GA11" s="344"/>
      <c r="GB11" s="344"/>
      <c r="GC11" s="344"/>
      <c r="GD11" s="344"/>
      <c r="GE11" s="344"/>
      <c r="GF11" s="344"/>
      <c r="GG11" s="344"/>
      <c r="GH11" s="344"/>
      <c r="GI11" s="344"/>
      <c r="GJ11" s="344"/>
      <c r="GK11" s="344"/>
      <c r="GL11" s="344"/>
      <c r="GM11" s="344"/>
      <c r="GN11" s="344"/>
      <c r="GO11" s="344"/>
      <c r="GP11" s="344"/>
      <c r="GQ11" s="344"/>
      <c r="GR11" s="344"/>
      <c r="GS11" s="344"/>
      <c r="GT11" s="344"/>
      <c r="GU11" s="344"/>
      <c r="GV11" s="344"/>
      <c r="GW11" s="344"/>
      <c r="GX11" s="344"/>
      <c r="GY11" s="344"/>
      <c r="GZ11" s="344"/>
      <c r="HA11" s="344"/>
      <c r="HB11" s="344"/>
      <c r="HC11" s="344"/>
      <c r="HD11" s="344"/>
      <c r="HE11" s="344"/>
      <c r="HF11" s="344"/>
      <c r="HG11" s="344"/>
      <c r="HH11" s="344"/>
      <c r="HI11" s="344"/>
      <c r="HJ11" s="344"/>
      <c r="HK11" s="344"/>
      <c r="HL11" s="344"/>
      <c r="HM11" s="344"/>
      <c r="HN11" s="344"/>
      <c r="HO11" s="344"/>
      <c r="HP11" s="344"/>
      <c r="HQ11" s="344"/>
      <c r="HR11" s="344"/>
      <c r="HS11" s="344"/>
      <c r="HT11" s="344"/>
      <c r="HU11" s="344"/>
      <c r="HV11" s="344"/>
      <c r="HW11" s="344"/>
      <c r="HX11" s="344"/>
      <c r="HY11" s="344"/>
      <c r="HZ11" s="344"/>
      <c r="IA11" s="344"/>
      <c r="IB11" s="344"/>
      <c r="IC11" s="344"/>
      <c r="ID11" s="344"/>
      <c r="IE11" s="344"/>
      <c r="IF11" s="344"/>
      <c r="IG11" s="344"/>
      <c r="IH11" s="344"/>
      <c r="II11" s="344"/>
      <c r="IJ11" s="344"/>
      <c r="IK11" s="344"/>
      <c r="IL11" s="344"/>
      <c r="IM11" s="344"/>
      <c r="IN11" s="344"/>
      <c r="IO11" s="344"/>
      <c r="IP11" s="344"/>
      <c r="IQ11" s="344"/>
      <c r="IR11" s="344"/>
      <c r="IS11" s="344"/>
      <c r="IT11" s="344"/>
      <c r="IU11" s="344"/>
      <c r="IV11" s="344"/>
      <c r="IW11" s="344"/>
    </row>
    <row r="12" customFormat="false" ht="12.75" hidden="false" customHeight="false" outlineLevel="0" collapsed="false">
      <c r="A12" s="715" t="s">
        <v>319</v>
      </c>
      <c r="B12" s="274"/>
      <c r="C12" s="274"/>
      <c r="D12" s="107" t="n">
        <f aca="false">+D10+D11</f>
        <v>0</v>
      </c>
      <c r="E12" s="107" t="n">
        <f aca="false">+E10+E11</f>
        <v>164563.224078892</v>
      </c>
      <c r="F12" s="107" t="n">
        <f aca="false">+F10+F11</f>
        <v>160343.654230716</v>
      </c>
      <c r="G12" s="107" t="n">
        <f aca="false">+G10+G11</f>
        <v>156124.084382539</v>
      </c>
      <c r="H12" s="107" t="n">
        <f aca="false">+H10+H11</f>
        <v>151904.514534362</v>
      </c>
      <c r="I12" s="107" t="n">
        <f aca="false">+I10+I11</f>
        <v>147684.944686185</v>
      </c>
      <c r="J12" s="107" t="n">
        <f aca="false">+J10+J11</f>
        <v>143465.374838009</v>
      </c>
      <c r="K12" s="107" t="n">
        <f aca="false">+K10+K11</f>
        <v>139245.804989832</v>
      </c>
      <c r="L12" s="107" t="n">
        <f aca="false">+L10+L11</f>
        <v>135026.235141655</v>
      </c>
      <c r="M12" s="107" t="n">
        <f aca="false">+M10+M11</f>
        <v>130806.665293478</v>
      </c>
      <c r="N12" s="107" t="n">
        <f aca="false">+N10+N11</f>
        <v>126587.095445302</v>
      </c>
      <c r="O12" s="107" t="n">
        <f aca="false">+O10+O11</f>
        <v>122367.525597125</v>
      </c>
      <c r="P12" s="107" t="n">
        <f aca="false">+P10+P11</f>
        <v>118147.955748948</v>
      </c>
      <c r="Q12" s="107" t="n">
        <f aca="false">+Q10+Q11</f>
        <v>113928.385900772</v>
      </c>
      <c r="R12" s="107" t="n">
        <f aca="false">+R10+R11</f>
        <v>109708.816052595</v>
      </c>
      <c r="S12" s="107" t="n">
        <f aca="false">+S10+S11</f>
        <v>105489.246204418</v>
      </c>
      <c r="T12" s="107" t="n">
        <f aca="false">+T10+T11</f>
        <v>105489.246204418</v>
      </c>
      <c r="U12" s="107" t="n">
        <f aca="false">+U10+U11</f>
        <v>105489.246204418</v>
      </c>
      <c r="V12" s="107" t="n">
        <f aca="false">+V10+V11</f>
        <v>105489.246204418</v>
      </c>
      <c r="W12" s="107" t="n">
        <f aca="false">+W10+W11</f>
        <v>105489.246204418</v>
      </c>
      <c r="X12" s="107" t="n">
        <f aca="false">+X10+X11</f>
        <v>105489.246204418</v>
      </c>
      <c r="Y12" s="517" t="n">
        <f aca="false">+Y10+Y11</f>
        <v>105489.246204418</v>
      </c>
      <c r="Z12" s="477" t="n">
        <f aca="false">+Z10+Z11</f>
        <v>105489.246204418</v>
      </c>
      <c r="AA12" s="107" t="n">
        <f aca="false">+AA10+AA11</f>
        <v>105489.246204418</v>
      </c>
      <c r="AB12" s="107" t="n">
        <f aca="false">+AB10+AB11</f>
        <v>105489.246204418</v>
      </c>
      <c r="AC12" s="107" t="n">
        <f aca="false">+AC10+AC11</f>
        <v>105489.246204418</v>
      </c>
      <c r="AD12" s="107" t="n">
        <f aca="false">+AD10+AD11</f>
        <v>105489.246204418</v>
      </c>
      <c r="AE12" s="517" t="n">
        <f aca="false">+AE10+AE11</f>
        <v>105489.246204418</v>
      </c>
      <c r="AF12" s="107"/>
      <c r="AG12" s="712"/>
      <c r="AH12" s="712"/>
      <c r="AI12" s="712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  <c r="EA12" s="274"/>
      <c r="EB12" s="274"/>
      <c r="EC12" s="274"/>
      <c r="ED12" s="274"/>
      <c r="EE12" s="274"/>
      <c r="EF12" s="274"/>
      <c r="EG12" s="274"/>
      <c r="EH12" s="274"/>
      <c r="EI12" s="274"/>
      <c r="EJ12" s="274"/>
      <c r="EK12" s="274"/>
      <c r="EL12" s="274"/>
      <c r="EM12" s="274"/>
      <c r="EN12" s="274"/>
      <c r="EO12" s="274"/>
      <c r="EP12" s="274"/>
      <c r="EQ12" s="274"/>
      <c r="ER12" s="274"/>
      <c r="ES12" s="274"/>
      <c r="ET12" s="274"/>
      <c r="EU12" s="274"/>
      <c r="EV12" s="274"/>
      <c r="EW12" s="274"/>
      <c r="EX12" s="274"/>
      <c r="EY12" s="274"/>
      <c r="EZ12" s="274"/>
      <c r="FA12" s="274"/>
      <c r="FB12" s="274"/>
      <c r="FC12" s="274"/>
      <c r="FD12" s="274"/>
      <c r="FE12" s="274"/>
      <c r="FF12" s="274"/>
      <c r="FG12" s="274"/>
      <c r="FH12" s="274"/>
      <c r="FI12" s="274"/>
      <c r="FJ12" s="274"/>
      <c r="FK12" s="274"/>
      <c r="FL12" s="274"/>
      <c r="FM12" s="274"/>
      <c r="FN12" s="274"/>
      <c r="FO12" s="274"/>
      <c r="FP12" s="274"/>
      <c r="FQ12" s="274"/>
      <c r="FR12" s="274"/>
      <c r="FS12" s="274"/>
      <c r="FT12" s="274"/>
      <c r="FU12" s="274"/>
      <c r="FV12" s="274"/>
      <c r="FW12" s="274"/>
      <c r="FX12" s="274"/>
      <c r="FY12" s="274"/>
      <c r="FZ12" s="274"/>
      <c r="GA12" s="274"/>
      <c r="GB12" s="274"/>
      <c r="GC12" s="274"/>
      <c r="GD12" s="274"/>
      <c r="GE12" s="274"/>
      <c r="GF12" s="274"/>
      <c r="GG12" s="274"/>
      <c r="GH12" s="274"/>
      <c r="GI12" s="274"/>
      <c r="GJ12" s="274"/>
      <c r="GK12" s="274"/>
      <c r="GL12" s="274"/>
      <c r="GM12" s="274"/>
      <c r="GN12" s="274"/>
      <c r="GO12" s="274"/>
      <c r="GP12" s="274"/>
      <c r="GQ12" s="274"/>
      <c r="GR12" s="274"/>
      <c r="GS12" s="274"/>
      <c r="GT12" s="274"/>
      <c r="GU12" s="274"/>
      <c r="GV12" s="274"/>
      <c r="GW12" s="274"/>
      <c r="GX12" s="274"/>
      <c r="GY12" s="274"/>
      <c r="GZ12" s="274"/>
      <c r="HA12" s="274"/>
      <c r="HB12" s="274"/>
      <c r="HC12" s="274"/>
      <c r="HD12" s="274"/>
      <c r="HE12" s="274"/>
      <c r="HF12" s="274"/>
      <c r="HG12" s="274"/>
      <c r="HH12" s="274"/>
      <c r="HI12" s="274"/>
      <c r="HJ12" s="274"/>
      <c r="HK12" s="274"/>
      <c r="HL12" s="274"/>
      <c r="HM12" s="274"/>
      <c r="HN12" s="274"/>
      <c r="HO12" s="274"/>
      <c r="HP12" s="274"/>
      <c r="HQ12" s="274"/>
      <c r="HR12" s="274"/>
      <c r="HS12" s="274"/>
      <c r="HT12" s="274"/>
      <c r="HU12" s="274"/>
      <c r="HV12" s="274"/>
      <c r="HW12" s="274"/>
      <c r="HX12" s="274"/>
      <c r="HY12" s="274"/>
      <c r="HZ12" s="274"/>
      <c r="IA12" s="274"/>
      <c r="IB12" s="274"/>
      <c r="IC12" s="274"/>
      <c r="ID12" s="274"/>
      <c r="IE12" s="274"/>
      <c r="IF12" s="274"/>
      <c r="IG12" s="274"/>
      <c r="IH12" s="274"/>
      <c r="II12" s="274"/>
      <c r="IJ12" s="274"/>
      <c r="IK12" s="274"/>
      <c r="IL12" s="274"/>
      <c r="IM12" s="274"/>
      <c r="IN12" s="274"/>
      <c r="IO12" s="274"/>
      <c r="IP12" s="274"/>
      <c r="IQ12" s="274"/>
      <c r="IR12" s="274"/>
      <c r="IS12" s="274"/>
      <c r="IT12" s="274"/>
      <c r="IU12" s="274"/>
      <c r="IV12" s="274"/>
      <c r="IW12" s="274"/>
    </row>
    <row r="13" customFormat="false" ht="12.75" hidden="false" customHeight="false" outlineLevel="0" collapsed="false">
      <c r="A13" s="715"/>
      <c r="B13" s="274"/>
      <c r="C13" s="274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517"/>
      <c r="Z13" s="477"/>
      <c r="AA13" s="107"/>
      <c r="AB13" s="107"/>
      <c r="AC13" s="107"/>
      <c r="AD13" s="107"/>
      <c r="AE13" s="517"/>
      <c r="AF13" s="107"/>
      <c r="AG13" s="712"/>
      <c r="AH13" s="712"/>
      <c r="AI13" s="712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  <c r="EA13" s="274"/>
      <c r="EB13" s="274"/>
      <c r="EC13" s="274"/>
      <c r="ED13" s="274"/>
      <c r="EE13" s="274"/>
      <c r="EF13" s="274"/>
      <c r="EG13" s="274"/>
      <c r="EH13" s="274"/>
      <c r="EI13" s="274"/>
      <c r="EJ13" s="274"/>
      <c r="EK13" s="274"/>
      <c r="EL13" s="274"/>
      <c r="EM13" s="274"/>
      <c r="EN13" s="274"/>
      <c r="EO13" s="274"/>
      <c r="EP13" s="274"/>
      <c r="EQ13" s="274"/>
      <c r="ER13" s="274"/>
      <c r="ES13" s="274"/>
      <c r="ET13" s="274"/>
      <c r="EU13" s="274"/>
      <c r="EV13" s="274"/>
      <c r="EW13" s="274"/>
      <c r="EX13" s="274"/>
      <c r="EY13" s="274"/>
      <c r="EZ13" s="274"/>
      <c r="FA13" s="274"/>
      <c r="FB13" s="274"/>
      <c r="FC13" s="274"/>
      <c r="FD13" s="274"/>
      <c r="FE13" s="274"/>
      <c r="FF13" s="274"/>
      <c r="FG13" s="274"/>
      <c r="FH13" s="274"/>
      <c r="FI13" s="274"/>
      <c r="FJ13" s="274"/>
      <c r="FK13" s="274"/>
      <c r="FL13" s="274"/>
      <c r="FM13" s="274"/>
      <c r="FN13" s="274"/>
      <c r="FO13" s="274"/>
      <c r="FP13" s="274"/>
      <c r="FQ13" s="274"/>
      <c r="FR13" s="274"/>
      <c r="FS13" s="274"/>
      <c r="FT13" s="274"/>
      <c r="FU13" s="274"/>
      <c r="FV13" s="274"/>
      <c r="FW13" s="274"/>
      <c r="FX13" s="274"/>
      <c r="FY13" s="274"/>
      <c r="FZ13" s="274"/>
      <c r="GA13" s="274"/>
      <c r="GB13" s="274"/>
      <c r="GC13" s="274"/>
      <c r="GD13" s="274"/>
      <c r="GE13" s="274"/>
      <c r="GF13" s="274"/>
      <c r="GG13" s="274"/>
      <c r="GH13" s="274"/>
      <c r="GI13" s="274"/>
      <c r="GJ13" s="274"/>
      <c r="GK13" s="274"/>
      <c r="GL13" s="274"/>
      <c r="GM13" s="274"/>
      <c r="GN13" s="274"/>
      <c r="GO13" s="274"/>
      <c r="GP13" s="274"/>
      <c r="GQ13" s="274"/>
      <c r="GR13" s="274"/>
      <c r="GS13" s="274"/>
      <c r="GT13" s="274"/>
      <c r="GU13" s="274"/>
      <c r="GV13" s="274"/>
      <c r="GW13" s="274"/>
      <c r="GX13" s="274"/>
      <c r="GY13" s="274"/>
      <c r="GZ13" s="274"/>
      <c r="HA13" s="274"/>
      <c r="HB13" s="274"/>
      <c r="HC13" s="274"/>
      <c r="HD13" s="274"/>
      <c r="HE13" s="274"/>
      <c r="HF13" s="274"/>
      <c r="HG13" s="274"/>
      <c r="HH13" s="274"/>
      <c r="HI13" s="274"/>
      <c r="HJ13" s="274"/>
      <c r="HK13" s="274"/>
      <c r="HL13" s="274"/>
      <c r="HM13" s="274"/>
      <c r="HN13" s="274"/>
      <c r="HO13" s="274"/>
      <c r="HP13" s="274"/>
      <c r="HQ13" s="274"/>
      <c r="HR13" s="274"/>
      <c r="HS13" s="274"/>
      <c r="HT13" s="274"/>
      <c r="HU13" s="274"/>
      <c r="HV13" s="274"/>
      <c r="HW13" s="274"/>
      <c r="HX13" s="274"/>
      <c r="HY13" s="274"/>
      <c r="HZ13" s="274"/>
      <c r="IA13" s="274"/>
      <c r="IB13" s="274"/>
      <c r="IC13" s="274"/>
      <c r="ID13" s="274"/>
      <c r="IE13" s="274"/>
      <c r="IF13" s="274"/>
      <c r="IG13" s="274"/>
      <c r="IH13" s="274"/>
      <c r="II13" s="274"/>
      <c r="IJ13" s="274"/>
      <c r="IK13" s="274"/>
      <c r="IL13" s="274"/>
      <c r="IM13" s="274"/>
      <c r="IN13" s="274"/>
      <c r="IO13" s="274"/>
      <c r="IP13" s="274"/>
      <c r="IQ13" s="274"/>
      <c r="IR13" s="274"/>
      <c r="IS13" s="274"/>
      <c r="IT13" s="274"/>
      <c r="IU13" s="274"/>
      <c r="IV13" s="274"/>
      <c r="IW13" s="274"/>
    </row>
    <row r="14" customFormat="false" ht="12.75" hidden="false" customHeight="false" outlineLevel="0" collapsed="false">
      <c r="A14" s="716" t="s">
        <v>320</v>
      </c>
      <c r="B14" s="295"/>
      <c r="C14" s="295"/>
      <c r="D14" s="353" t="n">
        <f aca="false">SUM(D6:D8)+D12</f>
        <v>0</v>
      </c>
      <c r="E14" s="353" t="n">
        <f aca="false">SUM(E6:E8)+E12</f>
        <v>165829.669706092</v>
      </c>
      <c r="F14" s="353" t="n">
        <f aca="false">SUM(F6:F8)+F12</f>
        <v>161610.099857916</v>
      </c>
      <c r="G14" s="353" t="n">
        <f aca="false">SUM(G6:G8)+G12</f>
        <v>157390.530009739</v>
      </c>
      <c r="H14" s="353" t="n">
        <f aca="false">SUM(H6:H8)+H12</f>
        <v>153170.960161562</v>
      </c>
      <c r="I14" s="353" t="n">
        <f aca="false">SUM(I6:I8)+I12</f>
        <v>148951.390313385</v>
      </c>
      <c r="J14" s="353" t="n">
        <f aca="false">SUM(J6:J8)+J12</f>
        <v>144731.820465209</v>
      </c>
      <c r="K14" s="353" t="n">
        <f aca="false">SUM(K6:K8)+K12</f>
        <v>140512.250617032</v>
      </c>
      <c r="L14" s="353" t="n">
        <f aca="false">SUM(L6:L8)+L12</f>
        <v>136292.680768855</v>
      </c>
      <c r="M14" s="353" t="n">
        <f aca="false">SUM(M6:M8)+M12</f>
        <v>132073.110920678</v>
      </c>
      <c r="N14" s="353" t="n">
        <f aca="false">SUM(N6:N8)+N12</f>
        <v>127853.541072502</v>
      </c>
      <c r="O14" s="353" t="n">
        <f aca="false">SUM(O6:O8)+O12</f>
        <v>123633.971224325</v>
      </c>
      <c r="P14" s="353" t="n">
        <f aca="false">SUM(P6:P8)+P12</f>
        <v>119414.401376148</v>
      </c>
      <c r="Q14" s="353" t="n">
        <f aca="false">SUM(Q6:Q8)+Q12</f>
        <v>115194.831527972</v>
      </c>
      <c r="R14" s="353" t="n">
        <f aca="false">SUM(R6:R8)+R12</f>
        <v>110975.261679795</v>
      </c>
      <c r="S14" s="353" t="n">
        <f aca="false">SUM(S6:S8)+S12</f>
        <v>106755.691831618</v>
      </c>
      <c r="T14" s="353" t="n">
        <f aca="false">SUM(T6:T8)+T12</f>
        <v>106755.691831618</v>
      </c>
      <c r="U14" s="353" t="n">
        <f aca="false">SUM(U6:U8)+U12</f>
        <v>106755.691831618</v>
      </c>
      <c r="V14" s="353" t="n">
        <f aca="false">SUM(V6:V8)+V12</f>
        <v>106755.691831618</v>
      </c>
      <c r="W14" s="353" t="n">
        <f aca="false">SUM(W6:W8)+W12</f>
        <v>106755.691831618</v>
      </c>
      <c r="X14" s="353" t="n">
        <f aca="false">SUM(X6:X8)+X12</f>
        <v>106755.691831618</v>
      </c>
      <c r="Y14" s="520" t="n">
        <f aca="false">SUM(Y6:Y8)+Y12</f>
        <v>106755.691831618</v>
      </c>
      <c r="Z14" s="717" t="n">
        <f aca="false">SUM(Z6:Z8)+Z12</f>
        <v>106755.691831618</v>
      </c>
      <c r="AA14" s="353" t="n">
        <f aca="false">SUM(AA6:AA8)+AA12</f>
        <v>106755.691831618</v>
      </c>
      <c r="AB14" s="353" t="n">
        <f aca="false">SUM(AB6:AB8)+AB12</f>
        <v>106755.691831618</v>
      </c>
      <c r="AC14" s="353" t="n">
        <f aca="false">SUM(AC6:AC8)+AC12</f>
        <v>106755.691831618</v>
      </c>
      <c r="AD14" s="353" t="n">
        <f aca="false">SUM(AD6:AD8)+AD12</f>
        <v>106755.691831618</v>
      </c>
      <c r="AE14" s="520" t="n">
        <f aca="false">SUM(AE6:AE8)+AE12</f>
        <v>106755.691831618</v>
      </c>
      <c r="AF14" s="353"/>
      <c r="AG14" s="718"/>
      <c r="AH14" s="718"/>
      <c r="AI14" s="718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  <c r="BO14" s="296"/>
      <c r="BP14" s="296"/>
      <c r="BQ14" s="296"/>
      <c r="BR14" s="296"/>
      <c r="BS14" s="296"/>
      <c r="BT14" s="296"/>
      <c r="BU14" s="296"/>
      <c r="BV14" s="296"/>
      <c r="BW14" s="296"/>
      <c r="BX14" s="296"/>
      <c r="BY14" s="296"/>
      <c r="BZ14" s="296"/>
      <c r="CA14" s="296"/>
      <c r="CB14" s="296"/>
      <c r="CC14" s="296"/>
      <c r="CD14" s="296"/>
      <c r="CE14" s="296"/>
      <c r="CF14" s="296"/>
      <c r="CG14" s="296"/>
      <c r="CH14" s="296"/>
      <c r="CI14" s="296"/>
      <c r="CJ14" s="296"/>
      <c r="CK14" s="296"/>
      <c r="CL14" s="296"/>
      <c r="CM14" s="296"/>
      <c r="CN14" s="296"/>
      <c r="CO14" s="296"/>
      <c r="CP14" s="296"/>
      <c r="CQ14" s="296"/>
      <c r="CR14" s="296"/>
      <c r="CS14" s="296"/>
      <c r="CT14" s="296"/>
      <c r="CU14" s="296"/>
      <c r="CV14" s="296"/>
      <c r="CW14" s="296"/>
      <c r="CX14" s="296"/>
      <c r="CY14" s="296"/>
      <c r="CZ14" s="296"/>
      <c r="DA14" s="296"/>
      <c r="DB14" s="296"/>
      <c r="DC14" s="296"/>
      <c r="DD14" s="296"/>
      <c r="DE14" s="296"/>
      <c r="DF14" s="296"/>
      <c r="DG14" s="296"/>
      <c r="DH14" s="296"/>
      <c r="DI14" s="296"/>
      <c r="DJ14" s="296"/>
      <c r="DK14" s="296"/>
      <c r="DL14" s="296"/>
      <c r="DM14" s="296"/>
      <c r="DN14" s="296"/>
      <c r="DO14" s="296"/>
      <c r="DP14" s="296"/>
      <c r="DQ14" s="296"/>
      <c r="DR14" s="296"/>
      <c r="DS14" s="296"/>
      <c r="DT14" s="296"/>
      <c r="DU14" s="296"/>
      <c r="DV14" s="296"/>
      <c r="DW14" s="296"/>
      <c r="DX14" s="296"/>
      <c r="DY14" s="296"/>
      <c r="DZ14" s="296"/>
      <c r="EA14" s="296"/>
      <c r="EB14" s="296"/>
      <c r="EC14" s="296"/>
      <c r="ED14" s="296"/>
      <c r="EE14" s="296"/>
      <c r="EF14" s="296"/>
      <c r="EG14" s="296"/>
      <c r="EH14" s="296"/>
      <c r="EI14" s="296"/>
      <c r="EJ14" s="296"/>
      <c r="EK14" s="296"/>
      <c r="EL14" s="296"/>
      <c r="EM14" s="296"/>
      <c r="EN14" s="296"/>
      <c r="EO14" s="296"/>
      <c r="EP14" s="296"/>
      <c r="EQ14" s="296"/>
      <c r="ER14" s="296"/>
      <c r="ES14" s="296"/>
      <c r="ET14" s="296"/>
      <c r="EU14" s="296"/>
      <c r="EV14" s="296"/>
      <c r="EW14" s="296"/>
      <c r="EX14" s="296"/>
      <c r="EY14" s="296"/>
      <c r="EZ14" s="296"/>
      <c r="FA14" s="296"/>
      <c r="FB14" s="296"/>
      <c r="FC14" s="296"/>
      <c r="FD14" s="296"/>
      <c r="FE14" s="296"/>
      <c r="FF14" s="296"/>
      <c r="FG14" s="296"/>
      <c r="FH14" s="296"/>
      <c r="FI14" s="296"/>
      <c r="FJ14" s="296"/>
      <c r="FK14" s="296"/>
      <c r="FL14" s="296"/>
      <c r="FM14" s="296"/>
      <c r="FN14" s="296"/>
      <c r="FO14" s="296"/>
      <c r="FP14" s="296"/>
      <c r="FQ14" s="296"/>
      <c r="FR14" s="296"/>
      <c r="FS14" s="296"/>
      <c r="FT14" s="296"/>
      <c r="FU14" s="296"/>
      <c r="FV14" s="296"/>
      <c r="FW14" s="296"/>
      <c r="FX14" s="296"/>
      <c r="FY14" s="296"/>
      <c r="FZ14" s="296"/>
      <c r="GA14" s="296"/>
      <c r="GB14" s="296"/>
      <c r="GC14" s="296"/>
      <c r="GD14" s="296"/>
      <c r="GE14" s="296"/>
      <c r="GF14" s="296"/>
      <c r="GG14" s="296"/>
      <c r="GH14" s="296"/>
      <c r="GI14" s="296"/>
      <c r="GJ14" s="296"/>
      <c r="GK14" s="296"/>
      <c r="GL14" s="296"/>
      <c r="GM14" s="296"/>
      <c r="GN14" s="296"/>
      <c r="GO14" s="296"/>
      <c r="GP14" s="296"/>
      <c r="GQ14" s="296"/>
      <c r="GR14" s="296"/>
      <c r="GS14" s="296"/>
      <c r="GT14" s="296"/>
      <c r="GU14" s="296"/>
      <c r="GV14" s="296"/>
      <c r="GW14" s="296"/>
      <c r="GX14" s="296"/>
      <c r="GY14" s="296"/>
      <c r="GZ14" s="296"/>
      <c r="HA14" s="296"/>
      <c r="HB14" s="296"/>
      <c r="HC14" s="296"/>
      <c r="HD14" s="296"/>
      <c r="HE14" s="296"/>
      <c r="HF14" s="296"/>
      <c r="HG14" s="296"/>
      <c r="HH14" s="296"/>
      <c r="HI14" s="296"/>
      <c r="HJ14" s="296"/>
      <c r="HK14" s="296"/>
      <c r="HL14" s="296"/>
      <c r="HM14" s="296"/>
      <c r="HN14" s="296"/>
      <c r="HO14" s="296"/>
      <c r="HP14" s="296"/>
      <c r="HQ14" s="296"/>
      <c r="HR14" s="296"/>
      <c r="HS14" s="296"/>
      <c r="HT14" s="296"/>
      <c r="HU14" s="296"/>
      <c r="HV14" s="296"/>
      <c r="HW14" s="296"/>
      <c r="HX14" s="296"/>
      <c r="HY14" s="296"/>
      <c r="HZ14" s="296"/>
      <c r="IA14" s="296"/>
      <c r="IB14" s="296"/>
      <c r="IC14" s="296"/>
      <c r="ID14" s="296"/>
      <c r="IE14" s="296"/>
      <c r="IF14" s="296"/>
      <c r="IG14" s="296"/>
      <c r="IH14" s="296"/>
      <c r="II14" s="296"/>
      <c r="IJ14" s="296"/>
      <c r="IK14" s="296"/>
      <c r="IL14" s="296"/>
      <c r="IM14" s="296"/>
      <c r="IN14" s="296"/>
      <c r="IO14" s="296"/>
      <c r="IP14" s="296"/>
      <c r="IQ14" s="296"/>
      <c r="IR14" s="296"/>
      <c r="IS14" s="296"/>
      <c r="IT14" s="296"/>
      <c r="IU14" s="296"/>
      <c r="IV14" s="296"/>
      <c r="IW14" s="296"/>
    </row>
    <row r="15" customFormat="false" ht="12.75" hidden="false" customHeight="false" outlineLevel="0" collapsed="false">
      <c r="A15" s="372"/>
      <c r="B15" s="14"/>
      <c r="C15" s="14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517"/>
      <c r="Z15" s="477"/>
      <c r="AA15" s="107"/>
      <c r="AB15" s="107"/>
      <c r="AC15" s="107"/>
      <c r="AD15" s="107"/>
      <c r="AE15" s="517"/>
      <c r="AF15" s="107"/>
      <c r="AG15" s="430"/>
      <c r="AH15" s="430"/>
      <c r="AI15" s="430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</row>
    <row r="16" customFormat="false" ht="12.75" hidden="false" customHeight="false" outlineLevel="0" collapsed="false">
      <c r="A16" s="363" t="s">
        <v>321</v>
      </c>
      <c r="B16" s="14"/>
      <c r="C16" s="14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517"/>
      <c r="Z16" s="477"/>
      <c r="AA16" s="107"/>
      <c r="AB16" s="107"/>
      <c r="AC16" s="107"/>
      <c r="AD16" s="107"/>
      <c r="AE16" s="517"/>
      <c r="AF16" s="107"/>
      <c r="AG16" s="430"/>
      <c r="AH16" s="430"/>
      <c r="AI16" s="430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</row>
    <row r="17" customFormat="false" ht="12.75" hidden="false" customHeight="false" outlineLevel="0" collapsed="false">
      <c r="A17" s="366" t="s">
        <v>322</v>
      </c>
      <c r="B17" s="14"/>
      <c r="C17" s="14"/>
      <c r="D17" s="644" t="n">
        <v>0</v>
      </c>
      <c r="E17" s="107" t="n">
        <f aca="false">+D17+E42+E58</f>
        <v>0</v>
      </c>
      <c r="F17" s="107" t="n">
        <f aca="false">+E17+F42+F58</f>
        <v>0</v>
      </c>
      <c r="G17" s="107" t="n">
        <f aca="false">+F17+G42+G58</f>
        <v>1292.53098213544</v>
      </c>
      <c r="H17" s="107" t="n">
        <f aca="false">+G17+H42+H58</f>
        <v>2219.56179493291</v>
      </c>
      <c r="I17" s="107" t="n">
        <f aca="false">+H17+I42+I58</f>
        <v>2852.49727215942</v>
      </c>
      <c r="J17" s="107" t="n">
        <f aca="false">+I17+J42+J58</f>
        <v>4854.71727406506</v>
      </c>
      <c r="K17" s="107" t="n">
        <f aca="false">+J17+K42+K58</f>
        <v>7991.32956591027</v>
      </c>
      <c r="L17" s="107" t="n">
        <f aca="false">+K17+L42+L58</f>
        <v>9257.20052036329</v>
      </c>
      <c r="M17" s="107" t="n">
        <f aca="false">+L17+M42+M58</f>
        <v>10523.0714748163</v>
      </c>
      <c r="N17" s="107" t="n">
        <f aca="false">+M17+N42+N58</f>
        <v>11788.9424292693</v>
      </c>
      <c r="O17" s="107" t="n">
        <f aca="false">+N17+O42+O58</f>
        <v>13054.8133837223</v>
      </c>
      <c r="P17" s="107" t="n">
        <f aca="false">+O17+P42+P58</f>
        <v>14320.6843381754</v>
      </c>
      <c r="Q17" s="107" t="n">
        <f aca="false">+P17+Q42+Q58</f>
        <v>15586.5552926284</v>
      </c>
      <c r="R17" s="107" t="n">
        <f aca="false">+Q17+R42+R58</f>
        <v>16852.4262470814</v>
      </c>
      <c r="S17" s="107" t="n">
        <f aca="false">+R17+S42+S58</f>
        <v>18118.2972015344</v>
      </c>
      <c r="T17" s="107" t="n">
        <f aca="false">+S17+T42+T58</f>
        <v>18118.2972015344</v>
      </c>
      <c r="U17" s="107" t="n">
        <f aca="false">+T17+U42+U58</f>
        <v>18118.2972015344</v>
      </c>
      <c r="V17" s="107" t="n">
        <f aca="false">+U17+V42+V58</f>
        <v>18118.2972015344</v>
      </c>
      <c r="W17" s="107" t="n">
        <f aca="false">+V17+W42+W58</f>
        <v>18118.2972015344</v>
      </c>
      <c r="X17" s="107" t="n">
        <f aca="false">+W17+X42+X58</f>
        <v>18118.2972015344</v>
      </c>
      <c r="Y17" s="517" t="n">
        <f aca="false">+X17+Y42+Y58</f>
        <v>18118.2972015344</v>
      </c>
      <c r="Z17" s="477" t="n">
        <f aca="false">+Y17+Z42+Z58</f>
        <v>18118.2972015344</v>
      </c>
      <c r="AA17" s="107" t="n">
        <f aca="false">+Z17+AA42+AA58</f>
        <v>18118.2972015344</v>
      </c>
      <c r="AB17" s="107" t="n">
        <f aca="false">+AA17+AB42+AB58</f>
        <v>18118.2972015344</v>
      </c>
      <c r="AC17" s="107" t="n">
        <f aca="false">+AB17+AC42+AC58</f>
        <v>18118.2972015344</v>
      </c>
      <c r="AD17" s="107" t="n">
        <f aca="false">+AC17+AD42+AD58</f>
        <v>18118.2972015344</v>
      </c>
      <c r="AE17" s="517" t="n">
        <f aca="false">+AD17+AE42+AE58</f>
        <v>18118.2972015344</v>
      </c>
      <c r="AF17" s="107"/>
      <c r="AG17" s="712"/>
      <c r="AH17" s="712"/>
      <c r="AI17" s="712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</row>
    <row r="18" customFormat="false" ht="12.75" hidden="false" customHeight="false" outlineLevel="0" collapsed="false">
      <c r="A18" s="367" t="s">
        <v>323</v>
      </c>
      <c r="B18" s="148"/>
      <c r="C18" s="148"/>
      <c r="D18" s="475" t="n">
        <v>0</v>
      </c>
      <c r="E18" s="131" t="n">
        <f aca="false">+Assumpt!$S$6+E64</f>
        <v>127536.680159271</v>
      </c>
      <c r="F18" s="131" t="n">
        <f aca="false">+E18+F64</f>
        <v>120551.819347878</v>
      </c>
      <c r="G18" s="131" t="n">
        <f aca="false">+F18+G64</f>
        <v>112887.637167197</v>
      </c>
      <c r="H18" s="131" t="n">
        <f aca="false">+G18+H64</f>
        <v>104478.065368307</v>
      </c>
      <c r="I18" s="131" t="n">
        <f aca="false">+H18+I64</f>
        <v>95250.6101521497</v>
      </c>
      <c r="J18" s="131" t="n">
        <f aca="false">+I18+J64</f>
        <v>85125.7272446265</v>
      </c>
      <c r="K18" s="131" t="n">
        <f aca="false">+J18+K64</f>
        <v>74016.1361938286</v>
      </c>
      <c r="L18" s="131" t="n">
        <f aca="false">+K18+L64</f>
        <v>61826.0679783964</v>
      </c>
      <c r="M18" s="131" t="n">
        <f aca="false">+L18+M64</f>
        <v>48450.4394410872</v>
      </c>
      <c r="N18" s="131" t="n">
        <f aca="false">+M18+N64</f>
        <v>33773.9474308462</v>
      </c>
      <c r="O18" s="131" t="n">
        <f aca="false">+N18+O64</f>
        <v>17670.0748445343</v>
      </c>
      <c r="P18" s="131" t="n">
        <f aca="false">+O18+P64</f>
        <v>-1.4915713109076E-010</v>
      </c>
      <c r="Q18" s="131" t="n">
        <f aca="false">+P18+Q64</f>
        <v>-1.4915713109076E-010</v>
      </c>
      <c r="R18" s="131" t="n">
        <f aca="false">+Q18+R64</f>
        <v>-1.4915713109076E-010</v>
      </c>
      <c r="S18" s="131" t="n">
        <f aca="false">+R18+S64</f>
        <v>-1.4915713109076E-010</v>
      </c>
      <c r="T18" s="131" t="n">
        <f aca="false">+S18+T64</f>
        <v>-1.4915713109076E-010</v>
      </c>
      <c r="U18" s="131" t="n">
        <f aca="false">+T18+U64</f>
        <v>-1.4915713109076E-010</v>
      </c>
      <c r="V18" s="131" t="n">
        <f aca="false">+U18+V64</f>
        <v>-1.4915713109076E-010</v>
      </c>
      <c r="W18" s="131" t="n">
        <f aca="false">+V18+W64</f>
        <v>-1.4915713109076E-010</v>
      </c>
      <c r="X18" s="131" t="n">
        <f aca="false">+W18+X64</f>
        <v>-1.4915713109076E-010</v>
      </c>
      <c r="Y18" s="672" t="n">
        <f aca="false">+X18+Y64</f>
        <v>-1.4915713109076E-010</v>
      </c>
      <c r="Z18" s="474" t="n">
        <f aca="false">+Y18+Z64</f>
        <v>-1.4915713109076E-010</v>
      </c>
      <c r="AA18" s="131" t="n">
        <f aca="false">+Z18+AA64</f>
        <v>-1.4915713109076E-010</v>
      </c>
      <c r="AB18" s="131" t="n">
        <f aca="false">+AA18+AB64</f>
        <v>-1.4915713109076E-010</v>
      </c>
      <c r="AC18" s="131" t="n">
        <f aca="false">+AB18+AC64</f>
        <v>-1.4915713109076E-010</v>
      </c>
      <c r="AD18" s="131" t="n">
        <f aca="false">+AC18+AD64</f>
        <v>-1.4915713109076E-010</v>
      </c>
      <c r="AE18" s="672" t="n">
        <f aca="false">+AD18+AE64</f>
        <v>-1.4915713109076E-010</v>
      </c>
      <c r="AF18" s="131"/>
      <c r="AG18" s="714"/>
      <c r="AH18" s="714"/>
      <c r="AI18" s="714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  <c r="BM18" s="344"/>
      <c r="BN18" s="344"/>
      <c r="BO18" s="344"/>
      <c r="BP18" s="344"/>
      <c r="BQ18" s="344"/>
      <c r="BR18" s="344"/>
      <c r="BS18" s="344"/>
      <c r="BT18" s="344"/>
      <c r="BU18" s="344"/>
      <c r="BV18" s="344"/>
      <c r="BW18" s="344"/>
      <c r="BX18" s="344"/>
      <c r="BY18" s="344"/>
      <c r="BZ18" s="344"/>
      <c r="CA18" s="344"/>
      <c r="CB18" s="344"/>
      <c r="CC18" s="344"/>
      <c r="CD18" s="344"/>
      <c r="CE18" s="344"/>
      <c r="CF18" s="344"/>
      <c r="CG18" s="344"/>
      <c r="CH18" s="344"/>
      <c r="CI18" s="344"/>
      <c r="CJ18" s="344"/>
      <c r="CK18" s="344"/>
      <c r="CL18" s="344"/>
      <c r="CM18" s="344"/>
      <c r="CN18" s="344"/>
      <c r="CO18" s="344"/>
      <c r="CP18" s="344"/>
      <c r="CQ18" s="344"/>
      <c r="CR18" s="344"/>
      <c r="CS18" s="344"/>
      <c r="CT18" s="344"/>
      <c r="CU18" s="344"/>
      <c r="CV18" s="344"/>
      <c r="CW18" s="344"/>
      <c r="CX18" s="344"/>
      <c r="CY18" s="344"/>
      <c r="CZ18" s="344"/>
      <c r="DA18" s="344"/>
      <c r="DB18" s="344"/>
      <c r="DC18" s="344"/>
      <c r="DD18" s="344"/>
      <c r="DE18" s="344"/>
      <c r="DF18" s="344"/>
      <c r="DG18" s="344"/>
      <c r="DH18" s="344"/>
      <c r="DI18" s="344"/>
      <c r="DJ18" s="344"/>
      <c r="DK18" s="344"/>
      <c r="DL18" s="344"/>
      <c r="DM18" s="344"/>
      <c r="DN18" s="344"/>
      <c r="DO18" s="344"/>
      <c r="DP18" s="344"/>
      <c r="DQ18" s="344"/>
      <c r="DR18" s="344"/>
      <c r="DS18" s="344"/>
      <c r="DT18" s="344"/>
      <c r="DU18" s="344"/>
      <c r="DV18" s="344"/>
      <c r="DW18" s="344"/>
      <c r="DX18" s="344"/>
      <c r="DY18" s="344"/>
      <c r="DZ18" s="344"/>
      <c r="EA18" s="344"/>
      <c r="EB18" s="344"/>
      <c r="EC18" s="344"/>
      <c r="ED18" s="344"/>
      <c r="EE18" s="344"/>
      <c r="EF18" s="344"/>
      <c r="EG18" s="344"/>
      <c r="EH18" s="344"/>
      <c r="EI18" s="344"/>
      <c r="EJ18" s="344"/>
      <c r="EK18" s="344"/>
      <c r="EL18" s="344"/>
      <c r="EM18" s="344"/>
      <c r="EN18" s="344"/>
      <c r="EO18" s="344"/>
      <c r="EP18" s="344"/>
      <c r="EQ18" s="344"/>
      <c r="ER18" s="344"/>
      <c r="ES18" s="344"/>
      <c r="ET18" s="344"/>
      <c r="EU18" s="344"/>
      <c r="EV18" s="344"/>
      <c r="EW18" s="344"/>
      <c r="EX18" s="344"/>
      <c r="EY18" s="344"/>
      <c r="EZ18" s="344"/>
      <c r="FA18" s="344"/>
      <c r="FB18" s="344"/>
      <c r="FC18" s="344"/>
      <c r="FD18" s="344"/>
      <c r="FE18" s="344"/>
      <c r="FF18" s="344"/>
      <c r="FG18" s="344"/>
      <c r="FH18" s="344"/>
      <c r="FI18" s="344"/>
      <c r="FJ18" s="344"/>
      <c r="FK18" s="344"/>
      <c r="FL18" s="344"/>
      <c r="FM18" s="344"/>
      <c r="FN18" s="344"/>
      <c r="FO18" s="344"/>
      <c r="FP18" s="344"/>
      <c r="FQ18" s="344"/>
      <c r="FR18" s="344"/>
      <c r="FS18" s="344"/>
      <c r="FT18" s="344"/>
      <c r="FU18" s="344"/>
      <c r="FV18" s="344"/>
      <c r="FW18" s="344"/>
      <c r="FX18" s="344"/>
      <c r="FY18" s="344"/>
      <c r="FZ18" s="344"/>
      <c r="GA18" s="344"/>
      <c r="GB18" s="344"/>
      <c r="GC18" s="344"/>
      <c r="GD18" s="344"/>
      <c r="GE18" s="344"/>
      <c r="GF18" s="344"/>
      <c r="GG18" s="344"/>
      <c r="GH18" s="344"/>
      <c r="GI18" s="344"/>
      <c r="GJ18" s="344"/>
      <c r="GK18" s="344"/>
      <c r="GL18" s="344"/>
      <c r="GM18" s="344"/>
      <c r="GN18" s="344"/>
      <c r="GO18" s="344"/>
      <c r="GP18" s="344"/>
      <c r="GQ18" s="344"/>
      <c r="GR18" s="344"/>
      <c r="GS18" s="344"/>
      <c r="GT18" s="344"/>
      <c r="GU18" s="344"/>
      <c r="GV18" s="344"/>
      <c r="GW18" s="344"/>
      <c r="GX18" s="344"/>
      <c r="GY18" s="344"/>
      <c r="GZ18" s="344"/>
      <c r="HA18" s="344"/>
      <c r="HB18" s="344"/>
      <c r="HC18" s="344"/>
      <c r="HD18" s="344"/>
      <c r="HE18" s="344"/>
      <c r="HF18" s="344"/>
      <c r="HG18" s="344"/>
      <c r="HH18" s="344"/>
      <c r="HI18" s="344"/>
      <c r="HJ18" s="344"/>
      <c r="HK18" s="344"/>
      <c r="HL18" s="344"/>
      <c r="HM18" s="344"/>
      <c r="HN18" s="344"/>
      <c r="HO18" s="344"/>
      <c r="HP18" s="344"/>
      <c r="HQ18" s="344"/>
      <c r="HR18" s="344"/>
      <c r="HS18" s="344"/>
      <c r="HT18" s="344"/>
      <c r="HU18" s="344"/>
      <c r="HV18" s="344"/>
      <c r="HW18" s="344"/>
      <c r="HX18" s="344"/>
      <c r="HY18" s="344"/>
      <c r="HZ18" s="344"/>
      <c r="IA18" s="344"/>
      <c r="IB18" s="344"/>
      <c r="IC18" s="344"/>
      <c r="ID18" s="344"/>
      <c r="IE18" s="344"/>
      <c r="IF18" s="344"/>
      <c r="IG18" s="344"/>
      <c r="IH18" s="344"/>
      <c r="II18" s="344"/>
      <c r="IJ18" s="344"/>
      <c r="IK18" s="344"/>
      <c r="IL18" s="344"/>
      <c r="IM18" s="344"/>
      <c r="IN18" s="344"/>
      <c r="IO18" s="344"/>
      <c r="IP18" s="344"/>
      <c r="IQ18" s="344"/>
      <c r="IR18" s="344"/>
      <c r="IS18" s="344"/>
      <c r="IT18" s="344"/>
      <c r="IU18" s="344"/>
      <c r="IV18" s="344"/>
      <c r="IW18" s="344"/>
    </row>
    <row r="19" customFormat="false" ht="12.75" hidden="false" customHeight="false" outlineLevel="0" collapsed="false">
      <c r="A19" s="716" t="s">
        <v>324</v>
      </c>
      <c r="B19" s="295"/>
      <c r="C19" s="295"/>
      <c r="D19" s="353" t="n">
        <f aca="false">+SUM(D17:D18)</f>
        <v>0</v>
      </c>
      <c r="E19" s="353" t="n">
        <f aca="false">+SUM(E17:E18)</f>
        <v>127536.680159271</v>
      </c>
      <c r="F19" s="353" t="n">
        <f aca="false">+SUM(F17:F18)</f>
        <v>120551.819347878</v>
      </c>
      <c r="G19" s="353" t="n">
        <f aca="false">+SUM(G17:G18)</f>
        <v>114180.168149333</v>
      </c>
      <c r="H19" s="353" t="n">
        <f aca="false">+SUM(H17:H18)</f>
        <v>106697.627163239</v>
      </c>
      <c r="I19" s="353" t="n">
        <f aca="false">+SUM(I17:I18)</f>
        <v>98103.1074243091</v>
      </c>
      <c r="J19" s="353" t="n">
        <f aca="false">+SUM(J17:J18)</f>
        <v>89980.4445186916</v>
      </c>
      <c r="K19" s="353" t="n">
        <f aca="false">+SUM(K17:K18)</f>
        <v>82007.4657597388</v>
      </c>
      <c r="L19" s="353" t="n">
        <f aca="false">+SUM(L17:L18)</f>
        <v>71083.2684987597</v>
      </c>
      <c r="M19" s="353" t="n">
        <f aca="false">+SUM(M17:M18)</f>
        <v>58973.5109159035</v>
      </c>
      <c r="N19" s="353" t="n">
        <f aca="false">+SUM(N17:N18)</f>
        <v>45562.8898601156</v>
      </c>
      <c r="O19" s="353" t="n">
        <f aca="false">+SUM(O17:O18)</f>
        <v>30724.8882282566</v>
      </c>
      <c r="P19" s="353" t="n">
        <f aca="false">+SUM(P17:P18)</f>
        <v>14320.6843381752</v>
      </c>
      <c r="Q19" s="353" t="n">
        <f aca="false">+SUM(Q17:Q18)</f>
        <v>15586.5552926282</v>
      </c>
      <c r="R19" s="353" t="n">
        <f aca="false">+SUM(R17:R18)</f>
        <v>16852.4262470813</v>
      </c>
      <c r="S19" s="353" t="n">
        <f aca="false">+SUM(S17:S18)</f>
        <v>18118.2972015343</v>
      </c>
      <c r="T19" s="353" t="n">
        <f aca="false">+SUM(T17:T18)</f>
        <v>18118.2972015343</v>
      </c>
      <c r="U19" s="353" t="n">
        <f aca="false">+SUM(U17:U18)</f>
        <v>18118.2972015343</v>
      </c>
      <c r="V19" s="353" t="n">
        <f aca="false">+SUM(V17:V18)</f>
        <v>18118.2972015343</v>
      </c>
      <c r="W19" s="353" t="n">
        <f aca="false">+SUM(W17:W18)</f>
        <v>18118.2972015343</v>
      </c>
      <c r="X19" s="353" t="n">
        <f aca="false">+SUM(X17:X18)</f>
        <v>18118.2972015343</v>
      </c>
      <c r="Y19" s="520" t="n">
        <f aca="false">+SUM(Y17:Y18)</f>
        <v>18118.2972015343</v>
      </c>
      <c r="Z19" s="717" t="n">
        <f aca="false">+SUM(Z17:Z18)</f>
        <v>18118.2972015343</v>
      </c>
      <c r="AA19" s="353" t="n">
        <f aca="false">+SUM(AA17:AA18)</f>
        <v>18118.2972015343</v>
      </c>
      <c r="AB19" s="353" t="n">
        <f aca="false">+SUM(AB17:AB18)</f>
        <v>18118.2972015343</v>
      </c>
      <c r="AC19" s="353" t="n">
        <f aca="false">+SUM(AC17:AC18)</f>
        <v>18118.2972015343</v>
      </c>
      <c r="AD19" s="353" t="n">
        <f aca="false">+SUM(AD17:AD18)</f>
        <v>18118.2972015343</v>
      </c>
      <c r="AE19" s="520" t="n">
        <f aca="false">+SUM(AE17:AE18)</f>
        <v>18118.2972015343</v>
      </c>
      <c r="AF19" s="353"/>
      <c r="AG19" s="718"/>
      <c r="AH19" s="718"/>
      <c r="AI19" s="718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296"/>
      <c r="BS19" s="296"/>
      <c r="BT19" s="296"/>
      <c r="BU19" s="296"/>
      <c r="BV19" s="296"/>
      <c r="BW19" s="296"/>
      <c r="BX19" s="296"/>
      <c r="BY19" s="296"/>
      <c r="BZ19" s="296"/>
      <c r="CA19" s="296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296"/>
      <c r="CR19" s="296"/>
      <c r="CS19" s="296"/>
      <c r="CT19" s="296"/>
      <c r="CU19" s="296"/>
      <c r="CV19" s="296"/>
      <c r="CW19" s="296"/>
      <c r="CX19" s="296"/>
      <c r="CY19" s="296"/>
      <c r="CZ19" s="296"/>
      <c r="DA19" s="296"/>
      <c r="DB19" s="296"/>
      <c r="DC19" s="296"/>
      <c r="DD19" s="296"/>
      <c r="DE19" s="296"/>
      <c r="DF19" s="296"/>
      <c r="DG19" s="296"/>
      <c r="DH19" s="296"/>
      <c r="DI19" s="296"/>
      <c r="DJ19" s="296"/>
      <c r="DK19" s="296"/>
      <c r="DL19" s="296"/>
      <c r="DM19" s="296"/>
      <c r="DN19" s="296"/>
      <c r="DO19" s="296"/>
      <c r="DP19" s="296"/>
      <c r="DQ19" s="296"/>
      <c r="DR19" s="296"/>
      <c r="DS19" s="296"/>
      <c r="DT19" s="296"/>
      <c r="DU19" s="296"/>
      <c r="DV19" s="296"/>
      <c r="DW19" s="296"/>
      <c r="DX19" s="296"/>
      <c r="DY19" s="296"/>
      <c r="DZ19" s="296"/>
      <c r="EA19" s="296"/>
      <c r="EB19" s="296"/>
      <c r="EC19" s="296"/>
      <c r="ED19" s="296"/>
      <c r="EE19" s="296"/>
      <c r="EF19" s="296"/>
      <c r="EG19" s="296"/>
      <c r="EH19" s="296"/>
      <c r="EI19" s="296"/>
      <c r="EJ19" s="296"/>
      <c r="EK19" s="296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296"/>
      <c r="EX19" s="296"/>
      <c r="EY19" s="296"/>
      <c r="EZ19" s="296"/>
      <c r="FA19" s="296"/>
      <c r="FB19" s="296"/>
      <c r="FC19" s="296"/>
      <c r="FD19" s="296"/>
      <c r="FE19" s="296"/>
      <c r="FF19" s="296"/>
      <c r="FG19" s="296"/>
      <c r="FH19" s="296"/>
      <c r="FI19" s="296"/>
      <c r="FJ19" s="296"/>
      <c r="FK19" s="296"/>
      <c r="FL19" s="296"/>
      <c r="FM19" s="296"/>
      <c r="FN19" s="296"/>
      <c r="FO19" s="296"/>
      <c r="FP19" s="296"/>
      <c r="FQ19" s="296"/>
      <c r="FR19" s="296"/>
      <c r="FS19" s="296"/>
      <c r="FT19" s="296"/>
      <c r="FU19" s="296"/>
      <c r="FV19" s="296"/>
      <c r="FW19" s="296"/>
      <c r="FX19" s="296"/>
      <c r="FY19" s="296"/>
      <c r="FZ19" s="296"/>
      <c r="GA19" s="296"/>
      <c r="GB19" s="296"/>
      <c r="GC19" s="296"/>
      <c r="GD19" s="296"/>
      <c r="GE19" s="296"/>
      <c r="GF19" s="296"/>
      <c r="GG19" s="296"/>
      <c r="GH19" s="296"/>
      <c r="GI19" s="296"/>
      <c r="GJ19" s="296"/>
      <c r="GK19" s="296"/>
      <c r="GL19" s="296"/>
      <c r="GM19" s="296"/>
      <c r="GN19" s="296"/>
      <c r="GO19" s="296"/>
      <c r="GP19" s="296"/>
      <c r="GQ19" s="296"/>
      <c r="GR19" s="296"/>
      <c r="GS19" s="296"/>
      <c r="GT19" s="296"/>
      <c r="GU19" s="296"/>
      <c r="GV19" s="296"/>
      <c r="GW19" s="296"/>
      <c r="GX19" s="296"/>
      <c r="GY19" s="296"/>
      <c r="GZ19" s="296"/>
      <c r="HA19" s="296"/>
      <c r="HB19" s="296"/>
      <c r="HC19" s="296"/>
      <c r="HD19" s="296"/>
      <c r="HE19" s="296"/>
      <c r="HF19" s="296"/>
      <c r="HG19" s="296"/>
      <c r="HH19" s="296"/>
      <c r="HI19" s="296"/>
      <c r="HJ19" s="296"/>
      <c r="HK19" s="296"/>
      <c r="HL19" s="296"/>
      <c r="HM19" s="296"/>
      <c r="HN19" s="296"/>
      <c r="HO19" s="296"/>
      <c r="HP19" s="296"/>
      <c r="HQ19" s="296"/>
      <c r="HR19" s="296"/>
      <c r="HS19" s="296"/>
      <c r="HT19" s="296"/>
      <c r="HU19" s="296"/>
      <c r="HV19" s="296"/>
      <c r="HW19" s="296"/>
      <c r="HX19" s="296"/>
      <c r="HY19" s="296"/>
      <c r="HZ19" s="296"/>
      <c r="IA19" s="296"/>
      <c r="IB19" s="296"/>
      <c r="IC19" s="296"/>
      <c r="ID19" s="296"/>
      <c r="IE19" s="296"/>
      <c r="IF19" s="296"/>
      <c r="IG19" s="296"/>
      <c r="IH19" s="296"/>
      <c r="II19" s="296"/>
      <c r="IJ19" s="296"/>
      <c r="IK19" s="296"/>
      <c r="IL19" s="296"/>
      <c r="IM19" s="296"/>
      <c r="IN19" s="296"/>
      <c r="IO19" s="296"/>
      <c r="IP19" s="296"/>
      <c r="IQ19" s="296"/>
      <c r="IR19" s="296"/>
      <c r="IS19" s="296"/>
      <c r="IT19" s="296"/>
      <c r="IU19" s="296"/>
      <c r="IV19" s="296"/>
      <c r="IW19" s="296"/>
    </row>
    <row r="20" customFormat="false" ht="12.75" hidden="false" customHeight="false" outlineLevel="0" collapsed="false">
      <c r="A20" s="372"/>
      <c r="B20" s="14"/>
      <c r="C20" s="14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517"/>
      <c r="Z20" s="477"/>
      <c r="AA20" s="107"/>
      <c r="AB20" s="107"/>
      <c r="AC20" s="107"/>
      <c r="AD20" s="107"/>
      <c r="AE20" s="517"/>
      <c r="AF20" s="107"/>
      <c r="AG20" s="430"/>
      <c r="AH20" s="430"/>
      <c r="AI20" s="430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customFormat="false" ht="12.75" hidden="false" customHeight="false" outlineLevel="0" collapsed="false">
      <c r="A21" s="363" t="s">
        <v>325</v>
      </c>
      <c r="B21" s="14"/>
      <c r="C21" s="14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517"/>
      <c r="Z21" s="477"/>
      <c r="AA21" s="107"/>
      <c r="AB21" s="107"/>
      <c r="AC21" s="107"/>
      <c r="AD21" s="107"/>
      <c r="AE21" s="517"/>
      <c r="AF21" s="107"/>
      <c r="AG21" s="430"/>
      <c r="AH21" s="430"/>
      <c r="AI21" s="430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</row>
    <row r="22" customFormat="false" ht="12.75" hidden="false" customHeight="false" outlineLevel="0" collapsed="false">
      <c r="A22" s="366" t="s">
        <v>326</v>
      </c>
      <c r="B22" s="14"/>
      <c r="C22" s="14"/>
      <c r="D22" s="107" t="n">
        <f aca="false">+D65</f>
        <v>0</v>
      </c>
      <c r="E22" s="107" t="n">
        <f aca="false">+E65</f>
        <v>42512.2267197572</v>
      </c>
      <c r="F22" s="107" t="n">
        <f aca="false">+E22+F65</f>
        <v>42512.2267197572</v>
      </c>
      <c r="G22" s="107" t="n">
        <f aca="false">+F22+G65</f>
        <v>42512.2267197572</v>
      </c>
      <c r="H22" s="107" t="n">
        <f aca="false">+G22+H65</f>
        <v>42512.2267197572</v>
      </c>
      <c r="I22" s="107" t="n">
        <f aca="false">+H22+I65</f>
        <v>42512.2267197572</v>
      </c>
      <c r="J22" s="107" t="n">
        <f aca="false">+I22+J65</f>
        <v>42512.2267197572</v>
      </c>
      <c r="K22" s="107" t="n">
        <f aca="false">+J22+K65</f>
        <v>42512.2267197572</v>
      </c>
      <c r="L22" s="107" t="n">
        <f aca="false">+K22+L65</f>
        <v>42512.2267197572</v>
      </c>
      <c r="M22" s="107" t="n">
        <f aca="false">+L22+M65</f>
        <v>42512.2267197572</v>
      </c>
      <c r="N22" s="107" t="n">
        <f aca="false">+M22+N65</f>
        <v>42512.2267197572</v>
      </c>
      <c r="O22" s="107" t="n">
        <f aca="false">+N22+O65</f>
        <v>42512.2267197572</v>
      </c>
      <c r="P22" s="107" t="n">
        <f aca="false">+O22+P65</f>
        <v>42512.2267197572</v>
      </c>
      <c r="Q22" s="107" t="n">
        <f aca="false">+P22+Q65</f>
        <v>42512.2267197572</v>
      </c>
      <c r="R22" s="107" t="n">
        <f aca="false">+Q22+R65</f>
        <v>42512.2267197572</v>
      </c>
      <c r="S22" s="107" t="n">
        <f aca="false">+R22+S65</f>
        <v>42512.2267197572</v>
      </c>
      <c r="T22" s="107" t="n">
        <f aca="false">+S22+T65</f>
        <v>42512.2267197572</v>
      </c>
      <c r="U22" s="107" t="n">
        <f aca="false">+T22+U65</f>
        <v>42512.2267197572</v>
      </c>
      <c r="V22" s="107" t="n">
        <f aca="false">+U22+V65</f>
        <v>42512.2267197572</v>
      </c>
      <c r="W22" s="107" t="n">
        <f aca="false">+V22+W65</f>
        <v>42512.2267197572</v>
      </c>
      <c r="X22" s="107" t="n">
        <f aca="false">+W22+X65</f>
        <v>42512.2267197572</v>
      </c>
      <c r="Y22" s="517" t="n">
        <f aca="false">+X22+Y65</f>
        <v>42512.2267197572</v>
      </c>
      <c r="Z22" s="477" t="n">
        <f aca="false">+Y22+Z65</f>
        <v>42512.2267197572</v>
      </c>
      <c r="AA22" s="107" t="n">
        <f aca="false">+Z22+AA65</f>
        <v>42512.2267197572</v>
      </c>
      <c r="AB22" s="107" t="n">
        <f aca="false">+AA22+AB65</f>
        <v>42512.2267197572</v>
      </c>
      <c r="AC22" s="107" t="n">
        <f aca="false">+AB22+AC65</f>
        <v>42512.2267197572</v>
      </c>
      <c r="AD22" s="107" t="n">
        <f aca="false">+AC22+AD65</f>
        <v>42512.2267197572</v>
      </c>
      <c r="AE22" s="517" t="n">
        <f aca="false">+AD22+AE65</f>
        <v>42512.2267197572</v>
      </c>
      <c r="AF22" s="107"/>
      <c r="AG22" s="719"/>
      <c r="AH22" s="719"/>
      <c r="AI22" s="719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</row>
    <row r="23" customFormat="false" ht="12.75" hidden="false" customHeight="false" outlineLevel="0" collapsed="false">
      <c r="A23" s="366" t="s">
        <v>327</v>
      </c>
      <c r="B23" s="14"/>
      <c r="C23" s="14"/>
      <c r="D23" s="644" t="n">
        <v>0</v>
      </c>
      <c r="E23" s="107" t="n">
        <f aca="false">+E67+D23</f>
        <v>5489.14650461628</v>
      </c>
      <c r="F23" s="107" t="n">
        <f aca="false">+F67+E23</f>
        <v>17514.0409464514</v>
      </c>
      <c r="G23" s="107" t="n">
        <f aca="false">+G67+F23</f>
        <v>12341.7800647195</v>
      </c>
      <c r="H23" s="107" t="n">
        <f aca="false">+H67+G23</f>
        <v>6229.82807503593</v>
      </c>
      <c r="I23" s="107" t="n">
        <f aca="false">+I67+H23</f>
        <v>-106.541307657877</v>
      </c>
      <c r="J23" s="107" t="n">
        <f aca="false">+J67+I23</f>
        <v>-7429.00177897135</v>
      </c>
      <c r="K23" s="107" t="n">
        <f aca="false">+K67+J23</f>
        <v>-15359.4180030826</v>
      </c>
      <c r="L23" s="107" t="n">
        <f aca="false">+L67+K23</f>
        <v>-45173.7853399659</v>
      </c>
      <c r="M23" s="107" t="n">
        <f aca="false">+M67+L23</f>
        <v>-78924.9637688356</v>
      </c>
      <c r="N23" s="107" t="n">
        <f aca="false">+N67+M23</f>
        <v>-113764.587706803</v>
      </c>
      <c r="O23" s="107" t="n">
        <f aca="false">+O67+N23</f>
        <v>-149815.569977507</v>
      </c>
      <c r="P23" s="107" t="n">
        <f aca="false">+P67+O23</f>
        <v>-187644.632847645</v>
      </c>
      <c r="Q23" s="107" t="n">
        <f aca="false">+Q67+P23</f>
        <v>-245167.610355735</v>
      </c>
      <c r="R23" s="107" t="n">
        <f aca="false">+R67+Q23</f>
        <v>-303791.210575809</v>
      </c>
      <c r="S23" s="107" t="n">
        <f aca="false">+S67+R23</f>
        <v>-363537.445962106</v>
      </c>
      <c r="T23" s="107" t="n">
        <f aca="false">+T67+S23</f>
        <v>-363537.445962106</v>
      </c>
      <c r="U23" s="107" t="n">
        <f aca="false">+U67+T23</f>
        <v>-363537.445962106</v>
      </c>
      <c r="V23" s="107" t="n">
        <f aca="false">+V67+U23</f>
        <v>-363537.445962106</v>
      </c>
      <c r="W23" s="107" t="n">
        <f aca="false">+W67+V23</f>
        <v>-363537.445962106</v>
      </c>
      <c r="X23" s="107" t="n">
        <f aca="false">+X67+W23</f>
        <v>-363537.445962106</v>
      </c>
      <c r="Y23" s="517" t="n">
        <f aca="false">+Y67+X23</f>
        <v>-363537.445962106</v>
      </c>
      <c r="Z23" s="477" t="n">
        <f aca="false">+Z67+Y23</f>
        <v>-363537.445962106</v>
      </c>
      <c r="AA23" s="107" t="n">
        <f aca="false">+AA67+Z23</f>
        <v>-363537.445962106</v>
      </c>
      <c r="AB23" s="107" t="n">
        <f aca="false">+AB67+AA23</f>
        <v>-363537.445962106</v>
      </c>
      <c r="AC23" s="107" t="n">
        <f aca="false">+AC67+AB23</f>
        <v>-363537.445962106</v>
      </c>
      <c r="AD23" s="107" t="n">
        <f aca="false">+AD67+AC23</f>
        <v>-363537.445962106</v>
      </c>
      <c r="AE23" s="517" t="n">
        <f aca="false">+AE67+AD23</f>
        <v>-363537.445962106</v>
      </c>
      <c r="AF23" s="107"/>
      <c r="AG23" s="430"/>
      <c r="AH23" s="430"/>
      <c r="AI23" s="430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</row>
    <row r="24" customFormat="false" ht="12.75" hidden="false" customHeight="false" outlineLevel="0" collapsed="false">
      <c r="A24" s="367" t="s">
        <v>328</v>
      </c>
      <c r="B24" s="14"/>
      <c r="C24" s="14"/>
      <c r="D24" s="475" t="n">
        <v>0</v>
      </c>
      <c r="E24" s="131" t="n">
        <f aca="false">+D24+E45</f>
        <v>-9708.716352793</v>
      </c>
      <c r="F24" s="131" t="n">
        <f aca="false">+E24+F45</f>
        <v>-18968.3198314118</v>
      </c>
      <c r="G24" s="131" t="n">
        <f aca="false">+F24+G45</f>
        <v>-11643.977599311</v>
      </c>
      <c r="H24" s="131" t="n">
        <f aca="false">+G24+H45</f>
        <v>-2269.05447171075</v>
      </c>
      <c r="I24" s="131" t="n">
        <f aca="false">+H24+I45</f>
        <v>8442.26480173663</v>
      </c>
      <c r="J24" s="131" t="n">
        <f aca="false">+I24+J45</f>
        <v>19667.8183304909</v>
      </c>
      <c r="K24" s="131" t="n">
        <f aca="false">+J24+K45</f>
        <v>31351.6434653782</v>
      </c>
      <c r="L24" s="131" t="n">
        <f aca="false">+K24+L45</f>
        <v>67870.6382150639</v>
      </c>
      <c r="M24" s="131" t="n">
        <f aca="false">+L24+M45</f>
        <v>109512.004378613</v>
      </c>
      <c r="N24" s="131" t="n">
        <f aca="false">+M24+N45</f>
        <v>153542.679524191</v>
      </c>
      <c r="O24" s="131" t="n">
        <f aca="false">+N24+O45</f>
        <v>200212.093578578</v>
      </c>
      <c r="P24" s="131" t="n">
        <f aca="false">+O24+P45</f>
        <v>250225.79049062</v>
      </c>
      <c r="Q24" s="131" t="n">
        <f aca="false">+P24+Q45</f>
        <v>302263.327196081</v>
      </c>
      <c r="R24" s="131" t="n">
        <f aca="false">+Q24+R45</f>
        <v>355401.486613525</v>
      </c>
      <c r="S24" s="131" t="n">
        <f aca="false">+R24+S45</f>
        <v>409662.281197192</v>
      </c>
      <c r="T24" s="131" t="n">
        <f aca="false">+S24+T45</f>
        <v>409662.281197192</v>
      </c>
      <c r="U24" s="131" t="n">
        <f aca="false">+T24+U45</f>
        <v>409662.281197192</v>
      </c>
      <c r="V24" s="131" t="n">
        <f aca="false">+U24+V45</f>
        <v>409662.281197192</v>
      </c>
      <c r="W24" s="131" t="n">
        <f aca="false">+V24+W45</f>
        <v>409662.281197192</v>
      </c>
      <c r="X24" s="131" t="n">
        <f aca="false">+W24+X45</f>
        <v>409662.281197192</v>
      </c>
      <c r="Y24" s="672" t="n">
        <f aca="false">+X24+Y45</f>
        <v>409662.281197192</v>
      </c>
      <c r="Z24" s="474" t="n">
        <f aca="false">+Y24+Z45</f>
        <v>409662.281197192</v>
      </c>
      <c r="AA24" s="131" t="n">
        <f aca="false">+Z24+AA45</f>
        <v>409662.281197192</v>
      </c>
      <c r="AB24" s="131" t="n">
        <f aca="false">+AA24+AB45</f>
        <v>409662.281197192</v>
      </c>
      <c r="AC24" s="131" t="n">
        <f aca="false">+AB24+AC45</f>
        <v>409662.281197192</v>
      </c>
      <c r="AD24" s="131" t="n">
        <f aca="false">+AC24+AD45</f>
        <v>409662.281197192</v>
      </c>
      <c r="AE24" s="672" t="n">
        <f aca="false">+AD24+AE45</f>
        <v>409662.281197192</v>
      </c>
      <c r="AF24" s="131"/>
      <c r="AG24" s="431"/>
      <c r="AH24" s="431"/>
      <c r="AI24" s="43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</row>
    <row r="25" customFormat="false" ht="12.75" hidden="false" customHeight="false" outlineLevel="0" collapsed="false">
      <c r="A25" s="716" t="s">
        <v>329</v>
      </c>
      <c r="B25" s="295"/>
      <c r="C25" s="295"/>
      <c r="D25" s="353" t="n">
        <f aca="false">SUM(D22:D24)</f>
        <v>0</v>
      </c>
      <c r="E25" s="353" t="n">
        <f aca="false">SUM(E22:E24)</f>
        <v>38292.6568715804</v>
      </c>
      <c r="F25" s="353" t="n">
        <f aca="false">SUM(F22:F24)</f>
        <v>41057.9478347967</v>
      </c>
      <c r="G25" s="353" t="n">
        <f aca="false">SUM(G22:G24)</f>
        <v>43210.0291851656</v>
      </c>
      <c r="H25" s="353" t="n">
        <f aca="false">SUM(H22:H24)</f>
        <v>46473.0003230823</v>
      </c>
      <c r="I25" s="353" t="n">
        <f aca="false">SUM(I22:I24)</f>
        <v>50847.9502138359</v>
      </c>
      <c r="J25" s="353" t="n">
        <f aca="false">SUM(J22:J24)</f>
        <v>54751.0432712767</v>
      </c>
      <c r="K25" s="353" t="n">
        <f aca="false">SUM(K22:K24)</f>
        <v>58504.4521820527</v>
      </c>
      <c r="L25" s="353" t="n">
        <f aca="false">SUM(L22:L24)</f>
        <v>65209.0795948551</v>
      </c>
      <c r="M25" s="353" t="n">
        <f aca="false">SUM(M22:M24)</f>
        <v>73099.2673295346</v>
      </c>
      <c r="N25" s="353" t="n">
        <f aca="false">SUM(N22:N24)</f>
        <v>82290.3185371458</v>
      </c>
      <c r="O25" s="353" t="n">
        <f aca="false">SUM(O22:O24)</f>
        <v>92908.750320828</v>
      </c>
      <c r="P25" s="353" t="n">
        <f aca="false">SUM(P22:P24)</f>
        <v>105093.384362733</v>
      </c>
      <c r="Q25" s="353" t="n">
        <f aca="false">SUM(Q22:Q24)</f>
        <v>99607.943560103</v>
      </c>
      <c r="R25" s="353" t="n">
        <f aca="false">SUM(R22:R24)</f>
        <v>94122.5027574732</v>
      </c>
      <c r="S25" s="353" t="n">
        <f aca="false">SUM(S22:S24)</f>
        <v>88637.0619548435</v>
      </c>
      <c r="T25" s="353" t="n">
        <f aca="false">SUM(T22:T24)</f>
        <v>88637.0619548435</v>
      </c>
      <c r="U25" s="353" t="n">
        <f aca="false">SUM(U22:U24)</f>
        <v>88637.0619548435</v>
      </c>
      <c r="V25" s="353" t="n">
        <f aca="false">SUM(V22:V24)</f>
        <v>88637.0619548435</v>
      </c>
      <c r="W25" s="353" t="n">
        <f aca="false">SUM(W22:W24)</f>
        <v>88637.0619548435</v>
      </c>
      <c r="X25" s="353" t="n">
        <f aca="false">SUM(X22:X24)</f>
        <v>88637.0619548435</v>
      </c>
      <c r="Y25" s="520" t="n">
        <f aca="false">SUM(Y22:Y24)</f>
        <v>88637.0619548435</v>
      </c>
      <c r="Z25" s="717" t="n">
        <f aca="false">SUM(Z22:Z24)</f>
        <v>88637.0619548435</v>
      </c>
      <c r="AA25" s="353" t="n">
        <f aca="false">SUM(AA22:AA24)</f>
        <v>88637.0619548435</v>
      </c>
      <c r="AB25" s="353" t="n">
        <f aca="false">SUM(AB22:AB24)</f>
        <v>88637.0619548435</v>
      </c>
      <c r="AC25" s="353" t="n">
        <f aca="false">SUM(AC22:AC24)</f>
        <v>88637.0619548435</v>
      </c>
      <c r="AD25" s="353" t="n">
        <f aca="false">SUM(AD22:AD24)</f>
        <v>88637.0619548435</v>
      </c>
      <c r="AE25" s="520" t="n">
        <f aca="false">SUM(AE22:AE24)</f>
        <v>88637.0619548435</v>
      </c>
      <c r="AF25" s="353"/>
      <c r="AG25" s="718"/>
      <c r="AH25" s="718"/>
      <c r="AI25" s="718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6"/>
      <c r="BP25" s="296"/>
      <c r="BQ25" s="296"/>
      <c r="BR25" s="296"/>
      <c r="BS25" s="296"/>
      <c r="BT25" s="296"/>
      <c r="BU25" s="296"/>
      <c r="BV25" s="296"/>
      <c r="BW25" s="296"/>
      <c r="BX25" s="296"/>
      <c r="BY25" s="296"/>
      <c r="BZ25" s="296"/>
      <c r="CA25" s="296"/>
      <c r="CB25" s="296"/>
      <c r="CC25" s="296"/>
      <c r="CD25" s="296"/>
      <c r="CE25" s="296"/>
      <c r="CF25" s="296"/>
      <c r="CG25" s="296"/>
      <c r="CH25" s="296"/>
      <c r="CI25" s="296"/>
      <c r="CJ25" s="296"/>
      <c r="CK25" s="296"/>
      <c r="CL25" s="296"/>
      <c r="CM25" s="296"/>
      <c r="CN25" s="296"/>
      <c r="CO25" s="296"/>
      <c r="CP25" s="296"/>
      <c r="CQ25" s="296"/>
      <c r="CR25" s="296"/>
      <c r="CS25" s="296"/>
      <c r="CT25" s="296"/>
      <c r="CU25" s="296"/>
      <c r="CV25" s="296"/>
      <c r="CW25" s="296"/>
      <c r="CX25" s="296"/>
      <c r="CY25" s="296"/>
      <c r="CZ25" s="296"/>
      <c r="DA25" s="296"/>
      <c r="DB25" s="296"/>
      <c r="DC25" s="296"/>
      <c r="DD25" s="296"/>
      <c r="DE25" s="296"/>
      <c r="DF25" s="296"/>
      <c r="DG25" s="296"/>
      <c r="DH25" s="296"/>
      <c r="DI25" s="296"/>
      <c r="DJ25" s="296"/>
      <c r="DK25" s="296"/>
      <c r="DL25" s="296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6"/>
      <c r="FF25" s="296"/>
      <c r="FG25" s="296"/>
      <c r="FH25" s="296"/>
      <c r="FI25" s="296"/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  <c r="GX25" s="296"/>
      <c r="GY25" s="296"/>
      <c r="GZ25" s="296"/>
      <c r="HA25" s="296"/>
      <c r="HB25" s="296"/>
      <c r="HC25" s="296"/>
      <c r="HD25" s="296"/>
      <c r="HE25" s="296"/>
      <c r="HF25" s="296"/>
      <c r="HG25" s="296"/>
      <c r="HH25" s="296"/>
      <c r="HI25" s="296"/>
      <c r="HJ25" s="296"/>
      <c r="HK25" s="296"/>
      <c r="HL25" s="296"/>
      <c r="HM25" s="296"/>
      <c r="HN25" s="296"/>
      <c r="HO25" s="296"/>
      <c r="HP25" s="296"/>
      <c r="HQ25" s="296"/>
      <c r="HR25" s="296"/>
      <c r="HS25" s="296"/>
      <c r="HT25" s="296"/>
      <c r="HU25" s="296"/>
      <c r="HV25" s="296"/>
      <c r="HW25" s="296"/>
      <c r="HX25" s="296"/>
      <c r="HY25" s="296"/>
      <c r="HZ25" s="296"/>
      <c r="IA25" s="296"/>
      <c r="IB25" s="296"/>
      <c r="IC25" s="296"/>
      <c r="ID25" s="296"/>
      <c r="IE25" s="296"/>
      <c r="IF25" s="296"/>
      <c r="IG25" s="296"/>
      <c r="IH25" s="296"/>
      <c r="II25" s="296"/>
      <c r="IJ25" s="296"/>
      <c r="IK25" s="296"/>
      <c r="IL25" s="296"/>
      <c r="IM25" s="296"/>
      <c r="IN25" s="296"/>
      <c r="IO25" s="296"/>
      <c r="IP25" s="296"/>
      <c r="IQ25" s="296"/>
      <c r="IR25" s="296"/>
      <c r="IS25" s="296"/>
      <c r="IT25" s="296"/>
      <c r="IU25" s="296"/>
      <c r="IV25" s="296"/>
      <c r="IW25" s="296"/>
    </row>
    <row r="26" customFormat="false" ht="12.75" hidden="false" customHeight="false" outlineLevel="0" collapsed="false">
      <c r="A26" s="372"/>
      <c r="B26" s="14"/>
      <c r="C26" s="14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517"/>
      <c r="Z26" s="477"/>
      <c r="AA26" s="107"/>
      <c r="AB26" s="107"/>
      <c r="AC26" s="107"/>
      <c r="AD26" s="107"/>
      <c r="AE26" s="517"/>
      <c r="AF26" s="107"/>
      <c r="AG26" s="430"/>
      <c r="AH26" s="430"/>
      <c r="AI26" s="430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</row>
    <row r="27" customFormat="false" ht="12.75" hidden="false" customHeight="false" outlineLevel="0" collapsed="false">
      <c r="A27" s="720" t="s">
        <v>330</v>
      </c>
      <c r="B27" s="685"/>
      <c r="C27" s="721"/>
      <c r="D27" s="523" t="n">
        <f aca="false">+D25+D19</f>
        <v>0</v>
      </c>
      <c r="E27" s="523" t="n">
        <f aca="false">+E25+E19</f>
        <v>165829.337030852</v>
      </c>
      <c r="F27" s="523" t="n">
        <f aca="false">+F25+F19</f>
        <v>161609.767182675</v>
      </c>
      <c r="G27" s="523" t="n">
        <f aca="false">+G25+G19</f>
        <v>157390.197334498</v>
      </c>
      <c r="H27" s="523" t="n">
        <f aca="false">+H25+H19</f>
        <v>153170.627486322</v>
      </c>
      <c r="I27" s="523" t="n">
        <f aca="false">+I25+I19</f>
        <v>148951.057638145</v>
      </c>
      <c r="J27" s="523" t="n">
        <f aca="false">+J25+J19</f>
        <v>144731.487789968</v>
      </c>
      <c r="K27" s="523" t="n">
        <f aca="false">+K25+K19</f>
        <v>140511.917941792</v>
      </c>
      <c r="L27" s="523" t="n">
        <f aca="false">+L25+L19</f>
        <v>136292.348093615</v>
      </c>
      <c r="M27" s="523" t="n">
        <f aca="false">+M25+M19</f>
        <v>132072.778245438</v>
      </c>
      <c r="N27" s="523" t="n">
        <f aca="false">+N25+N19</f>
        <v>127853.208397261</v>
      </c>
      <c r="O27" s="523" t="n">
        <f aca="false">+O25+O19</f>
        <v>123633.638549085</v>
      </c>
      <c r="P27" s="523" t="n">
        <f aca="false">+P25+P19</f>
        <v>119414.068700908</v>
      </c>
      <c r="Q27" s="523" t="n">
        <f aca="false">+Q25+Q19</f>
        <v>115194.498852731</v>
      </c>
      <c r="R27" s="523" t="n">
        <f aca="false">+R25+R19</f>
        <v>110974.929004554</v>
      </c>
      <c r="S27" s="523" t="n">
        <f aca="false">+S25+S19</f>
        <v>106755.359156378</v>
      </c>
      <c r="T27" s="523" t="n">
        <f aca="false">+T25+T19</f>
        <v>106755.359156378</v>
      </c>
      <c r="U27" s="523" t="n">
        <f aca="false">+U25+U19</f>
        <v>106755.359156378</v>
      </c>
      <c r="V27" s="523" t="n">
        <f aca="false">+V25+V19</f>
        <v>106755.359156378</v>
      </c>
      <c r="W27" s="523" t="n">
        <f aca="false">+W25+W19</f>
        <v>106755.359156378</v>
      </c>
      <c r="X27" s="523" t="n">
        <f aca="false">+X25+X19</f>
        <v>106755.359156378</v>
      </c>
      <c r="Y27" s="687" t="n">
        <f aca="false">+Y25+Y19</f>
        <v>106755.359156378</v>
      </c>
      <c r="Z27" s="722" t="n">
        <f aca="false">+Z25+Z19</f>
        <v>106755.359156378</v>
      </c>
      <c r="AA27" s="523" t="n">
        <f aca="false">+AA25+AA19</f>
        <v>106755.359156378</v>
      </c>
      <c r="AB27" s="523" t="n">
        <f aca="false">+AB25+AB19</f>
        <v>106755.359156378</v>
      </c>
      <c r="AC27" s="523" t="n">
        <f aca="false">+AC25+AC19</f>
        <v>106755.359156378</v>
      </c>
      <c r="AD27" s="523" t="n">
        <f aca="false">+AD25+AD19</f>
        <v>106755.359156378</v>
      </c>
      <c r="AE27" s="687" t="n">
        <f aca="false">+AE25+AE19</f>
        <v>106755.359156378</v>
      </c>
      <c r="AF27" s="353"/>
      <c r="AG27" s="718"/>
      <c r="AH27" s="718"/>
      <c r="AI27" s="718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685"/>
      <c r="BA27" s="685"/>
      <c r="BB27" s="685"/>
      <c r="BC27" s="685"/>
      <c r="BD27" s="685"/>
      <c r="BE27" s="685"/>
      <c r="BF27" s="685"/>
      <c r="BG27" s="685"/>
      <c r="BH27" s="685"/>
      <c r="BI27" s="685"/>
      <c r="BJ27" s="685"/>
      <c r="BK27" s="685"/>
      <c r="BL27" s="685"/>
      <c r="BM27" s="685"/>
      <c r="BN27" s="685"/>
      <c r="BO27" s="685"/>
      <c r="BP27" s="685"/>
      <c r="BQ27" s="685"/>
      <c r="BR27" s="685"/>
      <c r="BS27" s="685"/>
      <c r="BT27" s="685"/>
      <c r="BU27" s="685"/>
      <c r="BV27" s="685"/>
      <c r="BW27" s="685"/>
      <c r="BX27" s="685"/>
      <c r="BY27" s="685"/>
      <c r="BZ27" s="685"/>
      <c r="CA27" s="685"/>
      <c r="CB27" s="685"/>
      <c r="CC27" s="685"/>
      <c r="CD27" s="685"/>
      <c r="CE27" s="685"/>
      <c r="CF27" s="685"/>
      <c r="CG27" s="685"/>
      <c r="CH27" s="685"/>
      <c r="CI27" s="685"/>
      <c r="CJ27" s="685"/>
      <c r="CK27" s="685"/>
      <c r="CL27" s="685"/>
      <c r="CM27" s="685"/>
      <c r="CN27" s="685"/>
      <c r="CO27" s="685"/>
      <c r="CP27" s="685"/>
      <c r="CQ27" s="685"/>
      <c r="CR27" s="685"/>
      <c r="CS27" s="685"/>
      <c r="CT27" s="685"/>
      <c r="CU27" s="685"/>
      <c r="CV27" s="685"/>
      <c r="CW27" s="685"/>
      <c r="CX27" s="685"/>
      <c r="CY27" s="685"/>
      <c r="CZ27" s="685"/>
      <c r="DA27" s="685"/>
      <c r="DB27" s="685"/>
      <c r="DC27" s="685"/>
      <c r="DD27" s="685"/>
      <c r="DE27" s="685"/>
      <c r="DF27" s="685"/>
      <c r="DG27" s="685"/>
      <c r="DH27" s="685"/>
      <c r="DI27" s="685"/>
      <c r="DJ27" s="685"/>
      <c r="DK27" s="685"/>
      <c r="DL27" s="685"/>
      <c r="DM27" s="685"/>
      <c r="DN27" s="685"/>
      <c r="DO27" s="685"/>
      <c r="DP27" s="685"/>
      <c r="DQ27" s="685"/>
      <c r="DR27" s="685"/>
      <c r="DS27" s="685"/>
      <c r="DT27" s="685"/>
      <c r="DU27" s="685"/>
      <c r="DV27" s="685"/>
      <c r="DW27" s="685"/>
      <c r="DX27" s="685"/>
      <c r="DY27" s="685"/>
      <c r="DZ27" s="685"/>
      <c r="EA27" s="685"/>
      <c r="EB27" s="685"/>
      <c r="EC27" s="685"/>
      <c r="ED27" s="685"/>
      <c r="EE27" s="685"/>
      <c r="EF27" s="685"/>
      <c r="EG27" s="685"/>
      <c r="EH27" s="685"/>
      <c r="EI27" s="685"/>
      <c r="EJ27" s="685"/>
      <c r="EK27" s="685"/>
      <c r="EL27" s="685"/>
      <c r="EM27" s="685"/>
      <c r="EN27" s="685"/>
      <c r="EO27" s="685"/>
      <c r="EP27" s="685"/>
      <c r="EQ27" s="685"/>
      <c r="ER27" s="685"/>
      <c r="ES27" s="685"/>
      <c r="ET27" s="685"/>
      <c r="EU27" s="685"/>
      <c r="EV27" s="685"/>
      <c r="EW27" s="685"/>
      <c r="EX27" s="685"/>
      <c r="EY27" s="685"/>
      <c r="EZ27" s="685"/>
      <c r="FA27" s="685"/>
      <c r="FB27" s="685"/>
      <c r="FC27" s="685"/>
      <c r="FD27" s="685"/>
      <c r="FE27" s="685"/>
      <c r="FF27" s="685"/>
      <c r="FG27" s="685"/>
      <c r="FH27" s="685"/>
      <c r="FI27" s="685"/>
      <c r="FJ27" s="685"/>
      <c r="FK27" s="685"/>
      <c r="FL27" s="685"/>
      <c r="FM27" s="685"/>
      <c r="FN27" s="685"/>
      <c r="FO27" s="685"/>
      <c r="FP27" s="685"/>
      <c r="FQ27" s="685"/>
      <c r="FR27" s="685"/>
      <c r="FS27" s="685"/>
      <c r="FT27" s="685"/>
      <c r="FU27" s="685"/>
      <c r="FV27" s="685"/>
      <c r="FW27" s="685"/>
      <c r="FX27" s="685"/>
      <c r="FY27" s="685"/>
      <c r="FZ27" s="685"/>
      <c r="GA27" s="685"/>
      <c r="GB27" s="685"/>
      <c r="GC27" s="685"/>
      <c r="GD27" s="685"/>
      <c r="GE27" s="685"/>
      <c r="GF27" s="685"/>
      <c r="GG27" s="685"/>
      <c r="GH27" s="685"/>
      <c r="GI27" s="685"/>
      <c r="GJ27" s="685"/>
      <c r="GK27" s="685"/>
      <c r="GL27" s="685"/>
      <c r="GM27" s="685"/>
      <c r="GN27" s="685"/>
      <c r="GO27" s="685"/>
      <c r="GP27" s="685"/>
      <c r="GQ27" s="685"/>
      <c r="GR27" s="685"/>
      <c r="GS27" s="685"/>
      <c r="GT27" s="685"/>
      <c r="GU27" s="685"/>
      <c r="GV27" s="685"/>
      <c r="GW27" s="685"/>
      <c r="GX27" s="685"/>
      <c r="GY27" s="685"/>
      <c r="GZ27" s="685"/>
      <c r="HA27" s="685"/>
      <c r="HB27" s="685"/>
      <c r="HC27" s="685"/>
      <c r="HD27" s="685"/>
      <c r="HE27" s="685"/>
      <c r="HF27" s="685"/>
      <c r="HG27" s="685"/>
      <c r="HH27" s="685"/>
      <c r="HI27" s="685"/>
      <c r="HJ27" s="685"/>
      <c r="HK27" s="685"/>
      <c r="HL27" s="685"/>
      <c r="HM27" s="685"/>
      <c r="HN27" s="685"/>
      <c r="HO27" s="685"/>
      <c r="HP27" s="685"/>
      <c r="HQ27" s="685"/>
      <c r="HR27" s="685"/>
      <c r="HS27" s="685"/>
      <c r="HT27" s="685"/>
      <c r="HU27" s="685"/>
      <c r="HV27" s="685"/>
      <c r="HW27" s="685"/>
      <c r="HX27" s="685"/>
      <c r="HY27" s="685"/>
      <c r="HZ27" s="685"/>
      <c r="IA27" s="685"/>
      <c r="IB27" s="685"/>
      <c r="IC27" s="685"/>
      <c r="ID27" s="685"/>
      <c r="IE27" s="685"/>
      <c r="IF27" s="685"/>
      <c r="IG27" s="685"/>
      <c r="IH27" s="685"/>
      <c r="II27" s="685"/>
      <c r="IJ27" s="685"/>
      <c r="IK27" s="685"/>
      <c r="IL27" s="685"/>
      <c r="IM27" s="685"/>
      <c r="IN27" s="685"/>
      <c r="IO27" s="685"/>
      <c r="IP27" s="685"/>
      <c r="IQ27" s="685"/>
      <c r="IR27" s="685"/>
      <c r="IS27" s="685"/>
      <c r="IT27" s="685"/>
      <c r="IU27" s="685"/>
      <c r="IV27" s="685"/>
      <c r="IW27" s="685"/>
    </row>
    <row r="28" customFormat="false" ht="12.75" hidden="false" customHeight="false" outlineLevel="0" collapsed="false">
      <c r="A28" s="723" t="s">
        <v>331</v>
      </c>
      <c r="B28" s="534"/>
      <c r="C28" s="534"/>
      <c r="D28" s="724" t="n">
        <f aca="false">IF(ABS(D14-D27)&lt;0.5,0,D14-D27)</f>
        <v>0</v>
      </c>
      <c r="E28" s="724" t="n">
        <f aca="false">IF(ABS(E14-E27)&lt;0.5,0,E14-E27)</f>
        <v>0</v>
      </c>
      <c r="F28" s="724" t="n">
        <f aca="false">IF(ABS(F14-F27)&lt;0.5,0,F14-F27)</f>
        <v>0</v>
      </c>
      <c r="G28" s="724" t="n">
        <f aca="false">IF(ABS(G14-G27)&lt;0.5,0,G14-G27)</f>
        <v>0</v>
      </c>
      <c r="H28" s="724" t="n">
        <f aca="false">IF(ABS(H14-H27)&lt;0.5,0,H14-H27)</f>
        <v>0</v>
      </c>
      <c r="I28" s="724" t="n">
        <f aca="false">IF(ABS(I14-I27)&lt;0.5,0,I14-I27)</f>
        <v>0</v>
      </c>
      <c r="J28" s="724" t="n">
        <f aca="false">IF(ABS(J14-J27)&lt;0.5,0,J14-J27)</f>
        <v>0</v>
      </c>
      <c r="K28" s="724" t="n">
        <f aca="false">IF(ABS(K14-K27)&lt;0.5,0,K14-K27)</f>
        <v>0</v>
      </c>
      <c r="L28" s="724" t="n">
        <f aca="false">IF(ABS(L14-L27)&lt;0.5,0,L14-L27)</f>
        <v>0</v>
      </c>
      <c r="M28" s="724" t="n">
        <f aca="false">IF(ABS(M14-M27)&lt;0.5,0,M14-M27)</f>
        <v>0</v>
      </c>
      <c r="N28" s="724" t="n">
        <f aca="false">IF(ABS(N14-N27)&lt;0.5,0,N14-N27)</f>
        <v>0</v>
      </c>
      <c r="O28" s="724" t="n">
        <f aca="false">IF(ABS(O14-O27)&lt;0.5,0,O14-O27)</f>
        <v>0</v>
      </c>
      <c r="P28" s="724" t="n">
        <f aca="false">IF(ABS(P14-P27)&lt;0.5,0,P14-P27)</f>
        <v>0</v>
      </c>
      <c r="Q28" s="724" t="n">
        <f aca="false">IF(ABS(Q14-Q27)&lt;0.5,0,Q14-Q27)</f>
        <v>0</v>
      </c>
      <c r="R28" s="724" t="n">
        <f aca="false">IF(ABS(R14-R27)&lt;0.5,0,R14-R27)</f>
        <v>0</v>
      </c>
      <c r="S28" s="724" t="n">
        <f aca="false">IF(ABS(S14-S27)&lt;0.5,0,S14-S27)</f>
        <v>0</v>
      </c>
      <c r="T28" s="724" t="n">
        <f aca="false">IF(ABS(T14-T27)&lt;0.5,0,T14-T27)</f>
        <v>0</v>
      </c>
      <c r="U28" s="724" t="n">
        <f aca="false">IF(ABS(U14-U27)&lt;0.5,0,U14-U27)</f>
        <v>0</v>
      </c>
      <c r="V28" s="724" t="n">
        <f aca="false">IF(ABS(V14-V27)&lt;0.5,0,V14-V27)</f>
        <v>0</v>
      </c>
      <c r="W28" s="724" t="n">
        <f aca="false">IF(ABS(W14-W27)&lt;0.5,0,W14-W27)</f>
        <v>0</v>
      </c>
      <c r="X28" s="724" t="n">
        <f aca="false">IF(ABS(X14-X27)&lt;0.5,0,X14-X27)</f>
        <v>0</v>
      </c>
      <c r="Y28" s="725" t="n">
        <f aca="false">IF(ABS(Y14-Y27)&lt;0.5,0,Y14-Y27)</f>
        <v>0</v>
      </c>
      <c r="Z28" s="726" t="n">
        <f aca="false">IF(ABS(Z14-Z27)&lt;0.5,0,Z14-Z27)</f>
        <v>0</v>
      </c>
      <c r="AA28" s="724" t="n">
        <f aca="false">IF(ABS(AA14-AA27)&lt;0.5,0,AA14-AA27)</f>
        <v>0</v>
      </c>
      <c r="AB28" s="724" t="n">
        <f aca="false">IF(ABS(AB14-AB27)&lt;0.5,0,AB14-AB27)</f>
        <v>0</v>
      </c>
      <c r="AC28" s="724" t="n">
        <f aca="false">IF(ABS(AC14-AC27)&lt;0.5,0,AC14-AC27)</f>
        <v>0</v>
      </c>
      <c r="AD28" s="724" t="n">
        <f aca="false">IF(ABS(AD14-AD27)&lt;0.5,0,AD14-AD27)</f>
        <v>0</v>
      </c>
      <c r="AE28" s="725" t="n">
        <f aca="false">IF(ABS(AE14-AE27)&lt;0.5,0,AE14-AE27)</f>
        <v>0</v>
      </c>
      <c r="AF28" s="727" t="n">
        <f aca="false">+MAX(ABS(MAX(D28:AE28)),ABS(MIN(D28:AE28)))</f>
        <v>0</v>
      </c>
      <c r="AG28" s="728"/>
      <c r="AH28" s="728"/>
      <c r="AI28" s="728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/>
      <c r="CO28" s="329"/>
      <c r="CP28" s="329"/>
      <c r="CQ28" s="329"/>
      <c r="CR28" s="329"/>
      <c r="CS28" s="329"/>
      <c r="CT28" s="329"/>
      <c r="CU28" s="329"/>
      <c r="CV28" s="329"/>
      <c r="CW28" s="329"/>
      <c r="CX28" s="329"/>
      <c r="CY28" s="329"/>
      <c r="CZ28" s="329"/>
      <c r="DA28" s="329"/>
      <c r="DB28" s="329"/>
      <c r="DC28" s="329"/>
      <c r="DD28" s="329"/>
      <c r="DE28" s="329"/>
      <c r="DF28" s="329"/>
      <c r="DG28" s="329"/>
      <c r="DH28" s="329"/>
      <c r="DI28" s="329"/>
      <c r="DJ28" s="329"/>
      <c r="DK28" s="329"/>
      <c r="DL28" s="329"/>
      <c r="DM28" s="329"/>
      <c r="DN28" s="329"/>
      <c r="DO28" s="329"/>
      <c r="DP28" s="329"/>
      <c r="DQ28" s="329"/>
      <c r="DR28" s="329"/>
      <c r="DS28" s="329"/>
      <c r="DT28" s="329"/>
      <c r="DU28" s="329"/>
      <c r="DV28" s="329"/>
      <c r="DW28" s="329"/>
      <c r="DX28" s="329"/>
      <c r="DY28" s="329"/>
      <c r="DZ28" s="329"/>
      <c r="EA28" s="329"/>
      <c r="EB28" s="329"/>
      <c r="EC28" s="329"/>
      <c r="ED28" s="329"/>
      <c r="EE28" s="329"/>
      <c r="EF28" s="329"/>
      <c r="EG28" s="329"/>
      <c r="EH28" s="329"/>
      <c r="EI28" s="329"/>
      <c r="EJ28" s="329"/>
      <c r="EK28" s="329"/>
      <c r="EL28" s="329"/>
      <c r="EM28" s="329"/>
      <c r="EN28" s="329"/>
      <c r="EO28" s="329"/>
      <c r="EP28" s="329"/>
      <c r="EQ28" s="329"/>
      <c r="ER28" s="329"/>
      <c r="ES28" s="329"/>
      <c r="ET28" s="329"/>
      <c r="EU28" s="329"/>
      <c r="EV28" s="329"/>
      <c r="EW28" s="329"/>
      <c r="EX28" s="329"/>
      <c r="EY28" s="329"/>
      <c r="EZ28" s="329"/>
      <c r="FA28" s="329"/>
      <c r="FB28" s="329"/>
      <c r="FC28" s="329"/>
      <c r="FD28" s="329"/>
      <c r="FE28" s="329"/>
      <c r="FF28" s="329"/>
      <c r="FG28" s="329"/>
      <c r="FH28" s="329"/>
      <c r="FI28" s="329"/>
      <c r="FJ28" s="329"/>
      <c r="FK28" s="329"/>
      <c r="FL28" s="329"/>
      <c r="FM28" s="329"/>
      <c r="FN28" s="329"/>
      <c r="FO28" s="329"/>
      <c r="FP28" s="329"/>
      <c r="FQ28" s="329"/>
      <c r="FR28" s="329"/>
      <c r="FS28" s="329"/>
      <c r="FT28" s="329"/>
      <c r="FU28" s="329"/>
      <c r="FV28" s="329"/>
      <c r="FW28" s="329"/>
      <c r="FX28" s="329"/>
      <c r="FY28" s="329"/>
      <c r="FZ28" s="329"/>
      <c r="GA28" s="329"/>
      <c r="GB28" s="329"/>
      <c r="GC28" s="329"/>
      <c r="GD28" s="329"/>
      <c r="GE28" s="329"/>
      <c r="GF28" s="329"/>
      <c r="GG28" s="329"/>
      <c r="GH28" s="329"/>
      <c r="GI28" s="329"/>
      <c r="GJ28" s="329"/>
      <c r="GK28" s="329"/>
      <c r="GL28" s="329"/>
      <c r="GM28" s="329"/>
      <c r="GN28" s="329"/>
      <c r="GO28" s="329"/>
      <c r="GP28" s="329"/>
      <c r="GQ28" s="329"/>
      <c r="GR28" s="329"/>
      <c r="GS28" s="329"/>
      <c r="GT28" s="329"/>
      <c r="GU28" s="329"/>
      <c r="GV28" s="329"/>
      <c r="GW28" s="329"/>
      <c r="GX28" s="329"/>
      <c r="GY28" s="329"/>
      <c r="GZ28" s="329"/>
      <c r="HA28" s="329"/>
      <c r="HB28" s="329"/>
      <c r="HC28" s="329"/>
      <c r="HD28" s="329"/>
      <c r="HE28" s="329"/>
      <c r="HF28" s="329"/>
      <c r="HG28" s="329"/>
      <c r="HH28" s="329"/>
      <c r="HI28" s="329"/>
      <c r="HJ28" s="329"/>
      <c r="HK28" s="329"/>
      <c r="HL28" s="329"/>
      <c r="HM28" s="329"/>
      <c r="HN28" s="329"/>
      <c r="HO28" s="329"/>
      <c r="HP28" s="329"/>
      <c r="HQ28" s="329"/>
      <c r="HR28" s="329"/>
      <c r="HS28" s="329"/>
      <c r="HT28" s="329"/>
      <c r="HU28" s="329"/>
      <c r="HV28" s="329"/>
      <c r="HW28" s="329"/>
      <c r="HX28" s="329"/>
      <c r="HY28" s="329"/>
      <c r="HZ28" s="329"/>
      <c r="IA28" s="329"/>
      <c r="IB28" s="329"/>
      <c r="IC28" s="329"/>
      <c r="ID28" s="329"/>
      <c r="IE28" s="329"/>
      <c r="IF28" s="329"/>
      <c r="IG28" s="329"/>
      <c r="IH28" s="329"/>
      <c r="II28" s="329"/>
      <c r="IJ28" s="329"/>
      <c r="IK28" s="329"/>
      <c r="IL28" s="329"/>
      <c r="IM28" s="329"/>
      <c r="IN28" s="329"/>
      <c r="IO28" s="329"/>
      <c r="IP28" s="329"/>
      <c r="IQ28" s="329"/>
      <c r="IR28" s="329"/>
      <c r="IS28" s="329"/>
      <c r="IT28" s="329"/>
      <c r="IU28" s="329"/>
      <c r="IV28" s="329"/>
      <c r="IW28" s="329"/>
    </row>
    <row r="29" customFormat="false" ht="12.75" hidden="false" customHeight="false" outlineLevel="0" collapsed="false"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</row>
    <row r="30" customFormat="false" ht="15.75" hidden="false" customHeight="false" outlineLevel="0" collapsed="false">
      <c r="A30" s="689" t="str">
        <f aca="false">+Assumpt!$A$1</f>
        <v>Panama Regas Terminal</v>
      </c>
      <c r="B30" s="690"/>
      <c r="C30" s="395"/>
      <c r="D30" s="395"/>
      <c r="E30" s="395"/>
      <c r="F30" s="395"/>
      <c r="G30" s="395"/>
      <c r="H30" s="395"/>
      <c r="I30" s="729"/>
      <c r="J30" s="395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5"/>
      <c r="V30" s="395"/>
      <c r="W30" s="395"/>
      <c r="X30" s="395"/>
      <c r="Y30" s="397"/>
      <c r="Z30" s="395"/>
      <c r="AA30" s="395"/>
      <c r="AB30" s="395"/>
      <c r="AC30" s="395"/>
      <c r="AD30" s="395"/>
      <c r="AE30" s="397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customFormat="false" ht="15.75" hidden="false" customHeight="false" outlineLevel="0" collapsed="false">
      <c r="A31" s="691" t="str">
        <f aca="false">+Assumpt!$A$2</f>
        <v>Enron International</v>
      </c>
      <c r="B31" s="692"/>
      <c r="C31" s="14"/>
      <c r="D31" s="294" t="s">
        <v>156</v>
      </c>
      <c r="E31" s="295" t="n">
        <f aca="false">+E2</f>
        <v>2003</v>
      </c>
      <c r="F31" s="295" t="n">
        <f aca="false">+F2</f>
        <v>2004</v>
      </c>
      <c r="G31" s="295" t="n">
        <f aca="false">+G2</f>
        <v>2005</v>
      </c>
      <c r="H31" s="295" t="n">
        <f aca="false">+H2</f>
        <v>2006</v>
      </c>
      <c r="I31" s="295" t="n">
        <f aca="false">+I2</f>
        <v>2007</v>
      </c>
      <c r="J31" s="295" t="n">
        <f aca="false">+J2</f>
        <v>2008</v>
      </c>
      <c r="K31" s="295" t="n">
        <f aca="false">+K2</f>
        <v>2009</v>
      </c>
      <c r="L31" s="295" t="n">
        <f aca="false">+L2</f>
        <v>2010</v>
      </c>
      <c r="M31" s="295" t="n">
        <f aca="false">+M2</f>
        <v>2011</v>
      </c>
      <c r="N31" s="295" t="n">
        <f aca="false">+N2</f>
        <v>2012</v>
      </c>
      <c r="O31" s="295" t="n">
        <f aca="false">+O2</f>
        <v>2013</v>
      </c>
      <c r="P31" s="295" t="n">
        <f aca="false">+P2</f>
        <v>2014</v>
      </c>
      <c r="Q31" s="295" t="n">
        <f aca="false">+Q2</f>
        <v>2015</v>
      </c>
      <c r="R31" s="295" t="n">
        <f aca="false">+R2</f>
        <v>2016</v>
      </c>
      <c r="S31" s="295" t="n">
        <f aca="false">+S2</f>
        <v>2017</v>
      </c>
      <c r="T31" s="295" t="n">
        <f aca="false">+T2</f>
        <v>2018</v>
      </c>
      <c r="U31" s="295" t="n">
        <f aca="false">+U2</f>
        <v>2019</v>
      </c>
      <c r="V31" s="295" t="n">
        <f aca="false">+V2</f>
        <v>2020</v>
      </c>
      <c r="W31" s="295" t="n">
        <f aca="false">+W2</f>
        <v>2021</v>
      </c>
      <c r="X31" s="295" t="n">
        <f aca="false">+X2</f>
        <v>2022</v>
      </c>
      <c r="Y31" s="730" t="n">
        <f aca="false">+Y2</f>
        <v>2023</v>
      </c>
      <c r="Z31" s="295" t="n">
        <f aca="false">+Z2</f>
        <v>2024</v>
      </c>
      <c r="AA31" s="295" t="n">
        <f aca="false">+AA2</f>
        <v>2025</v>
      </c>
      <c r="AB31" s="295" t="n">
        <f aca="false">+AB2</f>
        <v>2026</v>
      </c>
      <c r="AC31" s="295" t="n">
        <f aca="false">+AC2</f>
        <v>2027</v>
      </c>
      <c r="AD31" s="295" t="n">
        <f aca="false">+AD2</f>
        <v>2028</v>
      </c>
      <c r="AE31" s="730" t="n">
        <f aca="false">+AE2</f>
        <v>2029</v>
      </c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customFormat="false" ht="15.75" hidden="false" customHeight="false" outlineLevel="0" collapsed="false">
      <c r="A32" s="696" t="s">
        <v>332</v>
      </c>
      <c r="B32" s="697"/>
      <c r="C32" s="14"/>
      <c r="D32" s="301" t="s">
        <v>159</v>
      </c>
      <c r="E32" s="107" t="n">
        <f aca="false">+E3</f>
        <v>1</v>
      </c>
      <c r="F32" s="107" t="n">
        <f aca="false">+F3</f>
        <v>2</v>
      </c>
      <c r="G32" s="107" t="n">
        <f aca="false">+G3</f>
        <v>3</v>
      </c>
      <c r="H32" s="107" t="n">
        <f aca="false">+H3</f>
        <v>4</v>
      </c>
      <c r="I32" s="107" t="n">
        <f aca="false">+I3</f>
        <v>5</v>
      </c>
      <c r="J32" s="107" t="n">
        <f aca="false">+J3</f>
        <v>6</v>
      </c>
      <c r="K32" s="107" t="n">
        <f aca="false">+K3</f>
        <v>7</v>
      </c>
      <c r="L32" s="107" t="n">
        <f aca="false">+L3</f>
        <v>8</v>
      </c>
      <c r="M32" s="107" t="n">
        <f aca="false">+M3</f>
        <v>9</v>
      </c>
      <c r="N32" s="107" t="n">
        <f aca="false">+N3</f>
        <v>10</v>
      </c>
      <c r="O32" s="107" t="n">
        <f aca="false">+O3</f>
        <v>11</v>
      </c>
      <c r="P32" s="107" t="n">
        <f aca="false">+P3</f>
        <v>12</v>
      </c>
      <c r="Q32" s="107" t="n">
        <f aca="false">+Q3</f>
        <v>13</v>
      </c>
      <c r="R32" s="107" t="n">
        <f aca="false">+R3</f>
        <v>14</v>
      </c>
      <c r="S32" s="107" t="n">
        <f aca="false">+S3</f>
        <v>15</v>
      </c>
      <c r="T32" s="107" t="n">
        <f aca="false">+T3</f>
        <v>15</v>
      </c>
      <c r="U32" s="107" t="n">
        <f aca="false">+U3</f>
        <v>15</v>
      </c>
      <c r="V32" s="107" t="n">
        <f aca="false">+V3</f>
        <v>15</v>
      </c>
      <c r="W32" s="107" t="n">
        <f aca="false">+W3</f>
        <v>15</v>
      </c>
      <c r="X32" s="107" t="n">
        <f aca="false">+X3</f>
        <v>15</v>
      </c>
      <c r="Y32" s="517" t="n">
        <f aca="false">+Y3</f>
        <v>15</v>
      </c>
      <c r="Z32" s="107" t="n">
        <f aca="false">+Z3</f>
        <v>15</v>
      </c>
      <c r="AA32" s="107" t="n">
        <f aca="false">+AA3</f>
        <v>15</v>
      </c>
      <c r="AB32" s="107" t="n">
        <f aca="false">+AB3</f>
        <v>15</v>
      </c>
      <c r="AC32" s="107" t="n">
        <f aca="false">+AC3</f>
        <v>15</v>
      </c>
      <c r="AD32" s="107" t="n">
        <f aca="false">+AD3</f>
        <v>15</v>
      </c>
      <c r="AE32" s="517" t="n">
        <f aca="false">+AE3</f>
        <v>15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</row>
    <row r="33" customFormat="false" ht="12.75" hidden="false" customHeight="false" outlineLevel="0" collapsed="false">
      <c r="A33" s="37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402"/>
      <c r="Z33" s="14"/>
      <c r="AA33" s="14"/>
      <c r="AB33" s="14"/>
      <c r="AC33" s="14"/>
      <c r="AD33" s="14"/>
      <c r="AE33" s="402"/>
      <c r="AF33" s="302"/>
      <c r="AG33" s="302"/>
      <c r="AH33" s="302"/>
      <c r="AI33" s="302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customFormat="false" ht="12.75" hidden="false" customHeight="false" outlineLevel="0" collapsed="false">
      <c r="A34" s="372" t="s">
        <v>333</v>
      </c>
      <c r="B34" s="14"/>
      <c r="C34" s="14"/>
      <c r="D34" s="644" t="n">
        <v>0</v>
      </c>
      <c r="E34" s="107" t="n">
        <f aca="false">+CF!E23</f>
        <v>17568.7638482292</v>
      </c>
      <c r="F34" s="107" t="n">
        <f aca="false">+CF!F23</f>
        <v>18068.1229716858</v>
      </c>
      <c r="G34" s="107" t="n">
        <f aca="false">+CF!G23</f>
        <v>35428.6012831467</v>
      </c>
      <c r="H34" s="107" t="n">
        <f aca="false">+CF!H23</f>
        <v>37258.8993214385</v>
      </c>
      <c r="I34" s="107" t="n">
        <f aca="false">+CF!I23</f>
        <v>38176.0752964704</v>
      </c>
      <c r="J34" s="107" t="n">
        <f aca="false">+CF!J23</f>
        <v>39656.6040696722</v>
      </c>
      <c r="K34" s="107" t="n">
        <f aca="false">+CF!K23</f>
        <v>40706.4857746443</v>
      </c>
      <c r="L34" s="107" t="n">
        <f aca="false">+CF!L23</f>
        <v>75264.0514733296</v>
      </c>
      <c r="M34" s="107" t="n">
        <f aca="false">+CF!M23</f>
        <v>81553.2502072618</v>
      </c>
      <c r="N34" s="107" t="n">
        <f aca="false">+CF!N23</f>
        <v>83820.0663053305</v>
      </c>
      <c r="O34" s="107" t="n">
        <f aca="false">+CF!O23</f>
        <v>86313.3665045902</v>
      </c>
      <c r="P34" s="107" t="n">
        <f aca="false">+CF!P23</f>
        <v>89671.7472534145</v>
      </c>
      <c r="Q34" s="107" t="n">
        <f aca="false">+CF!Q23</f>
        <v>91465.1821984828</v>
      </c>
      <c r="R34" s="107" t="n">
        <f aca="false">+CF!R23</f>
        <v>93294.4858424524</v>
      </c>
      <c r="S34" s="107" t="n">
        <f aca="false">+CF!S23</f>
        <v>95160.3755593015</v>
      </c>
      <c r="T34" s="107" t="n">
        <f aca="false">+CF!T23</f>
        <v>0</v>
      </c>
      <c r="U34" s="107" t="n">
        <f aca="false">+CF!U23</f>
        <v>0</v>
      </c>
      <c r="V34" s="107" t="n">
        <f aca="false">+CF!V23</f>
        <v>0</v>
      </c>
      <c r="W34" s="107" t="n">
        <f aca="false">+CF!W23</f>
        <v>0</v>
      </c>
      <c r="X34" s="107" t="n">
        <f aca="false">+CF!X23</f>
        <v>0</v>
      </c>
      <c r="Y34" s="517" t="n">
        <f aca="false">+CF!Y23</f>
        <v>0</v>
      </c>
      <c r="Z34" s="107" t="n">
        <f aca="false">+CF!Z23</f>
        <v>0</v>
      </c>
      <c r="AA34" s="107" t="n">
        <f aca="false">+CF!AA23</f>
        <v>0</v>
      </c>
      <c r="AB34" s="107" t="n">
        <f aca="false">+CF!AB23</f>
        <v>0</v>
      </c>
      <c r="AC34" s="107" t="n">
        <f aca="false">+CF!AC23</f>
        <v>0</v>
      </c>
      <c r="AD34" s="107" t="n">
        <f aca="false">+CF!AD23</f>
        <v>0</v>
      </c>
      <c r="AE34" s="517" t="n">
        <f aca="false">+CF!AE23</f>
        <v>0</v>
      </c>
      <c r="AF34" s="719"/>
      <c r="AG34" s="719"/>
      <c r="AH34" s="719"/>
      <c r="AI34" s="719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customFormat="false" ht="12.75" hidden="false" customHeight="false" outlineLevel="0" collapsed="false">
      <c r="A35" s="372"/>
      <c r="B35" s="14"/>
      <c r="C35" s="14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517"/>
      <c r="Z35" s="107"/>
      <c r="AA35" s="107"/>
      <c r="AB35" s="107"/>
      <c r="AC35" s="107"/>
      <c r="AD35" s="107"/>
      <c r="AE35" s="517"/>
      <c r="AF35" s="430"/>
      <c r="AG35" s="430"/>
      <c r="AH35" s="430"/>
      <c r="AI35" s="430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</row>
    <row r="36" customFormat="false" ht="12.75" hidden="false" customHeight="false" outlineLevel="0" collapsed="false">
      <c r="A36" s="366" t="s">
        <v>334</v>
      </c>
      <c r="B36" s="14"/>
      <c r="C36" s="14"/>
      <c r="D36" s="644" t="n">
        <v>0</v>
      </c>
      <c r="E36" s="107" t="n">
        <f aca="false">+CF!E36</f>
        <v>10131.5650176</v>
      </c>
      <c r="F36" s="107" t="n">
        <f aca="false">+CF!F36</f>
        <v>10334.196317952</v>
      </c>
      <c r="G36" s="107" t="n">
        <f aca="false">+CF!G36</f>
        <v>10540.880244311</v>
      </c>
      <c r="H36" s="107" t="n">
        <f aca="false">+CF!H36</f>
        <v>10751.6978491973</v>
      </c>
      <c r="I36" s="107" t="n">
        <f aca="false">+CF!I36</f>
        <v>10966.7318061812</v>
      </c>
      <c r="J36" s="107" t="n">
        <f aca="false">+CF!J36</f>
        <v>11186.0664423048</v>
      </c>
      <c r="K36" s="107" t="n">
        <f aca="false">+CF!K36</f>
        <v>11409.7877711509</v>
      </c>
      <c r="L36" s="107" t="n">
        <f aca="false">+CF!L36</f>
        <v>11637.9835265739</v>
      </c>
      <c r="M36" s="107" t="n">
        <f aca="false">+CF!M36</f>
        <v>11870.7431971054</v>
      </c>
      <c r="N36" s="107" t="n">
        <f aca="false">+CF!N36</f>
        <v>12108.1580610475</v>
      </c>
      <c r="O36" s="107" t="n">
        <f aca="false">+CF!O36</f>
        <v>12350.3212222685</v>
      </c>
      <c r="P36" s="107" t="n">
        <f aca="false">+CF!P36</f>
        <v>12597.3276467139</v>
      </c>
      <c r="Q36" s="107" t="n">
        <f aca="false">+CF!Q36</f>
        <v>12849.2741996481</v>
      </c>
      <c r="R36" s="107" t="n">
        <f aca="false">+CF!R36</f>
        <v>13106.2596836411</v>
      </c>
      <c r="S36" s="107" t="n">
        <f aca="false">+CF!S36</f>
        <v>13368.3848773139</v>
      </c>
      <c r="T36" s="107" t="n">
        <f aca="false">+CF!T36</f>
        <v>0</v>
      </c>
      <c r="U36" s="107" t="n">
        <f aca="false">+CF!U36</f>
        <v>0</v>
      </c>
      <c r="V36" s="107" t="n">
        <f aca="false">+CF!V36</f>
        <v>0</v>
      </c>
      <c r="W36" s="107" t="n">
        <f aca="false">+CF!W36</f>
        <v>0</v>
      </c>
      <c r="X36" s="107" t="n">
        <f aca="false">+CF!X36</f>
        <v>0</v>
      </c>
      <c r="Y36" s="517" t="n">
        <f aca="false">+CF!Y36</f>
        <v>0</v>
      </c>
      <c r="Z36" s="107" t="n">
        <f aca="false">+CF!Z36</f>
        <v>0</v>
      </c>
      <c r="AA36" s="107" t="n">
        <f aca="false">+CF!AA36</f>
        <v>0</v>
      </c>
      <c r="AB36" s="107" t="n">
        <f aca="false">+CF!AB36</f>
        <v>0</v>
      </c>
      <c r="AC36" s="107" t="n">
        <f aca="false">+CF!AC36</f>
        <v>0</v>
      </c>
      <c r="AD36" s="107" t="n">
        <f aca="false">+CF!AD36</f>
        <v>0</v>
      </c>
      <c r="AE36" s="517" t="n">
        <f aca="false">+CF!AE36</f>
        <v>0</v>
      </c>
      <c r="AF36" s="719"/>
      <c r="AG36" s="719"/>
      <c r="AH36" s="719"/>
      <c r="AI36" s="719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</row>
    <row r="37" customFormat="false" ht="12.75" hidden="false" customHeight="false" outlineLevel="0" collapsed="false">
      <c r="A37" s="366" t="s">
        <v>335</v>
      </c>
      <c r="B37" s="14"/>
      <c r="C37" s="14"/>
      <c r="D37" s="644" t="n">
        <v>0</v>
      </c>
      <c r="E37" s="107" t="n">
        <f aca="false">-CF!E45</f>
        <v>37</v>
      </c>
      <c r="F37" s="107" t="n">
        <f aca="false">-CF!F45</f>
        <v>37</v>
      </c>
      <c r="G37" s="107" t="n">
        <f aca="false">-CF!G45</f>
        <v>37</v>
      </c>
      <c r="H37" s="107" t="n">
        <f aca="false">-CF!H45</f>
        <v>37</v>
      </c>
      <c r="I37" s="107" t="n">
        <f aca="false">-CF!I45</f>
        <v>37</v>
      </c>
      <c r="J37" s="107" t="n">
        <f aca="false">-CF!J45</f>
        <v>37</v>
      </c>
      <c r="K37" s="107" t="n">
        <f aca="false">-CF!K45</f>
        <v>37</v>
      </c>
      <c r="L37" s="107" t="n">
        <f aca="false">-CF!L45</f>
        <v>37</v>
      </c>
      <c r="M37" s="107" t="n">
        <f aca="false">-CF!M45</f>
        <v>37</v>
      </c>
      <c r="N37" s="107" t="n">
        <f aca="false">-CF!N45</f>
        <v>37</v>
      </c>
      <c r="O37" s="107" t="n">
        <f aca="false">-CF!O45</f>
        <v>37</v>
      </c>
      <c r="P37" s="107" t="n">
        <f aca="false">-CF!P45</f>
        <v>37</v>
      </c>
      <c r="Q37" s="107" t="n">
        <f aca="false">-CF!Q45</f>
        <v>37</v>
      </c>
      <c r="R37" s="107" t="n">
        <f aca="false">-CF!R45</f>
        <v>37</v>
      </c>
      <c r="S37" s="107" t="n">
        <f aca="false">-CF!S45</f>
        <v>37</v>
      </c>
      <c r="T37" s="107" t="n">
        <f aca="false">-CF!T45</f>
        <v>-0</v>
      </c>
      <c r="U37" s="107" t="n">
        <f aca="false">-CF!U45</f>
        <v>-0</v>
      </c>
      <c r="V37" s="107" t="n">
        <f aca="false">-CF!V45</f>
        <v>-0</v>
      </c>
      <c r="W37" s="107" t="n">
        <f aca="false">-CF!W45</f>
        <v>-0</v>
      </c>
      <c r="X37" s="107" t="n">
        <f aca="false">-CF!X45</f>
        <v>-0</v>
      </c>
      <c r="Y37" s="517" t="n">
        <f aca="false">-CF!Y45</f>
        <v>-0</v>
      </c>
      <c r="Z37" s="107" t="n">
        <f aca="false">-CF!Z45</f>
        <v>-0</v>
      </c>
      <c r="AA37" s="107" t="n">
        <f aca="false">-CF!AA45</f>
        <v>-0</v>
      </c>
      <c r="AB37" s="107" t="n">
        <f aca="false">-CF!AB45</f>
        <v>-0</v>
      </c>
      <c r="AC37" s="107" t="n">
        <f aca="false">-CF!AC45</f>
        <v>-0</v>
      </c>
      <c r="AD37" s="107" t="n">
        <f aca="false">-CF!AD45</f>
        <v>-0</v>
      </c>
      <c r="AE37" s="517" t="n">
        <f aca="false">-CF!AE45</f>
        <v>-0</v>
      </c>
      <c r="AF37" s="719"/>
      <c r="AG37" s="719"/>
      <c r="AH37" s="719"/>
      <c r="AI37" s="719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</row>
    <row r="38" customFormat="false" ht="12.75" hidden="false" customHeight="false" outlineLevel="0" collapsed="false">
      <c r="A38" s="366" t="s">
        <v>336</v>
      </c>
      <c r="B38" s="14"/>
      <c r="C38" s="14"/>
      <c r="D38" s="644" t="n">
        <v>0</v>
      </c>
      <c r="E38" s="107" t="n">
        <f aca="false">-CF!E52</f>
        <v>4219.56984817672</v>
      </c>
      <c r="F38" s="107" t="n">
        <f aca="false">-CF!F52</f>
        <v>4219.56984817672</v>
      </c>
      <c r="G38" s="107" t="n">
        <f aca="false">-CF!G52</f>
        <v>4219.56984817672</v>
      </c>
      <c r="H38" s="107" t="n">
        <f aca="false">-CF!H52</f>
        <v>4219.56984817672</v>
      </c>
      <c r="I38" s="107" t="n">
        <f aca="false">-CF!I52</f>
        <v>4219.56984817672</v>
      </c>
      <c r="J38" s="107" t="n">
        <f aca="false">-CF!J52</f>
        <v>4219.56984817672</v>
      </c>
      <c r="K38" s="107" t="n">
        <f aca="false">-CF!K52</f>
        <v>4219.56984817672</v>
      </c>
      <c r="L38" s="107" t="n">
        <f aca="false">-CF!L52</f>
        <v>4219.56984817672</v>
      </c>
      <c r="M38" s="107" t="n">
        <f aca="false">-CF!M52</f>
        <v>4219.56984817672</v>
      </c>
      <c r="N38" s="107" t="n">
        <f aca="false">-CF!N52</f>
        <v>4219.56984817672</v>
      </c>
      <c r="O38" s="107" t="n">
        <f aca="false">-CF!O52</f>
        <v>4219.56984817672</v>
      </c>
      <c r="P38" s="107" t="n">
        <f aca="false">-CF!P52</f>
        <v>4219.56984817672</v>
      </c>
      <c r="Q38" s="107" t="n">
        <f aca="false">-CF!Q52</f>
        <v>4219.56984817672</v>
      </c>
      <c r="R38" s="107" t="n">
        <f aca="false">-CF!R52</f>
        <v>4219.56984817672</v>
      </c>
      <c r="S38" s="107" t="n">
        <f aca="false">-CF!S52</f>
        <v>4219.56984817672</v>
      </c>
      <c r="T38" s="107" t="n">
        <f aca="false">-CF!T52</f>
        <v>0</v>
      </c>
      <c r="U38" s="107" t="n">
        <f aca="false">-CF!U52</f>
        <v>0</v>
      </c>
      <c r="V38" s="107" t="n">
        <f aca="false">-CF!V52</f>
        <v>0</v>
      </c>
      <c r="W38" s="107" t="n">
        <f aca="false">-CF!W52</f>
        <v>0</v>
      </c>
      <c r="X38" s="107" t="n">
        <f aca="false">-CF!X52</f>
        <v>0</v>
      </c>
      <c r="Y38" s="517" t="n">
        <f aca="false">-CF!Y52</f>
        <v>0</v>
      </c>
      <c r="Z38" s="107" t="n">
        <f aca="false">-CF!Z52</f>
        <v>0</v>
      </c>
      <c r="AA38" s="107" t="n">
        <f aca="false">-CF!AA52</f>
        <v>0</v>
      </c>
      <c r="AB38" s="107" t="n">
        <f aca="false">-CF!AB52</f>
        <v>0</v>
      </c>
      <c r="AC38" s="107" t="n">
        <f aca="false">-CF!AC52</f>
        <v>0</v>
      </c>
      <c r="AD38" s="107" t="n">
        <f aca="false">-CF!AD52</f>
        <v>0</v>
      </c>
      <c r="AE38" s="517" t="n">
        <f aca="false">-CF!AE52</f>
        <v>0</v>
      </c>
      <c r="AF38" s="719"/>
      <c r="AG38" s="719"/>
      <c r="AH38" s="719"/>
      <c r="AI38" s="719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customFormat="false" ht="12.75" hidden="false" customHeight="false" outlineLevel="0" collapsed="false">
      <c r="A39" s="366" t="s">
        <v>337</v>
      </c>
      <c r="B39" s="14"/>
      <c r="C39" s="14"/>
      <c r="D39" s="644" t="n">
        <v>0</v>
      </c>
      <c r="E39" s="107" t="n">
        <f aca="false">-CF!E49</f>
        <v>12115.9846151308</v>
      </c>
      <c r="F39" s="107" t="n">
        <f aca="false">-CF!F49</f>
        <v>11953.9426671253</v>
      </c>
      <c r="G39" s="107" t="n">
        <f aca="false">-CF!G49</f>
        <v>11274.6212978373</v>
      </c>
      <c r="H39" s="107" t="n">
        <f aca="false">-CF!H49</f>
        <v>10529.2316796274</v>
      </c>
      <c r="I39" s="107" t="n">
        <f aca="false">-CF!I49</f>
        <v>9711.34826236155</v>
      </c>
      <c r="J39" s="107" t="n">
        <f aca="false">-CF!J49</f>
        <v>8813.9205709952</v>
      </c>
      <c r="K39" s="107" t="n">
        <f aca="false">-CF!K49</f>
        <v>7829.2124277204</v>
      </c>
      <c r="L39" s="107" t="n">
        <f aca="false">-CF!L49</f>
        <v>6748.73526308623</v>
      </c>
      <c r="M39" s="107" t="n">
        <f aca="false">-CF!M49</f>
        <v>5563.17494120911</v>
      </c>
      <c r="N39" s="107" t="n">
        <f aca="false">-CF!N49</f>
        <v>4262.31146827742</v>
      </c>
      <c r="O39" s="107" t="n">
        <f aca="false">-CF!O49</f>
        <v>2834.93089220643</v>
      </c>
      <c r="P39" s="107" t="n">
        <f aca="false">-CF!P49</f>
        <v>1268.72863398393</v>
      </c>
      <c r="Q39" s="107" t="n">
        <f aca="false">-CF!Q49</f>
        <v>-1.48611434269696E-011</v>
      </c>
      <c r="R39" s="107" t="n">
        <f aca="false">-CF!R49</f>
        <v>-1.11458575702272E-011</v>
      </c>
      <c r="S39" s="107" t="n">
        <f aca="false">-CF!S49</f>
        <v>-1.48611434269696E-011</v>
      </c>
      <c r="T39" s="107" t="n">
        <f aca="false">-CF!T49</f>
        <v>-1.48611434269696E-011</v>
      </c>
      <c r="U39" s="107" t="n">
        <f aca="false">-CF!U49</f>
        <v>7.43057171348482E-012</v>
      </c>
      <c r="V39" s="107" t="n">
        <f aca="false">-CF!V49</f>
        <v>7.43057171348482E-012</v>
      </c>
      <c r="W39" s="107" t="n">
        <f aca="false">-CF!W49</f>
        <v>7.43057171348482E-012</v>
      </c>
      <c r="X39" s="107" t="n">
        <f aca="false">-CF!X49</f>
        <v>7.43057171348482E-012</v>
      </c>
      <c r="Y39" s="517" t="n">
        <f aca="false">-CF!Y49</f>
        <v>7.43057171348482E-012</v>
      </c>
      <c r="Z39" s="107" t="n">
        <f aca="false">-CF!Z49</f>
        <v>7.43057171348482E-012</v>
      </c>
      <c r="AA39" s="107" t="n">
        <f aca="false">-CF!AA49</f>
        <v>7.43057171348482E-012</v>
      </c>
      <c r="AB39" s="107" t="n">
        <f aca="false">-CF!AB49</f>
        <v>7.43057171348482E-012</v>
      </c>
      <c r="AC39" s="107" t="n">
        <f aca="false">-CF!AC49</f>
        <v>7.43057171348482E-012</v>
      </c>
      <c r="AD39" s="107" t="n">
        <f aca="false">-CF!AD49</f>
        <v>7.43057171348482E-012</v>
      </c>
      <c r="AE39" s="517" t="n">
        <f aca="false">-CF!AE49</f>
        <v>0</v>
      </c>
      <c r="AF39" s="719"/>
      <c r="AG39" s="719"/>
      <c r="AH39" s="719"/>
      <c r="AI39" s="719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</row>
    <row r="40" customFormat="false" ht="12.75" hidden="false" customHeight="false" outlineLevel="0" collapsed="false">
      <c r="A40" s="366" t="s">
        <v>338</v>
      </c>
      <c r="B40" s="14"/>
      <c r="C40" s="14"/>
      <c r="D40" s="644" t="n">
        <v>0</v>
      </c>
      <c r="E40" s="107" t="n">
        <f aca="false">-CF!E50</f>
        <v>773.360720114731</v>
      </c>
      <c r="F40" s="107" t="n">
        <f aca="false">-CF!F50</f>
        <v>763.017617050553</v>
      </c>
      <c r="G40" s="107" t="n">
        <f aca="false">-CF!G50</f>
        <v>719.656678585359</v>
      </c>
      <c r="H40" s="107" t="n">
        <f aca="false">-CF!H50</f>
        <v>672.07861784856</v>
      </c>
      <c r="I40" s="107" t="n">
        <f aca="false">-CF!I50</f>
        <v>619.873293342226</v>
      </c>
      <c r="J40" s="107" t="n">
        <f aca="false">-CF!J50</f>
        <v>562.590674744374</v>
      </c>
      <c r="K40" s="107" t="n">
        <f aca="false">-CF!K50</f>
        <v>499.736963471515</v>
      </c>
      <c r="L40" s="107" t="n">
        <f aca="false">-CF!L50</f>
        <v>430.770335941674</v>
      </c>
      <c r="M40" s="107" t="n">
        <f aca="false">-CF!M50</f>
        <v>355.096272843134</v>
      </c>
      <c r="N40" s="107" t="n">
        <f aca="false">-CF!N50</f>
        <v>272.062434145367</v>
      </c>
      <c r="O40" s="107" t="n">
        <f aca="false">-CF!O50</f>
        <v>180.953035672751</v>
      </c>
      <c r="P40" s="107" t="n">
        <f aca="false">-CF!P50</f>
        <v>80.9826787649315</v>
      </c>
      <c r="Q40" s="107" t="n">
        <f aca="false">-CF!Q50</f>
        <v>-9.48583622998062E-013</v>
      </c>
      <c r="R40" s="107" t="n">
        <f aca="false">-CF!R50</f>
        <v>-7.11437717248547E-013</v>
      </c>
      <c r="S40" s="107" t="n">
        <f aca="false">-CF!S50</f>
        <v>-9.48583622998062E-013</v>
      </c>
      <c r="T40" s="107" t="n">
        <f aca="false">-CF!T50</f>
        <v>-9.48583622998062E-013</v>
      </c>
      <c r="U40" s="107" t="n">
        <f aca="false">-CF!U50</f>
        <v>4.74291811499031E-013</v>
      </c>
      <c r="V40" s="107" t="n">
        <f aca="false">-CF!V50</f>
        <v>4.74291811499031E-013</v>
      </c>
      <c r="W40" s="107" t="n">
        <f aca="false">-CF!W50</f>
        <v>4.74291811499031E-013</v>
      </c>
      <c r="X40" s="107" t="n">
        <f aca="false">-CF!X50</f>
        <v>4.74291811499031E-013</v>
      </c>
      <c r="Y40" s="517" t="n">
        <f aca="false">-CF!Y50</f>
        <v>4.74291811499031E-013</v>
      </c>
      <c r="Z40" s="107" t="n">
        <f aca="false">-CF!Z50</f>
        <v>4.74291811499031E-013</v>
      </c>
      <c r="AA40" s="107" t="n">
        <f aca="false">-CF!AA50</f>
        <v>4.74291811499031E-013</v>
      </c>
      <c r="AB40" s="107" t="n">
        <f aca="false">-CF!AB50</f>
        <v>4.74291811499031E-013</v>
      </c>
      <c r="AC40" s="107" t="n">
        <f aca="false">-CF!AC50</f>
        <v>4.74291811499031E-013</v>
      </c>
      <c r="AD40" s="107" t="n">
        <f aca="false">-CF!AD50</f>
        <v>4.74291811499031E-013</v>
      </c>
      <c r="AE40" s="517" t="n">
        <f aca="false">-CF!AE50</f>
        <v>0</v>
      </c>
      <c r="AF40" s="719"/>
      <c r="AG40" s="719"/>
      <c r="AH40" s="719"/>
      <c r="AI40" s="719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</row>
    <row r="41" customFormat="false" ht="12.75" hidden="false" customHeight="false" outlineLevel="0" collapsed="false">
      <c r="A41" s="366" t="s">
        <v>306</v>
      </c>
      <c r="B41" s="14"/>
      <c r="C41" s="14"/>
      <c r="D41" s="644" t="n">
        <v>0</v>
      </c>
      <c r="E41" s="107" t="n">
        <f aca="false">+'Depn&amp;Tax'!E87</f>
        <v>0</v>
      </c>
      <c r="F41" s="107" t="n">
        <f aca="false">+'Depn&amp;Tax'!F87</f>
        <v>20</v>
      </c>
      <c r="G41" s="107" t="n">
        <f aca="false">+'Depn&amp;Tax'!G87</f>
        <v>20</v>
      </c>
      <c r="H41" s="107" t="n">
        <f aca="false">+'Depn&amp;Tax'!H87</f>
        <v>20</v>
      </c>
      <c r="I41" s="107" t="n">
        <f aca="false">+'Depn&amp;Tax'!I87</f>
        <v>20</v>
      </c>
      <c r="J41" s="107" t="n">
        <f aca="false">+'Depn&amp;Tax'!J87</f>
        <v>20</v>
      </c>
      <c r="K41" s="107" t="n">
        <f aca="false">+'Depn&amp;Tax'!K87</f>
        <v>20</v>
      </c>
      <c r="L41" s="107" t="n">
        <f aca="false">+'Depn&amp;Tax'!L87</f>
        <v>20</v>
      </c>
      <c r="M41" s="107" t="n">
        <f aca="false">+'Depn&amp;Tax'!M87</f>
        <v>20</v>
      </c>
      <c r="N41" s="107" t="n">
        <f aca="false">+'Depn&amp;Tax'!N87</f>
        <v>20</v>
      </c>
      <c r="O41" s="107" t="n">
        <f aca="false">+'Depn&amp;Tax'!O87</f>
        <v>20</v>
      </c>
      <c r="P41" s="107" t="n">
        <f aca="false">+'Depn&amp;Tax'!P87</f>
        <v>20</v>
      </c>
      <c r="Q41" s="107" t="n">
        <f aca="false">+'Depn&amp;Tax'!Q87</f>
        <v>20</v>
      </c>
      <c r="R41" s="107" t="n">
        <f aca="false">+'Depn&amp;Tax'!R87</f>
        <v>20</v>
      </c>
      <c r="S41" s="107" t="n">
        <f aca="false">+'Depn&amp;Tax'!S87</f>
        <v>20</v>
      </c>
      <c r="T41" s="107" t="n">
        <f aca="false">+'Depn&amp;Tax'!T87</f>
        <v>0</v>
      </c>
      <c r="U41" s="107" t="n">
        <f aca="false">+'Depn&amp;Tax'!U87</f>
        <v>0</v>
      </c>
      <c r="V41" s="107" t="n">
        <f aca="false">+'Depn&amp;Tax'!V87</f>
        <v>0</v>
      </c>
      <c r="W41" s="107" t="n">
        <f aca="false">+'Depn&amp;Tax'!W87</f>
        <v>0</v>
      </c>
      <c r="X41" s="107" t="n">
        <f aca="false">+'Depn&amp;Tax'!X87</f>
        <v>0</v>
      </c>
      <c r="Y41" s="107" t="n">
        <f aca="false">+'Depn&amp;Tax'!Y87</f>
        <v>0</v>
      </c>
      <c r="Z41" s="107" t="n">
        <f aca="false">+'Depn&amp;Tax'!Z87</f>
        <v>0</v>
      </c>
      <c r="AA41" s="107" t="n">
        <f aca="false">+'Depn&amp;Tax'!AA87</f>
        <v>0</v>
      </c>
      <c r="AB41" s="107" t="n">
        <f aca="false">+'Depn&amp;Tax'!AB87</f>
        <v>0</v>
      </c>
      <c r="AC41" s="107" t="n">
        <f aca="false">+'Depn&amp;Tax'!AC87</f>
        <v>0</v>
      </c>
      <c r="AD41" s="107" t="n">
        <f aca="false">+'Depn&amp;Tax'!AD87</f>
        <v>0</v>
      </c>
      <c r="AE41" s="107" t="n">
        <f aca="false">+'Depn&amp;Tax'!AE87</f>
        <v>0</v>
      </c>
      <c r="AF41" s="719"/>
      <c r="AG41" s="719"/>
      <c r="AH41" s="719"/>
      <c r="AI41" s="719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customFormat="false" ht="12.75" hidden="false" customHeight="false" outlineLevel="0" collapsed="false">
      <c r="A42" s="367" t="s">
        <v>339</v>
      </c>
      <c r="B42" s="148"/>
      <c r="C42" s="579"/>
      <c r="D42" s="131" t="n">
        <v>0</v>
      </c>
      <c r="E42" s="131" t="n">
        <f aca="false">-CF!E53</f>
        <v>0</v>
      </c>
      <c r="F42" s="131" t="n">
        <f aca="false">-CF!F53</f>
        <v>0</v>
      </c>
      <c r="G42" s="131" t="n">
        <f aca="false">-CF!G53</f>
        <v>1292.53098213544</v>
      </c>
      <c r="H42" s="131" t="n">
        <f aca="false">-CF!H53</f>
        <v>1654.39819898828</v>
      </c>
      <c r="I42" s="131" t="n">
        <f aca="false">-CF!I53</f>
        <v>1890.2328129613</v>
      </c>
      <c r="J42" s="131" t="n">
        <f aca="false">-CF!J53</f>
        <v>3591.90300469679</v>
      </c>
      <c r="K42" s="131" t="n">
        <f aca="false">-CF!K53</f>
        <v>5007.35362923741</v>
      </c>
      <c r="L42" s="131" t="n">
        <f aca="false">-CF!L53</f>
        <v>15650.9977498653</v>
      </c>
      <c r="M42" s="131" t="n">
        <f aca="false">-CF!M53</f>
        <v>17846.2997843782</v>
      </c>
      <c r="N42" s="131" t="n">
        <f aca="false">-CF!N53</f>
        <v>18870.289348105</v>
      </c>
      <c r="O42" s="131" t="n">
        <f aca="false">-CF!O53</f>
        <v>20001.1774518797</v>
      </c>
      <c r="P42" s="131" t="n">
        <f aca="false">-CF!P53</f>
        <v>21434.4415337325</v>
      </c>
      <c r="Q42" s="131" t="n">
        <f aca="false">-CF!Q53</f>
        <v>22301.8014451974</v>
      </c>
      <c r="R42" s="131" t="n">
        <f aca="false">-CF!R53</f>
        <v>22773.4968931904</v>
      </c>
      <c r="S42" s="131" t="n">
        <f aca="false">-CF!S53</f>
        <v>23254.6262501433</v>
      </c>
      <c r="T42" s="131" t="n">
        <f aca="false">-CF!T53</f>
        <v>4.74291811499031E-012</v>
      </c>
      <c r="U42" s="131" t="n">
        <f aca="false">-CF!U53</f>
        <v>0</v>
      </c>
      <c r="V42" s="131" t="n">
        <f aca="false">-CF!V53</f>
        <v>0</v>
      </c>
      <c r="W42" s="131" t="n">
        <f aca="false">-CF!W53</f>
        <v>0</v>
      </c>
      <c r="X42" s="131" t="n">
        <f aca="false">-CF!X53</f>
        <v>0</v>
      </c>
      <c r="Y42" s="672" t="n">
        <f aca="false">-CF!Y53</f>
        <v>0</v>
      </c>
      <c r="Z42" s="131" t="n">
        <f aca="false">-CF!Z53</f>
        <v>0</v>
      </c>
      <c r="AA42" s="131" t="n">
        <f aca="false">-CF!AA53</f>
        <v>0</v>
      </c>
      <c r="AB42" s="131" t="n">
        <f aca="false">-CF!AB53</f>
        <v>0</v>
      </c>
      <c r="AC42" s="131" t="n">
        <f aca="false">-CF!AC53</f>
        <v>0</v>
      </c>
      <c r="AD42" s="131" t="n">
        <f aca="false">-CF!AD53</f>
        <v>0</v>
      </c>
      <c r="AE42" s="672" t="n">
        <f aca="false">-CF!AE53</f>
        <v>0</v>
      </c>
      <c r="AF42" s="731"/>
      <c r="AG42" s="731"/>
      <c r="AH42" s="731"/>
      <c r="AI42" s="731"/>
      <c r="AJ42" s="731"/>
      <c r="AK42" s="731"/>
      <c r="AL42" s="731"/>
      <c r="AM42" s="731"/>
      <c r="AN42" s="731"/>
      <c r="AO42" s="731"/>
      <c r="AP42" s="731"/>
      <c r="AQ42" s="731"/>
      <c r="AR42" s="731"/>
      <c r="AS42" s="731"/>
      <c r="AT42" s="731"/>
      <c r="AU42" s="731"/>
      <c r="AV42" s="731"/>
      <c r="AW42" s="731"/>
      <c r="AX42" s="731"/>
      <c r="AY42" s="731"/>
      <c r="AZ42" s="731"/>
      <c r="BA42" s="731"/>
      <c r="BB42" s="731"/>
      <c r="BC42" s="731"/>
      <c r="BD42" s="731"/>
      <c r="BE42" s="731"/>
      <c r="BF42" s="731"/>
      <c r="BG42" s="731"/>
      <c r="BH42" s="731"/>
      <c r="BI42" s="731"/>
      <c r="BJ42" s="731"/>
      <c r="BK42" s="731"/>
      <c r="BL42" s="731"/>
      <c r="BM42" s="731"/>
      <c r="BN42" s="731"/>
      <c r="BO42" s="731"/>
      <c r="BP42" s="731"/>
      <c r="BQ42" s="731"/>
      <c r="BR42" s="731"/>
      <c r="BS42" s="731"/>
      <c r="BT42" s="731"/>
      <c r="BU42" s="731"/>
      <c r="BV42" s="731"/>
      <c r="BW42" s="731"/>
      <c r="BX42" s="731"/>
      <c r="BY42" s="731"/>
      <c r="BZ42" s="731"/>
      <c r="CA42" s="731"/>
      <c r="CB42" s="731"/>
      <c r="CC42" s="731"/>
      <c r="CD42" s="731"/>
      <c r="CE42" s="731"/>
      <c r="CF42" s="731"/>
      <c r="CG42" s="731"/>
      <c r="CH42" s="731"/>
      <c r="CI42" s="731"/>
      <c r="CJ42" s="731"/>
      <c r="CK42" s="731"/>
      <c r="CL42" s="731"/>
      <c r="CM42" s="731"/>
      <c r="CN42" s="731"/>
      <c r="CO42" s="731"/>
      <c r="CP42" s="731"/>
      <c r="CQ42" s="731"/>
      <c r="CR42" s="731"/>
      <c r="CS42" s="731"/>
      <c r="CT42" s="731"/>
      <c r="CU42" s="731"/>
      <c r="CV42" s="731"/>
      <c r="CW42" s="731"/>
      <c r="CX42" s="731"/>
      <c r="CY42" s="731"/>
      <c r="CZ42" s="731"/>
      <c r="DA42" s="731"/>
      <c r="DB42" s="731"/>
      <c r="DC42" s="731"/>
      <c r="DD42" s="731"/>
      <c r="DE42" s="731"/>
      <c r="DF42" s="731"/>
      <c r="DG42" s="731"/>
      <c r="DH42" s="731"/>
      <c r="DI42" s="731"/>
      <c r="DJ42" s="731"/>
      <c r="DK42" s="731"/>
      <c r="DL42" s="731"/>
      <c r="DM42" s="731"/>
      <c r="DN42" s="731"/>
      <c r="DO42" s="731"/>
      <c r="DP42" s="731"/>
      <c r="DQ42" s="344"/>
      <c r="DR42" s="344"/>
      <c r="DS42" s="344"/>
      <c r="DT42" s="344"/>
      <c r="DU42" s="344"/>
      <c r="DV42" s="344"/>
      <c r="DW42" s="344"/>
      <c r="DX42" s="344"/>
      <c r="DY42" s="344"/>
      <c r="DZ42" s="344"/>
      <c r="EA42" s="344"/>
      <c r="EB42" s="344"/>
      <c r="EC42" s="344"/>
      <c r="ED42" s="344"/>
      <c r="EE42" s="344"/>
      <c r="EF42" s="344"/>
      <c r="EG42" s="344"/>
      <c r="EH42" s="344"/>
      <c r="EI42" s="344"/>
      <c r="EJ42" s="344"/>
      <c r="EK42" s="344"/>
      <c r="EL42" s="344"/>
      <c r="EM42" s="344"/>
      <c r="EN42" s="344"/>
      <c r="EO42" s="344"/>
      <c r="EP42" s="344"/>
      <c r="EQ42" s="344"/>
      <c r="ER42" s="344"/>
      <c r="ES42" s="344"/>
      <c r="ET42" s="344"/>
      <c r="EU42" s="344"/>
      <c r="EV42" s="344"/>
      <c r="EW42" s="344"/>
      <c r="EX42" s="344"/>
      <c r="EY42" s="344"/>
      <c r="EZ42" s="344"/>
      <c r="FA42" s="344"/>
      <c r="FB42" s="344"/>
      <c r="FC42" s="344"/>
      <c r="FD42" s="344"/>
      <c r="FE42" s="344"/>
      <c r="FF42" s="344"/>
      <c r="FG42" s="344"/>
      <c r="FH42" s="344"/>
      <c r="FI42" s="344"/>
      <c r="FJ42" s="344"/>
      <c r="FK42" s="344"/>
      <c r="FL42" s="344"/>
      <c r="FM42" s="344"/>
      <c r="FN42" s="344"/>
      <c r="FO42" s="344"/>
      <c r="FP42" s="344"/>
      <c r="FQ42" s="344"/>
      <c r="FR42" s="344"/>
      <c r="FS42" s="344"/>
      <c r="FT42" s="344"/>
      <c r="FU42" s="344"/>
      <c r="FV42" s="344"/>
      <c r="FW42" s="344"/>
      <c r="FX42" s="344"/>
      <c r="FY42" s="344"/>
      <c r="FZ42" s="344"/>
      <c r="GA42" s="344"/>
      <c r="GB42" s="344"/>
      <c r="GC42" s="344"/>
      <c r="GD42" s="344"/>
      <c r="GE42" s="344"/>
      <c r="GF42" s="344"/>
      <c r="GG42" s="344"/>
      <c r="GH42" s="344"/>
      <c r="GI42" s="344"/>
      <c r="GJ42" s="344"/>
      <c r="GK42" s="344"/>
      <c r="GL42" s="344"/>
      <c r="GM42" s="344"/>
      <c r="GN42" s="344"/>
      <c r="GO42" s="344"/>
      <c r="GP42" s="344"/>
      <c r="GQ42" s="344"/>
      <c r="GR42" s="344"/>
      <c r="GS42" s="344"/>
      <c r="GT42" s="344"/>
      <c r="GU42" s="344"/>
      <c r="GV42" s="344"/>
      <c r="GW42" s="344"/>
      <c r="GX42" s="344"/>
      <c r="GY42" s="344"/>
      <c r="GZ42" s="344"/>
      <c r="HA42" s="344"/>
      <c r="HB42" s="344"/>
      <c r="HC42" s="344"/>
      <c r="HD42" s="344"/>
      <c r="HE42" s="344"/>
      <c r="HF42" s="344"/>
      <c r="HG42" s="344"/>
      <c r="HH42" s="344"/>
      <c r="HI42" s="344"/>
      <c r="HJ42" s="344"/>
      <c r="HK42" s="344"/>
      <c r="HL42" s="344"/>
      <c r="HM42" s="344"/>
      <c r="HN42" s="344"/>
      <c r="HO42" s="344"/>
      <c r="HP42" s="344"/>
      <c r="HQ42" s="344"/>
      <c r="HR42" s="344"/>
      <c r="HS42" s="344"/>
      <c r="HT42" s="344"/>
      <c r="HU42" s="344"/>
      <c r="HV42" s="344"/>
      <c r="HW42" s="344"/>
      <c r="HX42" s="344"/>
      <c r="HY42" s="344"/>
      <c r="HZ42" s="344"/>
      <c r="IA42" s="344"/>
      <c r="IB42" s="344"/>
      <c r="IC42" s="344"/>
      <c r="ID42" s="344"/>
      <c r="IE42" s="344"/>
      <c r="IF42" s="344"/>
      <c r="IG42" s="344"/>
      <c r="IH42" s="344"/>
      <c r="II42" s="344"/>
      <c r="IJ42" s="344"/>
      <c r="IK42" s="344"/>
      <c r="IL42" s="344"/>
      <c r="IM42" s="344"/>
      <c r="IN42" s="344"/>
      <c r="IO42" s="344"/>
      <c r="IP42" s="344"/>
      <c r="IQ42" s="344"/>
      <c r="IR42" s="344"/>
      <c r="IS42" s="344"/>
      <c r="IT42" s="344"/>
      <c r="IU42" s="344"/>
      <c r="IV42" s="344"/>
      <c r="IW42" s="344"/>
    </row>
    <row r="43" customFormat="false" ht="12.75" hidden="false" customHeight="false" outlineLevel="0" collapsed="false">
      <c r="A43" s="366" t="s">
        <v>340</v>
      </c>
      <c r="B43" s="14"/>
      <c r="C43" s="14"/>
      <c r="D43" s="107" t="n">
        <f aca="false">SUM(D36:D42)</f>
        <v>0</v>
      </c>
      <c r="E43" s="107" t="n">
        <f aca="false">SUM(E36:E42)</f>
        <v>27277.4802010223</v>
      </c>
      <c r="F43" s="107" t="n">
        <f aca="false">SUM(F36:F42)</f>
        <v>27327.7264503046</v>
      </c>
      <c r="G43" s="107" t="n">
        <f aca="false">SUM(G36:G42)</f>
        <v>28104.2590510459</v>
      </c>
      <c r="H43" s="107" t="n">
        <f aca="false">SUM(H36:H42)</f>
        <v>27883.9761938383</v>
      </c>
      <c r="I43" s="107" t="n">
        <f aca="false">SUM(I36:I42)</f>
        <v>27464.756023023</v>
      </c>
      <c r="J43" s="107" t="n">
        <f aca="false">SUM(J36:J42)</f>
        <v>28431.0505409179</v>
      </c>
      <c r="K43" s="107" t="n">
        <f aca="false">SUM(K36:K42)</f>
        <v>29022.660639757</v>
      </c>
      <c r="L43" s="107" t="n">
        <f aca="false">SUM(L36:L42)</f>
        <v>38745.0567236439</v>
      </c>
      <c r="M43" s="107" t="n">
        <f aca="false">SUM(M36:M42)</f>
        <v>39911.8840437126</v>
      </c>
      <c r="N43" s="107" t="n">
        <f aca="false">SUM(N36:N42)</f>
        <v>39789.3911597521</v>
      </c>
      <c r="O43" s="107" t="n">
        <f aca="false">SUM(O36:O42)</f>
        <v>39643.9524502041</v>
      </c>
      <c r="P43" s="107" t="n">
        <f aca="false">SUM(P36:P42)</f>
        <v>39658.050341372</v>
      </c>
      <c r="Q43" s="107" t="n">
        <f aca="false">SUM(Q36:Q42)</f>
        <v>39427.6454930222</v>
      </c>
      <c r="R43" s="107" t="n">
        <f aca="false">SUM(R36:R42)</f>
        <v>40156.3264250082</v>
      </c>
      <c r="S43" s="107" t="n">
        <f aca="false">SUM(S36:S42)</f>
        <v>40899.5809756339</v>
      </c>
      <c r="T43" s="107" t="n">
        <f aca="false">SUM(T36:T42)</f>
        <v>-1.10668089349774E-011</v>
      </c>
      <c r="U43" s="107" t="n">
        <f aca="false">SUM(U36:U42)</f>
        <v>7.90486352498385E-012</v>
      </c>
      <c r="V43" s="107" t="n">
        <f aca="false">SUM(V36:V42)</f>
        <v>7.90486352498385E-012</v>
      </c>
      <c r="W43" s="107" t="n">
        <f aca="false">SUM(W36:W42)</f>
        <v>7.90486352498385E-012</v>
      </c>
      <c r="X43" s="107" t="n">
        <f aca="false">SUM(X36:X42)</f>
        <v>7.90486352498385E-012</v>
      </c>
      <c r="Y43" s="107" t="n">
        <f aca="false">SUM(Y36:Y42)</f>
        <v>7.90486352498385E-012</v>
      </c>
      <c r="Z43" s="107" t="n">
        <f aca="false">SUM(Z36:Z42)</f>
        <v>7.90486352498385E-012</v>
      </c>
      <c r="AA43" s="107" t="n">
        <f aca="false">SUM(AA36:AA42)</f>
        <v>7.90486352498385E-012</v>
      </c>
      <c r="AB43" s="107" t="n">
        <f aca="false">SUM(AB36:AB42)</f>
        <v>7.90486352498385E-012</v>
      </c>
      <c r="AC43" s="107" t="n">
        <f aca="false">SUM(AC36:AC42)</f>
        <v>7.90486352498385E-012</v>
      </c>
      <c r="AD43" s="107" t="n">
        <f aca="false">SUM(AD36:AD42)</f>
        <v>7.90486352498385E-012</v>
      </c>
      <c r="AE43" s="107" t="n">
        <f aca="false">SUM(AE36:AE42)</f>
        <v>0</v>
      </c>
      <c r="AF43" s="430"/>
      <c r="AG43" s="430"/>
      <c r="AH43" s="430"/>
      <c r="AI43" s="430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customFormat="false" ht="12.75" hidden="false" customHeight="false" outlineLevel="0" collapsed="false">
      <c r="A44" s="372"/>
      <c r="B44" s="14"/>
      <c r="C44" s="14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517"/>
      <c r="Z44" s="107"/>
      <c r="AA44" s="107"/>
      <c r="AB44" s="107"/>
      <c r="AC44" s="107"/>
      <c r="AD44" s="107"/>
      <c r="AE44" s="517"/>
      <c r="AF44" s="430"/>
      <c r="AG44" s="430"/>
      <c r="AH44" s="430"/>
      <c r="AI44" s="430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</row>
    <row r="45" customFormat="false" ht="12.75" hidden="false" customHeight="false" outlineLevel="0" collapsed="false">
      <c r="A45" s="732" t="s">
        <v>341</v>
      </c>
      <c r="B45" s="685"/>
      <c r="C45" s="733"/>
      <c r="D45" s="523" t="n">
        <f aca="false">+D34-D43</f>
        <v>0</v>
      </c>
      <c r="E45" s="523" t="n">
        <f aca="false">+E34-E43</f>
        <v>-9708.716352793</v>
      </c>
      <c r="F45" s="523" t="n">
        <f aca="false">+F34-F43</f>
        <v>-9259.60347861881</v>
      </c>
      <c r="G45" s="523" t="n">
        <f aca="false">+G34-G43</f>
        <v>7324.34223210082</v>
      </c>
      <c r="H45" s="523" t="n">
        <f aca="false">+H34-H43</f>
        <v>9374.92312760025</v>
      </c>
      <c r="I45" s="523" t="n">
        <f aca="false">+I34-I43</f>
        <v>10711.3192734474</v>
      </c>
      <c r="J45" s="523" t="n">
        <f aca="false">+J34-J43</f>
        <v>11225.5535287543</v>
      </c>
      <c r="K45" s="523" t="n">
        <f aca="false">+K34-K43</f>
        <v>11683.8251348873</v>
      </c>
      <c r="L45" s="523" t="n">
        <f aca="false">+L34-L43</f>
        <v>36518.9947496857</v>
      </c>
      <c r="M45" s="523" t="n">
        <f aca="false">+M34-M43</f>
        <v>41641.3661635492</v>
      </c>
      <c r="N45" s="523" t="n">
        <f aca="false">+N34-N43</f>
        <v>44030.6751455784</v>
      </c>
      <c r="O45" s="523" t="n">
        <f aca="false">+O34-O43</f>
        <v>46669.414054386</v>
      </c>
      <c r="P45" s="523" t="n">
        <f aca="false">+P34-P43</f>
        <v>50013.6969120425</v>
      </c>
      <c r="Q45" s="523" t="n">
        <f aca="false">+Q34-Q43</f>
        <v>52037.5367054606</v>
      </c>
      <c r="R45" s="523" t="n">
        <f aca="false">+R34-R43</f>
        <v>53138.1594174442</v>
      </c>
      <c r="S45" s="523" t="n">
        <f aca="false">+S34-S43</f>
        <v>54260.7945836676</v>
      </c>
      <c r="T45" s="523" t="n">
        <f aca="false">+T34-T43</f>
        <v>1.10668089349774E-011</v>
      </c>
      <c r="U45" s="523" t="n">
        <f aca="false">+U34-U43</f>
        <v>-7.90486352498385E-012</v>
      </c>
      <c r="V45" s="523" t="n">
        <f aca="false">+V34-V43</f>
        <v>-7.90486352498385E-012</v>
      </c>
      <c r="W45" s="523" t="n">
        <f aca="false">+W34-W43</f>
        <v>-7.90486352498385E-012</v>
      </c>
      <c r="X45" s="523" t="n">
        <f aca="false">+X34-X43</f>
        <v>-7.90486352498385E-012</v>
      </c>
      <c r="Y45" s="687" t="n">
        <f aca="false">+Y34-Y43</f>
        <v>-7.90486352498385E-012</v>
      </c>
      <c r="Z45" s="523" t="n">
        <f aca="false">+Z34-Z43</f>
        <v>-7.90486352498385E-012</v>
      </c>
      <c r="AA45" s="523" t="n">
        <f aca="false">+AA34-AA43</f>
        <v>-7.90486352498385E-012</v>
      </c>
      <c r="AB45" s="523" t="n">
        <f aca="false">+AB34-AB43</f>
        <v>-7.90486352498385E-012</v>
      </c>
      <c r="AC45" s="523" t="n">
        <f aca="false">+AC34-AC43</f>
        <v>-7.90486352498385E-012</v>
      </c>
      <c r="AD45" s="523" t="n">
        <f aca="false">+AD34-AD43</f>
        <v>-7.90486352498385E-012</v>
      </c>
      <c r="AE45" s="687" t="n">
        <f aca="false">+AE34-AE43</f>
        <v>0</v>
      </c>
      <c r="AF45" s="718"/>
      <c r="AG45" s="718"/>
      <c r="AH45" s="718"/>
      <c r="AI45" s="718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6"/>
      <c r="BP45" s="296"/>
      <c r="BQ45" s="296"/>
      <c r="BR45" s="296"/>
      <c r="BS45" s="296"/>
      <c r="BT45" s="296"/>
      <c r="BU45" s="296"/>
      <c r="BV45" s="296"/>
      <c r="BW45" s="296"/>
      <c r="BX45" s="296"/>
      <c r="BY45" s="296"/>
      <c r="BZ45" s="296"/>
      <c r="CA45" s="296"/>
      <c r="CB45" s="296"/>
      <c r="CC45" s="296"/>
      <c r="CD45" s="296"/>
      <c r="CE45" s="296"/>
      <c r="CF45" s="296"/>
      <c r="CG45" s="296"/>
      <c r="CH45" s="296"/>
      <c r="CI45" s="296"/>
      <c r="CJ45" s="296"/>
      <c r="CK45" s="296"/>
      <c r="CL45" s="296"/>
      <c r="CM45" s="296"/>
      <c r="CN45" s="296"/>
      <c r="CO45" s="296"/>
      <c r="CP45" s="296"/>
      <c r="CQ45" s="296"/>
      <c r="CR45" s="296"/>
      <c r="CS45" s="296"/>
      <c r="CT45" s="296"/>
      <c r="CU45" s="296"/>
      <c r="CV45" s="296"/>
      <c r="CW45" s="296"/>
      <c r="CX45" s="296"/>
      <c r="CY45" s="296"/>
      <c r="CZ45" s="296"/>
      <c r="DA45" s="296"/>
      <c r="DB45" s="296"/>
      <c r="DC45" s="296"/>
      <c r="DD45" s="296"/>
      <c r="DE45" s="296"/>
      <c r="DF45" s="296"/>
      <c r="DG45" s="296"/>
      <c r="DH45" s="296"/>
      <c r="DI45" s="296"/>
      <c r="DJ45" s="296"/>
      <c r="DK45" s="296"/>
      <c r="DL45" s="296"/>
      <c r="DM45" s="296"/>
      <c r="DN45" s="296"/>
      <c r="DO45" s="296"/>
      <c r="DP45" s="296"/>
      <c r="DQ45" s="296"/>
      <c r="DR45" s="296"/>
      <c r="DS45" s="296"/>
      <c r="DT45" s="296"/>
      <c r="DU45" s="296"/>
      <c r="DV45" s="296"/>
      <c r="DW45" s="296"/>
      <c r="DX45" s="296"/>
      <c r="DY45" s="296"/>
      <c r="DZ45" s="296"/>
      <c r="EA45" s="296"/>
      <c r="EB45" s="296"/>
      <c r="EC45" s="296"/>
      <c r="ED45" s="296"/>
      <c r="EE45" s="296"/>
      <c r="EF45" s="296"/>
      <c r="EG45" s="296"/>
      <c r="EH45" s="296"/>
      <c r="EI45" s="296"/>
      <c r="EJ45" s="296"/>
      <c r="EK45" s="296"/>
      <c r="EL45" s="296"/>
      <c r="EM45" s="296"/>
      <c r="EN45" s="296"/>
      <c r="EO45" s="296"/>
      <c r="EP45" s="296"/>
      <c r="EQ45" s="296"/>
      <c r="ER45" s="296"/>
      <c r="ES45" s="296"/>
      <c r="ET45" s="296"/>
      <c r="EU45" s="296"/>
      <c r="EV45" s="296"/>
      <c r="EW45" s="296"/>
      <c r="EX45" s="296"/>
      <c r="EY45" s="296"/>
      <c r="EZ45" s="296"/>
      <c r="FA45" s="296"/>
      <c r="FB45" s="296"/>
      <c r="FC45" s="296"/>
      <c r="FD45" s="296"/>
      <c r="FE45" s="296"/>
      <c r="FF45" s="296"/>
      <c r="FG45" s="296"/>
      <c r="FH45" s="296"/>
      <c r="FI45" s="296"/>
      <c r="FJ45" s="296"/>
      <c r="FK45" s="296"/>
      <c r="FL45" s="296"/>
      <c r="FM45" s="296"/>
      <c r="FN45" s="296"/>
      <c r="FO45" s="296"/>
      <c r="FP45" s="296"/>
      <c r="FQ45" s="296"/>
      <c r="FR45" s="296"/>
      <c r="FS45" s="296"/>
      <c r="FT45" s="296"/>
      <c r="FU45" s="296"/>
      <c r="FV45" s="296"/>
      <c r="FW45" s="296"/>
      <c r="FX45" s="296"/>
      <c r="FY45" s="296"/>
      <c r="FZ45" s="296"/>
      <c r="GA45" s="296"/>
      <c r="GB45" s="296"/>
      <c r="GC45" s="296"/>
      <c r="GD45" s="296"/>
      <c r="GE45" s="296"/>
      <c r="GF45" s="296"/>
      <c r="GG45" s="296"/>
      <c r="GH45" s="296"/>
      <c r="GI45" s="296"/>
      <c r="GJ45" s="296"/>
      <c r="GK45" s="296"/>
      <c r="GL45" s="296"/>
      <c r="GM45" s="296"/>
      <c r="GN45" s="296"/>
      <c r="GO45" s="296"/>
      <c r="GP45" s="296"/>
      <c r="GQ45" s="296"/>
      <c r="GR45" s="296"/>
      <c r="GS45" s="296"/>
      <c r="GT45" s="296"/>
      <c r="GU45" s="296"/>
      <c r="GV45" s="296"/>
      <c r="GW45" s="296"/>
      <c r="GX45" s="296"/>
      <c r="GY45" s="296"/>
      <c r="GZ45" s="296"/>
      <c r="HA45" s="296"/>
      <c r="HB45" s="296"/>
      <c r="HC45" s="296"/>
      <c r="HD45" s="296"/>
      <c r="HE45" s="296"/>
      <c r="HF45" s="296"/>
      <c r="HG45" s="296"/>
      <c r="HH45" s="296"/>
      <c r="HI45" s="296"/>
      <c r="HJ45" s="296"/>
      <c r="HK45" s="296"/>
      <c r="HL45" s="296"/>
      <c r="HM45" s="296"/>
      <c r="HN45" s="296"/>
      <c r="HO45" s="296"/>
      <c r="HP45" s="296"/>
      <c r="HQ45" s="296"/>
      <c r="HR45" s="296"/>
      <c r="HS45" s="296"/>
      <c r="HT45" s="296"/>
      <c r="HU45" s="296"/>
      <c r="HV45" s="296"/>
      <c r="HW45" s="296"/>
      <c r="HX45" s="296"/>
      <c r="HY45" s="296"/>
      <c r="HZ45" s="296"/>
      <c r="IA45" s="296"/>
      <c r="IB45" s="296"/>
      <c r="IC45" s="296"/>
      <c r="ID45" s="296"/>
      <c r="IE45" s="296"/>
      <c r="IF45" s="296"/>
      <c r="IG45" s="296"/>
      <c r="IH45" s="296"/>
      <c r="II45" s="296"/>
      <c r="IJ45" s="296"/>
      <c r="IK45" s="296"/>
      <c r="IL45" s="296"/>
      <c r="IM45" s="296"/>
      <c r="IN45" s="296"/>
      <c r="IO45" s="296"/>
      <c r="IP45" s="296"/>
      <c r="IQ45" s="296"/>
      <c r="IR45" s="296"/>
      <c r="IS45" s="296"/>
      <c r="IT45" s="296"/>
      <c r="IU45" s="296"/>
      <c r="IV45" s="296"/>
      <c r="IW45" s="296"/>
    </row>
    <row r="46" customFormat="false" ht="12.75" hidden="false" customHeight="false" outlineLevel="0" collapsed="false">
      <c r="A46" s="38"/>
      <c r="B46" s="38"/>
      <c r="C46" s="38"/>
      <c r="D46" s="734"/>
      <c r="E46" s="735" t="str">
        <f aca="false">IF(ABS(E45-CF!E55)&lt;1," ",1)</f>
        <v> </v>
      </c>
      <c r="F46" s="735" t="str">
        <f aca="false">IF(ABS(F45-CF!F55)&lt;1," ",1)</f>
        <v> </v>
      </c>
      <c r="G46" s="735" t="str">
        <f aca="false">IF(ABS(G45-CF!G55)&lt;1," ",1)</f>
        <v> </v>
      </c>
      <c r="H46" s="735" t="str">
        <f aca="false">IF(ABS(H45-CF!H55)&lt;1," ",1)</f>
        <v> </v>
      </c>
      <c r="I46" s="735" t="str">
        <f aca="false">IF(ABS(I45-CF!I55)&lt;1," ",1)</f>
        <v> </v>
      </c>
      <c r="J46" s="735" t="str">
        <f aca="false">IF(ABS(J45-CF!J55)&lt;1," ",1)</f>
        <v> </v>
      </c>
      <c r="K46" s="735" t="str">
        <f aca="false">IF(ABS(K45-CF!K55)&lt;1," ",1)</f>
        <v> </v>
      </c>
      <c r="L46" s="735" t="str">
        <f aca="false">IF(ABS(L45-CF!L55)&lt;1," ",1)</f>
        <v> </v>
      </c>
      <c r="M46" s="735" t="str">
        <f aca="false">IF(ABS(M45-CF!M55)&lt;1," ",1)</f>
        <v> </v>
      </c>
      <c r="N46" s="735" t="str">
        <f aca="false">IF(ABS(N45-CF!N55)&lt;1," ",1)</f>
        <v> </v>
      </c>
      <c r="O46" s="735" t="str">
        <f aca="false">IF(ABS(O45-CF!O55)&lt;1," ",1)</f>
        <v> </v>
      </c>
      <c r="P46" s="735" t="str">
        <f aca="false">IF(ABS(P45-CF!P55)&lt;1," ",1)</f>
        <v> </v>
      </c>
      <c r="Q46" s="735" t="str">
        <f aca="false">IF(ABS(Q45-CF!Q55)&lt;1," ",1)</f>
        <v> </v>
      </c>
      <c r="R46" s="735" t="str">
        <f aca="false">IF(ABS(R45-CF!R55)&lt;1," ",1)</f>
        <v> </v>
      </c>
      <c r="S46" s="735" t="str">
        <f aca="false">IF(ABS(S45-CF!S55)&lt;1," ",1)</f>
        <v> </v>
      </c>
      <c r="T46" s="735" t="str">
        <f aca="false">IF(ABS(T45-CF!T55)&lt;1," ",1)</f>
        <v> </v>
      </c>
      <c r="U46" s="735" t="str">
        <f aca="false">IF(ABS(U45-CF!U55)&lt;1," ",1)</f>
        <v> </v>
      </c>
      <c r="V46" s="735" t="str">
        <f aca="false">IF(ABS(V45-CF!V55)&lt;1," ",1)</f>
        <v> </v>
      </c>
      <c r="W46" s="735" t="str">
        <f aca="false">IF(ABS(W45-CF!W55)&lt;1," ",1)</f>
        <v> </v>
      </c>
      <c r="X46" s="735" t="str">
        <f aca="false">IF(ABS(X45-CF!X55)&lt;1," ",1)</f>
        <v> </v>
      </c>
      <c r="Y46" s="735" t="str">
        <f aca="false">IF(ABS(Y45-CF!Y55)&lt;1," ",1)</f>
        <v> </v>
      </c>
      <c r="Z46" s="735" t="str">
        <f aca="false">IF(ABS(Z45-CF!Z55)&lt;1," ",1)</f>
        <v> </v>
      </c>
      <c r="AA46" s="735" t="str">
        <f aca="false">IF(ABS(AA45-CF!AA55)&lt;1," ",1)</f>
        <v> </v>
      </c>
      <c r="AB46" s="735" t="str">
        <f aca="false">IF(ABS(AB45-CF!AB55)&lt;1," ",1)</f>
        <v> </v>
      </c>
      <c r="AC46" s="735" t="str">
        <f aca="false">IF(ABS(AC45-CF!AC55)&lt;1," ",1)</f>
        <v> </v>
      </c>
      <c r="AD46" s="735" t="str">
        <f aca="false">IF(ABS(AD45-CF!AD55)&lt;1," ",1)</f>
        <v> </v>
      </c>
      <c r="AE46" s="735" t="str">
        <f aca="false">IF(ABS(AE45-CF!AE55)&lt;1," ",1)</f>
        <v> </v>
      </c>
      <c r="AF46" s="727" t="n">
        <f aca="false">SUM(D46:AE46)</f>
        <v>0</v>
      </c>
      <c r="AG46" s="735"/>
      <c r="AH46" s="735"/>
      <c r="AI46" s="735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736"/>
      <c r="BA46" s="736"/>
      <c r="BB46" s="736"/>
      <c r="BC46" s="736"/>
      <c r="BD46" s="736"/>
      <c r="BE46" s="736"/>
      <c r="BF46" s="736"/>
      <c r="BG46" s="736"/>
      <c r="BH46" s="736"/>
      <c r="BI46" s="736"/>
      <c r="BJ46" s="736"/>
      <c r="BK46" s="736"/>
      <c r="BL46" s="736"/>
      <c r="BM46" s="736"/>
      <c r="BN46" s="736"/>
      <c r="BO46" s="736"/>
      <c r="BP46" s="736"/>
      <c r="BQ46" s="736"/>
      <c r="BR46" s="736"/>
      <c r="BS46" s="736"/>
      <c r="BT46" s="736"/>
      <c r="BU46" s="736"/>
      <c r="BV46" s="736"/>
      <c r="BW46" s="736"/>
      <c r="BX46" s="736"/>
      <c r="BY46" s="736"/>
      <c r="BZ46" s="736"/>
      <c r="CA46" s="736"/>
      <c r="CB46" s="736"/>
      <c r="CC46" s="736"/>
      <c r="CD46" s="736"/>
      <c r="CE46" s="736"/>
      <c r="CF46" s="736"/>
      <c r="CG46" s="736"/>
      <c r="CH46" s="736"/>
      <c r="CI46" s="736"/>
      <c r="CJ46" s="736"/>
      <c r="CK46" s="736"/>
      <c r="CL46" s="736"/>
      <c r="CM46" s="736"/>
      <c r="CN46" s="736"/>
      <c r="CO46" s="736"/>
      <c r="CP46" s="736"/>
      <c r="CQ46" s="736"/>
      <c r="CR46" s="736"/>
      <c r="CS46" s="736"/>
      <c r="CT46" s="736"/>
      <c r="CU46" s="736"/>
      <c r="CV46" s="736"/>
      <c r="CW46" s="736"/>
      <c r="CX46" s="736"/>
      <c r="CY46" s="736"/>
      <c r="CZ46" s="736"/>
      <c r="DA46" s="736"/>
      <c r="DB46" s="736"/>
      <c r="DC46" s="736"/>
      <c r="DD46" s="736"/>
      <c r="DE46" s="736"/>
      <c r="DF46" s="736"/>
      <c r="DG46" s="736"/>
      <c r="DH46" s="736"/>
      <c r="DI46" s="736"/>
      <c r="DJ46" s="736"/>
      <c r="DK46" s="736"/>
      <c r="DL46" s="736"/>
      <c r="DM46" s="736"/>
      <c r="DN46" s="736"/>
      <c r="DO46" s="736"/>
      <c r="DP46" s="736"/>
      <c r="DQ46" s="736"/>
      <c r="DR46" s="736"/>
      <c r="DS46" s="736"/>
      <c r="DT46" s="736"/>
      <c r="DU46" s="736"/>
      <c r="DV46" s="736"/>
      <c r="DW46" s="736"/>
      <c r="DX46" s="736"/>
      <c r="DY46" s="736"/>
      <c r="DZ46" s="736"/>
      <c r="EA46" s="736"/>
      <c r="EB46" s="736"/>
      <c r="EC46" s="736"/>
      <c r="ED46" s="736"/>
      <c r="EE46" s="736"/>
      <c r="EF46" s="736"/>
      <c r="EG46" s="736"/>
      <c r="EH46" s="736"/>
      <c r="EI46" s="736"/>
      <c r="EJ46" s="736"/>
      <c r="EK46" s="736"/>
      <c r="EL46" s="736"/>
      <c r="EM46" s="736"/>
      <c r="EN46" s="736"/>
      <c r="EO46" s="736"/>
      <c r="EP46" s="736"/>
      <c r="EQ46" s="736"/>
      <c r="ER46" s="736"/>
      <c r="ES46" s="736"/>
      <c r="ET46" s="736"/>
      <c r="EU46" s="736"/>
      <c r="EV46" s="736"/>
      <c r="EW46" s="736"/>
      <c r="EX46" s="736"/>
      <c r="EY46" s="736"/>
      <c r="EZ46" s="736"/>
      <c r="FA46" s="736"/>
      <c r="FB46" s="736"/>
      <c r="FC46" s="736"/>
      <c r="FD46" s="736"/>
      <c r="FE46" s="736"/>
      <c r="FF46" s="736"/>
      <c r="FG46" s="736"/>
      <c r="FH46" s="736"/>
      <c r="FI46" s="736"/>
      <c r="FJ46" s="736"/>
      <c r="FK46" s="736"/>
      <c r="FL46" s="736"/>
      <c r="FM46" s="736"/>
      <c r="FN46" s="736"/>
      <c r="FO46" s="736"/>
      <c r="FP46" s="736"/>
      <c r="FQ46" s="736"/>
      <c r="FR46" s="736"/>
      <c r="FS46" s="736"/>
      <c r="FT46" s="736"/>
      <c r="FU46" s="736"/>
      <c r="FV46" s="736"/>
      <c r="FW46" s="736"/>
      <c r="FX46" s="736"/>
      <c r="FY46" s="736"/>
      <c r="FZ46" s="736"/>
      <c r="GA46" s="736"/>
      <c r="GB46" s="736"/>
      <c r="GC46" s="736"/>
      <c r="GD46" s="736"/>
      <c r="GE46" s="736"/>
      <c r="GF46" s="736"/>
      <c r="GG46" s="736"/>
      <c r="GH46" s="736"/>
      <c r="GI46" s="736"/>
      <c r="GJ46" s="736"/>
      <c r="GK46" s="736"/>
      <c r="GL46" s="736"/>
      <c r="GM46" s="736"/>
      <c r="GN46" s="736"/>
      <c r="GO46" s="736"/>
      <c r="GP46" s="736"/>
      <c r="GQ46" s="736"/>
      <c r="GR46" s="736"/>
      <c r="GS46" s="736"/>
      <c r="GT46" s="736"/>
      <c r="GU46" s="736"/>
      <c r="GV46" s="736"/>
      <c r="GW46" s="736"/>
      <c r="GX46" s="736"/>
      <c r="GY46" s="736"/>
      <c r="GZ46" s="736"/>
      <c r="HA46" s="736"/>
      <c r="HB46" s="736"/>
      <c r="HC46" s="736"/>
      <c r="HD46" s="736"/>
      <c r="HE46" s="736"/>
      <c r="HF46" s="736"/>
      <c r="HG46" s="736"/>
      <c r="HH46" s="736"/>
      <c r="HI46" s="736"/>
      <c r="HJ46" s="736"/>
      <c r="HK46" s="736"/>
      <c r="HL46" s="736"/>
      <c r="HM46" s="736"/>
      <c r="HN46" s="736"/>
      <c r="HO46" s="736"/>
      <c r="HP46" s="736"/>
      <c r="HQ46" s="736"/>
      <c r="HR46" s="736"/>
      <c r="HS46" s="736"/>
      <c r="HT46" s="736"/>
      <c r="HU46" s="736"/>
      <c r="HV46" s="736"/>
      <c r="HW46" s="736"/>
      <c r="HX46" s="736"/>
      <c r="HY46" s="736"/>
      <c r="HZ46" s="736"/>
      <c r="IA46" s="736"/>
      <c r="IB46" s="736"/>
      <c r="IC46" s="736"/>
      <c r="ID46" s="736"/>
      <c r="IE46" s="736"/>
      <c r="IF46" s="736"/>
      <c r="IG46" s="736"/>
      <c r="IH46" s="736"/>
      <c r="II46" s="736"/>
      <c r="IJ46" s="736"/>
      <c r="IK46" s="736"/>
      <c r="IL46" s="736"/>
      <c r="IM46" s="736"/>
      <c r="IN46" s="736"/>
      <c r="IO46" s="736"/>
      <c r="IP46" s="736"/>
      <c r="IQ46" s="736"/>
      <c r="IR46" s="736"/>
      <c r="IS46" s="736"/>
      <c r="IT46" s="736"/>
      <c r="IU46" s="736"/>
      <c r="IV46" s="736"/>
      <c r="IW46" s="736"/>
    </row>
    <row r="47" customFormat="false" ht="15.75" hidden="false" customHeight="false" outlineLevel="0" collapsed="false">
      <c r="A47" s="689" t="str">
        <f aca="false">+Assumpt!$A$1</f>
        <v>Panama Regas Terminal</v>
      </c>
      <c r="B47" s="690"/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  <c r="R47" s="395"/>
      <c r="S47" s="395"/>
      <c r="T47" s="395"/>
      <c r="U47" s="395"/>
      <c r="V47" s="395"/>
      <c r="W47" s="395"/>
      <c r="X47" s="395"/>
      <c r="Y47" s="397"/>
      <c r="Z47" s="395"/>
      <c r="AA47" s="395"/>
      <c r="AB47" s="395"/>
      <c r="AC47" s="395"/>
      <c r="AD47" s="395"/>
      <c r="AE47" s="397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</row>
    <row r="48" customFormat="false" ht="15.75" hidden="false" customHeight="false" outlineLevel="0" collapsed="false">
      <c r="A48" s="691" t="str">
        <f aca="false">+Assumpt!$A$2</f>
        <v>Enron International</v>
      </c>
      <c r="B48" s="692"/>
      <c r="C48" s="14"/>
      <c r="D48" s="294" t="s">
        <v>156</v>
      </c>
      <c r="E48" s="295" t="n">
        <f aca="false">+E31</f>
        <v>2003</v>
      </c>
      <c r="F48" s="295" t="n">
        <f aca="false">+F31</f>
        <v>2004</v>
      </c>
      <c r="G48" s="295" t="n">
        <f aca="false">+G31</f>
        <v>2005</v>
      </c>
      <c r="H48" s="295" t="n">
        <f aca="false">+H31</f>
        <v>2006</v>
      </c>
      <c r="I48" s="295" t="n">
        <f aca="false">+I31</f>
        <v>2007</v>
      </c>
      <c r="J48" s="295" t="n">
        <f aca="false">+J31</f>
        <v>2008</v>
      </c>
      <c r="K48" s="295" t="n">
        <f aca="false">+K31</f>
        <v>2009</v>
      </c>
      <c r="L48" s="295" t="n">
        <f aca="false">+L31</f>
        <v>2010</v>
      </c>
      <c r="M48" s="295" t="n">
        <f aca="false">+M31</f>
        <v>2011</v>
      </c>
      <c r="N48" s="295" t="n">
        <f aca="false">+N31</f>
        <v>2012</v>
      </c>
      <c r="O48" s="295" t="n">
        <f aca="false">+O31</f>
        <v>2013</v>
      </c>
      <c r="P48" s="295" t="n">
        <f aca="false">+P31</f>
        <v>2014</v>
      </c>
      <c r="Q48" s="295" t="n">
        <f aca="false">+Q31</f>
        <v>2015</v>
      </c>
      <c r="R48" s="295" t="n">
        <f aca="false">+R31</f>
        <v>2016</v>
      </c>
      <c r="S48" s="295" t="n">
        <f aca="false">+S31</f>
        <v>2017</v>
      </c>
      <c r="T48" s="295" t="n">
        <f aca="false">+T31</f>
        <v>2018</v>
      </c>
      <c r="U48" s="295" t="n">
        <f aca="false">+U31</f>
        <v>2019</v>
      </c>
      <c r="V48" s="295" t="n">
        <f aca="false">+V31</f>
        <v>2020</v>
      </c>
      <c r="W48" s="295" t="n">
        <f aca="false">+W31</f>
        <v>2021</v>
      </c>
      <c r="X48" s="295" t="n">
        <f aca="false">+X31</f>
        <v>2022</v>
      </c>
      <c r="Y48" s="730" t="n">
        <f aca="false">+Y31</f>
        <v>2023</v>
      </c>
      <c r="Z48" s="295" t="n">
        <f aca="false">+Z31</f>
        <v>2024</v>
      </c>
      <c r="AA48" s="295" t="n">
        <f aca="false">+AA31</f>
        <v>2025</v>
      </c>
      <c r="AB48" s="295" t="n">
        <f aca="false">+AB31</f>
        <v>2026</v>
      </c>
      <c r="AC48" s="295" t="n">
        <f aca="false">+AC31</f>
        <v>2027</v>
      </c>
      <c r="AD48" s="295" t="n">
        <f aca="false">+AD31</f>
        <v>2028</v>
      </c>
      <c r="AE48" s="730" t="n">
        <f aca="false">+AE31</f>
        <v>2029</v>
      </c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customFormat="false" ht="15.75" hidden="false" customHeight="false" outlineLevel="0" collapsed="false">
      <c r="A49" s="696" t="s">
        <v>342</v>
      </c>
      <c r="B49" s="697"/>
      <c r="C49" s="14"/>
      <c r="D49" s="301" t="s">
        <v>159</v>
      </c>
      <c r="E49" s="107" t="n">
        <f aca="false">+E32</f>
        <v>1</v>
      </c>
      <c r="F49" s="107" t="n">
        <f aca="false">+F32</f>
        <v>2</v>
      </c>
      <c r="G49" s="107" t="n">
        <f aca="false">+G32</f>
        <v>3</v>
      </c>
      <c r="H49" s="107" t="n">
        <f aca="false">+H32</f>
        <v>4</v>
      </c>
      <c r="I49" s="107" t="n">
        <f aca="false">+I32</f>
        <v>5</v>
      </c>
      <c r="J49" s="107" t="n">
        <f aca="false">+J32</f>
        <v>6</v>
      </c>
      <c r="K49" s="107" t="n">
        <f aca="false">+K32</f>
        <v>7</v>
      </c>
      <c r="L49" s="107" t="n">
        <f aca="false">+L32</f>
        <v>8</v>
      </c>
      <c r="M49" s="107" t="n">
        <f aca="false">+M32</f>
        <v>9</v>
      </c>
      <c r="N49" s="107" t="n">
        <f aca="false">+N32</f>
        <v>10</v>
      </c>
      <c r="O49" s="107" t="n">
        <f aca="false">+O32</f>
        <v>11</v>
      </c>
      <c r="P49" s="107" t="n">
        <f aca="false">+P32</f>
        <v>12</v>
      </c>
      <c r="Q49" s="107" t="n">
        <f aca="false">+Q32</f>
        <v>13</v>
      </c>
      <c r="R49" s="107" t="n">
        <f aca="false">+R32</f>
        <v>14</v>
      </c>
      <c r="S49" s="107" t="n">
        <f aca="false">+S32</f>
        <v>15</v>
      </c>
      <c r="T49" s="107" t="n">
        <f aca="false">+T32</f>
        <v>15</v>
      </c>
      <c r="U49" s="107" t="n">
        <f aca="false">+U32</f>
        <v>15</v>
      </c>
      <c r="V49" s="107" t="n">
        <f aca="false">+V32</f>
        <v>15</v>
      </c>
      <c r="W49" s="107" t="n">
        <f aca="false">+W32</f>
        <v>15</v>
      </c>
      <c r="X49" s="107" t="n">
        <f aca="false">+X32</f>
        <v>15</v>
      </c>
      <c r="Y49" s="517" t="n">
        <f aca="false">+Y32</f>
        <v>15</v>
      </c>
      <c r="Z49" s="107" t="n">
        <f aca="false">+Z32</f>
        <v>15</v>
      </c>
      <c r="AA49" s="107" t="n">
        <f aca="false">+AA32</f>
        <v>15</v>
      </c>
      <c r="AB49" s="107" t="n">
        <f aca="false">+AB32</f>
        <v>15</v>
      </c>
      <c r="AC49" s="107" t="n">
        <f aca="false">+AC32</f>
        <v>15</v>
      </c>
      <c r="AD49" s="107" t="n">
        <f aca="false">+AD32</f>
        <v>15</v>
      </c>
      <c r="AE49" s="517" t="n">
        <f aca="false">+AE32</f>
        <v>15</v>
      </c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</row>
    <row r="50" customFormat="false" ht="12.75" hidden="false" customHeight="false" outlineLevel="0" collapsed="false">
      <c r="A50" s="372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402"/>
      <c r="Z50" s="14"/>
      <c r="AA50" s="14"/>
      <c r="AB50" s="14"/>
      <c r="AC50" s="14"/>
      <c r="AD50" s="14"/>
      <c r="AE50" s="402"/>
      <c r="AF50" s="302"/>
      <c r="AG50" s="302"/>
      <c r="AH50" s="302"/>
      <c r="AI50" s="302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customFormat="false" ht="12.75" hidden="false" customHeight="false" outlineLevel="0" collapsed="false">
      <c r="A51" s="372" t="s">
        <v>343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402"/>
      <c r="Z51" s="14"/>
      <c r="AA51" s="14"/>
      <c r="AB51" s="14"/>
      <c r="AC51" s="14"/>
      <c r="AD51" s="14"/>
      <c r="AE51" s="402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</row>
    <row r="52" customFormat="false" ht="12.75" hidden="false" customHeight="false" outlineLevel="0" collapsed="false">
      <c r="A52" s="366" t="s">
        <v>344</v>
      </c>
      <c r="B52" s="14"/>
      <c r="C52" s="14"/>
      <c r="D52" s="644" t="n">
        <v>0</v>
      </c>
      <c r="E52" s="107" t="n">
        <f aca="false">+E34</f>
        <v>17568.7638482292</v>
      </c>
      <c r="F52" s="107" t="n">
        <f aca="false">+F34</f>
        <v>18068.1229716858</v>
      </c>
      <c r="G52" s="107" t="n">
        <f aca="false">+G34</f>
        <v>35428.6012831467</v>
      </c>
      <c r="H52" s="107" t="n">
        <f aca="false">+H34</f>
        <v>37258.8993214385</v>
      </c>
      <c r="I52" s="107" t="n">
        <f aca="false">+I34</f>
        <v>38176.0752964704</v>
      </c>
      <c r="J52" s="107" t="n">
        <f aca="false">+J34</f>
        <v>39656.6040696722</v>
      </c>
      <c r="K52" s="107" t="n">
        <f aca="false">+K34</f>
        <v>40706.4857746443</v>
      </c>
      <c r="L52" s="107" t="n">
        <f aca="false">+L34</f>
        <v>75264.0514733296</v>
      </c>
      <c r="M52" s="107" t="n">
        <f aca="false">+M34</f>
        <v>81553.2502072618</v>
      </c>
      <c r="N52" s="107" t="n">
        <f aca="false">+N34</f>
        <v>83820.0663053305</v>
      </c>
      <c r="O52" s="107" t="n">
        <f aca="false">+O34</f>
        <v>86313.3665045902</v>
      </c>
      <c r="P52" s="107" t="n">
        <f aca="false">+P34</f>
        <v>89671.7472534145</v>
      </c>
      <c r="Q52" s="107" t="n">
        <f aca="false">+Q34</f>
        <v>91465.1821984828</v>
      </c>
      <c r="R52" s="107" t="n">
        <f aca="false">+R34</f>
        <v>93294.4858424524</v>
      </c>
      <c r="S52" s="107" t="n">
        <f aca="false">+S34</f>
        <v>95160.3755593015</v>
      </c>
      <c r="T52" s="107" t="n">
        <f aca="false">+T34</f>
        <v>0</v>
      </c>
      <c r="U52" s="107" t="n">
        <f aca="false">+U34</f>
        <v>0</v>
      </c>
      <c r="V52" s="107" t="n">
        <f aca="false">+V34</f>
        <v>0</v>
      </c>
      <c r="W52" s="107" t="n">
        <f aca="false">+W34</f>
        <v>0</v>
      </c>
      <c r="X52" s="107" t="n">
        <f aca="false">+X34</f>
        <v>0</v>
      </c>
      <c r="Y52" s="517" t="n">
        <f aca="false">+Y34</f>
        <v>0</v>
      </c>
      <c r="Z52" s="107" t="n">
        <f aca="false">+Z34</f>
        <v>0</v>
      </c>
      <c r="AA52" s="107" t="n">
        <f aca="false">+AA34</f>
        <v>0</v>
      </c>
      <c r="AB52" s="107" t="n">
        <f aca="false">+AB34</f>
        <v>0</v>
      </c>
      <c r="AC52" s="107" t="n">
        <f aca="false">+AC34</f>
        <v>0</v>
      </c>
      <c r="AD52" s="107" t="n">
        <f aca="false">+AD34</f>
        <v>0</v>
      </c>
      <c r="AE52" s="517" t="n">
        <f aca="false">+AE34</f>
        <v>0</v>
      </c>
      <c r="AF52" s="712"/>
      <c r="AG52" s="712"/>
      <c r="AH52" s="712"/>
      <c r="AI52" s="712"/>
      <c r="AJ52" s="712"/>
      <c r="AK52" s="712"/>
      <c r="AL52" s="712"/>
      <c r="AM52" s="712"/>
      <c r="AN52" s="712"/>
      <c r="AO52" s="712"/>
      <c r="AP52" s="14"/>
      <c r="AQ52" s="14"/>
      <c r="AR52" s="14"/>
      <c r="AS52" s="14"/>
      <c r="AT52" s="14"/>
      <c r="AU52" s="14"/>
      <c r="AV52" s="14"/>
      <c r="AW52" s="14"/>
      <c r="AX52" s="14"/>
      <c r="AY52" s="14"/>
    </row>
    <row r="53" customFormat="false" ht="12.75" hidden="false" customHeight="false" outlineLevel="0" collapsed="false">
      <c r="A53" s="366" t="s">
        <v>345</v>
      </c>
      <c r="B53" s="14"/>
      <c r="C53" s="14"/>
      <c r="D53" s="644" t="n">
        <v>0</v>
      </c>
      <c r="E53" s="107" t="n">
        <f aca="false">-SUM(E36:E37)</f>
        <v>-10168.5650176</v>
      </c>
      <c r="F53" s="107" t="n">
        <f aca="false">-SUM(F36:F37)</f>
        <v>-10371.196317952</v>
      </c>
      <c r="G53" s="107" t="n">
        <f aca="false">-SUM(G36:G37)</f>
        <v>-10577.880244311</v>
      </c>
      <c r="H53" s="107" t="n">
        <f aca="false">-SUM(H36:H37)</f>
        <v>-10788.6978491973</v>
      </c>
      <c r="I53" s="107" t="n">
        <f aca="false">-SUM(I36:I37)</f>
        <v>-11003.7318061812</v>
      </c>
      <c r="J53" s="107" t="n">
        <f aca="false">-SUM(J36:J37)</f>
        <v>-11223.0664423048</v>
      </c>
      <c r="K53" s="107" t="n">
        <f aca="false">-SUM(K36:K37)</f>
        <v>-11446.7877711509</v>
      </c>
      <c r="L53" s="107" t="n">
        <f aca="false">-SUM(L36:L37)</f>
        <v>-11674.9835265739</v>
      </c>
      <c r="M53" s="107" t="n">
        <f aca="false">-SUM(M36:M37)</f>
        <v>-11907.7431971054</v>
      </c>
      <c r="N53" s="107" t="n">
        <f aca="false">-SUM(N36:N37)</f>
        <v>-12145.1580610475</v>
      </c>
      <c r="O53" s="107" t="n">
        <f aca="false">-SUM(O36:O37)</f>
        <v>-12387.3212222685</v>
      </c>
      <c r="P53" s="107" t="n">
        <f aca="false">-SUM(P36:P37)</f>
        <v>-12634.3276467139</v>
      </c>
      <c r="Q53" s="107" t="n">
        <f aca="false">-SUM(Q36:Q37)</f>
        <v>-12886.2741996481</v>
      </c>
      <c r="R53" s="107" t="n">
        <f aca="false">-SUM(R36:R37)</f>
        <v>-13143.2596836411</v>
      </c>
      <c r="S53" s="107" t="n">
        <f aca="false">-SUM(S36:S37)</f>
        <v>-13405.3848773139</v>
      </c>
      <c r="T53" s="107" t="n">
        <f aca="false">-SUM(T36:T37)</f>
        <v>-0</v>
      </c>
      <c r="U53" s="107" t="n">
        <f aca="false">-SUM(U36:U37)</f>
        <v>-0</v>
      </c>
      <c r="V53" s="107" t="n">
        <f aca="false">-SUM(V36:V37)</f>
        <v>-0</v>
      </c>
      <c r="W53" s="107" t="n">
        <f aca="false">-SUM(W36:W37)</f>
        <v>-0</v>
      </c>
      <c r="X53" s="107" t="n">
        <f aca="false">-SUM(X36:X37)</f>
        <v>-0</v>
      </c>
      <c r="Y53" s="517" t="n">
        <f aca="false">-SUM(Y36:Y37)</f>
        <v>-0</v>
      </c>
      <c r="Z53" s="107" t="n">
        <f aca="false">-SUM(Z36:Z37)</f>
        <v>-0</v>
      </c>
      <c r="AA53" s="107" t="n">
        <f aca="false">-SUM(AA36:AA37)</f>
        <v>-0</v>
      </c>
      <c r="AB53" s="107" t="n">
        <f aca="false">-SUM(AB36:AB37)</f>
        <v>-0</v>
      </c>
      <c r="AC53" s="107" t="n">
        <f aca="false">-SUM(AC36:AC37)</f>
        <v>-0</v>
      </c>
      <c r="AD53" s="107" t="n">
        <f aca="false">-SUM(AD36:AD37)</f>
        <v>-0</v>
      </c>
      <c r="AE53" s="517" t="n">
        <f aca="false">-SUM(AE36:AE37)</f>
        <v>-0</v>
      </c>
      <c r="AF53" s="712"/>
      <c r="AG53" s="712"/>
      <c r="AH53" s="712"/>
      <c r="AI53" s="712"/>
      <c r="AJ53" s="712"/>
      <c r="AK53" s="712"/>
      <c r="AL53" s="712"/>
      <c r="AM53" s="712"/>
      <c r="AN53" s="712"/>
      <c r="AO53" s="712"/>
      <c r="AP53" s="14"/>
      <c r="AQ53" s="14"/>
      <c r="AR53" s="14"/>
      <c r="AS53" s="14"/>
      <c r="AT53" s="14"/>
      <c r="AU53" s="14"/>
      <c r="AV53" s="14"/>
      <c r="AW53" s="14"/>
      <c r="AX53" s="14"/>
      <c r="AY53" s="14"/>
    </row>
    <row r="54" customFormat="false" ht="12.75" hidden="false" customHeight="false" outlineLevel="0" collapsed="false">
      <c r="A54" s="366" t="s">
        <v>346</v>
      </c>
      <c r="B54" s="14"/>
      <c r="C54" s="14"/>
      <c r="D54" s="644" t="n">
        <v>0</v>
      </c>
      <c r="E54" s="107" t="n">
        <f aca="false">+D7-E7</f>
        <v>-1266.4456272</v>
      </c>
      <c r="F54" s="107" t="n">
        <f aca="false">+E7-F7</f>
        <v>0</v>
      </c>
      <c r="G54" s="107" t="n">
        <f aca="false">+F7-G7</f>
        <v>0</v>
      </c>
      <c r="H54" s="107" t="n">
        <f aca="false">+G7-H7</f>
        <v>0</v>
      </c>
      <c r="I54" s="107" t="n">
        <f aca="false">+H7-I7</f>
        <v>0</v>
      </c>
      <c r="J54" s="107" t="n">
        <f aca="false">+I7-J7</f>
        <v>0</v>
      </c>
      <c r="K54" s="107" t="n">
        <f aca="false">+J7-K7</f>
        <v>0</v>
      </c>
      <c r="L54" s="107" t="n">
        <f aca="false">+K7-L7</f>
        <v>0</v>
      </c>
      <c r="M54" s="107" t="n">
        <f aca="false">+L7-M7</f>
        <v>0</v>
      </c>
      <c r="N54" s="107" t="n">
        <f aca="false">+M7-N7</f>
        <v>0</v>
      </c>
      <c r="O54" s="107" t="n">
        <f aca="false">+N7-O7</f>
        <v>0</v>
      </c>
      <c r="P54" s="107" t="n">
        <f aca="false">+O7-P7</f>
        <v>0</v>
      </c>
      <c r="Q54" s="107" t="n">
        <f aca="false">+P7-Q7</f>
        <v>0</v>
      </c>
      <c r="R54" s="107" t="n">
        <f aca="false">+Q7-R7</f>
        <v>0</v>
      </c>
      <c r="S54" s="107" t="n">
        <f aca="false">+R7-S7</f>
        <v>0</v>
      </c>
      <c r="T54" s="107" t="n">
        <f aca="false">+S7-T7</f>
        <v>0</v>
      </c>
      <c r="U54" s="107" t="n">
        <f aca="false">+T7-U7</f>
        <v>0</v>
      </c>
      <c r="V54" s="107" t="n">
        <f aca="false">+U7-V7</f>
        <v>0</v>
      </c>
      <c r="W54" s="107" t="n">
        <f aca="false">+V7-W7</f>
        <v>0</v>
      </c>
      <c r="X54" s="107" t="n">
        <f aca="false">+W7-X7</f>
        <v>0</v>
      </c>
      <c r="Y54" s="517" t="n">
        <f aca="false">+X7-Y7</f>
        <v>0</v>
      </c>
      <c r="Z54" s="107" t="n">
        <f aca="false">+Y7-Z7</f>
        <v>0</v>
      </c>
      <c r="AA54" s="107" t="n">
        <f aca="false">+Z7-AA7</f>
        <v>0</v>
      </c>
      <c r="AB54" s="107" t="n">
        <f aca="false">+AA7-AB7</f>
        <v>0</v>
      </c>
      <c r="AC54" s="107" t="n">
        <f aca="false">+AB7-AC7</f>
        <v>0</v>
      </c>
      <c r="AD54" s="107" t="n">
        <f aca="false">+AC7-AD7</f>
        <v>0</v>
      </c>
      <c r="AE54" s="517" t="n">
        <f aca="false">+AD7-AE7</f>
        <v>0</v>
      </c>
      <c r="AF54" s="712"/>
      <c r="AG54" s="712"/>
      <c r="AH54" s="712"/>
      <c r="AI54" s="712"/>
      <c r="AJ54" s="712"/>
      <c r="AK54" s="712"/>
      <c r="AL54" s="712"/>
      <c r="AM54" s="712"/>
      <c r="AN54" s="712"/>
      <c r="AO54" s="712"/>
      <c r="AP54" s="14"/>
      <c r="AQ54" s="14"/>
      <c r="AR54" s="14"/>
      <c r="AS54" s="14"/>
      <c r="AT54" s="14"/>
      <c r="AU54" s="14"/>
      <c r="AV54" s="14"/>
      <c r="AW54" s="14"/>
      <c r="AX54" s="14"/>
      <c r="AY54" s="14"/>
    </row>
    <row r="55" customFormat="false" ht="12.75" hidden="false" customHeight="false" outlineLevel="0" collapsed="false">
      <c r="A55" s="366" t="s">
        <v>347</v>
      </c>
      <c r="B55" s="14"/>
      <c r="C55" s="14"/>
      <c r="D55" s="644" t="n">
        <v>0</v>
      </c>
      <c r="E55" s="107" t="n">
        <f aca="false">-E39</f>
        <v>-12115.9846151308</v>
      </c>
      <c r="F55" s="107" t="n">
        <f aca="false">-F39</f>
        <v>-11953.9426671253</v>
      </c>
      <c r="G55" s="107" t="n">
        <f aca="false">-G39</f>
        <v>-11274.6212978373</v>
      </c>
      <c r="H55" s="107" t="n">
        <f aca="false">-H39</f>
        <v>-10529.2316796274</v>
      </c>
      <c r="I55" s="107" t="n">
        <f aca="false">-I39</f>
        <v>-9711.34826236155</v>
      </c>
      <c r="J55" s="107" t="n">
        <f aca="false">-J39</f>
        <v>-8813.9205709952</v>
      </c>
      <c r="K55" s="107" t="n">
        <f aca="false">-K39</f>
        <v>-7829.2124277204</v>
      </c>
      <c r="L55" s="107" t="n">
        <f aca="false">-L39</f>
        <v>-6748.73526308623</v>
      </c>
      <c r="M55" s="107" t="n">
        <f aca="false">-M39</f>
        <v>-5563.17494120911</v>
      </c>
      <c r="N55" s="107" t="n">
        <f aca="false">-N39</f>
        <v>-4262.31146827742</v>
      </c>
      <c r="O55" s="107" t="n">
        <f aca="false">-O39</f>
        <v>-2834.93089220643</v>
      </c>
      <c r="P55" s="107" t="n">
        <f aca="false">-P39</f>
        <v>-1268.72863398393</v>
      </c>
      <c r="Q55" s="107" t="n">
        <f aca="false">-Q39</f>
        <v>1.48611434269696E-011</v>
      </c>
      <c r="R55" s="107" t="n">
        <f aca="false">-R39</f>
        <v>1.11458575702272E-011</v>
      </c>
      <c r="S55" s="107" t="n">
        <f aca="false">-S39</f>
        <v>1.48611434269696E-011</v>
      </c>
      <c r="T55" s="107" t="n">
        <f aca="false">-T39</f>
        <v>1.48611434269696E-011</v>
      </c>
      <c r="U55" s="107" t="n">
        <f aca="false">-U39</f>
        <v>-7.43057171348482E-012</v>
      </c>
      <c r="V55" s="107" t="n">
        <f aca="false">-V39</f>
        <v>-7.43057171348482E-012</v>
      </c>
      <c r="W55" s="107" t="n">
        <f aca="false">-W39</f>
        <v>-7.43057171348482E-012</v>
      </c>
      <c r="X55" s="107" t="n">
        <f aca="false">-X39</f>
        <v>-7.43057171348482E-012</v>
      </c>
      <c r="Y55" s="517" t="n">
        <f aca="false">-Y39</f>
        <v>-7.43057171348482E-012</v>
      </c>
      <c r="Z55" s="107" t="n">
        <f aca="false">-Z39</f>
        <v>-7.43057171348482E-012</v>
      </c>
      <c r="AA55" s="107" t="n">
        <f aca="false">-AA39</f>
        <v>-7.43057171348482E-012</v>
      </c>
      <c r="AB55" s="107" t="n">
        <f aca="false">-AB39</f>
        <v>-7.43057171348482E-012</v>
      </c>
      <c r="AC55" s="107" t="n">
        <f aca="false">-AC39</f>
        <v>-7.43057171348482E-012</v>
      </c>
      <c r="AD55" s="107" t="n">
        <f aca="false">-AD39</f>
        <v>-7.43057171348482E-012</v>
      </c>
      <c r="AE55" s="517" t="n">
        <f aca="false">-AE39</f>
        <v>-0</v>
      </c>
      <c r="AF55" s="712"/>
      <c r="AG55" s="712"/>
      <c r="AH55" s="712"/>
      <c r="AI55" s="712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customFormat="false" ht="12.75" hidden="false" customHeight="false" outlineLevel="0" collapsed="false">
      <c r="A56" s="366" t="s">
        <v>338</v>
      </c>
      <c r="B56" s="14"/>
      <c r="C56" s="14"/>
      <c r="D56" s="644" t="n">
        <v>0</v>
      </c>
      <c r="E56" s="107" t="n">
        <f aca="false">-E40</f>
        <v>-773.360720114731</v>
      </c>
      <c r="F56" s="107" t="n">
        <f aca="false">-F40</f>
        <v>-763.017617050553</v>
      </c>
      <c r="G56" s="107" t="n">
        <f aca="false">-G40</f>
        <v>-719.656678585359</v>
      </c>
      <c r="H56" s="107" t="n">
        <f aca="false">-H40</f>
        <v>-672.07861784856</v>
      </c>
      <c r="I56" s="107" t="n">
        <f aca="false">-I40</f>
        <v>-619.873293342226</v>
      </c>
      <c r="J56" s="107" t="n">
        <f aca="false">-J40</f>
        <v>-562.590674744374</v>
      </c>
      <c r="K56" s="107" t="n">
        <f aca="false">-K40</f>
        <v>-499.736963471515</v>
      </c>
      <c r="L56" s="107" t="n">
        <f aca="false">-L40</f>
        <v>-430.770335941674</v>
      </c>
      <c r="M56" s="107" t="n">
        <f aca="false">-M40</f>
        <v>-355.096272843134</v>
      </c>
      <c r="N56" s="107" t="n">
        <f aca="false">-N40</f>
        <v>-272.062434145367</v>
      </c>
      <c r="O56" s="107" t="n">
        <f aca="false">-O40</f>
        <v>-180.953035672751</v>
      </c>
      <c r="P56" s="107" t="n">
        <f aca="false">-P40</f>
        <v>-80.9826787649315</v>
      </c>
      <c r="Q56" s="107" t="n">
        <f aca="false">-Q40</f>
        <v>9.48583622998062E-013</v>
      </c>
      <c r="R56" s="107" t="n">
        <f aca="false">-R40</f>
        <v>7.11437717248547E-013</v>
      </c>
      <c r="S56" s="107" t="n">
        <f aca="false">-S40</f>
        <v>9.48583622998062E-013</v>
      </c>
      <c r="T56" s="107" t="n">
        <f aca="false">-T40</f>
        <v>9.48583622998062E-013</v>
      </c>
      <c r="U56" s="107" t="n">
        <f aca="false">-U40</f>
        <v>-4.74291811499031E-013</v>
      </c>
      <c r="V56" s="107" t="n">
        <f aca="false">-V40</f>
        <v>-4.74291811499031E-013</v>
      </c>
      <c r="W56" s="107" t="n">
        <f aca="false">-W40</f>
        <v>-4.74291811499031E-013</v>
      </c>
      <c r="X56" s="107" t="n">
        <f aca="false">-X40</f>
        <v>-4.74291811499031E-013</v>
      </c>
      <c r="Y56" s="517" t="n">
        <f aca="false">-Y40</f>
        <v>-4.74291811499031E-013</v>
      </c>
      <c r="Z56" s="107" t="n">
        <f aca="false">-Z40</f>
        <v>-4.74291811499031E-013</v>
      </c>
      <c r="AA56" s="107" t="n">
        <f aca="false">-AA40</f>
        <v>-4.74291811499031E-013</v>
      </c>
      <c r="AB56" s="107" t="n">
        <f aca="false">-AB40</f>
        <v>-4.74291811499031E-013</v>
      </c>
      <c r="AC56" s="107" t="n">
        <f aca="false">-AC40</f>
        <v>-4.74291811499031E-013</v>
      </c>
      <c r="AD56" s="107" t="n">
        <f aca="false">-AD40</f>
        <v>-4.74291811499031E-013</v>
      </c>
      <c r="AE56" s="517" t="n">
        <f aca="false">-AE40</f>
        <v>-0</v>
      </c>
      <c r="AF56" s="712"/>
      <c r="AG56" s="712"/>
      <c r="AH56" s="712"/>
      <c r="AI56" s="712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</row>
    <row r="57" customFormat="false" ht="12.75" hidden="false" customHeight="false" outlineLevel="0" collapsed="false">
      <c r="A57" s="366" t="s">
        <v>306</v>
      </c>
      <c r="B57" s="14"/>
      <c r="C57" s="14"/>
      <c r="D57" s="644" t="n">
        <v>0</v>
      </c>
      <c r="E57" s="107" t="n">
        <f aca="false">-E41</f>
        <v>-0</v>
      </c>
      <c r="F57" s="107" t="n">
        <f aca="false">-F41</f>
        <v>-20</v>
      </c>
      <c r="G57" s="107" t="n">
        <f aca="false">-G41</f>
        <v>-20</v>
      </c>
      <c r="H57" s="107" t="n">
        <f aca="false">-H41</f>
        <v>-20</v>
      </c>
      <c r="I57" s="107" t="n">
        <f aca="false">-I41</f>
        <v>-20</v>
      </c>
      <c r="J57" s="107" t="n">
        <f aca="false">-J41</f>
        <v>-20</v>
      </c>
      <c r="K57" s="107" t="n">
        <f aca="false">-K41</f>
        <v>-20</v>
      </c>
      <c r="L57" s="107" t="n">
        <f aca="false">-L41</f>
        <v>-20</v>
      </c>
      <c r="M57" s="107" t="n">
        <f aca="false">-M41</f>
        <v>-20</v>
      </c>
      <c r="N57" s="107" t="n">
        <f aca="false">-N41</f>
        <v>-20</v>
      </c>
      <c r="O57" s="107" t="n">
        <f aca="false">-O41</f>
        <v>-20</v>
      </c>
      <c r="P57" s="107" t="n">
        <f aca="false">-P41</f>
        <v>-20</v>
      </c>
      <c r="Q57" s="107" t="n">
        <f aca="false">-Q41</f>
        <v>-20</v>
      </c>
      <c r="R57" s="107" t="n">
        <f aca="false">-R41</f>
        <v>-20</v>
      </c>
      <c r="S57" s="107" t="n">
        <f aca="false">-S41</f>
        <v>-20</v>
      </c>
      <c r="T57" s="107" t="n">
        <f aca="false">-T41</f>
        <v>-0</v>
      </c>
      <c r="U57" s="107" t="n">
        <f aca="false">-U41</f>
        <v>-0</v>
      </c>
      <c r="V57" s="107" t="n">
        <f aca="false">-V41</f>
        <v>-0</v>
      </c>
      <c r="W57" s="107" t="n">
        <f aca="false">-W41</f>
        <v>-0</v>
      </c>
      <c r="X57" s="107" t="n">
        <f aca="false">-X41</f>
        <v>-0</v>
      </c>
      <c r="Y57" s="517" t="n">
        <f aca="false">-Y41</f>
        <v>-0</v>
      </c>
      <c r="Z57" s="107" t="n">
        <f aca="false">-Z41</f>
        <v>-0</v>
      </c>
      <c r="AA57" s="107" t="n">
        <f aca="false">-AA41</f>
        <v>-0</v>
      </c>
      <c r="AB57" s="107" t="n">
        <f aca="false">-AB41</f>
        <v>-0</v>
      </c>
      <c r="AC57" s="107" t="n">
        <f aca="false">-AC41</f>
        <v>-0</v>
      </c>
      <c r="AD57" s="107" t="n">
        <f aca="false">-AD41</f>
        <v>-0</v>
      </c>
      <c r="AE57" s="517" t="n">
        <f aca="false">-AE41</f>
        <v>-0</v>
      </c>
      <c r="AF57" s="719"/>
      <c r="AG57" s="719"/>
      <c r="AH57" s="719"/>
      <c r="AI57" s="719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</row>
    <row r="58" customFormat="false" ht="12.75" hidden="false" customHeight="false" outlineLevel="0" collapsed="false">
      <c r="A58" s="367" t="s">
        <v>348</v>
      </c>
      <c r="B58" s="14"/>
      <c r="C58" s="148"/>
      <c r="D58" s="644" t="n">
        <v>0</v>
      </c>
      <c r="E58" s="131" t="n">
        <f aca="false">CF!E61</f>
        <v>-0</v>
      </c>
      <c r="F58" s="131" t="n">
        <f aca="false">CF!F61</f>
        <v>-0</v>
      </c>
      <c r="G58" s="131" t="n">
        <f aca="false">CF!G61</f>
        <v>-0</v>
      </c>
      <c r="H58" s="131" t="n">
        <f aca="false">CF!H61</f>
        <v>-727.36738619081</v>
      </c>
      <c r="I58" s="131" t="n">
        <f aca="false">CF!I61</f>
        <v>-1257.29733573479</v>
      </c>
      <c r="J58" s="131" t="n">
        <f aca="false">CF!J61</f>
        <v>-1589.68300279115</v>
      </c>
      <c r="K58" s="131" t="n">
        <f aca="false">CF!K61</f>
        <v>-1870.74133739219</v>
      </c>
      <c r="L58" s="131" t="n">
        <f aca="false">CF!L61</f>
        <v>-14385.1267954123</v>
      </c>
      <c r="M58" s="131" t="n">
        <f aca="false">CF!M61</f>
        <v>-16580.4288299252</v>
      </c>
      <c r="N58" s="131" t="n">
        <f aca="false">CF!N61</f>
        <v>-17604.418393652</v>
      </c>
      <c r="O58" s="131" t="n">
        <f aca="false">CF!O61</f>
        <v>-18735.3064974267</v>
      </c>
      <c r="P58" s="131" t="n">
        <f aca="false">CF!P61</f>
        <v>-20168.5705792795</v>
      </c>
      <c r="Q58" s="131" t="n">
        <f aca="false">CF!Q61</f>
        <v>-21035.9304907444</v>
      </c>
      <c r="R58" s="131" t="n">
        <f aca="false">CF!R61</f>
        <v>-21507.6259387374</v>
      </c>
      <c r="S58" s="131" t="n">
        <f aca="false">CF!S61</f>
        <v>-21988.7552956902</v>
      </c>
      <c r="T58" s="131" t="n">
        <f aca="false">CF!T61</f>
        <v>-4.74291811499031E-012</v>
      </c>
      <c r="U58" s="131" t="n">
        <f aca="false">CF!U61</f>
        <v>-0</v>
      </c>
      <c r="V58" s="131" t="n">
        <f aca="false">CF!V61</f>
        <v>-0</v>
      </c>
      <c r="W58" s="131" t="n">
        <f aca="false">CF!W61</f>
        <v>-0</v>
      </c>
      <c r="X58" s="131" t="n">
        <f aca="false">CF!X61</f>
        <v>-0</v>
      </c>
      <c r="Y58" s="672" t="n">
        <f aca="false">CF!Y61</f>
        <v>-0</v>
      </c>
      <c r="Z58" s="131" t="n">
        <f aca="false">CF!Z61</f>
        <v>-0</v>
      </c>
      <c r="AA58" s="131" t="n">
        <f aca="false">CF!AA61</f>
        <v>-0</v>
      </c>
      <c r="AB58" s="131" t="n">
        <f aca="false">CF!AB61</f>
        <v>-0</v>
      </c>
      <c r="AC58" s="131" t="n">
        <f aca="false">CF!AC61</f>
        <v>-0</v>
      </c>
      <c r="AD58" s="131" t="n">
        <f aca="false">CF!AD61</f>
        <v>-0</v>
      </c>
      <c r="AE58" s="672" t="n">
        <f aca="false">CF!AE61</f>
        <v>-0</v>
      </c>
      <c r="AF58" s="714"/>
      <c r="AG58" s="714"/>
      <c r="AH58" s="714"/>
      <c r="AI58" s="714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344"/>
      <c r="BA58" s="344"/>
      <c r="BB58" s="344"/>
      <c r="BC58" s="344"/>
      <c r="BD58" s="344"/>
      <c r="BE58" s="344"/>
      <c r="BF58" s="344"/>
      <c r="BG58" s="344"/>
      <c r="BH58" s="344"/>
      <c r="BI58" s="344"/>
      <c r="BJ58" s="344"/>
      <c r="BK58" s="344"/>
      <c r="BL58" s="344"/>
      <c r="BM58" s="344"/>
      <c r="BN58" s="344"/>
      <c r="BO58" s="344"/>
      <c r="BP58" s="344"/>
      <c r="BQ58" s="344"/>
      <c r="BR58" s="344"/>
      <c r="BS58" s="344"/>
      <c r="BT58" s="344"/>
      <c r="BU58" s="344"/>
      <c r="BV58" s="344"/>
      <c r="BW58" s="344"/>
      <c r="BX58" s="344"/>
      <c r="BY58" s="344"/>
      <c r="BZ58" s="344"/>
      <c r="CA58" s="344"/>
      <c r="CB58" s="344"/>
      <c r="CC58" s="344"/>
      <c r="CD58" s="344"/>
      <c r="CE58" s="344"/>
      <c r="CF58" s="344"/>
      <c r="CG58" s="344"/>
      <c r="CH58" s="344"/>
      <c r="CI58" s="344"/>
      <c r="CJ58" s="344"/>
      <c r="CK58" s="344"/>
      <c r="CL58" s="344"/>
      <c r="CM58" s="344"/>
      <c r="CN58" s="344"/>
      <c r="CO58" s="344"/>
      <c r="CP58" s="344"/>
      <c r="CQ58" s="344"/>
      <c r="CR58" s="344"/>
      <c r="CS58" s="344"/>
      <c r="CT58" s="344"/>
      <c r="CU58" s="344"/>
      <c r="CV58" s="344"/>
      <c r="CW58" s="344"/>
      <c r="CX58" s="344"/>
      <c r="CY58" s="344"/>
      <c r="CZ58" s="344"/>
      <c r="DA58" s="344"/>
      <c r="DB58" s="344"/>
      <c r="DC58" s="344"/>
      <c r="DD58" s="344"/>
      <c r="DE58" s="344"/>
      <c r="DF58" s="344"/>
      <c r="DG58" s="344"/>
      <c r="DH58" s="344"/>
      <c r="DI58" s="344"/>
      <c r="DJ58" s="344"/>
      <c r="DK58" s="344"/>
      <c r="DL58" s="344"/>
      <c r="DM58" s="344"/>
      <c r="DN58" s="344"/>
      <c r="DO58" s="344"/>
      <c r="DP58" s="344"/>
      <c r="DQ58" s="344"/>
      <c r="DR58" s="344"/>
      <c r="DS58" s="344"/>
      <c r="DT58" s="344"/>
      <c r="DU58" s="344"/>
      <c r="DV58" s="344"/>
      <c r="DW58" s="344"/>
      <c r="DX58" s="344"/>
      <c r="DY58" s="344"/>
      <c r="DZ58" s="344"/>
      <c r="EA58" s="344"/>
      <c r="EB58" s="344"/>
      <c r="EC58" s="344"/>
      <c r="ED58" s="344"/>
      <c r="EE58" s="344"/>
      <c r="EF58" s="344"/>
      <c r="EG58" s="344"/>
      <c r="EH58" s="344"/>
      <c r="EI58" s="344"/>
      <c r="EJ58" s="344"/>
      <c r="EK58" s="344"/>
      <c r="EL58" s="344"/>
      <c r="EM58" s="344"/>
      <c r="EN58" s="344"/>
      <c r="EO58" s="344"/>
      <c r="EP58" s="344"/>
      <c r="EQ58" s="344"/>
      <c r="ER58" s="344"/>
      <c r="ES58" s="344"/>
      <c r="ET58" s="344"/>
      <c r="EU58" s="344"/>
      <c r="EV58" s="344"/>
      <c r="EW58" s="344"/>
      <c r="EX58" s="344"/>
      <c r="EY58" s="344"/>
      <c r="EZ58" s="344"/>
      <c r="FA58" s="344"/>
      <c r="FB58" s="344"/>
      <c r="FC58" s="344"/>
      <c r="FD58" s="344"/>
      <c r="FE58" s="344"/>
      <c r="FF58" s="344"/>
      <c r="FG58" s="344"/>
      <c r="FH58" s="344"/>
      <c r="FI58" s="344"/>
      <c r="FJ58" s="344"/>
      <c r="FK58" s="344"/>
      <c r="FL58" s="344"/>
      <c r="FM58" s="344"/>
      <c r="FN58" s="344"/>
      <c r="FO58" s="344"/>
      <c r="FP58" s="344"/>
      <c r="FQ58" s="344"/>
      <c r="FR58" s="344"/>
      <c r="FS58" s="344"/>
      <c r="FT58" s="344"/>
      <c r="FU58" s="344"/>
      <c r="FV58" s="344"/>
      <c r="FW58" s="344"/>
      <c r="FX58" s="344"/>
      <c r="FY58" s="344"/>
      <c r="FZ58" s="344"/>
      <c r="GA58" s="344"/>
      <c r="GB58" s="344"/>
      <c r="GC58" s="344"/>
      <c r="GD58" s="344"/>
      <c r="GE58" s="344"/>
      <c r="GF58" s="344"/>
      <c r="GG58" s="344"/>
      <c r="GH58" s="344"/>
      <c r="GI58" s="344"/>
      <c r="GJ58" s="344"/>
      <c r="GK58" s="344"/>
      <c r="GL58" s="344"/>
      <c r="GM58" s="344"/>
      <c r="GN58" s="344"/>
      <c r="GO58" s="344"/>
      <c r="GP58" s="344"/>
      <c r="GQ58" s="344"/>
      <c r="GR58" s="344"/>
      <c r="GS58" s="344"/>
      <c r="GT58" s="344"/>
      <c r="GU58" s="344"/>
      <c r="GV58" s="344"/>
      <c r="GW58" s="344"/>
      <c r="GX58" s="344"/>
      <c r="GY58" s="344"/>
      <c r="GZ58" s="344"/>
      <c r="HA58" s="344"/>
      <c r="HB58" s="344"/>
      <c r="HC58" s="344"/>
      <c r="HD58" s="344"/>
      <c r="HE58" s="344"/>
      <c r="HF58" s="344"/>
      <c r="HG58" s="344"/>
      <c r="HH58" s="344"/>
      <c r="HI58" s="344"/>
      <c r="HJ58" s="344"/>
      <c r="HK58" s="344"/>
      <c r="HL58" s="344"/>
      <c r="HM58" s="344"/>
      <c r="HN58" s="344"/>
      <c r="HO58" s="344"/>
      <c r="HP58" s="344"/>
      <c r="HQ58" s="344"/>
      <c r="HR58" s="344"/>
      <c r="HS58" s="344"/>
      <c r="HT58" s="344"/>
      <c r="HU58" s="344"/>
      <c r="HV58" s="344"/>
      <c r="HW58" s="344"/>
      <c r="HX58" s="344"/>
      <c r="HY58" s="344"/>
      <c r="HZ58" s="344"/>
      <c r="IA58" s="344"/>
      <c r="IB58" s="344"/>
      <c r="IC58" s="344"/>
      <c r="ID58" s="344"/>
      <c r="IE58" s="344"/>
      <c r="IF58" s="344"/>
      <c r="IG58" s="344"/>
      <c r="IH58" s="344"/>
      <c r="II58" s="344"/>
      <c r="IJ58" s="344"/>
      <c r="IK58" s="344"/>
      <c r="IL58" s="344"/>
      <c r="IM58" s="344"/>
      <c r="IN58" s="344"/>
      <c r="IO58" s="344"/>
      <c r="IP58" s="344"/>
      <c r="IQ58" s="344"/>
      <c r="IR58" s="344"/>
      <c r="IS58" s="344"/>
      <c r="IT58" s="344"/>
      <c r="IU58" s="344"/>
      <c r="IV58" s="344"/>
      <c r="IW58" s="344"/>
    </row>
    <row r="59" customFormat="false" ht="12.75" hidden="false" customHeight="false" outlineLevel="0" collapsed="false">
      <c r="A59" s="367"/>
      <c r="B59" s="14"/>
      <c r="C59" s="148"/>
      <c r="D59" s="644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672"/>
      <c r="Z59" s="131"/>
      <c r="AA59" s="131"/>
      <c r="AB59" s="131"/>
      <c r="AC59" s="131"/>
      <c r="AD59" s="131"/>
      <c r="AE59" s="672"/>
      <c r="AF59" s="714"/>
      <c r="AG59" s="714"/>
      <c r="AH59" s="714"/>
      <c r="AI59" s="714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344"/>
      <c r="BA59" s="344"/>
      <c r="BB59" s="344"/>
      <c r="BC59" s="344"/>
      <c r="BD59" s="344"/>
      <c r="BE59" s="344"/>
      <c r="BF59" s="344"/>
      <c r="BG59" s="344"/>
      <c r="BH59" s="344"/>
      <c r="BI59" s="344"/>
      <c r="BJ59" s="344"/>
      <c r="BK59" s="344"/>
      <c r="BL59" s="344"/>
      <c r="BM59" s="344"/>
      <c r="BN59" s="344"/>
      <c r="BO59" s="344"/>
      <c r="BP59" s="344"/>
      <c r="BQ59" s="344"/>
      <c r="BR59" s="344"/>
      <c r="BS59" s="344"/>
      <c r="BT59" s="344"/>
      <c r="BU59" s="344"/>
      <c r="BV59" s="344"/>
      <c r="BW59" s="344"/>
      <c r="BX59" s="344"/>
      <c r="BY59" s="344"/>
      <c r="BZ59" s="344"/>
      <c r="CA59" s="344"/>
      <c r="CB59" s="344"/>
      <c r="CC59" s="344"/>
      <c r="CD59" s="344"/>
      <c r="CE59" s="344"/>
      <c r="CF59" s="344"/>
      <c r="CG59" s="344"/>
      <c r="CH59" s="344"/>
      <c r="CI59" s="344"/>
      <c r="CJ59" s="344"/>
      <c r="CK59" s="344"/>
      <c r="CL59" s="344"/>
      <c r="CM59" s="344"/>
      <c r="CN59" s="344"/>
      <c r="CO59" s="344"/>
      <c r="CP59" s="344"/>
      <c r="CQ59" s="344"/>
      <c r="CR59" s="344"/>
      <c r="CS59" s="344"/>
      <c r="CT59" s="344"/>
      <c r="CU59" s="344"/>
      <c r="CV59" s="344"/>
      <c r="CW59" s="344"/>
      <c r="CX59" s="344"/>
      <c r="CY59" s="344"/>
      <c r="CZ59" s="344"/>
      <c r="DA59" s="344"/>
      <c r="DB59" s="344"/>
      <c r="DC59" s="344"/>
      <c r="DD59" s="344"/>
      <c r="DE59" s="344"/>
      <c r="DF59" s="344"/>
      <c r="DG59" s="344"/>
      <c r="DH59" s="344"/>
      <c r="DI59" s="344"/>
      <c r="DJ59" s="344"/>
      <c r="DK59" s="344"/>
      <c r="DL59" s="344"/>
      <c r="DM59" s="344"/>
      <c r="DN59" s="344"/>
      <c r="DO59" s="344"/>
      <c r="DP59" s="344"/>
      <c r="DQ59" s="344"/>
      <c r="DR59" s="344"/>
      <c r="DS59" s="344"/>
      <c r="DT59" s="344"/>
      <c r="DU59" s="344"/>
      <c r="DV59" s="344"/>
      <c r="DW59" s="344"/>
      <c r="DX59" s="344"/>
      <c r="DY59" s="344"/>
      <c r="DZ59" s="344"/>
      <c r="EA59" s="344"/>
      <c r="EB59" s="344"/>
      <c r="EC59" s="344"/>
      <c r="ED59" s="344"/>
      <c r="EE59" s="344"/>
      <c r="EF59" s="344"/>
      <c r="EG59" s="344"/>
      <c r="EH59" s="344"/>
      <c r="EI59" s="344"/>
      <c r="EJ59" s="344"/>
      <c r="EK59" s="344"/>
      <c r="EL59" s="344"/>
      <c r="EM59" s="344"/>
      <c r="EN59" s="344"/>
      <c r="EO59" s="344"/>
      <c r="EP59" s="344"/>
      <c r="EQ59" s="344"/>
      <c r="ER59" s="344"/>
      <c r="ES59" s="344"/>
      <c r="ET59" s="344"/>
      <c r="EU59" s="344"/>
      <c r="EV59" s="344"/>
      <c r="EW59" s="344"/>
      <c r="EX59" s="344"/>
      <c r="EY59" s="344"/>
      <c r="EZ59" s="344"/>
      <c r="FA59" s="344"/>
      <c r="FB59" s="344"/>
      <c r="FC59" s="344"/>
      <c r="FD59" s="344"/>
      <c r="FE59" s="344"/>
      <c r="FF59" s="344"/>
      <c r="FG59" s="344"/>
      <c r="FH59" s="344"/>
      <c r="FI59" s="344"/>
      <c r="FJ59" s="344"/>
      <c r="FK59" s="344"/>
      <c r="FL59" s="344"/>
      <c r="FM59" s="344"/>
      <c r="FN59" s="344"/>
      <c r="FO59" s="344"/>
      <c r="FP59" s="344"/>
      <c r="FQ59" s="344"/>
      <c r="FR59" s="344"/>
      <c r="FS59" s="344"/>
      <c r="FT59" s="344"/>
      <c r="FU59" s="344"/>
      <c r="FV59" s="344"/>
      <c r="FW59" s="344"/>
      <c r="FX59" s="344"/>
      <c r="FY59" s="344"/>
      <c r="FZ59" s="344"/>
      <c r="GA59" s="344"/>
      <c r="GB59" s="344"/>
      <c r="GC59" s="344"/>
      <c r="GD59" s="344"/>
      <c r="GE59" s="344"/>
      <c r="GF59" s="344"/>
      <c r="GG59" s="344"/>
      <c r="GH59" s="344"/>
      <c r="GI59" s="344"/>
      <c r="GJ59" s="344"/>
      <c r="GK59" s="344"/>
      <c r="GL59" s="344"/>
      <c r="GM59" s="344"/>
      <c r="GN59" s="344"/>
      <c r="GO59" s="344"/>
      <c r="GP59" s="344"/>
      <c r="GQ59" s="344"/>
      <c r="GR59" s="344"/>
      <c r="GS59" s="344"/>
      <c r="GT59" s="344"/>
      <c r="GU59" s="344"/>
      <c r="GV59" s="344"/>
      <c r="GW59" s="344"/>
      <c r="GX59" s="344"/>
      <c r="GY59" s="344"/>
      <c r="GZ59" s="344"/>
      <c r="HA59" s="344"/>
      <c r="HB59" s="344"/>
      <c r="HC59" s="344"/>
      <c r="HD59" s="344"/>
      <c r="HE59" s="344"/>
      <c r="HF59" s="344"/>
      <c r="HG59" s="344"/>
      <c r="HH59" s="344"/>
      <c r="HI59" s="344"/>
      <c r="HJ59" s="344"/>
      <c r="HK59" s="344"/>
      <c r="HL59" s="344"/>
      <c r="HM59" s="344"/>
      <c r="HN59" s="344"/>
      <c r="HO59" s="344"/>
      <c r="HP59" s="344"/>
      <c r="HQ59" s="344"/>
      <c r="HR59" s="344"/>
      <c r="HS59" s="344"/>
      <c r="HT59" s="344"/>
      <c r="HU59" s="344"/>
      <c r="HV59" s="344"/>
      <c r="HW59" s="344"/>
      <c r="HX59" s="344"/>
      <c r="HY59" s="344"/>
      <c r="HZ59" s="344"/>
      <c r="IA59" s="344"/>
      <c r="IB59" s="344"/>
      <c r="IC59" s="344"/>
      <c r="ID59" s="344"/>
      <c r="IE59" s="344"/>
      <c r="IF59" s="344"/>
      <c r="IG59" s="344"/>
      <c r="IH59" s="344"/>
      <c r="II59" s="344"/>
      <c r="IJ59" s="344"/>
      <c r="IK59" s="344"/>
      <c r="IL59" s="344"/>
      <c r="IM59" s="344"/>
      <c r="IN59" s="344"/>
      <c r="IO59" s="344"/>
      <c r="IP59" s="344"/>
      <c r="IQ59" s="344"/>
      <c r="IR59" s="344"/>
      <c r="IS59" s="344"/>
      <c r="IT59" s="344"/>
      <c r="IU59" s="344"/>
      <c r="IV59" s="344"/>
      <c r="IW59" s="344"/>
    </row>
    <row r="60" customFormat="false" ht="12.75" hidden="false" customHeight="false" outlineLevel="0" collapsed="false">
      <c r="A60" s="366" t="s">
        <v>349</v>
      </c>
      <c r="B60" s="14"/>
      <c r="C60" s="14"/>
      <c r="D60" s="107" t="n">
        <f aca="false">SUM(D52:D58)</f>
        <v>0</v>
      </c>
      <c r="E60" s="107" t="n">
        <f aca="false">SUM(E52:E58)</f>
        <v>-6755.59213181628</v>
      </c>
      <c r="F60" s="107" t="n">
        <f aca="false">SUM(F52:F58)</f>
        <v>-5040.03363044209</v>
      </c>
      <c r="G60" s="107" t="n">
        <f aca="false">SUM(G52:G58)</f>
        <v>12836.443062413</v>
      </c>
      <c r="H60" s="107" t="n">
        <f aca="false">SUM(H52:H58)</f>
        <v>14521.5237885744</v>
      </c>
      <c r="I60" s="107" t="n">
        <f aca="false">SUM(I52:I58)</f>
        <v>15563.8245988506</v>
      </c>
      <c r="J60" s="107" t="n">
        <f aca="false">SUM(J52:J58)</f>
        <v>17447.3433788366</v>
      </c>
      <c r="K60" s="107" t="n">
        <f aca="false">SUM(K52:K58)</f>
        <v>19040.0072749092</v>
      </c>
      <c r="L60" s="107" t="n">
        <f aca="false">SUM(L52:L58)</f>
        <v>42004.4355523154</v>
      </c>
      <c r="M60" s="107" t="n">
        <f aca="false">SUM(M52:M58)</f>
        <v>47126.806966179</v>
      </c>
      <c r="N60" s="107" t="n">
        <f aca="false">SUM(N52:N58)</f>
        <v>49516.1159482082</v>
      </c>
      <c r="O60" s="107" t="n">
        <f aca="false">SUM(O52:O58)</f>
        <v>52154.8548570158</v>
      </c>
      <c r="P60" s="107" t="n">
        <f aca="false">SUM(P52:P58)</f>
        <v>55499.1377146723</v>
      </c>
      <c r="Q60" s="107" t="n">
        <f aca="false">SUM(Q52:Q58)</f>
        <v>57522.9775080903</v>
      </c>
      <c r="R60" s="107" t="n">
        <f aca="false">SUM(R52:R58)</f>
        <v>58623.600220074</v>
      </c>
      <c r="S60" s="107" t="n">
        <f aca="false">SUM(S52:S58)</f>
        <v>59746.2353862973</v>
      </c>
      <c r="T60" s="107" t="n">
        <f aca="false">SUM(T52:T58)</f>
        <v>1.10668089349774E-011</v>
      </c>
      <c r="U60" s="107" t="n">
        <f aca="false">SUM(U52:U58)</f>
        <v>-7.90486352498385E-012</v>
      </c>
      <c r="V60" s="107" t="n">
        <f aca="false">SUM(V52:V58)</f>
        <v>-7.90486352498385E-012</v>
      </c>
      <c r="W60" s="107" t="n">
        <f aca="false">SUM(W52:W58)</f>
        <v>-7.90486352498385E-012</v>
      </c>
      <c r="X60" s="107" t="n">
        <f aca="false">SUM(X52:X58)</f>
        <v>-7.90486352498385E-012</v>
      </c>
      <c r="Y60" s="107" t="n">
        <f aca="false">SUM(Y52:Y58)</f>
        <v>-7.90486352498385E-012</v>
      </c>
      <c r="Z60" s="107" t="n">
        <f aca="false">SUM(Z52:Z58)</f>
        <v>-7.90486352498385E-012</v>
      </c>
      <c r="AA60" s="107" t="n">
        <f aca="false">SUM(AA52:AA58)</f>
        <v>-7.90486352498385E-012</v>
      </c>
      <c r="AB60" s="107" t="n">
        <f aca="false">SUM(AB52:AB58)</f>
        <v>-7.90486352498385E-012</v>
      </c>
      <c r="AC60" s="107" t="n">
        <f aca="false">SUM(AC52:AC58)</f>
        <v>-7.90486352498385E-012</v>
      </c>
      <c r="AD60" s="107" t="n">
        <f aca="false">SUM(AD52:AD58)</f>
        <v>-7.90486352498385E-012</v>
      </c>
      <c r="AE60" s="107" t="n">
        <f aca="false">SUM(AE52:AE58)</f>
        <v>0</v>
      </c>
      <c r="AF60" s="712"/>
      <c r="AG60" s="712"/>
      <c r="AH60" s="712"/>
      <c r="AI60" s="712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</row>
    <row r="61" customFormat="false" ht="12.75" hidden="false" customHeight="false" outlineLevel="0" collapsed="false">
      <c r="A61" s="372"/>
      <c r="B61" s="14"/>
      <c r="C61" s="14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517"/>
      <c r="Z61" s="107"/>
      <c r="AA61" s="107"/>
      <c r="AB61" s="107"/>
      <c r="AC61" s="107"/>
      <c r="AD61" s="107"/>
      <c r="AE61" s="517"/>
      <c r="AF61" s="430"/>
      <c r="AG61" s="430"/>
      <c r="AH61" s="430"/>
      <c r="AI61" s="430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</row>
    <row r="62" customFormat="false" ht="12.75" hidden="false" customHeight="false" outlineLevel="0" collapsed="false">
      <c r="A62" s="372" t="s">
        <v>350</v>
      </c>
      <c r="B62" s="14"/>
      <c r="C62" s="14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517"/>
      <c r="Z62" s="107"/>
      <c r="AA62" s="107"/>
      <c r="AB62" s="107"/>
      <c r="AC62" s="107"/>
      <c r="AD62" s="107"/>
      <c r="AE62" s="517"/>
      <c r="AF62" s="430"/>
      <c r="AG62" s="430"/>
      <c r="AH62" s="430"/>
      <c r="AI62" s="430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</row>
    <row r="63" customFormat="false" ht="12.75" hidden="false" customHeight="false" outlineLevel="0" collapsed="false">
      <c r="A63" s="366" t="s">
        <v>351</v>
      </c>
      <c r="B63" s="14"/>
      <c r="C63" s="14"/>
      <c r="D63" s="644" t="n">
        <v>0</v>
      </c>
      <c r="E63" s="107" t="n">
        <f aca="false">+Assumpt!$S$6</f>
        <v>127536.680159271</v>
      </c>
      <c r="F63" s="107" t="n">
        <f aca="false">+Debt!J1</f>
        <v>0</v>
      </c>
      <c r="G63" s="107" t="n">
        <f aca="false">+Debt!K1</f>
        <v>0</v>
      </c>
      <c r="H63" s="107" t="n">
        <f aca="false">+Debt!L1</f>
        <v>0</v>
      </c>
      <c r="I63" s="107" t="n">
        <f aca="false">+Debt!M1</f>
        <v>0</v>
      </c>
      <c r="J63" s="107" t="n">
        <f aca="false">+Debt!N1</f>
        <v>0</v>
      </c>
      <c r="K63" s="107" t="n">
        <f aca="false">+Debt!O1</f>
        <v>0</v>
      </c>
      <c r="L63" s="107" t="n">
        <f aca="false">+Debt!P1</f>
        <v>0</v>
      </c>
      <c r="M63" s="107" t="n">
        <f aca="false">+Debt!Q1</f>
        <v>0</v>
      </c>
      <c r="N63" s="107" t="n">
        <f aca="false">+Debt!Z1</f>
        <v>0</v>
      </c>
      <c r="O63" s="107" t="n">
        <f aca="false">+Debt!AA1</f>
        <v>0</v>
      </c>
      <c r="P63" s="107" t="n">
        <f aca="false">+Debt!AB1</f>
        <v>0</v>
      </c>
      <c r="Q63" s="107" t="n">
        <f aca="false">+Debt!AC1</f>
        <v>0</v>
      </c>
      <c r="R63" s="107" t="n">
        <f aca="false">+Debt!AD1</f>
        <v>0</v>
      </c>
      <c r="S63" s="107" t="n">
        <f aca="false">+Debt!AE1</f>
        <v>0</v>
      </c>
      <c r="T63" s="107" t="n">
        <f aca="false">+Debt!AF1</f>
        <v>0</v>
      </c>
      <c r="U63" s="107" t="n">
        <f aca="false">+Debt!AG1</f>
        <v>0</v>
      </c>
      <c r="V63" s="107" t="n">
        <f aca="false">+Debt!AH1</f>
        <v>0</v>
      </c>
      <c r="W63" s="107" t="n">
        <f aca="false">+Debt!AI1</f>
        <v>0</v>
      </c>
      <c r="X63" s="107" t="n">
        <f aca="false">+Debt!AJ1</f>
        <v>0</v>
      </c>
      <c r="Y63" s="517" t="n">
        <f aca="false">+Debt!AK1</f>
        <v>0</v>
      </c>
      <c r="Z63" s="107" t="n">
        <f aca="false">+Debt!AL1</f>
        <v>0</v>
      </c>
      <c r="AA63" s="107" t="n">
        <f aca="false">+Debt!AM1</f>
        <v>0</v>
      </c>
      <c r="AB63" s="107" t="n">
        <f aca="false">+Debt!AN1</f>
        <v>0</v>
      </c>
      <c r="AC63" s="107" t="n">
        <f aca="false">+Debt!AO1</f>
        <v>0</v>
      </c>
      <c r="AD63" s="107" t="n">
        <f aca="false">+Debt!AP1</f>
        <v>0</v>
      </c>
      <c r="AE63" s="517" t="n">
        <f aca="false">+Debt!AQ1</f>
        <v>0</v>
      </c>
      <c r="AF63" s="712"/>
      <c r="AG63" s="712"/>
      <c r="AH63" s="712"/>
      <c r="AI63" s="712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</row>
    <row r="64" customFormat="false" ht="12.75" hidden="false" customHeight="false" outlineLevel="0" collapsed="false">
      <c r="A64" s="366" t="s">
        <v>352</v>
      </c>
      <c r="B64" s="14"/>
      <c r="C64" s="14"/>
      <c r="D64" s="644" t="n">
        <v>0</v>
      </c>
      <c r="E64" s="107" t="n">
        <f aca="false">CF!E62</f>
        <v>-0</v>
      </c>
      <c r="F64" s="107" t="n">
        <f aca="false">CF!F62</f>
        <v>-6984.86081139301</v>
      </c>
      <c r="G64" s="107" t="n">
        <f aca="false">CF!G62</f>
        <v>-7664.18218068106</v>
      </c>
      <c r="H64" s="107" t="n">
        <f aca="false">CF!H62</f>
        <v>-8409.57179889092</v>
      </c>
      <c r="I64" s="107" t="n">
        <f aca="false">CF!I62</f>
        <v>-9227.45521615681</v>
      </c>
      <c r="J64" s="107" t="n">
        <f aca="false">CF!J62</f>
        <v>-10124.8829075232</v>
      </c>
      <c r="K64" s="107" t="n">
        <f aca="false">CF!K62</f>
        <v>-11109.591050798</v>
      </c>
      <c r="L64" s="107" t="n">
        <f aca="false">CF!L62</f>
        <v>-12190.0682154321</v>
      </c>
      <c r="M64" s="107" t="n">
        <f aca="false">CF!M62</f>
        <v>-13375.6285373093</v>
      </c>
      <c r="N64" s="107" t="n">
        <f aca="false">CF!N62</f>
        <v>-14676.4920102409</v>
      </c>
      <c r="O64" s="107" t="n">
        <f aca="false">CF!O62</f>
        <v>-16103.8725863119</v>
      </c>
      <c r="P64" s="107" t="n">
        <f aca="false">CF!P62</f>
        <v>-17670.0748445344</v>
      </c>
      <c r="Q64" s="107" t="n">
        <f aca="false">CF!Q62</f>
        <v>-0</v>
      </c>
      <c r="R64" s="107" t="n">
        <f aca="false">CF!R62</f>
        <v>-0</v>
      </c>
      <c r="S64" s="107" t="n">
        <f aca="false">CF!S62</f>
        <v>-0</v>
      </c>
      <c r="T64" s="107" t="n">
        <f aca="false">CF!T62</f>
        <v>-0</v>
      </c>
      <c r="U64" s="107" t="n">
        <f aca="false">CF!U62</f>
        <v>-0</v>
      </c>
      <c r="V64" s="107" t="n">
        <f aca="false">CF!V62</f>
        <v>-0</v>
      </c>
      <c r="W64" s="107" t="n">
        <f aca="false">CF!W62</f>
        <v>-0</v>
      </c>
      <c r="X64" s="107" t="n">
        <f aca="false">CF!X62</f>
        <v>-0</v>
      </c>
      <c r="Y64" s="517" t="n">
        <f aca="false">CF!Y62</f>
        <v>-0</v>
      </c>
      <c r="Z64" s="107" t="n">
        <f aca="false">CF!Z62</f>
        <v>-0</v>
      </c>
      <c r="AA64" s="107" t="n">
        <f aca="false">CF!AA62</f>
        <v>-0</v>
      </c>
      <c r="AB64" s="107" t="n">
        <f aca="false">CF!AB62</f>
        <v>-0</v>
      </c>
      <c r="AC64" s="107" t="n">
        <f aca="false">CF!AC62</f>
        <v>-0</v>
      </c>
      <c r="AD64" s="107" t="n">
        <f aca="false">CF!AD62</f>
        <v>-0</v>
      </c>
      <c r="AE64" s="517" t="n">
        <f aca="false">CF!AE62</f>
        <v>-0</v>
      </c>
      <c r="AF64" s="712"/>
      <c r="AG64" s="712"/>
      <c r="AH64" s="712"/>
      <c r="AI64" s="712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</row>
    <row r="65" customFormat="false" ht="12.75" hidden="false" customHeight="false" outlineLevel="0" collapsed="false">
      <c r="A65" s="366" t="s">
        <v>353</v>
      </c>
      <c r="B65" s="14"/>
      <c r="C65" s="430"/>
      <c r="D65" s="644" t="n">
        <v>0</v>
      </c>
      <c r="E65" s="107" t="n">
        <f aca="false">+Assumpt!$S$7</f>
        <v>42512.2267197572</v>
      </c>
      <c r="F65" s="107" t="n">
        <v>0</v>
      </c>
      <c r="G65" s="107" t="n">
        <v>0</v>
      </c>
      <c r="H65" s="107" t="n">
        <v>0</v>
      </c>
      <c r="I65" s="107" t="n">
        <v>0</v>
      </c>
      <c r="J65" s="107" t="n">
        <v>0</v>
      </c>
      <c r="K65" s="107" t="n">
        <v>0</v>
      </c>
      <c r="L65" s="107" t="n">
        <v>0</v>
      </c>
      <c r="M65" s="107" t="n">
        <v>0</v>
      </c>
      <c r="N65" s="107" t="n">
        <v>0</v>
      </c>
      <c r="O65" s="107" t="n">
        <v>0</v>
      </c>
      <c r="P65" s="107" t="n">
        <v>0</v>
      </c>
      <c r="Q65" s="107" t="n">
        <v>0</v>
      </c>
      <c r="R65" s="107" t="n">
        <v>0</v>
      </c>
      <c r="S65" s="107" t="n">
        <v>0</v>
      </c>
      <c r="T65" s="107" t="n">
        <v>0</v>
      </c>
      <c r="U65" s="107" t="n">
        <v>0</v>
      </c>
      <c r="V65" s="107" t="n">
        <v>0</v>
      </c>
      <c r="W65" s="107" t="n">
        <v>0</v>
      </c>
      <c r="X65" s="107" t="n">
        <v>0</v>
      </c>
      <c r="Y65" s="517" t="n">
        <v>0</v>
      </c>
      <c r="Z65" s="107" t="n">
        <v>0</v>
      </c>
      <c r="AA65" s="107" t="n">
        <v>0</v>
      </c>
      <c r="AB65" s="107" t="n">
        <v>0</v>
      </c>
      <c r="AC65" s="107" t="n">
        <v>0</v>
      </c>
      <c r="AD65" s="107" t="n">
        <v>0</v>
      </c>
      <c r="AE65" s="517" t="n">
        <v>0</v>
      </c>
      <c r="AF65" s="712"/>
      <c r="AG65" s="712"/>
      <c r="AH65" s="712"/>
      <c r="AI65" s="712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</row>
    <row r="66" customFormat="false" ht="12.75" hidden="false" customHeight="false" outlineLevel="0" collapsed="false">
      <c r="A66" s="366" t="s">
        <v>315</v>
      </c>
      <c r="B66" s="14"/>
      <c r="C66" s="430"/>
      <c r="D66" s="644" t="n">
        <v>0</v>
      </c>
      <c r="E66" s="107" t="n">
        <f aca="false">(-E65-E63+Assumpt!$S$52)</f>
        <v>-168782.461251829</v>
      </c>
      <c r="F66" s="107" t="n">
        <v>0</v>
      </c>
      <c r="G66" s="107" t="n">
        <f aca="false">-(G65+G63-Assumpt!$S$52)*0</f>
        <v>0</v>
      </c>
      <c r="H66" s="107" t="n">
        <f aca="false">-(H65+H63-Assumpt!$S$52)*0</f>
        <v>0</v>
      </c>
      <c r="I66" s="107" t="n">
        <f aca="false">-(I65+I63-Assumpt!$S$52)*0</f>
        <v>0</v>
      </c>
      <c r="J66" s="107" t="n">
        <f aca="false">-(J65+J63-Assumpt!$S$52)*0</f>
        <v>0</v>
      </c>
      <c r="K66" s="107" t="n">
        <f aca="false">-(K65+K63-Assumpt!$S$52)*0</f>
        <v>0</v>
      </c>
      <c r="L66" s="107" t="n">
        <f aca="false">-(L65+L63-Assumpt!$S$52)*0</f>
        <v>0</v>
      </c>
      <c r="M66" s="107" t="n">
        <f aca="false">-(M65+M63-Assumpt!$S$52)*0</f>
        <v>0</v>
      </c>
      <c r="N66" s="107" t="n">
        <f aca="false">-(N65+N63-Assumpt!$S$52)*0</f>
        <v>0</v>
      </c>
      <c r="O66" s="107" t="n">
        <f aca="false">-(O65+O63-Assumpt!$S$52)*0</f>
        <v>0</v>
      </c>
      <c r="P66" s="107" t="n">
        <f aca="false">-(P65+P63-Assumpt!$S$52)*0</f>
        <v>0</v>
      </c>
      <c r="Q66" s="107" t="n">
        <f aca="false">-(Q65+Q63-Assumpt!$S$52)*0</f>
        <v>0</v>
      </c>
      <c r="R66" s="107" t="n">
        <f aca="false">-(R65+R63-Assumpt!$S$52)*0</f>
        <v>0</v>
      </c>
      <c r="S66" s="107" t="n">
        <f aca="false">-(S65+S63-Assumpt!$S$52)*0</f>
        <v>0</v>
      </c>
      <c r="T66" s="107" t="n">
        <f aca="false">-(T65+T63-Assumpt!$S$52)*0</f>
        <v>0</v>
      </c>
      <c r="U66" s="107" t="n">
        <f aca="false">-(U65+U63-Assumpt!$S$52)*0</f>
        <v>0</v>
      </c>
      <c r="V66" s="107" t="n">
        <f aca="false">-(V65+V63-Assumpt!$S$52)*0</f>
        <v>0</v>
      </c>
      <c r="W66" s="107" t="n">
        <f aca="false">-(W65+W63-Assumpt!$S$52)*0</f>
        <v>0</v>
      </c>
      <c r="X66" s="107" t="n">
        <f aca="false">-(X65+X63-Assumpt!$S$52)*0</f>
        <v>0</v>
      </c>
      <c r="Y66" s="517" t="n">
        <f aca="false">-(Y65+Y63-Assumpt!$S$52)*0</f>
        <v>0</v>
      </c>
      <c r="Z66" s="107" t="n">
        <f aca="false">-(Z65+Z63-Assumpt!$S$52)*0</f>
        <v>0</v>
      </c>
      <c r="AA66" s="107" t="n">
        <f aca="false">-(AA65+AA63-Assumpt!$S$52)*0</f>
        <v>0</v>
      </c>
      <c r="AB66" s="107" t="n">
        <f aca="false">-(AB65+AB63-Assumpt!$S$52)*0</f>
        <v>0</v>
      </c>
      <c r="AC66" s="107" t="n">
        <f aca="false">-(AC65+AC63-Assumpt!$S$52)*0</f>
        <v>0</v>
      </c>
      <c r="AD66" s="107" t="n">
        <f aca="false">-(AD65+AD63-Assumpt!$S$52)*0</f>
        <v>0</v>
      </c>
      <c r="AE66" s="517" t="n">
        <f aca="false">-(AE65+AE63-Assumpt!$S$52)*0</f>
        <v>0</v>
      </c>
      <c r="AF66" s="430"/>
      <c r="AG66" s="430"/>
      <c r="AH66" s="430"/>
      <c r="AI66" s="430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</row>
    <row r="67" customFormat="false" ht="12.75" hidden="false" customHeight="false" outlineLevel="0" collapsed="false">
      <c r="A67" s="367" t="s">
        <v>354</v>
      </c>
      <c r="B67" s="14"/>
      <c r="C67" s="148"/>
      <c r="D67" s="475" t="n">
        <v>0</v>
      </c>
      <c r="E67" s="475" t="n">
        <f aca="false">-CF!E64</f>
        <v>5489.14650461628</v>
      </c>
      <c r="F67" s="475" t="n">
        <f aca="false">-CF!F64</f>
        <v>12024.8944418351</v>
      </c>
      <c r="G67" s="475" t="n">
        <f aca="false">-CF!G64</f>
        <v>-5172.26088173192</v>
      </c>
      <c r="H67" s="475" t="n">
        <f aca="false">-CF!H64</f>
        <v>-6111.95198968353</v>
      </c>
      <c r="I67" s="475" t="n">
        <f aca="false">-CF!I64</f>
        <v>-6336.36938269381</v>
      </c>
      <c r="J67" s="475" t="n">
        <f aca="false">-CF!J64</f>
        <v>-7322.46047131347</v>
      </c>
      <c r="K67" s="475" t="n">
        <f aca="false">-CF!K64</f>
        <v>-7930.41622411125</v>
      </c>
      <c r="L67" s="475" t="n">
        <f aca="false">-CF!L64</f>
        <v>-29814.3673368833</v>
      </c>
      <c r="M67" s="475" t="n">
        <f aca="false">-CF!M64</f>
        <v>-33751.1784288697</v>
      </c>
      <c r="N67" s="475" t="n">
        <f aca="false">-CF!N64</f>
        <v>-34839.6239379672</v>
      </c>
      <c r="O67" s="475" t="n">
        <f aca="false">-CF!O64</f>
        <v>-36050.9822707039</v>
      </c>
      <c r="P67" s="475" t="n">
        <f aca="false">-CF!P64</f>
        <v>-37829.0628701378</v>
      </c>
      <c r="Q67" s="475" t="n">
        <f aca="false">-CF!Q64</f>
        <v>-57522.9775080903</v>
      </c>
      <c r="R67" s="475" t="n">
        <f aca="false">-CF!R64</f>
        <v>-58623.600220074</v>
      </c>
      <c r="S67" s="475" t="n">
        <f aca="false">-CF!S64</f>
        <v>-59746.2353862973</v>
      </c>
      <c r="T67" s="475" t="n">
        <f aca="false">-CF!T64</f>
        <v>-1.10668089349774E-011</v>
      </c>
      <c r="U67" s="475" t="n">
        <f aca="false">-CF!U64</f>
        <v>7.90486352498385E-012</v>
      </c>
      <c r="V67" s="475" t="n">
        <f aca="false">-CF!V64</f>
        <v>7.90486352498385E-012</v>
      </c>
      <c r="W67" s="475" t="n">
        <f aca="false">-CF!W64</f>
        <v>7.90486352498385E-012</v>
      </c>
      <c r="X67" s="475" t="n">
        <f aca="false">-CF!X64</f>
        <v>7.90486352498385E-012</v>
      </c>
      <c r="Y67" s="737" t="n">
        <f aca="false">-CF!Y64</f>
        <v>7.90486352498385E-012</v>
      </c>
      <c r="Z67" s="475" t="n">
        <f aca="false">-CF!Z64</f>
        <v>7.90486352498385E-012</v>
      </c>
      <c r="AA67" s="475" t="n">
        <f aca="false">-CF!AA64</f>
        <v>7.90486352498385E-012</v>
      </c>
      <c r="AB67" s="475" t="n">
        <f aca="false">-CF!AB64</f>
        <v>7.90486352498385E-012</v>
      </c>
      <c r="AC67" s="475" t="n">
        <f aca="false">-CF!AC64</f>
        <v>7.90486352498385E-012</v>
      </c>
      <c r="AD67" s="475" t="n">
        <f aca="false">-CF!AD64</f>
        <v>7.90486352498385E-012</v>
      </c>
      <c r="AE67" s="737" t="n">
        <f aca="false">-CF!AE64</f>
        <v>-0</v>
      </c>
      <c r="AF67" s="431"/>
      <c r="AG67" s="431"/>
      <c r="AH67" s="431"/>
      <c r="AI67" s="431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344"/>
      <c r="BA67" s="344"/>
      <c r="BB67" s="344"/>
      <c r="BC67" s="344"/>
      <c r="BD67" s="344"/>
      <c r="BE67" s="344"/>
      <c r="BF67" s="344"/>
      <c r="BG67" s="344"/>
      <c r="BH67" s="344"/>
      <c r="BI67" s="344"/>
      <c r="BJ67" s="344"/>
      <c r="BK67" s="344"/>
      <c r="BL67" s="344"/>
      <c r="BM67" s="344"/>
      <c r="BN67" s="344"/>
      <c r="BO67" s="344"/>
      <c r="BP67" s="344"/>
      <c r="BQ67" s="344"/>
      <c r="BR67" s="344"/>
      <c r="BS67" s="344"/>
      <c r="BT67" s="344"/>
      <c r="BU67" s="344"/>
      <c r="BV67" s="344"/>
      <c r="BW67" s="344"/>
      <c r="BX67" s="344"/>
      <c r="BY67" s="344"/>
      <c r="BZ67" s="344"/>
      <c r="CA67" s="344"/>
      <c r="CB67" s="344"/>
      <c r="CC67" s="344"/>
      <c r="CD67" s="344"/>
      <c r="CE67" s="344"/>
      <c r="CF67" s="344"/>
      <c r="CG67" s="344"/>
      <c r="CH67" s="344"/>
      <c r="CI67" s="344"/>
      <c r="CJ67" s="344"/>
      <c r="CK67" s="344"/>
      <c r="CL67" s="344"/>
      <c r="CM67" s="344"/>
      <c r="CN67" s="344"/>
      <c r="CO67" s="344"/>
      <c r="CP67" s="344"/>
      <c r="CQ67" s="344"/>
      <c r="CR67" s="344"/>
      <c r="CS67" s="344"/>
      <c r="CT67" s="344"/>
      <c r="CU67" s="344"/>
      <c r="CV67" s="344"/>
      <c r="CW67" s="344"/>
      <c r="CX67" s="344"/>
      <c r="CY67" s="344"/>
      <c r="CZ67" s="344"/>
      <c r="DA67" s="344"/>
      <c r="DB67" s="344"/>
      <c r="DC67" s="344"/>
      <c r="DD67" s="344"/>
      <c r="DE67" s="344"/>
      <c r="DF67" s="344"/>
      <c r="DG67" s="344"/>
      <c r="DH67" s="344"/>
      <c r="DI67" s="344"/>
      <c r="DJ67" s="344"/>
      <c r="DK67" s="344"/>
      <c r="DL67" s="344"/>
      <c r="DM67" s="344"/>
      <c r="DN67" s="344"/>
      <c r="DO67" s="344"/>
      <c r="DP67" s="344"/>
      <c r="DQ67" s="344"/>
      <c r="DR67" s="344"/>
      <c r="DS67" s="344"/>
      <c r="DT67" s="344"/>
      <c r="DU67" s="344"/>
      <c r="DV67" s="344"/>
      <c r="DW67" s="344"/>
      <c r="DX67" s="344"/>
      <c r="DY67" s="344"/>
      <c r="DZ67" s="344"/>
      <c r="EA67" s="344"/>
      <c r="EB67" s="344"/>
      <c r="EC67" s="344"/>
      <c r="ED67" s="344"/>
      <c r="EE67" s="344"/>
      <c r="EF67" s="344"/>
      <c r="EG67" s="344"/>
      <c r="EH67" s="344"/>
      <c r="EI67" s="344"/>
      <c r="EJ67" s="344"/>
      <c r="EK67" s="344"/>
      <c r="EL67" s="344"/>
      <c r="EM67" s="344"/>
      <c r="EN67" s="344"/>
      <c r="EO67" s="344"/>
      <c r="EP67" s="344"/>
      <c r="EQ67" s="344"/>
      <c r="ER67" s="344"/>
      <c r="ES67" s="344"/>
      <c r="ET67" s="344"/>
      <c r="EU67" s="344"/>
      <c r="EV67" s="344"/>
      <c r="EW67" s="344"/>
      <c r="EX67" s="344"/>
      <c r="EY67" s="344"/>
      <c r="EZ67" s="344"/>
      <c r="FA67" s="344"/>
      <c r="FB67" s="344"/>
      <c r="FC67" s="344"/>
      <c r="FD67" s="344"/>
      <c r="FE67" s="344"/>
      <c r="FF67" s="344"/>
      <c r="FG67" s="344"/>
      <c r="FH67" s="344"/>
      <c r="FI67" s="344"/>
      <c r="FJ67" s="344"/>
      <c r="FK67" s="344"/>
      <c r="FL67" s="344"/>
      <c r="FM67" s="344"/>
      <c r="FN67" s="344"/>
      <c r="FO67" s="344"/>
      <c r="FP67" s="344"/>
      <c r="FQ67" s="344"/>
      <c r="FR67" s="344"/>
      <c r="FS67" s="344"/>
      <c r="FT67" s="344"/>
      <c r="FU67" s="344"/>
      <c r="FV67" s="344"/>
      <c r="FW67" s="344"/>
      <c r="FX67" s="344"/>
      <c r="FY67" s="344"/>
      <c r="FZ67" s="344"/>
      <c r="GA67" s="344"/>
      <c r="GB67" s="344"/>
      <c r="GC67" s="344"/>
      <c r="GD67" s="344"/>
      <c r="GE67" s="344"/>
      <c r="GF67" s="344"/>
      <c r="GG67" s="344"/>
      <c r="GH67" s="344"/>
      <c r="GI67" s="344"/>
      <c r="GJ67" s="344"/>
      <c r="GK67" s="344"/>
      <c r="GL67" s="344"/>
      <c r="GM67" s="344"/>
      <c r="GN67" s="344"/>
      <c r="GO67" s="344"/>
      <c r="GP67" s="344"/>
      <c r="GQ67" s="344"/>
      <c r="GR67" s="344"/>
      <c r="GS67" s="344"/>
      <c r="GT67" s="344"/>
      <c r="GU67" s="344"/>
      <c r="GV67" s="344"/>
      <c r="GW67" s="344"/>
      <c r="GX67" s="344"/>
      <c r="GY67" s="344"/>
      <c r="GZ67" s="344"/>
      <c r="HA67" s="344"/>
      <c r="HB67" s="344"/>
      <c r="HC67" s="344"/>
      <c r="HD67" s="344"/>
      <c r="HE67" s="344"/>
      <c r="HF67" s="344"/>
      <c r="HG67" s="344"/>
      <c r="HH67" s="344"/>
      <c r="HI67" s="344"/>
      <c r="HJ67" s="344"/>
      <c r="HK67" s="344"/>
      <c r="HL67" s="344"/>
      <c r="HM67" s="344"/>
      <c r="HN67" s="344"/>
      <c r="HO67" s="344"/>
      <c r="HP67" s="344"/>
      <c r="HQ67" s="344"/>
      <c r="HR67" s="344"/>
      <c r="HS67" s="344"/>
      <c r="HT67" s="344"/>
      <c r="HU67" s="344"/>
      <c r="HV67" s="344"/>
      <c r="HW67" s="344"/>
      <c r="HX67" s="344"/>
      <c r="HY67" s="344"/>
      <c r="HZ67" s="344"/>
      <c r="IA67" s="344"/>
      <c r="IB67" s="344"/>
      <c r="IC67" s="344"/>
      <c r="ID67" s="344"/>
      <c r="IE67" s="344"/>
      <c r="IF67" s="344"/>
      <c r="IG67" s="344"/>
      <c r="IH67" s="344"/>
      <c r="II67" s="344"/>
      <c r="IJ67" s="344"/>
      <c r="IK67" s="344"/>
      <c r="IL67" s="344"/>
      <c r="IM67" s="344"/>
      <c r="IN67" s="344"/>
      <c r="IO67" s="344"/>
      <c r="IP67" s="344"/>
      <c r="IQ67" s="344"/>
      <c r="IR67" s="344"/>
      <c r="IS67" s="344"/>
      <c r="IT67" s="344"/>
      <c r="IU67" s="344"/>
      <c r="IV67" s="344"/>
      <c r="IW67" s="344"/>
    </row>
    <row r="68" customFormat="false" ht="12.75" hidden="false" customHeight="false" outlineLevel="0" collapsed="false">
      <c r="A68" s="366" t="s">
        <v>355</v>
      </c>
      <c r="B68" s="14"/>
      <c r="C68" s="14"/>
      <c r="D68" s="107" t="n">
        <f aca="false">SUM(D63:D67)</f>
        <v>0</v>
      </c>
      <c r="E68" s="107" t="n">
        <f aca="false">SUM(E63:E67)</f>
        <v>6755.59213181629</v>
      </c>
      <c r="F68" s="107" t="n">
        <f aca="false">SUM(F63:F67)</f>
        <v>5040.03363044209</v>
      </c>
      <c r="G68" s="107" t="n">
        <f aca="false">SUM(G63:G67)</f>
        <v>-12836.443062413</v>
      </c>
      <c r="H68" s="107" t="n">
        <f aca="false">SUM(H63:H67)</f>
        <v>-14521.5237885744</v>
      </c>
      <c r="I68" s="107" t="n">
        <f aca="false">SUM(I63:I67)</f>
        <v>-15563.8245988506</v>
      </c>
      <c r="J68" s="107" t="n">
        <f aca="false">SUM(J63:J67)</f>
        <v>-17447.3433788366</v>
      </c>
      <c r="K68" s="107" t="n">
        <f aca="false">SUM(K63:K67)</f>
        <v>-19040.0072749092</v>
      </c>
      <c r="L68" s="107" t="n">
        <f aca="false">SUM(L63:L67)</f>
        <v>-42004.4355523155</v>
      </c>
      <c r="M68" s="107" t="n">
        <f aca="false">SUM(M63:M67)</f>
        <v>-47126.806966179</v>
      </c>
      <c r="N68" s="107" t="n">
        <f aca="false">SUM(N63:N67)</f>
        <v>-49516.1159482082</v>
      </c>
      <c r="O68" s="107" t="n">
        <f aca="false">SUM(O63:O67)</f>
        <v>-52154.8548570158</v>
      </c>
      <c r="P68" s="107" t="n">
        <f aca="false">SUM(P63:P67)</f>
        <v>-55499.1377146723</v>
      </c>
      <c r="Q68" s="107" t="n">
        <f aca="false">SUM(Q63:Q67)</f>
        <v>-57522.9775080903</v>
      </c>
      <c r="R68" s="107" t="n">
        <f aca="false">SUM(R63:R67)</f>
        <v>-58623.600220074</v>
      </c>
      <c r="S68" s="107" t="n">
        <f aca="false">SUM(S63:S67)</f>
        <v>-59746.2353862973</v>
      </c>
      <c r="T68" s="107" t="n">
        <f aca="false">SUM(T63:T67)</f>
        <v>-1.10668089349774E-011</v>
      </c>
      <c r="U68" s="107" t="n">
        <f aca="false">SUM(U63:U67)</f>
        <v>7.90486352498385E-012</v>
      </c>
      <c r="V68" s="107" t="n">
        <f aca="false">SUM(V63:V67)</f>
        <v>7.90486352498385E-012</v>
      </c>
      <c r="W68" s="107" t="n">
        <f aca="false">SUM(W63:W67)</f>
        <v>7.90486352498385E-012</v>
      </c>
      <c r="X68" s="107" t="n">
        <f aca="false">SUM(X63:X67)</f>
        <v>7.90486352498385E-012</v>
      </c>
      <c r="Y68" s="517" t="n">
        <f aca="false">SUM(Y63:Y67)</f>
        <v>7.90486352498385E-012</v>
      </c>
      <c r="Z68" s="107" t="n">
        <f aca="false">SUM(Z63:Z67)</f>
        <v>7.90486352498385E-012</v>
      </c>
      <c r="AA68" s="107" t="n">
        <f aca="false">SUM(AA63:AA67)</f>
        <v>7.90486352498385E-012</v>
      </c>
      <c r="AB68" s="107" t="n">
        <f aca="false">SUM(AB63:AB67)</f>
        <v>7.90486352498385E-012</v>
      </c>
      <c r="AC68" s="107" t="n">
        <f aca="false">SUM(AC63:AC67)</f>
        <v>7.90486352498385E-012</v>
      </c>
      <c r="AD68" s="107" t="n">
        <f aca="false">SUM(AD63:AD67)</f>
        <v>7.90486352498385E-012</v>
      </c>
      <c r="AE68" s="517" t="n">
        <f aca="false">SUM(AE63:AE67)</f>
        <v>0</v>
      </c>
      <c r="AF68" s="712"/>
      <c r="AG68" s="712"/>
      <c r="AH68" s="712"/>
      <c r="AI68" s="712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</row>
    <row r="69" customFormat="false" ht="12.75" hidden="false" customHeight="false" outlineLevel="0" collapsed="false">
      <c r="A69" s="372"/>
      <c r="B69" s="14"/>
      <c r="C69" s="14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517"/>
      <c r="Z69" s="107"/>
      <c r="AA69" s="107"/>
      <c r="AB69" s="107"/>
      <c r="AC69" s="107"/>
      <c r="AD69" s="107"/>
      <c r="AE69" s="517"/>
      <c r="AF69" s="430"/>
      <c r="AG69" s="430"/>
      <c r="AH69" s="430"/>
      <c r="AI69" s="430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</row>
    <row r="70" customFormat="false" ht="12.75" hidden="false" customHeight="false" outlineLevel="0" collapsed="false">
      <c r="A70" s="363" t="s">
        <v>356</v>
      </c>
      <c r="B70" s="295"/>
      <c r="C70" s="295"/>
      <c r="D70" s="353" t="n">
        <f aca="false">+D60+D68</f>
        <v>0</v>
      </c>
      <c r="E70" s="353" t="n">
        <f aca="false">+E60+E68</f>
        <v>0</v>
      </c>
      <c r="F70" s="353" t="n">
        <f aca="false">+F60+F68</f>
        <v>0</v>
      </c>
      <c r="G70" s="353" t="n">
        <f aca="false">+G60+G68</f>
        <v>0</v>
      </c>
      <c r="H70" s="353" t="n">
        <f aca="false">+H60+H68</f>
        <v>0</v>
      </c>
      <c r="I70" s="353" t="n">
        <f aca="false">+I60+I68</f>
        <v>0</v>
      </c>
      <c r="J70" s="353" t="n">
        <f aca="false">+J60+J68</f>
        <v>0</v>
      </c>
      <c r="K70" s="353" t="n">
        <f aca="false">+K60+K68</f>
        <v>0</v>
      </c>
      <c r="L70" s="353" t="n">
        <f aca="false">+L60+L68</f>
        <v>0</v>
      </c>
      <c r="M70" s="353" t="n">
        <f aca="false">+M60+M68</f>
        <v>0</v>
      </c>
      <c r="N70" s="353" t="n">
        <f aca="false">+N60+N68</f>
        <v>0</v>
      </c>
      <c r="O70" s="353" t="n">
        <f aca="false">+O60+O68</f>
        <v>0</v>
      </c>
      <c r="P70" s="353" t="n">
        <f aca="false">+P60+P68</f>
        <v>0</v>
      </c>
      <c r="Q70" s="353" t="n">
        <f aca="false">+Q60+Q68</f>
        <v>0</v>
      </c>
      <c r="R70" s="353" t="n">
        <f aca="false">+R60+R68</f>
        <v>0</v>
      </c>
      <c r="S70" s="353" t="n">
        <f aca="false">+S60+S68</f>
        <v>0</v>
      </c>
      <c r="T70" s="353" t="n">
        <f aca="false">+T60+T68</f>
        <v>0</v>
      </c>
      <c r="U70" s="353" t="n">
        <f aca="false">+U60+U68</f>
        <v>0</v>
      </c>
      <c r="V70" s="353" t="n">
        <f aca="false">+V60+V68</f>
        <v>0</v>
      </c>
      <c r="W70" s="353" t="n">
        <f aca="false">+W60+W68</f>
        <v>0</v>
      </c>
      <c r="X70" s="353" t="n">
        <f aca="false">+X60+X68</f>
        <v>0</v>
      </c>
      <c r="Y70" s="520" t="n">
        <f aca="false">+Y60+Y68</f>
        <v>0</v>
      </c>
      <c r="Z70" s="353" t="n">
        <f aca="false">+Z60+Z68</f>
        <v>0</v>
      </c>
      <c r="AA70" s="353" t="n">
        <f aca="false">+AA60+AA68</f>
        <v>0</v>
      </c>
      <c r="AB70" s="353" t="n">
        <f aca="false">+AB60+AB68</f>
        <v>0</v>
      </c>
      <c r="AC70" s="353" t="n">
        <f aca="false">+AC60+AC68</f>
        <v>0</v>
      </c>
      <c r="AD70" s="353" t="n">
        <f aca="false">+AD60+AD68</f>
        <v>0</v>
      </c>
      <c r="AE70" s="520" t="n">
        <f aca="false">+AE60+AE68</f>
        <v>0</v>
      </c>
      <c r="AF70" s="718"/>
      <c r="AG70" s="718"/>
      <c r="AH70" s="718"/>
      <c r="AI70" s="718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6"/>
      <c r="BP70" s="296"/>
      <c r="BQ70" s="296"/>
      <c r="BR70" s="296"/>
      <c r="BS70" s="296"/>
      <c r="BT70" s="296"/>
      <c r="BU70" s="296"/>
      <c r="BV70" s="296"/>
      <c r="BW70" s="296"/>
      <c r="BX70" s="296"/>
      <c r="BY70" s="296"/>
      <c r="BZ70" s="296"/>
      <c r="CA70" s="296"/>
      <c r="CB70" s="296"/>
      <c r="CC70" s="296"/>
      <c r="CD70" s="296"/>
      <c r="CE70" s="296"/>
      <c r="CF70" s="296"/>
      <c r="CG70" s="296"/>
      <c r="CH70" s="296"/>
      <c r="CI70" s="296"/>
      <c r="CJ70" s="296"/>
      <c r="CK70" s="296"/>
      <c r="CL70" s="296"/>
      <c r="CM70" s="296"/>
      <c r="CN70" s="296"/>
      <c r="CO70" s="296"/>
      <c r="CP70" s="296"/>
      <c r="CQ70" s="296"/>
      <c r="CR70" s="296"/>
      <c r="CS70" s="296"/>
      <c r="CT70" s="296"/>
      <c r="CU70" s="296"/>
      <c r="CV70" s="296"/>
      <c r="CW70" s="296"/>
      <c r="CX70" s="296"/>
      <c r="CY70" s="296"/>
      <c r="CZ70" s="296"/>
      <c r="DA70" s="296"/>
      <c r="DB70" s="296"/>
      <c r="DC70" s="296"/>
      <c r="DD70" s="296"/>
      <c r="DE70" s="296"/>
      <c r="DF70" s="296"/>
      <c r="DG70" s="296"/>
      <c r="DH70" s="296"/>
      <c r="DI70" s="296"/>
      <c r="DJ70" s="296"/>
      <c r="DK70" s="296"/>
      <c r="DL70" s="296"/>
      <c r="DM70" s="296"/>
      <c r="DN70" s="296"/>
      <c r="DO70" s="296"/>
      <c r="DP70" s="296"/>
      <c r="DQ70" s="296"/>
      <c r="DR70" s="296"/>
      <c r="DS70" s="296"/>
      <c r="DT70" s="296"/>
      <c r="DU70" s="296"/>
      <c r="DV70" s="296"/>
      <c r="DW70" s="296"/>
      <c r="DX70" s="296"/>
      <c r="DY70" s="296"/>
      <c r="DZ70" s="296"/>
      <c r="EA70" s="296"/>
      <c r="EB70" s="296"/>
      <c r="EC70" s="296"/>
      <c r="ED70" s="296"/>
      <c r="EE70" s="296"/>
      <c r="EF70" s="296"/>
      <c r="EG70" s="296"/>
      <c r="EH70" s="296"/>
      <c r="EI70" s="296"/>
      <c r="EJ70" s="296"/>
      <c r="EK70" s="296"/>
      <c r="EL70" s="296"/>
      <c r="EM70" s="296"/>
      <c r="EN70" s="296"/>
      <c r="EO70" s="296"/>
      <c r="EP70" s="296"/>
      <c r="EQ70" s="296"/>
      <c r="ER70" s="296"/>
      <c r="ES70" s="296"/>
      <c r="ET70" s="296"/>
      <c r="EU70" s="296"/>
      <c r="EV70" s="296"/>
      <c r="EW70" s="296"/>
      <c r="EX70" s="296"/>
      <c r="EY70" s="296"/>
      <c r="EZ70" s="296"/>
      <c r="FA70" s="296"/>
      <c r="FB70" s="296"/>
      <c r="FC70" s="296"/>
      <c r="FD70" s="296"/>
      <c r="FE70" s="296"/>
      <c r="FF70" s="296"/>
      <c r="FG70" s="296"/>
      <c r="FH70" s="296"/>
      <c r="FI70" s="296"/>
      <c r="FJ70" s="296"/>
      <c r="FK70" s="296"/>
      <c r="FL70" s="296"/>
      <c r="FM70" s="296"/>
      <c r="FN70" s="296"/>
      <c r="FO70" s="296"/>
      <c r="FP70" s="296"/>
      <c r="FQ70" s="296"/>
      <c r="FR70" s="296"/>
      <c r="FS70" s="296"/>
      <c r="FT70" s="296"/>
      <c r="FU70" s="296"/>
      <c r="FV70" s="296"/>
      <c r="FW70" s="296"/>
      <c r="FX70" s="296"/>
      <c r="FY70" s="296"/>
      <c r="FZ70" s="296"/>
      <c r="GA70" s="296"/>
      <c r="GB70" s="296"/>
      <c r="GC70" s="296"/>
      <c r="GD70" s="296"/>
      <c r="GE70" s="296"/>
      <c r="GF70" s="296"/>
      <c r="GG70" s="296"/>
      <c r="GH70" s="296"/>
      <c r="GI70" s="296"/>
      <c r="GJ70" s="296"/>
      <c r="GK70" s="296"/>
      <c r="GL70" s="296"/>
      <c r="GM70" s="296"/>
      <c r="GN70" s="296"/>
      <c r="GO70" s="296"/>
      <c r="GP70" s="296"/>
      <c r="GQ70" s="296"/>
      <c r="GR70" s="296"/>
      <c r="GS70" s="296"/>
      <c r="GT70" s="296"/>
      <c r="GU70" s="296"/>
      <c r="GV70" s="296"/>
      <c r="GW70" s="296"/>
      <c r="GX70" s="296"/>
      <c r="GY70" s="296"/>
      <c r="GZ70" s="296"/>
      <c r="HA70" s="296"/>
      <c r="HB70" s="296"/>
      <c r="HC70" s="296"/>
      <c r="HD70" s="296"/>
      <c r="HE70" s="296"/>
      <c r="HF70" s="296"/>
      <c r="HG70" s="296"/>
      <c r="HH70" s="296"/>
      <c r="HI70" s="296"/>
      <c r="HJ70" s="296"/>
      <c r="HK70" s="296"/>
      <c r="HL70" s="296"/>
      <c r="HM70" s="296"/>
      <c r="HN70" s="296"/>
      <c r="HO70" s="296"/>
      <c r="HP70" s="296"/>
      <c r="HQ70" s="296"/>
      <c r="HR70" s="296"/>
      <c r="HS70" s="296"/>
      <c r="HT70" s="296"/>
      <c r="HU70" s="296"/>
      <c r="HV70" s="296"/>
      <c r="HW70" s="296"/>
      <c r="HX70" s="296"/>
      <c r="HY70" s="296"/>
      <c r="HZ70" s="296"/>
      <c r="IA70" s="296"/>
      <c r="IB70" s="296"/>
      <c r="IC70" s="296"/>
      <c r="ID70" s="296"/>
      <c r="IE70" s="296"/>
      <c r="IF70" s="296"/>
      <c r="IG70" s="296"/>
      <c r="IH70" s="296"/>
      <c r="II70" s="296"/>
      <c r="IJ70" s="296"/>
      <c r="IK70" s="296"/>
      <c r="IL70" s="296"/>
      <c r="IM70" s="296"/>
      <c r="IN70" s="296"/>
      <c r="IO70" s="296"/>
      <c r="IP70" s="296"/>
      <c r="IQ70" s="296"/>
      <c r="IR70" s="296"/>
      <c r="IS70" s="296"/>
      <c r="IT70" s="296"/>
      <c r="IU70" s="296"/>
      <c r="IV70" s="296"/>
      <c r="IW70" s="296"/>
    </row>
    <row r="71" customFormat="false" ht="12.75" hidden="false" customHeight="false" outlineLevel="0" collapsed="false">
      <c r="A71" s="593" t="s">
        <v>357</v>
      </c>
      <c r="B71" s="148"/>
      <c r="C71" s="148"/>
      <c r="D71" s="475" t="n">
        <v>0</v>
      </c>
      <c r="E71" s="131" t="n">
        <f aca="false">+D72</f>
        <v>0</v>
      </c>
      <c r="F71" s="131" t="n">
        <f aca="false">+E72</f>
        <v>0</v>
      </c>
      <c r="G71" s="131" t="n">
        <f aca="false">+F72</f>
        <v>0</v>
      </c>
      <c r="H71" s="131" t="n">
        <f aca="false">+G72</f>
        <v>0</v>
      </c>
      <c r="I71" s="131" t="n">
        <f aca="false">+H72</f>
        <v>0</v>
      </c>
      <c r="J71" s="131" t="n">
        <f aca="false">+I72</f>
        <v>0</v>
      </c>
      <c r="K71" s="131" t="n">
        <f aca="false">+J72</f>
        <v>0</v>
      </c>
      <c r="L71" s="131" t="n">
        <f aca="false">+K72</f>
        <v>0</v>
      </c>
      <c r="M71" s="131" t="n">
        <f aca="false">+L72</f>
        <v>0</v>
      </c>
      <c r="N71" s="131" t="n">
        <f aca="false">+M72</f>
        <v>0</v>
      </c>
      <c r="O71" s="131" t="n">
        <f aca="false">+N72</f>
        <v>0</v>
      </c>
      <c r="P71" s="131" t="n">
        <f aca="false">+O72</f>
        <v>0</v>
      </c>
      <c r="Q71" s="131" t="n">
        <f aca="false">+P72</f>
        <v>0</v>
      </c>
      <c r="R71" s="131" t="n">
        <f aca="false">+Q72</f>
        <v>0</v>
      </c>
      <c r="S71" s="131" t="n">
        <f aca="false">+R72</f>
        <v>0</v>
      </c>
      <c r="T71" s="131" t="n">
        <f aca="false">+S72</f>
        <v>0</v>
      </c>
      <c r="U71" s="131" t="n">
        <f aca="false">+T72</f>
        <v>0</v>
      </c>
      <c r="V71" s="131" t="n">
        <f aca="false">+U72</f>
        <v>0</v>
      </c>
      <c r="W71" s="131" t="n">
        <f aca="false">+V72</f>
        <v>0</v>
      </c>
      <c r="X71" s="131" t="n">
        <f aca="false">+W72</f>
        <v>0</v>
      </c>
      <c r="Y71" s="672" t="n">
        <f aca="false">+X72</f>
        <v>0</v>
      </c>
      <c r="Z71" s="131" t="n">
        <f aca="false">+Y72</f>
        <v>0</v>
      </c>
      <c r="AA71" s="131" t="n">
        <f aca="false">+Z72</f>
        <v>0</v>
      </c>
      <c r="AB71" s="131" t="n">
        <f aca="false">+AA72</f>
        <v>0</v>
      </c>
      <c r="AC71" s="131" t="n">
        <f aca="false">+AB72</f>
        <v>0</v>
      </c>
      <c r="AD71" s="131" t="n">
        <f aca="false">+AC72</f>
        <v>0</v>
      </c>
      <c r="AE71" s="672" t="n">
        <f aca="false">+AD72</f>
        <v>0</v>
      </c>
      <c r="AF71" s="431"/>
      <c r="AG71" s="431"/>
      <c r="AH71" s="431"/>
      <c r="AI71" s="431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344"/>
      <c r="BA71" s="344"/>
      <c r="BB71" s="344"/>
      <c r="BC71" s="344"/>
      <c r="BD71" s="344"/>
      <c r="BE71" s="344"/>
      <c r="BF71" s="344"/>
      <c r="BG71" s="344"/>
      <c r="BH71" s="344"/>
      <c r="BI71" s="344"/>
      <c r="BJ71" s="344"/>
      <c r="BK71" s="344"/>
      <c r="BL71" s="344"/>
      <c r="BM71" s="344"/>
      <c r="BN71" s="344"/>
      <c r="BO71" s="344"/>
      <c r="BP71" s="344"/>
      <c r="BQ71" s="344"/>
      <c r="BR71" s="344"/>
      <c r="BS71" s="344"/>
      <c r="BT71" s="344"/>
      <c r="BU71" s="344"/>
      <c r="BV71" s="344"/>
      <c r="BW71" s="344"/>
      <c r="BX71" s="344"/>
      <c r="BY71" s="344"/>
      <c r="BZ71" s="344"/>
      <c r="CA71" s="344"/>
      <c r="CB71" s="344"/>
      <c r="CC71" s="344"/>
      <c r="CD71" s="344"/>
      <c r="CE71" s="344"/>
      <c r="CF71" s="344"/>
      <c r="CG71" s="344"/>
      <c r="CH71" s="344"/>
      <c r="CI71" s="344"/>
      <c r="CJ71" s="344"/>
      <c r="CK71" s="344"/>
      <c r="CL71" s="344"/>
      <c r="CM71" s="344"/>
      <c r="CN71" s="344"/>
      <c r="CO71" s="344"/>
      <c r="CP71" s="344"/>
      <c r="CQ71" s="344"/>
      <c r="CR71" s="344"/>
      <c r="CS71" s="344"/>
      <c r="CT71" s="344"/>
      <c r="CU71" s="344"/>
      <c r="CV71" s="344"/>
      <c r="CW71" s="344"/>
      <c r="CX71" s="344"/>
      <c r="CY71" s="344"/>
      <c r="CZ71" s="344"/>
      <c r="DA71" s="344"/>
      <c r="DB71" s="344"/>
      <c r="DC71" s="344"/>
      <c r="DD71" s="344"/>
      <c r="DE71" s="344"/>
      <c r="DF71" s="344"/>
      <c r="DG71" s="344"/>
      <c r="DH71" s="344"/>
      <c r="DI71" s="344"/>
      <c r="DJ71" s="344"/>
      <c r="DK71" s="344"/>
      <c r="DL71" s="344"/>
      <c r="DM71" s="344"/>
      <c r="DN71" s="344"/>
      <c r="DO71" s="344"/>
      <c r="DP71" s="344"/>
      <c r="DQ71" s="344"/>
      <c r="DR71" s="344"/>
      <c r="DS71" s="344"/>
      <c r="DT71" s="344"/>
      <c r="DU71" s="344"/>
      <c r="DV71" s="344"/>
      <c r="DW71" s="344"/>
      <c r="DX71" s="344"/>
      <c r="DY71" s="344"/>
      <c r="DZ71" s="344"/>
      <c r="EA71" s="344"/>
      <c r="EB71" s="344"/>
      <c r="EC71" s="344"/>
      <c r="ED71" s="344"/>
      <c r="EE71" s="344"/>
      <c r="EF71" s="344"/>
      <c r="EG71" s="344"/>
      <c r="EH71" s="344"/>
      <c r="EI71" s="344"/>
      <c r="EJ71" s="344"/>
      <c r="EK71" s="344"/>
      <c r="EL71" s="344"/>
      <c r="EM71" s="344"/>
      <c r="EN71" s="344"/>
      <c r="EO71" s="344"/>
      <c r="EP71" s="344"/>
      <c r="EQ71" s="344"/>
      <c r="ER71" s="344"/>
      <c r="ES71" s="344"/>
      <c r="ET71" s="344"/>
      <c r="EU71" s="344"/>
      <c r="EV71" s="344"/>
      <c r="EW71" s="344"/>
      <c r="EX71" s="344"/>
      <c r="EY71" s="344"/>
      <c r="EZ71" s="344"/>
      <c r="FA71" s="344"/>
      <c r="FB71" s="344"/>
      <c r="FC71" s="344"/>
      <c r="FD71" s="344"/>
      <c r="FE71" s="344"/>
      <c r="FF71" s="344"/>
      <c r="FG71" s="344"/>
      <c r="FH71" s="344"/>
      <c r="FI71" s="344"/>
      <c r="FJ71" s="344"/>
      <c r="FK71" s="344"/>
      <c r="FL71" s="344"/>
      <c r="FM71" s="344"/>
      <c r="FN71" s="344"/>
      <c r="FO71" s="344"/>
      <c r="FP71" s="344"/>
      <c r="FQ71" s="344"/>
      <c r="FR71" s="344"/>
      <c r="FS71" s="344"/>
      <c r="FT71" s="344"/>
      <c r="FU71" s="344"/>
      <c r="FV71" s="344"/>
      <c r="FW71" s="344"/>
      <c r="FX71" s="344"/>
      <c r="FY71" s="344"/>
      <c r="FZ71" s="344"/>
      <c r="GA71" s="344"/>
      <c r="GB71" s="344"/>
      <c r="GC71" s="344"/>
      <c r="GD71" s="344"/>
      <c r="GE71" s="344"/>
      <c r="GF71" s="344"/>
      <c r="GG71" s="344"/>
      <c r="GH71" s="344"/>
      <c r="GI71" s="344"/>
      <c r="GJ71" s="344"/>
      <c r="GK71" s="344"/>
      <c r="GL71" s="344"/>
      <c r="GM71" s="344"/>
      <c r="GN71" s="344"/>
      <c r="GO71" s="344"/>
      <c r="GP71" s="344"/>
      <c r="GQ71" s="344"/>
      <c r="GR71" s="344"/>
      <c r="GS71" s="344"/>
      <c r="GT71" s="344"/>
      <c r="GU71" s="344"/>
      <c r="GV71" s="344"/>
      <c r="GW71" s="344"/>
      <c r="GX71" s="344"/>
      <c r="GY71" s="344"/>
      <c r="GZ71" s="344"/>
      <c r="HA71" s="344"/>
      <c r="HB71" s="344"/>
      <c r="HC71" s="344"/>
      <c r="HD71" s="344"/>
      <c r="HE71" s="344"/>
      <c r="HF71" s="344"/>
      <c r="HG71" s="344"/>
      <c r="HH71" s="344"/>
      <c r="HI71" s="344"/>
      <c r="HJ71" s="344"/>
      <c r="HK71" s="344"/>
      <c r="HL71" s="344"/>
      <c r="HM71" s="344"/>
      <c r="HN71" s="344"/>
      <c r="HO71" s="344"/>
      <c r="HP71" s="344"/>
      <c r="HQ71" s="344"/>
      <c r="HR71" s="344"/>
      <c r="HS71" s="344"/>
      <c r="HT71" s="344"/>
      <c r="HU71" s="344"/>
      <c r="HV71" s="344"/>
      <c r="HW71" s="344"/>
      <c r="HX71" s="344"/>
      <c r="HY71" s="344"/>
      <c r="HZ71" s="344"/>
      <c r="IA71" s="344"/>
      <c r="IB71" s="344"/>
      <c r="IC71" s="344"/>
      <c r="ID71" s="344"/>
      <c r="IE71" s="344"/>
      <c r="IF71" s="344"/>
      <c r="IG71" s="344"/>
      <c r="IH71" s="344"/>
      <c r="II71" s="344"/>
      <c r="IJ71" s="344"/>
      <c r="IK71" s="344"/>
      <c r="IL71" s="344"/>
      <c r="IM71" s="344"/>
      <c r="IN71" s="344"/>
      <c r="IO71" s="344"/>
      <c r="IP71" s="344"/>
      <c r="IQ71" s="344"/>
      <c r="IR71" s="344"/>
      <c r="IS71" s="344"/>
      <c r="IT71" s="344"/>
      <c r="IU71" s="344"/>
      <c r="IV71" s="344"/>
      <c r="IW71" s="344"/>
    </row>
    <row r="72" customFormat="false" ht="12.75" hidden="false" customHeight="false" outlineLevel="0" collapsed="false">
      <c r="A72" s="665" t="s">
        <v>358</v>
      </c>
      <c r="B72" s="199"/>
      <c r="C72" s="199"/>
      <c r="D72" s="481" t="n">
        <f aca="false">+D71+D70</f>
        <v>0</v>
      </c>
      <c r="E72" s="481" t="n">
        <f aca="false">+E71+E70</f>
        <v>0</v>
      </c>
      <c r="F72" s="481" t="n">
        <f aca="false">+F71+F70</f>
        <v>0</v>
      </c>
      <c r="G72" s="481" t="n">
        <f aca="false">+G71+G70</f>
        <v>0</v>
      </c>
      <c r="H72" s="481" t="n">
        <f aca="false">+H71+H70</f>
        <v>0</v>
      </c>
      <c r="I72" s="481" t="n">
        <f aca="false">+I71+I70</f>
        <v>0</v>
      </c>
      <c r="J72" s="481" t="n">
        <f aca="false">+J71+J70</f>
        <v>0</v>
      </c>
      <c r="K72" s="481" t="n">
        <f aca="false">+K71+K70</f>
        <v>0</v>
      </c>
      <c r="L72" s="481" t="n">
        <f aca="false">+L71+L70</f>
        <v>0</v>
      </c>
      <c r="M72" s="481" t="n">
        <f aca="false">+M71+M70</f>
        <v>0</v>
      </c>
      <c r="N72" s="481" t="n">
        <f aca="false">+N71+N70</f>
        <v>0</v>
      </c>
      <c r="O72" s="481" t="n">
        <f aca="false">+O71+O70</f>
        <v>0</v>
      </c>
      <c r="P72" s="481" t="n">
        <f aca="false">+P71+P70</f>
        <v>0</v>
      </c>
      <c r="Q72" s="481" t="n">
        <f aca="false">+Q71+Q70</f>
        <v>0</v>
      </c>
      <c r="R72" s="481" t="n">
        <f aca="false">+R71+R70</f>
        <v>0</v>
      </c>
      <c r="S72" s="481" t="n">
        <f aca="false">+S71+S70</f>
        <v>0</v>
      </c>
      <c r="T72" s="481" t="n">
        <f aca="false">+T71+T70</f>
        <v>0</v>
      </c>
      <c r="U72" s="481" t="n">
        <f aca="false">+U71+U70</f>
        <v>0</v>
      </c>
      <c r="V72" s="481" t="n">
        <f aca="false">+V71+V70</f>
        <v>0</v>
      </c>
      <c r="W72" s="481" t="n">
        <f aca="false">+W71+W70</f>
        <v>0</v>
      </c>
      <c r="X72" s="481" t="n">
        <f aca="false">+X71+X70</f>
        <v>0</v>
      </c>
      <c r="Y72" s="738" t="n">
        <f aca="false">+Y71+Y70</f>
        <v>0</v>
      </c>
      <c r="Z72" s="481" t="n">
        <f aca="false">+Z71+Z70</f>
        <v>0</v>
      </c>
      <c r="AA72" s="481" t="n">
        <f aca="false">+AA71+AA70</f>
        <v>0</v>
      </c>
      <c r="AB72" s="481" t="n">
        <f aca="false">+AB71+AB70</f>
        <v>0</v>
      </c>
      <c r="AC72" s="481" t="n">
        <f aca="false">+AC71+AC70</f>
        <v>0</v>
      </c>
      <c r="AD72" s="481" t="n">
        <f aca="false">+AD71+AD70</f>
        <v>0</v>
      </c>
      <c r="AE72" s="738" t="n">
        <f aca="false">+AE71+AE70</f>
        <v>0</v>
      </c>
      <c r="AF72" s="430"/>
      <c r="AG72" s="430"/>
      <c r="AH72" s="430"/>
      <c r="AI72" s="430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customFormat="false" ht="12.75" hidden="false" customHeight="false" outlineLevel="0" collapsed="false">
      <c r="E73" s="455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</row>
    <row r="74" customFormat="false" ht="15.75" hidden="true" customHeight="false" outlineLevel="1" collapsed="false">
      <c r="A74" s="689" t="str">
        <f aca="false">+Assumpt!$A$1</f>
        <v>Panama Regas Terminal</v>
      </c>
      <c r="B74" s="690"/>
      <c r="C74" s="39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7"/>
      <c r="Z74" s="395"/>
      <c r="AA74" s="395"/>
      <c r="AB74" s="395"/>
      <c r="AC74" s="395"/>
      <c r="AD74" s="395"/>
      <c r="AE74" s="397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</row>
    <row r="75" customFormat="false" ht="15.75" hidden="true" customHeight="false" outlineLevel="1" collapsed="false">
      <c r="A75" s="691" t="str">
        <f aca="false">+Assumpt!$A$2</f>
        <v>Enron International</v>
      </c>
      <c r="B75" s="692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402"/>
      <c r="Z75" s="14"/>
      <c r="AA75" s="14"/>
      <c r="AB75" s="14"/>
      <c r="AC75" s="14"/>
      <c r="AD75" s="14"/>
      <c r="AE75" s="402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</row>
    <row r="76" customFormat="false" ht="15.75" hidden="true" customHeight="false" outlineLevel="1" collapsed="false">
      <c r="A76" s="696" t="s">
        <v>359</v>
      </c>
      <c r="B76" s="697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402"/>
      <c r="Z76" s="14"/>
      <c r="AA76" s="14"/>
      <c r="AB76" s="14"/>
      <c r="AC76" s="14"/>
      <c r="AD76" s="14"/>
      <c r="AE76" s="402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</row>
    <row r="77" customFormat="false" ht="12.75" hidden="true" customHeight="false" outlineLevel="1" collapsed="false">
      <c r="A77" s="372"/>
      <c r="B77" s="14"/>
      <c r="C77" s="14"/>
      <c r="D77" s="14"/>
      <c r="E77" s="302" t="n">
        <f aca="false">+E49</f>
        <v>1</v>
      </c>
      <c r="F77" s="302" t="n">
        <f aca="false">+F49</f>
        <v>2</v>
      </c>
      <c r="G77" s="302" t="n">
        <f aca="false">+G49</f>
        <v>3</v>
      </c>
      <c r="H77" s="302" t="n">
        <f aca="false">+H49</f>
        <v>4</v>
      </c>
      <c r="I77" s="302" t="n">
        <f aca="false">+I49</f>
        <v>5</v>
      </c>
      <c r="J77" s="302" t="n">
        <f aca="false">+J49</f>
        <v>6</v>
      </c>
      <c r="K77" s="302" t="n">
        <f aca="false">+K49</f>
        <v>7</v>
      </c>
      <c r="L77" s="302" t="n">
        <f aca="false">+L49</f>
        <v>8</v>
      </c>
      <c r="M77" s="302" t="n">
        <f aca="false">+M49</f>
        <v>9</v>
      </c>
      <c r="N77" s="302" t="n">
        <f aca="false">+N49</f>
        <v>10</v>
      </c>
      <c r="O77" s="302" t="n">
        <f aca="false">+O49</f>
        <v>11</v>
      </c>
      <c r="P77" s="302" t="n">
        <f aca="false">+P49</f>
        <v>12</v>
      </c>
      <c r="Q77" s="302" t="n">
        <f aca="false">+Q49</f>
        <v>13</v>
      </c>
      <c r="R77" s="302" t="n">
        <f aca="false">+R49</f>
        <v>14</v>
      </c>
      <c r="S77" s="302" t="n">
        <f aca="false">+S49</f>
        <v>15</v>
      </c>
      <c r="T77" s="302" t="n">
        <f aca="false">+T49</f>
        <v>15</v>
      </c>
      <c r="U77" s="302" t="n">
        <f aca="false">+U49</f>
        <v>15</v>
      </c>
      <c r="V77" s="302" t="n">
        <f aca="false">+V49</f>
        <v>15</v>
      </c>
      <c r="W77" s="302" t="n">
        <f aca="false">+W49</f>
        <v>15</v>
      </c>
      <c r="X77" s="302" t="n">
        <f aca="false">+X49</f>
        <v>15</v>
      </c>
      <c r="Y77" s="739" t="n">
        <f aca="false">+Y49</f>
        <v>15</v>
      </c>
      <c r="Z77" s="302" t="n">
        <f aca="false">+Z49</f>
        <v>15</v>
      </c>
      <c r="AA77" s="302" t="n">
        <f aca="false">+AA49</f>
        <v>15</v>
      </c>
      <c r="AB77" s="302" t="n">
        <f aca="false">+AB49</f>
        <v>15</v>
      </c>
      <c r="AC77" s="302" t="n">
        <f aca="false">+AC49</f>
        <v>15</v>
      </c>
      <c r="AD77" s="302" t="n">
        <f aca="false">+AD49</f>
        <v>15</v>
      </c>
      <c r="AE77" s="739" t="n">
        <f aca="false">+AE49</f>
        <v>15</v>
      </c>
      <c r="AF77" s="302"/>
      <c r="AG77" s="302"/>
      <c r="AH77" s="302"/>
      <c r="AI77" s="302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</row>
    <row r="78" customFormat="false" ht="12.75" hidden="true" customHeight="false" outlineLevel="1" collapsed="false">
      <c r="A78" s="372"/>
      <c r="B78" s="14"/>
      <c r="C78" s="14"/>
      <c r="D78" s="148"/>
      <c r="E78" s="148" t="n">
        <f aca="false">+E48</f>
        <v>2003</v>
      </c>
      <c r="F78" s="148" t="n">
        <f aca="false">+F48</f>
        <v>2004</v>
      </c>
      <c r="G78" s="148" t="n">
        <f aca="false">+G48</f>
        <v>2005</v>
      </c>
      <c r="H78" s="148" t="n">
        <f aca="false">+H48</f>
        <v>2006</v>
      </c>
      <c r="I78" s="148" t="n">
        <f aca="false">+I48</f>
        <v>2007</v>
      </c>
      <c r="J78" s="148" t="n">
        <f aca="false">+J48</f>
        <v>2008</v>
      </c>
      <c r="K78" s="148" t="n">
        <f aca="false">+K48</f>
        <v>2009</v>
      </c>
      <c r="L78" s="148" t="n">
        <f aca="false">+L48</f>
        <v>2010</v>
      </c>
      <c r="M78" s="148" t="n">
        <f aca="false">+M48</f>
        <v>2011</v>
      </c>
      <c r="N78" s="148" t="n">
        <f aca="false">+N48</f>
        <v>2012</v>
      </c>
      <c r="O78" s="148" t="n">
        <f aca="false">+O48</f>
        <v>2013</v>
      </c>
      <c r="P78" s="148" t="n">
        <f aca="false">+P48</f>
        <v>2014</v>
      </c>
      <c r="Q78" s="148" t="n">
        <f aca="false">+Q48</f>
        <v>2015</v>
      </c>
      <c r="R78" s="148" t="n">
        <f aca="false">+R48</f>
        <v>2016</v>
      </c>
      <c r="S78" s="148" t="n">
        <f aca="false">+S48</f>
        <v>2017</v>
      </c>
      <c r="T78" s="148" t="n">
        <f aca="false">+T48</f>
        <v>2018</v>
      </c>
      <c r="U78" s="148" t="n">
        <f aca="false">+U48</f>
        <v>2019</v>
      </c>
      <c r="V78" s="148" t="n">
        <f aca="false">+V48</f>
        <v>2020</v>
      </c>
      <c r="W78" s="148" t="n">
        <f aca="false">+W48</f>
        <v>2021</v>
      </c>
      <c r="X78" s="148" t="n">
        <f aca="false">+X48</f>
        <v>2022</v>
      </c>
      <c r="Y78" s="703" t="n">
        <f aca="false">+Y48</f>
        <v>2023</v>
      </c>
      <c r="Z78" s="148" t="n">
        <f aca="false">+Z48</f>
        <v>2024</v>
      </c>
      <c r="AA78" s="148" t="n">
        <f aca="false">+AA48</f>
        <v>2025</v>
      </c>
      <c r="AB78" s="148" t="n">
        <f aca="false">+AB48</f>
        <v>2026</v>
      </c>
      <c r="AC78" s="148" t="n">
        <f aca="false">+AC48</f>
        <v>2027</v>
      </c>
      <c r="AD78" s="148" t="n">
        <f aca="false">+AD48</f>
        <v>2028</v>
      </c>
      <c r="AE78" s="703" t="n">
        <f aca="false">+AE48</f>
        <v>2029</v>
      </c>
      <c r="AF78" s="148"/>
      <c r="AG78" s="148"/>
      <c r="AH78" s="148"/>
      <c r="AI78" s="148"/>
      <c r="AJ78" s="148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</row>
    <row r="79" customFormat="false" ht="12.75" hidden="true" customHeight="false" outlineLevel="1" collapsed="false">
      <c r="A79" s="363" t="s">
        <v>360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402"/>
      <c r="Z79" s="14"/>
      <c r="AA79" s="14"/>
      <c r="AB79" s="14"/>
      <c r="AC79" s="14"/>
      <c r="AD79" s="14"/>
      <c r="AE79" s="402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</row>
    <row r="80" customFormat="false" ht="12.75" hidden="true" customHeight="false" outlineLevel="1" collapsed="false">
      <c r="A80" s="372"/>
      <c r="B80" s="14" t="s">
        <v>344</v>
      </c>
      <c r="C80" s="14"/>
      <c r="D80" s="14"/>
      <c r="E80" s="430" t="n">
        <f aca="false">+E52</f>
        <v>17568.7638482292</v>
      </c>
      <c r="F80" s="430" t="n">
        <f aca="false">+F52</f>
        <v>18068.1229716858</v>
      </c>
      <c r="G80" s="430" t="n">
        <f aca="false">+G52</f>
        <v>35428.6012831467</v>
      </c>
      <c r="H80" s="430" t="n">
        <f aca="false">+H52</f>
        <v>37258.8993214385</v>
      </c>
      <c r="I80" s="430" t="n">
        <f aca="false">+I52</f>
        <v>38176.0752964704</v>
      </c>
      <c r="J80" s="430" t="n">
        <f aca="false">+J52</f>
        <v>39656.6040696722</v>
      </c>
      <c r="K80" s="430" t="n">
        <f aca="false">+K52</f>
        <v>40706.4857746443</v>
      </c>
      <c r="L80" s="430" t="n">
        <f aca="false">+L52</f>
        <v>75264.0514733296</v>
      </c>
      <c r="M80" s="430" t="n">
        <f aca="false">+M52</f>
        <v>81553.2502072618</v>
      </c>
      <c r="N80" s="430" t="n">
        <f aca="false">+N52</f>
        <v>83820.0663053305</v>
      </c>
      <c r="O80" s="430" t="n">
        <f aca="false">+O52</f>
        <v>86313.3665045902</v>
      </c>
      <c r="P80" s="430" t="n">
        <f aca="false">+P52</f>
        <v>89671.7472534145</v>
      </c>
      <c r="Q80" s="430" t="n">
        <f aca="false">+Q52</f>
        <v>91465.1821984828</v>
      </c>
      <c r="R80" s="430" t="n">
        <f aca="false">+R52</f>
        <v>93294.4858424524</v>
      </c>
      <c r="S80" s="430" t="n">
        <f aca="false">+S52</f>
        <v>95160.3755593015</v>
      </c>
      <c r="T80" s="430" t="n">
        <f aca="false">+T52</f>
        <v>0</v>
      </c>
      <c r="U80" s="430" t="n">
        <f aca="false">+U52</f>
        <v>0</v>
      </c>
      <c r="V80" s="430" t="n">
        <f aca="false">+V52</f>
        <v>0</v>
      </c>
      <c r="W80" s="430" t="n">
        <f aca="false">+W52</f>
        <v>0</v>
      </c>
      <c r="X80" s="430" t="n">
        <f aca="false">+X52</f>
        <v>0</v>
      </c>
      <c r="Y80" s="740" t="n">
        <f aca="false">+Y52</f>
        <v>0</v>
      </c>
      <c r="Z80" s="430" t="n">
        <f aca="false">+Z52</f>
        <v>0</v>
      </c>
      <c r="AA80" s="430" t="n">
        <f aca="false">+AA52</f>
        <v>0</v>
      </c>
      <c r="AB80" s="430" t="n">
        <f aca="false">+AB52</f>
        <v>0</v>
      </c>
      <c r="AC80" s="430" t="n">
        <f aca="false">+AC52</f>
        <v>0</v>
      </c>
      <c r="AD80" s="430" t="n">
        <f aca="false">+AD52</f>
        <v>0</v>
      </c>
      <c r="AE80" s="740" t="n">
        <f aca="false">+AE52</f>
        <v>0</v>
      </c>
      <c r="AF80" s="430"/>
      <c r="AG80" s="430"/>
      <c r="AH80" s="430"/>
      <c r="AI80" s="430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</row>
    <row r="81" customFormat="false" ht="12.75" hidden="true" customHeight="false" outlineLevel="1" collapsed="false">
      <c r="A81" s="372"/>
      <c r="B81" s="14" t="s">
        <v>351</v>
      </c>
      <c r="C81" s="14"/>
      <c r="D81" s="14"/>
      <c r="E81" s="430" t="n">
        <f aca="false">+E63</f>
        <v>127536.680159271</v>
      </c>
      <c r="F81" s="430" t="n">
        <f aca="false">+F63</f>
        <v>0</v>
      </c>
      <c r="G81" s="430" t="n">
        <f aca="false">+G63</f>
        <v>0</v>
      </c>
      <c r="H81" s="430" t="n">
        <f aca="false">+H63</f>
        <v>0</v>
      </c>
      <c r="I81" s="430" t="n">
        <f aca="false">+I63</f>
        <v>0</v>
      </c>
      <c r="J81" s="430" t="n">
        <f aca="false">+J63</f>
        <v>0</v>
      </c>
      <c r="K81" s="430" t="n">
        <f aca="false">+K63</f>
        <v>0</v>
      </c>
      <c r="L81" s="430" t="n">
        <f aca="false">+L63</f>
        <v>0</v>
      </c>
      <c r="M81" s="430" t="n">
        <f aca="false">+M63</f>
        <v>0</v>
      </c>
      <c r="N81" s="430" t="n">
        <f aca="false">+N63</f>
        <v>0</v>
      </c>
      <c r="O81" s="430" t="n">
        <f aca="false">+O63</f>
        <v>0</v>
      </c>
      <c r="P81" s="430" t="n">
        <f aca="false">+P63</f>
        <v>0</v>
      </c>
      <c r="Q81" s="430" t="n">
        <f aca="false">+Q63</f>
        <v>0</v>
      </c>
      <c r="R81" s="430" t="n">
        <f aca="false">+R63</f>
        <v>0</v>
      </c>
      <c r="S81" s="430" t="n">
        <f aca="false">+S63</f>
        <v>0</v>
      </c>
      <c r="T81" s="430" t="n">
        <f aca="false">+T63</f>
        <v>0</v>
      </c>
      <c r="U81" s="430" t="n">
        <f aca="false">+U63</f>
        <v>0</v>
      </c>
      <c r="V81" s="430" t="n">
        <f aca="false">+V63</f>
        <v>0</v>
      </c>
      <c r="W81" s="430" t="n">
        <f aca="false">+W63</f>
        <v>0</v>
      </c>
      <c r="X81" s="430" t="n">
        <f aca="false">+X63</f>
        <v>0</v>
      </c>
      <c r="Y81" s="740" t="n">
        <f aca="false">+Y63</f>
        <v>0</v>
      </c>
      <c r="Z81" s="430" t="n">
        <f aca="false">+Z63</f>
        <v>0</v>
      </c>
      <c r="AA81" s="430" t="n">
        <f aca="false">+AA63</f>
        <v>0</v>
      </c>
      <c r="AB81" s="430" t="n">
        <f aca="false">+AB63</f>
        <v>0</v>
      </c>
      <c r="AC81" s="430" t="n">
        <f aca="false">+AC63</f>
        <v>0</v>
      </c>
      <c r="AD81" s="430" t="n">
        <f aca="false">+AD63</f>
        <v>0</v>
      </c>
      <c r="AE81" s="740" t="n">
        <f aca="false">+AE63</f>
        <v>0</v>
      </c>
      <c r="AF81" s="430"/>
      <c r="AG81" s="430"/>
      <c r="AH81" s="430"/>
      <c r="AI81" s="430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</row>
    <row r="82" customFormat="false" ht="15" hidden="true" customHeight="false" outlineLevel="1" collapsed="false">
      <c r="A82" s="372"/>
      <c r="B82" s="14" t="s">
        <v>361</v>
      </c>
      <c r="C82" s="14"/>
      <c r="D82" s="430"/>
      <c r="E82" s="431" t="n">
        <f aca="false">+E65</f>
        <v>42512.2267197572</v>
      </c>
      <c r="F82" s="431" t="n">
        <f aca="false">+F65</f>
        <v>0</v>
      </c>
      <c r="G82" s="431" t="n">
        <f aca="false">+G65</f>
        <v>0</v>
      </c>
      <c r="H82" s="431" t="n">
        <f aca="false">+H65</f>
        <v>0</v>
      </c>
      <c r="I82" s="431" t="n">
        <f aca="false">+I65</f>
        <v>0</v>
      </c>
      <c r="J82" s="431" t="n">
        <f aca="false">+J65</f>
        <v>0</v>
      </c>
      <c r="K82" s="431" t="n">
        <f aca="false">+K65</f>
        <v>0</v>
      </c>
      <c r="L82" s="431" t="n">
        <f aca="false">+L65</f>
        <v>0</v>
      </c>
      <c r="M82" s="431" t="n">
        <f aca="false">+M65</f>
        <v>0</v>
      </c>
      <c r="N82" s="431" t="n">
        <f aca="false">+N65</f>
        <v>0</v>
      </c>
      <c r="O82" s="431" t="n">
        <f aca="false">+O65</f>
        <v>0</v>
      </c>
      <c r="P82" s="431" t="n">
        <f aca="false">+P65</f>
        <v>0</v>
      </c>
      <c r="Q82" s="431" t="n">
        <f aca="false">+Q65</f>
        <v>0</v>
      </c>
      <c r="R82" s="431" t="n">
        <f aca="false">+R65</f>
        <v>0</v>
      </c>
      <c r="S82" s="431" t="n">
        <f aca="false">+S65</f>
        <v>0</v>
      </c>
      <c r="T82" s="431" t="n">
        <f aca="false">+T65</f>
        <v>0</v>
      </c>
      <c r="U82" s="431" t="n">
        <f aca="false">+U65</f>
        <v>0</v>
      </c>
      <c r="V82" s="431" t="n">
        <f aca="false">+V65</f>
        <v>0</v>
      </c>
      <c r="W82" s="431" t="n">
        <f aca="false">+W65</f>
        <v>0</v>
      </c>
      <c r="X82" s="431" t="n">
        <f aca="false">+X65</f>
        <v>0</v>
      </c>
      <c r="Y82" s="741" t="n">
        <f aca="false">+Y65</f>
        <v>0</v>
      </c>
      <c r="Z82" s="431" t="n">
        <f aca="false">+Z65</f>
        <v>0</v>
      </c>
      <c r="AA82" s="431" t="n">
        <f aca="false">+AA65</f>
        <v>0</v>
      </c>
      <c r="AB82" s="431" t="n">
        <f aca="false">+AB65</f>
        <v>0</v>
      </c>
      <c r="AC82" s="431" t="n">
        <f aca="false">+AC65</f>
        <v>0</v>
      </c>
      <c r="AD82" s="431" t="n">
        <f aca="false">+AD65</f>
        <v>0</v>
      </c>
      <c r="AE82" s="741" t="n">
        <f aca="false">+AE65</f>
        <v>0</v>
      </c>
      <c r="AF82" s="431"/>
      <c r="AG82" s="431"/>
      <c r="AH82" s="431"/>
      <c r="AI82" s="431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</row>
    <row r="83" customFormat="false" ht="12.75" hidden="true" customHeight="false" outlineLevel="1" collapsed="false">
      <c r="A83" s="372"/>
      <c r="B83" s="14"/>
      <c r="C83" s="14" t="s">
        <v>362</v>
      </c>
      <c r="D83" s="14"/>
      <c r="E83" s="430" t="n">
        <f aca="false">SUM(E80:E82)</f>
        <v>187617.670727258</v>
      </c>
      <c r="F83" s="430" t="n">
        <f aca="false">SUM(F80:F82)</f>
        <v>18068.1229716858</v>
      </c>
      <c r="G83" s="430" t="n">
        <f aca="false">SUM(G80:G82)</f>
        <v>35428.6012831467</v>
      </c>
      <c r="H83" s="430" t="n">
        <f aca="false">SUM(H80:H82)</f>
        <v>37258.8993214385</v>
      </c>
      <c r="I83" s="430" t="n">
        <f aca="false">SUM(I80:I82)</f>
        <v>38176.0752964704</v>
      </c>
      <c r="J83" s="430" t="n">
        <f aca="false">SUM(J80:J82)</f>
        <v>39656.6040696722</v>
      </c>
      <c r="K83" s="430" t="n">
        <f aca="false">SUM(K80:K82)</f>
        <v>40706.4857746443</v>
      </c>
      <c r="L83" s="430" t="n">
        <f aca="false">SUM(L80:L82)</f>
        <v>75264.0514733296</v>
      </c>
      <c r="M83" s="430" t="n">
        <f aca="false">SUM(M80:M82)</f>
        <v>81553.2502072618</v>
      </c>
      <c r="N83" s="430" t="n">
        <f aca="false">SUM(N80:N82)</f>
        <v>83820.0663053305</v>
      </c>
      <c r="O83" s="430" t="n">
        <f aca="false">SUM(O80:O82)</f>
        <v>86313.3665045902</v>
      </c>
      <c r="P83" s="430" t="n">
        <f aca="false">SUM(P80:P82)</f>
        <v>89671.7472534145</v>
      </c>
      <c r="Q83" s="430" t="n">
        <f aca="false">SUM(Q80:Q82)</f>
        <v>91465.1821984828</v>
      </c>
      <c r="R83" s="430" t="n">
        <f aca="false">SUM(R80:R82)</f>
        <v>93294.4858424524</v>
      </c>
      <c r="S83" s="430" t="n">
        <f aca="false">SUM(S80:S82)</f>
        <v>95160.3755593015</v>
      </c>
      <c r="T83" s="430" t="n">
        <f aca="false">SUM(T80:T82)</f>
        <v>0</v>
      </c>
      <c r="U83" s="430" t="n">
        <f aca="false">SUM(U80:U82)</f>
        <v>0</v>
      </c>
      <c r="V83" s="430" t="n">
        <f aca="false">SUM(V80:V82)</f>
        <v>0</v>
      </c>
      <c r="W83" s="430" t="n">
        <f aca="false">SUM(W80:W82)</f>
        <v>0</v>
      </c>
      <c r="X83" s="430" t="n">
        <f aca="false">SUM(X80:X82)</f>
        <v>0</v>
      </c>
      <c r="Y83" s="740" t="n">
        <f aca="false">SUM(Y80:Y82)</f>
        <v>0</v>
      </c>
      <c r="Z83" s="430" t="n">
        <f aca="false">SUM(Z80:Z82)</f>
        <v>0</v>
      </c>
      <c r="AA83" s="430" t="n">
        <f aca="false">SUM(AA80:AA82)</f>
        <v>0</v>
      </c>
      <c r="AB83" s="430" t="n">
        <f aca="false">SUM(AB80:AB82)</f>
        <v>0</v>
      </c>
      <c r="AC83" s="430" t="n">
        <f aca="false">SUM(AC80:AC82)</f>
        <v>0</v>
      </c>
      <c r="AD83" s="430" t="n">
        <f aca="false">SUM(AD80:AD82)</f>
        <v>0</v>
      </c>
      <c r="AE83" s="740" t="n">
        <f aca="false">SUM(AE80:AE82)</f>
        <v>0</v>
      </c>
      <c r="AF83" s="430"/>
      <c r="AG83" s="430"/>
      <c r="AH83" s="430"/>
      <c r="AI83" s="430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</row>
    <row r="84" customFormat="false" ht="12.75" hidden="true" customHeight="false" outlineLevel="1" collapsed="false">
      <c r="A84" s="372"/>
      <c r="B84" s="14"/>
      <c r="C84" s="14"/>
      <c r="D84" s="14"/>
      <c r="E84" s="430"/>
      <c r="F84" s="430"/>
      <c r="G84" s="430"/>
      <c r="H84" s="430"/>
      <c r="I84" s="430"/>
      <c r="J84" s="430"/>
      <c r="K84" s="430"/>
      <c r="L84" s="430"/>
      <c r="M84" s="430"/>
      <c r="N84" s="430"/>
      <c r="O84" s="430"/>
      <c r="P84" s="430"/>
      <c r="Q84" s="430"/>
      <c r="R84" s="430"/>
      <c r="S84" s="430"/>
      <c r="T84" s="430"/>
      <c r="U84" s="430"/>
      <c r="V84" s="430"/>
      <c r="W84" s="430"/>
      <c r="X84" s="430"/>
      <c r="Y84" s="740"/>
      <c r="Z84" s="430"/>
      <c r="AA84" s="430"/>
      <c r="AB84" s="430"/>
      <c r="AC84" s="430"/>
      <c r="AD84" s="430"/>
      <c r="AE84" s="740"/>
      <c r="AF84" s="430"/>
      <c r="AG84" s="430"/>
      <c r="AH84" s="430"/>
      <c r="AI84" s="430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</row>
    <row r="85" customFormat="false" ht="12.75" hidden="true" customHeight="false" outlineLevel="1" collapsed="false">
      <c r="A85" s="363" t="s">
        <v>363</v>
      </c>
      <c r="B85" s="14"/>
      <c r="C85" s="14"/>
      <c r="D85" s="14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30"/>
      <c r="T85" s="430"/>
      <c r="U85" s="430"/>
      <c r="V85" s="430"/>
      <c r="W85" s="430"/>
      <c r="X85" s="430"/>
      <c r="Y85" s="740"/>
      <c r="Z85" s="430"/>
      <c r="AA85" s="430"/>
      <c r="AB85" s="430"/>
      <c r="AC85" s="430"/>
      <c r="AD85" s="430"/>
      <c r="AE85" s="740"/>
      <c r="AF85" s="430"/>
      <c r="AG85" s="430"/>
      <c r="AH85" s="430"/>
      <c r="AI85" s="430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</row>
    <row r="86" customFormat="false" ht="12.75" hidden="true" customHeight="false" outlineLevel="1" collapsed="false">
      <c r="A86" s="372"/>
      <c r="B86" s="14" t="s">
        <v>345</v>
      </c>
      <c r="C86" s="14"/>
      <c r="D86" s="14"/>
      <c r="E86" s="430" t="n">
        <f aca="false">-E53</f>
        <v>10168.5650176</v>
      </c>
      <c r="F86" s="430" t="n">
        <f aca="false">-F53</f>
        <v>10371.196317952</v>
      </c>
      <c r="G86" s="430" t="n">
        <f aca="false">-G53</f>
        <v>10577.880244311</v>
      </c>
      <c r="H86" s="430" t="n">
        <f aca="false">-H53</f>
        <v>10788.6978491973</v>
      </c>
      <c r="I86" s="430" t="n">
        <f aca="false">-I53</f>
        <v>11003.7318061812</v>
      </c>
      <c r="J86" s="430" t="n">
        <f aca="false">-J53</f>
        <v>11223.0664423048</v>
      </c>
      <c r="K86" s="430" t="n">
        <f aca="false">-K53</f>
        <v>11446.7877711509</v>
      </c>
      <c r="L86" s="430" t="n">
        <f aca="false">-L53</f>
        <v>11674.9835265739</v>
      </c>
      <c r="M86" s="430" t="n">
        <f aca="false">-M53</f>
        <v>11907.7431971054</v>
      </c>
      <c r="N86" s="430" t="n">
        <f aca="false">-N53</f>
        <v>12145.1580610475</v>
      </c>
      <c r="O86" s="430" t="n">
        <f aca="false">-O53</f>
        <v>12387.3212222685</v>
      </c>
      <c r="P86" s="430" t="n">
        <f aca="false">-P53</f>
        <v>12634.3276467139</v>
      </c>
      <c r="Q86" s="430" t="n">
        <f aca="false">-Q53</f>
        <v>12886.2741996481</v>
      </c>
      <c r="R86" s="430" t="n">
        <f aca="false">-R53</f>
        <v>13143.2596836411</v>
      </c>
      <c r="S86" s="430" t="n">
        <f aca="false">-S53</f>
        <v>13405.3848773139</v>
      </c>
      <c r="T86" s="430" t="n">
        <f aca="false">-T53</f>
        <v>0</v>
      </c>
      <c r="U86" s="430" t="n">
        <f aca="false">-U53</f>
        <v>0</v>
      </c>
      <c r="V86" s="430" t="n">
        <f aca="false">-V53</f>
        <v>0</v>
      </c>
      <c r="W86" s="430" t="n">
        <f aca="false">-W53</f>
        <v>0</v>
      </c>
      <c r="X86" s="430" t="n">
        <f aca="false">-X53</f>
        <v>0</v>
      </c>
      <c r="Y86" s="740" t="n">
        <f aca="false">-Y53</f>
        <v>0</v>
      </c>
      <c r="Z86" s="430" t="n">
        <f aca="false">-Z53</f>
        <v>0</v>
      </c>
      <c r="AA86" s="430" t="n">
        <f aca="false">-AA53</f>
        <v>0</v>
      </c>
      <c r="AB86" s="430" t="n">
        <f aca="false">-AB53</f>
        <v>0</v>
      </c>
      <c r="AC86" s="430" t="n">
        <f aca="false">-AC53</f>
        <v>0</v>
      </c>
      <c r="AD86" s="430" t="n">
        <f aca="false">-AD53</f>
        <v>0</v>
      </c>
      <c r="AE86" s="740" t="n">
        <f aca="false">-AE53</f>
        <v>0</v>
      </c>
      <c r="AF86" s="430"/>
      <c r="AG86" s="430"/>
      <c r="AH86" s="430"/>
      <c r="AI86" s="430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</row>
    <row r="87" customFormat="false" ht="12.75" hidden="true" customHeight="false" outlineLevel="1" collapsed="false">
      <c r="A87" s="372"/>
      <c r="B87" s="14" t="s">
        <v>364</v>
      </c>
      <c r="C87" s="14"/>
      <c r="D87" s="14"/>
      <c r="E87" s="107" t="n">
        <f aca="false">-E58</f>
        <v>0</v>
      </c>
      <c r="F87" s="107" t="n">
        <f aca="false">-F58</f>
        <v>0</v>
      </c>
      <c r="G87" s="107" t="n">
        <f aca="false">-G58</f>
        <v>0</v>
      </c>
      <c r="H87" s="107" t="n">
        <f aca="false">-H58</f>
        <v>727.36738619081</v>
      </c>
      <c r="I87" s="107" t="n">
        <f aca="false">-I58</f>
        <v>1257.29733573479</v>
      </c>
      <c r="J87" s="107" t="n">
        <f aca="false">-J58</f>
        <v>1589.68300279115</v>
      </c>
      <c r="K87" s="107" t="n">
        <f aca="false">-K58</f>
        <v>1870.74133739219</v>
      </c>
      <c r="L87" s="107" t="n">
        <f aca="false">-L58</f>
        <v>14385.1267954123</v>
      </c>
      <c r="M87" s="107" t="n">
        <f aca="false">-M58</f>
        <v>16580.4288299252</v>
      </c>
      <c r="N87" s="107" t="n">
        <f aca="false">-N58</f>
        <v>17604.418393652</v>
      </c>
      <c r="O87" s="107" t="n">
        <f aca="false">-O58</f>
        <v>18735.3064974267</v>
      </c>
      <c r="P87" s="107" t="n">
        <f aca="false">-P58</f>
        <v>20168.5705792795</v>
      </c>
      <c r="Q87" s="107" t="n">
        <f aca="false">-Q58</f>
        <v>21035.9304907444</v>
      </c>
      <c r="R87" s="107" t="n">
        <f aca="false">-R58</f>
        <v>21507.6259387374</v>
      </c>
      <c r="S87" s="107" t="n">
        <f aca="false">-S58</f>
        <v>21988.7552956902</v>
      </c>
      <c r="T87" s="107" t="n">
        <f aca="false">-T58</f>
        <v>4.74291811499031E-012</v>
      </c>
      <c r="U87" s="107" t="n">
        <f aca="false">-U58</f>
        <v>0</v>
      </c>
      <c r="V87" s="107" t="n">
        <f aca="false">-V58</f>
        <v>0</v>
      </c>
      <c r="W87" s="107" t="n">
        <f aca="false">-W58</f>
        <v>0</v>
      </c>
      <c r="X87" s="107" t="n">
        <f aca="false">-X58</f>
        <v>0</v>
      </c>
      <c r="Y87" s="517" t="n">
        <f aca="false">-Y58</f>
        <v>0</v>
      </c>
      <c r="Z87" s="107" t="n">
        <f aca="false">-Z58</f>
        <v>0</v>
      </c>
      <c r="AA87" s="107" t="n">
        <f aca="false">-AA58</f>
        <v>0</v>
      </c>
      <c r="AB87" s="107" t="n">
        <f aca="false">-AB58</f>
        <v>0</v>
      </c>
      <c r="AC87" s="107" t="n">
        <f aca="false">-AC58</f>
        <v>0</v>
      </c>
      <c r="AD87" s="107" t="n">
        <f aca="false">-AD58</f>
        <v>0</v>
      </c>
      <c r="AE87" s="517" t="n">
        <f aca="false">-AE58</f>
        <v>0</v>
      </c>
      <c r="AF87" s="107"/>
      <c r="AG87" s="107"/>
      <c r="AH87" s="107"/>
      <c r="AI87" s="107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</row>
    <row r="88" customFormat="false" ht="12.75" hidden="true" customHeight="false" outlineLevel="1" collapsed="false">
      <c r="A88" s="372"/>
      <c r="B88" s="14" t="s">
        <v>347</v>
      </c>
      <c r="C88" s="14"/>
      <c r="D88" s="14"/>
      <c r="E88" s="430" t="n">
        <f aca="false">-E55</f>
        <v>12115.9846151308</v>
      </c>
      <c r="F88" s="430" t="n">
        <f aca="false">-F55</f>
        <v>11953.9426671253</v>
      </c>
      <c r="G88" s="430" t="n">
        <f aca="false">-G55</f>
        <v>11274.6212978373</v>
      </c>
      <c r="H88" s="430" t="n">
        <f aca="false">-H55</f>
        <v>10529.2316796274</v>
      </c>
      <c r="I88" s="430" t="n">
        <f aca="false">-I55</f>
        <v>9711.34826236155</v>
      </c>
      <c r="J88" s="430" t="n">
        <f aca="false">-J55</f>
        <v>8813.9205709952</v>
      </c>
      <c r="K88" s="430" t="n">
        <f aca="false">-K55</f>
        <v>7829.2124277204</v>
      </c>
      <c r="L88" s="430" t="n">
        <f aca="false">-L55</f>
        <v>6748.73526308623</v>
      </c>
      <c r="M88" s="430" t="n">
        <f aca="false">-M55</f>
        <v>5563.17494120911</v>
      </c>
      <c r="N88" s="430" t="n">
        <f aca="false">-N55</f>
        <v>4262.31146827742</v>
      </c>
      <c r="O88" s="430" t="n">
        <f aca="false">-O55</f>
        <v>2834.93089220643</v>
      </c>
      <c r="P88" s="430" t="n">
        <f aca="false">-P55</f>
        <v>1268.72863398393</v>
      </c>
      <c r="Q88" s="430" t="n">
        <f aca="false">-Q55</f>
        <v>-1.48611434269696E-011</v>
      </c>
      <c r="R88" s="430" t="n">
        <f aca="false">-R55</f>
        <v>-1.11458575702272E-011</v>
      </c>
      <c r="S88" s="430" t="n">
        <f aca="false">-S55</f>
        <v>-1.48611434269696E-011</v>
      </c>
      <c r="T88" s="430" t="n">
        <f aca="false">-T55</f>
        <v>-1.48611434269696E-011</v>
      </c>
      <c r="U88" s="430" t="n">
        <f aca="false">-U55</f>
        <v>7.43057171348482E-012</v>
      </c>
      <c r="V88" s="430" t="n">
        <f aca="false">-V55</f>
        <v>7.43057171348482E-012</v>
      </c>
      <c r="W88" s="430" t="n">
        <f aca="false">-W55</f>
        <v>7.43057171348482E-012</v>
      </c>
      <c r="X88" s="430" t="n">
        <f aca="false">-X55</f>
        <v>7.43057171348482E-012</v>
      </c>
      <c r="Y88" s="740" t="n">
        <f aca="false">-Y55</f>
        <v>7.43057171348482E-012</v>
      </c>
      <c r="Z88" s="430" t="n">
        <f aca="false">-Z55</f>
        <v>7.43057171348482E-012</v>
      </c>
      <c r="AA88" s="430" t="n">
        <f aca="false">-AA55</f>
        <v>7.43057171348482E-012</v>
      </c>
      <c r="AB88" s="430" t="n">
        <f aca="false">-AB55</f>
        <v>7.43057171348482E-012</v>
      </c>
      <c r="AC88" s="430" t="n">
        <f aca="false">-AC55</f>
        <v>7.43057171348482E-012</v>
      </c>
      <c r="AD88" s="430" t="n">
        <f aca="false">-AD55</f>
        <v>7.43057171348482E-012</v>
      </c>
      <c r="AE88" s="740" t="n">
        <f aca="false">-AE55</f>
        <v>0</v>
      </c>
      <c r="AF88" s="430"/>
      <c r="AG88" s="430"/>
      <c r="AH88" s="430"/>
      <c r="AI88" s="430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</row>
    <row r="89" customFormat="false" ht="12.75" hidden="true" customHeight="false" outlineLevel="1" collapsed="false">
      <c r="A89" s="742"/>
      <c r="B89" s="14" t="s">
        <v>365</v>
      </c>
      <c r="C89" s="743"/>
      <c r="D89" s="743"/>
      <c r="E89" s="744" t="n">
        <v>0</v>
      </c>
      <c r="F89" s="744" t="n">
        <v>0</v>
      </c>
      <c r="G89" s="744" t="n">
        <v>0</v>
      </c>
      <c r="H89" s="744" t="n">
        <v>0</v>
      </c>
      <c r="I89" s="744" t="n">
        <v>0</v>
      </c>
      <c r="J89" s="744" t="n">
        <v>0</v>
      </c>
      <c r="K89" s="744" t="n">
        <v>0</v>
      </c>
      <c r="L89" s="744" t="n">
        <v>0</v>
      </c>
      <c r="M89" s="744" t="n">
        <v>0</v>
      </c>
      <c r="N89" s="744" t="n">
        <v>0</v>
      </c>
      <c r="O89" s="744" t="n">
        <v>0</v>
      </c>
      <c r="P89" s="744" t="n">
        <v>0</v>
      </c>
      <c r="Q89" s="744" t="n">
        <v>0</v>
      </c>
      <c r="R89" s="744" t="n">
        <v>0</v>
      </c>
      <c r="S89" s="744" t="n">
        <v>0</v>
      </c>
      <c r="T89" s="744" t="n">
        <v>0</v>
      </c>
      <c r="U89" s="744" t="n">
        <v>0</v>
      </c>
      <c r="V89" s="744" t="n">
        <v>0</v>
      </c>
      <c r="W89" s="744" t="n">
        <v>0</v>
      </c>
      <c r="X89" s="744" t="n">
        <v>0</v>
      </c>
      <c r="Y89" s="745" t="n">
        <v>0</v>
      </c>
      <c r="Z89" s="744" t="n">
        <v>0</v>
      </c>
      <c r="AA89" s="744" t="n">
        <v>0</v>
      </c>
      <c r="AB89" s="744" t="n">
        <v>0</v>
      </c>
      <c r="AC89" s="744" t="n">
        <v>0</v>
      </c>
      <c r="AD89" s="744" t="n">
        <v>0</v>
      </c>
      <c r="AE89" s="745" t="n">
        <v>0</v>
      </c>
      <c r="AF89" s="744"/>
      <c r="AG89" s="744"/>
      <c r="AH89" s="744"/>
      <c r="AI89" s="744"/>
      <c r="AJ89" s="743"/>
      <c r="AK89" s="743"/>
      <c r="AL89" s="743"/>
      <c r="AM89" s="743"/>
      <c r="AN89" s="743"/>
      <c r="AO89" s="743"/>
      <c r="AP89" s="743"/>
      <c r="AQ89" s="743"/>
      <c r="AR89" s="743"/>
      <c r="AS89" s="743"/>
      <c r="AT89" s="743"/>
      <c r="AU89" s="743"/>
      <c r="AV89" s="743"/>
      <c r="AW89" s="743"/>
      <c r="AX89" s="743"/>
      <c r="AY89" s="743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</row>
    <row r="90" customFormat="false" ht="12.75" hidden="true" customHeight="false" outlineLevel="1" collapsed="false">
      <c r="A90" s="372"/>
      <c r="B90" s="14" t="s">
        <v>352</v>
      </c>
      <c r="C90" s="14"/>
      <c r="D90" s="14"/>
      <c r="E90" s="430" t="n">
        <f aca="false">-E64</f>
        <v>0</v>
      </c>
      <c r="F90" s="430" t="n">
        <f aca="false">-F64</f>
        <v>6984.86081139301</v>
      </c>
      <c r="G90" s="430" t="n">
        <f aca="false">-G64</f>
        <v>7664.18218068106</v>
      </c>
      <c r="H90" s="430" t="n">
        <f aca="false">-H64</f>
        <v>8409.57179889092</v>
      </c>
      <c r="I90" s="430" t="n">
        <f aca="false">-I64</f>
        <v>9227.45521615681</v>
      </c>
      <c r="J90" s="430" t="n">
        <f aca="false">-J64</f>
        <v>10124.8829075232</v>
      </c>
      <c r="K90" s="430" t="n">
        <f aca="false">-K64</f>
        <v>11109.591050798</v>
      </c>
      <c r="L90" s="430" t="n">
        <f aca="false">-L64</f>
        <v>12190.0682154321</v>
      </c>
      <c r="M90" s="430" t="n">
        <f aca="false">-M64</f>
        <v>13375.6285373093</v>
      </c>
      <c r="N90" s="430" t="n">
        <f aca="false">-N64</f>
        <v>14676.4920102409</v>
      </c>
      <c r="O90" s="430" t="n">
        <f aca="false">-O64</f>
        <v>16103.8725863119</v>
      </c>
      <c r="P90" s="430" t="n">
        <f aca="false">-P64</f>
        <v>17670.0748445344</v>
      </c>
      <c r="Q90" s="430" t="n">
        <f aca="false">-Q64</f>
        <v>0</v>
      </c>
      <c r="R90" s="430" t="n">
        <f aca="false">-R64</f>
        <v>0</v>
      </c>
      <c r="S90" s="430" t="n">
        <f aca="false">-S64</f>
        <v>0</v>
      </c>
      <c r="T90" s="430" t="n">
        <f aca="false">-T64</f>
        <v>0</v>
      </c>
      <c r="U90" s="430" t="n">
        <f aca="false">-U64</f>
        <v>0</v>
      </c>
      <c r="V90" s="430" t="n">
        <f aca="false">-V64</f>
        <v>0</v>
      </c>
      <c r="W90" s="430" t="n">
        <f aca="false">-W64</f>
        <v>0</v>
      </c>
      <c r="X90" s="430" t="n">
        <f aca="false">-X64</f>
        <v>0</v>
      </c>
      <c r="Y90" s="740" t="n">
        <f aca="false">-Y64</f>
        <v>0</v>
      </c>
      <c r="Z90" s="430" t="n">
        <f aca="false">-Z64</f>
        <v>0</v>
      </c>
      <c r="AA90" s="430" t="n">
        <f aca="false">-AA64</f>
        <v>0</v>
      </c>
      <c r="AB90" s="430" t="n">
        <f aca="false">-AB64</f>
        <v>0</v>
      </c>
      <c r="AC90" s="430" t="n">
        <f aca="false">-AC64</f>
        <v>0</v>
      </c>
      <c r="AD90" s="430" t="n">
        <f aca="false">-AD64</f>
        <v>0</v>
      </c>
      <c r="AE90" s="740" t="n">
        <f aca="false">-AE64</f>
        <v>0</v>
      </c>
      <c r="AF90" s="430"/>
      <c r="AG90" s="430"/>
      <c r="AH90" s="430"/>
      <c r="AI90" s="430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</row>
    <row r="91" customFormat="false" ht="12.75" hidden="true" customHeight="false" outlineLevel="1" collapsed="false">
      <c r="A91" s="372"/>
      <c r="B91" s="14" t="s">
        <v>315</v>
      </c>
      <c r="C91" s="14"/>
      <c r="D91" s="430"/>
      <c r="E91" s="430" t="n">
        <f aca="false">-E66</f>
        <v>168782.461251829</v>
      </c>
      <c r="F91" s="430" t="n">
        <f aca="false">-F66</f>
        <v>-0</v>
      </c>
      <c r="G91" s="430" t="n">
        <f aca="false">-G66</f>
        <v>-0</v>
      </c>
      <c r="H91" s="430" t="n">
        <f aca="false">-H66</f>
        <v>-0</v>
      </c>
      <c r="I91" s="430" t="n">
        <f aca="false">-I66</f>
        <v>-0</v>
      </c>
      <c r="J91" s="430" t="n">
        <f aca="false">-J66</f>
        <v>-0</v>
      </c>
      <c r="K91" s="430" t="n">
        <f aca="false">-K66</f>
        <v>-0</v>
      </c>
      <c r="L91" s="430" t="n">
        <f aca="false">-L66</f>
        <v>-0</v>
      </c>
      <c r="M91" s="430" t="n">
        <f aca="false">-M66</f>
        <v>-0</v>
      </c>
      <c r="N91" s="430" t="n">
        <f aca="false">-N66</f>
        <v>-0</v>
      </c>
      <c r="O91" s="430" t="n">
        <f aca="false">-O66</f>
        <v>-0</v>
      </c>
      <c r="P91" s="430" t="n">
        <f aca="false">-P66</f>
        <v>-0</v>
      </c>
      <c r="Q91" s="430" t="n">
        <f aca="false">-Q66</f>
        <v>-0</v>
      </c>
      <c r="R91" s="430" t="n">
        <f aca="false">-R66</f>
        <v>-0</v>
      </c>
      <c r="S91" s="430" t="n">
        <f aca="false">-S66</f>
        <v>-0</v>
      </c>
      <c r="T91" s="430" t="n">
        <f aca="false">-T66</f>
        <v>-0</v>
      </c>
      <c r="U91" s="430" t="n">
        <f aca="false">-U66</f>
        <v>-0</v>
      </c>
      <c r="V91" s="430" t="n">
        <f aca="false">-V66</f>
        <v>-0</v>
      </c>
      <c r="W91" s="430" t="n">
        <f aca="false">-W66</f>
        <v>-0</v>
      </c>
      <c r="X91" s="430" t="n">
        <f aca="false">-X66</f>
        <v>-0</v>
      </c>
      <c r="Y91" s="740" t="n">
        <f aca="false">-Y66</f>
        <v>-0</v>
      </c>
      <c r="Z91" s="430" t="n">
        <f aca="false">-Z66</f>
        <v>-0</v>
      </c>
      <c r="AA91" s="430" t="n">
        <f aca="false">-AA66</f>
        <v>-0</v>
      </c>
      <c r="AB91" s="430" t="n">
        <f aca="false">-AB66</f>
        <v>-0</v>
      </c>
      <c r="AC91" s="430" t="n">
        <f aca="false">-AC66</f>
        <v>-0</v>
      </c>
      <c r="AD91" s="430" t="n">
        <f aca="false">-AD66</f>
        <v>-0</v>
      </c>
      <c r="AE91" s="740" t="n">
        <f aca="false">-AE66</f>
        <v>-0</v>
      </c>
      <c r="AF91" s="430"/>
      <c r="AG91" s="430"/>
      <c r="AH91" s="430"/>
      <c r="AI91" s="430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</row>
    <row r="92" customFormat="false" ht="12.75" hidden="true" customHeight="false" outlineLevel="1" collapsed="false">
      <c r="A92" s="372"/>
      <c r="B92" s="190" t="s">
        <v>354</v>
      </c>
      <c r="C92" s="14"/>
      <c r="D92" s="14"/>
      <c r="E92" s="431" t="n">
        <f aca="false">-E67</f>
        <v>-5489.14650461628</v>
      </c>
      <c r="F92" s="431" t="n">
        <f aca="false">-F67</f>
        <v>-12024.8944418351</v>
      </c>
      <c r="G92" s="431" t="n">
        <f aca="false">-G67</f>
        <v>5172.26088173192</v>
      </c>
      <c r="H92" s="431" t="n">
        <f aca="false">-H67</f>
        <v>6111.95198968353</v>
      </c>
      <c r="I92" s="431" t="n">
        <f aca="false">-I67</f>
        <v>6336.36938269381</v>
      </c>
      <c r="J92" s="431" t="n">
        <f aca="false">-J67</f>
        <v>7322.46047131347</v>
      </c>
      <c r="K92" s="431" t="n">
        <f aca="false">-K67</f>
        <v>7930.41622411125</v>
      </c>
      <c r="L92" s="431" t="n">
        <f aca="false">-L67</f>
        <v>29814.3673368833</v>
      </c>
      <c r="M92" s="431" t="n">
        <f aca="false">-M67</f>
        <v>33751.1784288697</v>
      </c>
      <c r="N92" s="431" t="n">
        <f aca="false">-N67</f>
        <v>34839.6239379672</v>
      </c>
      <c r="O92" s="431" t="n">
        <f aca="false">-O67</f>
        <v>36050.9822707039</v>
      </c>
      <c r="P92" s="431" t="n">
        <f aca="false">-P67</f>
        <v>37829.0628701378</v>
      </c>
      <c r="Q92" s="431" t="n">
        <f aca="false">-Q67</f>
        <v>57522.9775080903</v>
      </c>
      <c r="R92" s="431" t="n">
        <f aca="false">-R67</f>
        <v>58623.600220074</v>
      </c>
      <c r="S92" s="431" t="n">
        <f aca="false">-S67</f>
        <v>59746.2353862973</v>
      </c>
      <c r="T92" s="431" t="n">
        <f aca="false">-T67</f>
        <v>1.10668089349774E-011</v>
      </c>
      <c r="U92" s="431" t="n">
        <f aca="false">-U67</f>
        <v>-7.90486352498385E-012</v>
      </c>
      <c r="V92" s="431" t="n">
        <f aca="false">-V67</f>
        <v>-7.90486352498385E-012</v>
      </c>
      <c r="W92" s="431" t="n">
        <f aca="false">-W67</f>
        <v>-7.90486352498385E-012</v>
      </c>
      <c r="X92" s="431" t="n">
        <f aca="false">-X67</f>
        <v>-7.90486352498385E-012</v>
      </c>
      <c r="Y92" s="741" t="n">
        <f aca="false">-Y67</f>
        <v>-7.90486352498385E-012</v>
      </c>
      <c r="Z92" s="431" t="n">
        <f aca="false">-Z67</f>
        <v>-7.90486352498385E-012</v>
      </c>
      <c r="AA92" s="431" t="n">
        <f aca="false">-AA67</f>
        <v>-7.90486352498385E-012</v>
      </c>
      <c r="AB92" s="431" t="n">
        <f aca="false">-AB67</f>
        <v>-7.90486352498385E-012</v>
      </c>
      <c r="AC92" s="431" t="n">
        <f aca="false">-AC67</f>
        <v>-7.90486352498385E-012</v>
      </c>
      <c r="AD92" s="431" t="n">
        <f aca="false">-AD67</f>
        <v>-7.90486352498385E-012</v>
      </c>
      <c r="AE92" s="741" t="n">
        <f aca="false">-AE67</f>
        <v>0</v>
      </c>
      <c r="AF92" s="431"/>
      <c r="AG92" s="431"/>
      <c r="AH92" s="431"/>
      <c r="AI92" s="431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</row>
    <row r="93" customFormat="false" ht="12.75" hidden="true" customHeight="false" outlineLevel="1" collapsed="false">
      <c r="A93" s="372"/>
      <c r="B93" s="14"/>
      <c r="C93" s="14" t="s">
        <v>366</v>
      </c>
      <c r="D93" s="14"/>
      <c r="E93" s="430" t="n">
        <f aca="false">SUM(E86:E92)</f>
        <v>185577.864379943</v>
      </c>
      <c r="F93" s="430" t="n">
        <f aca="false">SUM(F86:F92)</f>
        <v>17285.1053546353</v>
      </c>
      <c r="G93" s="430" t="n">
        <f aca="false">SUM(G86:G92)</f>
        <v>34688.9446045613</v>
      </c>
      <c r="H93" s="430" t="n">
        <f aca="false">SUM(H86:H92)</f>
        <v>36566.82070359</v>
      </c>
      <c r="I93" s="430" t="n">
        <f aca="false">SUM(I86:I92)</f>
        <v>37536.2020031282</v>
      </c>
      <c r="J93" s="430" t="n">
        <f aca="false">SUM(J86:J92)</f>
        <v>39074.0133949278</v>
      </c>
      <c r="K93" s="430" t="n">
        <f aca="false">SUM(K86:K92)</f>
        <v>40186.7488111727</v>
      </c>
      <c r="L93" s="430" t="n">
        <f aca="false">SUM(L86:L92)</f>
        <v>74813.2811373879</v>
      </c>
      <c r="M93" s="430" t="n">
        <f aca="false">SUM(M86:M92)</f>
        <v>81178.1539344187</v>
      </c>
      <c r="N93" s="430" t="n">
        <f aca="false">SUM(N86:N92)</f>
        <v>83528.0038711851</v>
      </c>
      <c r="O93" s="430" t="n">
        <f aca="false">SUM(O86:O92)</f>
        <v>86112.4134689174</v>
      </c>
      <c r="P93" s="430" t="n">
        <f aca="false">SUM(P86:P92)</f>
        <v>89570.7645746495</v>
      </c>
      <c r="Q93" s="430" t="n">
        <f aca="false">SUM(Q86:Q92)</f>
        <v>91445.1821984828</v>
      </c>
      <c r="R93" s="430" t="n">
        <f aca="false">SUM(R86:R92)</f>
        <v>93274.4858424524</v>
      </c>
      <c r="S93" s="430" t="n">
        <f aca="false">SUM(S86:S92)</f>
        <v>95140.3755593015</v>
      </c>
      <c r="T93" s="430" t="n">
        <f aca="false">SUM(T86:T92)</f>
        <v>9.48583622998061E-013</v>
      </c>
      <c r="U93" s="430" t="n">
        <f aca="false">SUM(U86:U92)</f>
        <v>-4.74291811499031E-013</v>
      </c>
      <c r="V93" s="430" t="n">
        <f aca="false">SUM(V86:V92)</f>
        <v>-4.74291811499031E-013</v>
      </c>
      <c r="W93" s="430" t="n">
        <f aca="false">SUM(W86:W92)</f>
        <v>-4.74291811499031E-013</v>
      </c>
      <c r="X93" s="430" t="n">
        <f aca="false">SUM(X86:X92)</f>
        <v>-4.74291811499031E-013</v>
      </c>
      <c r="Y93" s="740" t="n">
        <f aca="false">SUM(Y86:Y92)</f>
        <v>-4.74291811499031E-013</v>
      </c>
      <c r="Z93" s="430" t="n">
        <f aca="false">SUM(Z86:Z92)</f>
        <v>-4.74291811499031E-013</v>
      </c>
      <c r="AA93" s="430" t="n">
        <f aca="false">SUM(AA86:AA92)</f>
        <v>-4.74291811499031E-013</v>
      </c>
      <c r="AB93" s="430" t="n">
        <f aca="false">SUM(AB86:AB92)</f>
        <v>-4.74291811499031E-013</v>
      </c>
      <c r="AC93" s="430" t="n">
        <f aca="false">SUM(AC86:AC92)</f>
        <v>-4.74291811499031E-013</v>
      </c>
      <c r="AD93" s="430" t="n">
        <f aca="false">SUM(AD86:AD92)</f>
        <v>-4.74291811499031E-013</v>
      </c>
      <c r="AE93" s="740" t="n">
        <f aca="false">SUM(AE86:AE92)</f>
        <v>0</v>
      </c>
      <c r="AF93" s="430"/>
      <c r="AG93" s="430"/>
      <c r="AH93" s="430"/>
      <c r="AI93" s="430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</row>
    <row r="94" customFormat="false" ht="12.75" hidden="true" customHeight="false" outlineLevel="1" collapsed="false">
      <c r="A94" s="372"/>
      <c r="B94" s="14"/>
      <c r="C94" s="14"/>
      <c r="D94" s="14"/>
      <c r="E94" s="430"/>
      <c r="F94" s="430"/>
      <c r="G94" s="430"/>
      <c r="H94" s="430"/>
      <c r="I94" s="430"/>
      <c r="J94" s="430"/>
      <c r="K94" s="430"/>
      <c r="L94" s="430"/>
      <c r="M94" s="430"/>
      <c r="N94" s="430"/>
      <c r="O94" s="430"/>
      <c r="P94" s="430"/>
      <c r="Q94" s="430"/>
      <c r="R94" s="430"/>
      <c r="S94" s="430"/>
      <c r="T94" s="430"/>
      <c r="U94" s="430"/>
      <c r="V94" s="430"/>
      <c r="W94" s="430"/>
      <c r="X94" s="430"/>
      <c r="Y94" s="740"/>
      <c r="Z94" s="430"/>
      <c r="AA94" s="430"/>
      <c r="AB94" s="430"/>
      <c r="AC94" s="430"/>
      <c r="AD94" s="430"/>
      <c r="AE94" s="740"/>
      <c r="AF94" s="430"/>
      <c r="AG94" s="430"/>
      <c r="AH94" s="430"/>
      <c r="AI94" s="430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</row>
    <row r="95" customFormat="false" ht="12.75" hidden="true" customHeight="false" outlineLevel="1" collapsed="false">
      <c r="A95" s="732" t="s">
        <v>367</v>
      </c>
      <c r="B95" s="199"/>
      <c r="C95" s="199"/>
      <c r="D95" s="199"/>
      <c r="E95" s="746" t="n">
        <f aca="false">+E83-E93</f>
        <v>2039.80634731476</v>
      </c>
      <c r="F95" s="746" t="n">
        <f aca="false">+F83-F93</f>
        <v>783.017617050551</v>
      </c>
      <c r="G95" s="746" t="n">
        <f aca="false">+G83-G93</f>
        <v>739.656678585357</v>
      </c>
      <c r="H95" s="746" t="n">
        <f aca="false">+H83-H93</f>
        <v>692.078617848558</v>
      </c>
      <c r="I95" s="746" t="n">
        <f aca="false">+I83-I93</f>
        <v>639.873293342229</v>
      </c>
      <c r="J95" s="746" t="n">
        <f aca="false">+J83-J93</f>
        <v>582.590674744373</v>
      </c>
      <c r="K95" s="746" t="n">
        <f aca="false">+K83-K93</f>
        <v>519.736963471521</v>
      </c>
      <c r="L95" s="746" t="n">
        <f aca="false">+L83-L93</f>
        <v>450.770335941677</v>
      </c>
      <c r="M95" s="746" t="n">
        <f aca="false">+M83-M93</f>
        <v>375.096272843148</v>
      </c>
      <c r="N95" s="746" t="n">
        <f aca="false">+N83-N93</f>
        <v>292.062434145366</v>
      </c>
      <c r="O95" s="746" t="n">
        <f aca="false">+O83-O93</f>
        <v>200.953035672748</v>
      </c>
      <c r="P95" s="746" t="n">
        <f aca="false">+P83-P93</f>
        <v>100.982678764922</v>
      </c>
      <c r="Q95" s="746" t="n">
        <f aca="false">+Q83-Q93</f>
        <v>20</v>
      </c>
      <c r="R95" s="746" t="n">
        <f aca="false">+R83-R93</f>
        <v>20</v>
      </c>
      <c r="S95" s="746" t="n">
        <f aca="false">+S83-S93</f>
        <v>20</v>
      </c>
      <c r="T95" s="746" t="n">
        <f aca="false">+T83-T93</f>
        <v>-9.48583622998061E-013</v>
      </c>
      <c r="U95" s="746" t="n">
        <f aca="false">+U83-U93</f>
        <v>4.74291811499031E-013</v>
      </c>
      <c r="V95" s="746" t="n">
        <f aca="false">+V83-V93</f>
        <v>4.74291811499031E-013</v>
      </c>
      <c r="W95" s="746" t="n">
        <f aca="false">+W83-W93</f>
        <v>4.74291811499031E-013</v>
      </c>
      <c r="X95" s="746" t="n">
        <f aca="false">+X83-X93</f>
        <v>4.74291811499031E-013</v>
      </c>
      <c r="Y95" s="747" t="n">
        <f aca="false">+Y83-Y93</f>
        <v>4.74291811499031E-013</v>
      </c>
      <c r="Z95" s="746" t="n">
        <f aca="false">+Z83-Z93</f>
        <v>4.74291811499031E-013</v>
      </c>
      <c r="AA95" s="746" t="n">
        <f aca="false">+AA83-AA93</f>
        <v>4.74291811499031E-013</v>
      </c>
      <c r="AB95" s="746" t="n">
        <f aca="false">+AB83-AB93</f>
        <v>4.74291811499031E-013</v>
      </c>
      <c r="AC95" s="746" t="n">
        <f aca="false">+AC83-AC93</f>
        <v>4.74291811499031E-013</v>
      </c>
      <c r="AD95" s="746" t="n">
        <f aca="false">+AD83-AD93</f>
        <v>4.74291811499031E-013</v>
      </c>
      <c r="AE95" s="747" t="n">
        <f aca="false">+AE83-AE93</f>
        <v>0</v>
      </c>
      <c r="AF95" s="430"/>
      <c r="AG95" s="430"/>
      <c r="AH95" s="430"/>
      <c r="AI95" s="430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</row>
    <row r="96" customFormat="false" ht="12.75" hidden="false" customHeight="false" outlineLevel="0" collapsed="false">
      <c r="E96" s="455"/>
      <c r="F96" s="455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</row>
    <row r="97" customFormat="false" ht="12.75" hidden="false" customHeight="false" outlineLevel="0" collapsed="false"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customFormat="false" ht="12.75" hidden="false" customHeight="false" outlineLevel="0" collapsed="false"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</row>
    <row r="99" customFormat="false" ht="12.75" hidden="false" customHeight="false" outlineLevel="0" collapsed="false"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</row>
    <row r="100" customFormat="false" ht="12.75" hidden="false" customHeight="false" outlineLevel="0" collapsed="false"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</row>
    <row r="101" customFormat="false" ht="12.75" hidden="false" customHeight="false" outlineLevel="0" collapsed="false"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</row>
    <row r="102" customFormat="false" ht="12.75" hidden="false" customHeight="false" outlineLevel="0" collapsed="false"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</row>
    <row r="103" customFormat="false" ht="12.75" hidden="false" customHeight="false" outlineLevel="0" collapsed="false"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</row>
    <row r="104" customFormat="false" ht="12.75" hidden="false" customHeight="false" outlineLevel="0" collapsed="false"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</row>
    <row r="105" customFormat="false" ht="12.75" hidden="false" customHeight="false" outlineLevel="0" collapsed="false"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</row>
    <row r="106" customFormat="false" ht="12.75" hidden="false" customHeight="false" outlineLevel="0" collapsed="false"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</row>
    <row r="107" customFormat="false" ht="12.75" hidden="false" customHeight="false" outlineLevel="0" collapsed="false"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</row>
    <row r="108" customFormat="false" ht="12.75" hidden="false" customHeight="false" outlineLevel="0" collapsed="false"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</row>
    <row r="109" customFormat="false" ht="12.75" hidden="false" customHeight="false" outlineLevel="0" collapsed="false"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</row>
    <row r="110" customFormat="false" ht="12.75" hidden="false" customHeight="false" outlineLevel="0" collapsed="false"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false" hidden="false" outlineLevel="0" max="1" min="1" style="748" width="10.65"/>
    <col collapsed="false" customWidth="true" hidden="false" outlineLevel="0" max="2" min="2" style="748" width="26.65"/>
    <col collapsed="false" customWidth="true" hidden="false" outlineLevel="0" max="3" min="3" style="748" width="12.99"/>
    <col collapsed="false" customWidth="true" hidden="false" outlineLevel="0" max="4" min="4" style="749" width="13.15"/>
    <col collapsed="false" customWidth="true" hidden="false" outlineLevel="0" max="5" min="5" style="749" width="12.32"/>
    <col collapsed="false" customWidth="true" hidden="false" outlineLevel="0" max="6" min="6" style="749" width="5.82"/>
    <col collapsed="false" customWidth="true" hidden="false" outlineLevel="0" max="8" min="7" style="749" width="12.32"/>
    <col collapsed="false" customWidth="true" hidden="false" outlineLevel="0" max="9" min="9" style="749" width="5.82"/>
    <col collapsed="false" customWidth="true" hidden="false" outlineLevel="0" max="11" min="10" style="749" width="12.32"/>
    <col collapsed="false" customWidth="true" hidden="false" outlineLevel="0" max="12" min="12" style="749" width="5.82"/>
    <col collapsed="false" customWidth="true" hidden="false" outlineLevel="0" max="14" min="13" style="749" width="12.32"/>
    <col collapsed="false" customWidth="false" hidden="false" outlineLevel="0" max="257" min="15" style="748" width="10.65"/>
  </cols>
  <sheetData>
    <row r="1" customFormat="false" ht="18" hidden="false" customHeight="false" outlineLevel="0" collapsed="false">
      <c r="A1" s="750" t="s">
        <v>368</v>
      </c>
    </row>
    <row r="2" customFormat="false" ht="12.75" hidden="false" customHeight="false" outlineLevel="0" collapsed="false">
      <c r="A2" s="751" t="s">
        <v>369</v>
      </c>
    </row>
    <row r="3" customFormat="false" ht="12.75" hidden="false" customHeight="false" outlineLevel="0" collapsed="false">
      <c r="D3" s="752"/>
      <c r="G3" s="752"/>
      <c r="J3" s="752"/>
      <c r="M3" s="752"/>
    </row>
    <row r="4" customFormat="false" ht="13.5" hidden="false" customHeight="false" outlineLevel="0" collapsed="false">
      <c r="D4" s="752"/>
      <c r="G4" s="752"/>
      <c r="J4" s="752"/>
      <c r="M4" s="752"/>
    </row>
    <row r="5" customFormat="false" ht="12.75" hidden="false" customHeight="false" outlineLevel="0" collapsed="false">
      <c r="B5" s="753" t="s">
        <v>370</v>
      </c>
      <c r="C5" s="754"/>
      <c r="D5" s="755" t="n">
        <v>0.18</v>
      </c>
      <c r="E5" s="755" t="n">
        <v>0.18</v>
      </c>
      <c r="F5" s="756"/>
      <c r="G5" s="755" t="n">
        <v>0.18</v>
      </c>
      <c r="H5" s="755" t="n">
        <v>0.18</v>
      </c>
      <c r="I5" s="756"/>
      <c r="J5" s="755" t="n">
        <v>0.18</v>
      </c>
      <c r="K5" s="755" t="n">
        <v>0.18</v>
      </c>
      <c r="L5" s="756"/>
      <c r="M5" s="755" t="n">
        <v>0.18</v>
      </c>
      <c r="N5" s="757" t="n">
        <v>0.18</v>
      </c>
    </row>
    <row r="6" customFormat="false" ht="12.75" hidden="false" customHeight="false" outlineLevel="0" collapsed="false">
      <c r="B6" s="758" t="s">
        <v>371</v>
      </c>
      <c r="C6" s="759"/>
      <c r="D6" s="760" t="n">
        <v>0.664235664145603</v>
      </c>
      <c r="E6" s="760" t="n">
        <v>0.689840686725141</v>
      </c>
      <c r="F6" s="760"/>
      <c r="G6" s="760" t="n">
        <v>0.733148578413235</v>
      </c>
      <c r="H6" s="760" t="n">
        <v>0.75865654881678</v>
      </c>
      <c r="I6" s="760"/>
      <c r="J6" s="760" t="n">
        <v>0.833149189003898</v>
      </c>
      <c r="K6" s="760" t="n">
        <v>0.865349880098088</v>
      </c>
      <c r="L6" s="760"/>
      <c r="M6" s="760" t="n">
        <v>0.919414723380971</v>
      </c>
      <c r="N6" s="761" t="n">
        <v>0.95161075901695</v>
      </c>
    </row>
    <row r="7" customFormat="false" ht="12.75" hidden="false" customHeight="false" outlineLevel="0" collapsed="false">
      <c r="B7" s="762" t="s">
        <v>372</v>
      </c>
      <c r="C7" s="759"/>
      <c r="D7" s="763"/>
      <c r="E7" s="763"/>
      <c r="F7" s="763"/>
      <c r="G7" s="763"/>
      <c r="H7" s="763"/>
      <c r="I7" s="763"/>
      <c r="J7" s="763"/>
      <c r="K7" s="763"/>
      <c r="L7" s="763"/>
      <c r="M7" s="763"/>
      <c r="N7" s="764"/>
    </row>
    <row r="8" customFormat="false" ht="12.75" hidden="false" customHeight="false" outlineLevel="0" collapsed="false">
      <c r="A8" s="765"/>
      <c r="B8" s="766"/>
      <c r="C8" s="767"/>
      <c r="D8" s="768"/>
      <c r="E8" s="768"/>
      <c r="F8" s="768"/>
      <c r="G8" s="768"/>
      <c r="H8" s="768"/>
      <c r="I8" s="768"/>
      <c r="J8" s="768"/>
      <c r="K8" s="768"/>
      <c r="L8" s="768"/>
      <c r="M8" s="768"/>
      <c r="N8" s="769"/>
      <c r="O8" s="765"/>
      <c r="P8" s="765"/>
      <c r="Q8" s="765"/>
      <c r="R8" s="765"/>
      <c r="S8" s="765"/>
      <c r="T8" s="765"/>
      <c r="U8" s="765"/>
      <c r="V8" s="765"/>
      <c r="W8" s="765"/>
      <c r="X8" s="765"/>
      <c r="Y8" s="765"/>
      <c r="Z8" s="765"/>
      <c r="AA8" s="765"/>
      <c r="AB8" s="765"/>
      <c r="AC8" s="765"/>
      <c r="AD8" s="765"/>
      <c r="AE8" s="765"/>
      <c r="AF8" s="765"/>
      <c r="AG8" s="765"/>
      <c r="AH8" s="765"/>
      <c r="AI8" s="765"/>
      <c r="AJ8" s="765"/>
      <c r="AK8" s="765"/>
      <c r="AL8" s="765"/>
      <c r="AM8" s="765"/>
      <c r="AN8" s="765"/>
      <c r="AO8" s="765"/>
      <c r="AP8" s="765"/>
      <c r="AQ8" s="765"/>
      <c r="AR8" s="765"/>
      <c r="AS8" s="765"/>
      <c r="AT8" s="765"/>
      <c r="AU8" s="765"/>
      <c r="AV8" s="765"/>
      <c r="AW8" s="765"/>
      <c r="AX8" s="765"/>
      <c r="AY8" s="765"/>
      <c r="AZ8" s="765"/>
      <c r="BA8" s="765"/>
      <c r="BB8" s="765"/>
      <c r="BC8" s="765"/>
      <c r="BD8" s="765"/>
      <c r="BE8" s="765"/>
      <c r="BF8" s="765"/>
      <c r="BG8" s="765"/>
      <c r="BH8" s="765"/>
      <c r="BI8" s="765"/>
      <c r="BJ8" s="765"/>
      <c r="BK8" s="765"/>
      <c r="BL8" s="765"/>
      <c r="BM8" s="765"/>
      <c r="BN8" s="765"/>
      <c r="BO8" s="765"/>
      <c r="BP8" s="765"/>
      <c r="BQ8" s="765"/>
      <c r="BR8" s="765"/>
      <c r="BS8" s="765"/>
      <c r="BT8" s="765"/>
      <c r="BU8" s="765"/>
      <c r="BV8" s="765"/>
      <c r="BW8" s="765"/>
      <c r="BX8" s="765"/>
      <c r="BY8" s="765"/>
      <c r="BZ8" s="765"/>
      <c r="CA8" s="765"/>
      <c r="CB8" s="765"/>
      <c r="CC8" s="765"/>
      <c r="CD8" s="765"/>
      <c r="CE8" s="765"/>
      <c r="CF8" s="765"/>
      <c r="CG8" s="765"/>
      <c r="CH8" s="765"/>
      <c r="CI8" s="765"/>
      <c r="CJ8" s="765"/>
      <c r="CK8" s="765"/>
      <c r="CL8" s="765"/>
      <c r="CM8" s="765"/>
      <c r="CN8" s="765"/>
      <c r="CO8" s="765"/>
      <c r="CP8" s="765"/>
      <c r="CQ8" s="765"/>
      <c r="CR8" s="765"/>
      <c r="CS8" s="765"/>
      <c r="CT8" s="765"/>
      <c r="CU8" s="765"/>
      <c r="CV8" s="765"/>
      <c r="CW8" s="765"/>
      <c r="CX8" s="765"/>
      <c r="CY8" s="765"/>
      <c r="CZ8" s="765"/>
      <c r="DA8" s="765"/>
      <c r="DB8" s="765"/>
      <c r="DC8" s="765"/>
      <c r="DD8" s="765"/>
      <c r="DE8" s="765"/>
      <c r="DF8" s="765"/>
      <c r="DG8" s="765"/>
      <c r="DH8" s="765"/>
      <c r="DI8" s="765"/>
      <c r="DJ8" s="765"/>
      <c r="DK8" s="765"/>
      <c r="DL8" s="765"/>
      <c r="DM8" s="765"/>
      <c r="DN8" s="765"/>
      <c r="DO8" s="765"/>
      <c r="DP8" s="765"/>
      <c r="DQ8" s="765"/>
      <c r="DR8" s="765"/>
      <c r="DS8" s="765"/>
      <c r="DT8" s="765"/>
      <c r="DU8" s="765"/>
      <c r="DV8" s="765"/>
      <c r="DW8" s="765"/>
      <c r="DX8" s="765"/>
      <c r="DY8" s="765"/>
      <c r="DZ8" s="765"/>
      <c r="EA8" s="765"/>
      <c r="EB8" s="765"/>
      <c r="EC8" s="765"/>
      <c r="ED8" s="765"/>
      <c r="EE8" s="765"/>
      <c r="EF8" s="765"/>
      <c r="EG8" s="765"/>
      <c r="EH8" s="765"/>
      <c r="EI8" s="765"/>
      <c r="EJ8" s="765"/>
      <c r="EK8" s="765"/>
      <c r="EL8" s="765"/>
      <c r="EM8" s="765"/>
      <c r="EN8" s="765"/>
      <c r="EO8" s="765"/>
      <c r="EP8" s="765"/>
      <c r="EQ8" s="765"/>
      <c r="ER8" s="765"/>
      <c r="ES8" s="765"/>
      <c r="ET8" s="765"/>
      <c r="EU8" s="765"/>
      <c r="EV8" s="765"/>
      <c r="EW8" s="765"/>
      <c r="EX8" s="765"/>
      <c r="EY8" s="765"/>
      <c r="EZ8" s="765"/>
      <c r="FA8" s="765"/>
      <c r="FB8" s="765"/>
      <c r="FC8" s="765"/>
      <c r="FD8" s="765"/>
      <c r="FE8" s="765"/>
      <c r="FF8" s="765"/>
      <c r="FG8" s="765"/>
      <c r="FH8" s="765"/>
      <c r="FI8" s="765"/>
      <c r="FJ8" s="765"/>
      <c r="FK8" s="765"/>
      <c r="FL8" s="765"/>
      <c r="FM8" s="765"/>
      <c r="FN8" s="765"/>
      <c r="FO8" s="765"/>
      <c r="FP8" s="765"/>
      <c r="FQ8" s="765"/>
      <c r="FR8" s="765"/>
      <c r="FS8" s="765"/>
      <c r="FT8" s="765"/>
      <c r="FU8" s="765"/>
      <c r="FV8" s="765"/>
      <c r="FW8" s="765"/>
      <c r="FX8" s="765"/>
      <c r="FY8" s="765"/>
      <c r="FZ8" s="765"/>
      <c r="GA8" s="765"/>
      <c r="GB8" s="765"/>
      <c r="GC8" s="765"/>
      <c r="GD8" s="765"/>
      <c r="GE8" s="765"/>
      <c r="GF8" s="765"/>
      <c r="GG8" s="765"/>
      <c r="GH8" s="765"/>
      <c r="GI8" s="765"/>
      <c r="GJ8" s="765"/>
      <c r="GK8" s="765"/>
      <c r="GL8" s="765"/>
      <c r="GM8" s="765"/>
      <c r="GN8" s="765"/>
      <c r="GO8" s="765"/>
      <c r="GP8" s="765"/>
      <c r="GQ8" s="765"/>
      <c r="GR8" s="765"/>
      <c r="GS8" s="765"/>
      <c r="GT8" s="765"/>
      <c r="GU8" s="765"/>
      <c r="GV8" s="765"/>
      <c r="GW8" s="765"/>
      <c r="GX8" s="765"/>
      <c r="GY8" s="765"/>
      <c r="GZ8" s="765"/>
      <c r="HA8" s="765"/>
      <c r="HB8" s="765"/>
      <c r="HC8" s="765"/>
      <c r="HD8" s="765"/>
      <c r="HE8" s="765"/>
      <c r="HF8" s="765"/>
      <c r="HG8" s="765"/>
      <c r="HH8" s="765"/>
      <c r="HI8" s="765"/>
      <c r="HJ8" s="765"/>
      <c r="HK8" s="765"/>
      <c r="HL8" s="765"/>
      <c r="HM8" s="765"/>
      <c r="HN8" s="765"/>
      <c r="HO8" s="765"/>
      <c r="HP8" s="765"/>
      <c r="HQ8" s="765"/>
      <c r="HR8" s="765"/>
      <c r="HS8" s="765"/>
      <c r="HT8" s="765"/>
      <c r="HU8" s="765"/>
      <c r="HV8" s="765"/>
      <c r="HW8" s="765"/>
      <c r="HX8" s="765"/>
      <c r="HY8" s="765"/>
      <c r="HZ8" s="765"/>
      <c r="IA8" s="765"/>
      <c r="IB8" s="765"/>
      <c r="IC8" s="765"/>
      <c r="ID8" s="765"/>
      <c r="IE8" s="765"/>
      <c r="IF8" s="765"/>
      <c r="IG8" s="765"/>
      <c r="IH8" s="765"/>
      <c r="II8" s="765"/>
      <c r="IJ8" s="765"/>
      <c r="IK8" s="765"/>
      <c r="IL8" s="765"/>
      <c r="IM8" s="765"/>
      <c r="IN8" s="765"/>
      <c r="IO8" s="765"/>
      <c r="IP8" s="765"/>
      <c r="IQ8" s="765"/>
      <c r="IR8" s="765"/>
      <c r="IS8" s="765"/>
      <c r="IT8" s="765"/>
      <c r="IU8" s="765"/>
      <c r="IV8" s="765"/>
      <c r="IW8" s="765"/>
    </row>
    <row r="9" customFormat="false" ht="12.75" hidden="false" customHeight="false" outlineLevel="0" collapsed="false">
      <c r="A9" s="765"/>
      <c r="B9" s="770" t="s">
        <v>373</v>
      </c>
      <c r="C9" s="767"/>
      <c r="D9" s="768"/>
      <c r="E9" s="768"/>
      <c r="F9" s="768"/>
      <c r="G9" s="768"/>
      <c r="H9" s="768"/>
      <c r="I9" s="768"/>
      <c r="J9" s="768"/>
      <c r="K9" s="768"/>
      <c r="L9" s="768"/>
      <c r="M9" s="768"/>
      <c r="N9" s="769"/>
      <c r="O9" s="765"/>
      <c r="P9" s="765"/>
      <c r="Q9" s="765"/>
      <c r="R9" s="765"/>
      <c r="S9" s="765"/>
      <c r="T9" s="765"/>
      <c r="U9" s="765"/>
      <c r="V9" s="765"/>
      <c r="W9" s="765"/>
      <c r="X9" s="765"/>
      <c r="Y9" s="765"/>
      <c r="Z9" s="765"/>
      <c r="AA9" s="765"/>
      <c r="AB9" s="765"/>
      <c r="AC9" s="765"/>
      <c r="AD9" s="765"/>
      <c r="AE9" s="765"/>
      <c r="AF9" s="765"/>
      <c r="AG9" s="765"/>
      <c r="AH9" s="765"/>
      <c r="AI9" s="765"/>
      <c r="AJ9" s="765"/>
      <c r="AK9" s="765"/>
      <c r="AL9" s="765"/>
      <c r="AM9" s="765"/>
      <c r="AN9" s="765"/>
      <c r="AO9" s="765"/>
      <c r="AP9" s="765"/>
      <c r="AQ9" s="765"/>
      <c r="AR9" s="765"/>
      <c r="AS9" s="765"/>
      <c r="AT9" s="765"/>
      <c r="AU9" s="765"/>
      <c r="AV9" s="765"/>
      <c r="AW9" s="765"/>
      <c r="AX9" s="765"/>
      <c r="AY9" s="765"/>
      <c r="AZ9" s="765"/>
      <c r="BA9" s="765"/>
      <c r="BB9" s="765"/>
      <c r="BC9" s="765"/>
      <c r="BD9" s="765"/>
      <c r="BE9" s="765"/>
      <c r="BF9" s="765"/>
      <c r="BG9" s="765"/>
      <c r="BH9" s="765"/>
      <c r="BI9" s="765"/>
      <c r="BJ9" s="765"/>
      <c r="BK9" s="765"/>
      <c r="BL9" s="765"/>
      <c r="BM9" s="765"/>
      <c r="BN9" s="765"/>
      <c r="BO9" s="765"/>
      <c r="BP9" s="765"/>
      <c r="BQ9" s="765"/>
      <c r="BR9" s="765"/>
      <c r="BS9" s="765"/>
      <c r="BT9" s="765"/>
      <c r="BU9" s="765"/>
      <c r="BV9" s="765"/>
      <c r="BW9" s="765"/>
      <c r="BX9" s="765"/>
      <c r="BY9" s="765"/>
      <c r="BZ9" s="765"/>
      <c r="CA9" s="765"/>
      <c r="CB9" s="765"/>
      <c r="CC9" s="765"/>
      <c r="CD9" s="765"/>
      <c r="CE9" s="765"/>
      <c r="CF9" s="765"/>
      <c r="CG9" s="765"/>
      <c r="CH9" s="765"/>
      <c r="CI9" s="765"/>
      <c r="CJ9" s="765"/>
      <c r="CK9" s="765"/>
      <c r="CL9" s="765"/>
      <c r="CM9" s="765"/>
      <c r="CN9" s="765"/>
      <c r="CO9" s="765"/>
      <c r="CP9" s="765"/>
      <c r="CQ9" s="765"/>
      <c r="CR9" s="765"/>
      <c r="CS9" s="765"/>
      <c r="CT9" s="765"/>
      <c r="CU9" s="765"/>
      <c r="CV9" s="765"/>
      <c r="CW9" s="765"/>
      <c r="CX9" s="765"/>
      <c r="CY9" s="765"/>
      <c r="CZ9" s="765"/>
      <c r="DA9" s="765"/>
      <c r="DB9" s="765"/>
      <c r="DC9" s="765"/>
      <c r="DD9" s="765"/>
      <c r="DE9" s="765"/>
      <c r="DF9" s="765"/>
      <c r="DG9" s="765"/>
      <c r="DH9" s="765"/>
      <c r="DI9" s="765"/>
      <c r="DJ9" s="765"/>
      <c r="DK9" s="765"/>
      <c r="DL9" s="765"/>
      <c r="DM9" s="765"/>
      <c r="DN9" s="765"/>
      <c r="DO9" s="765"/>
      <c r="DP9" s="765"/>
      <c r="DQ9" s="765"/>
      <c r="DR9" s="765"/>
      <c r="DS9" s="765"/>
      <c r="DT9" s="765"/>
      <c r="DU9" s="765"/>
      <c r="DV9" s="765"/>
      <c r="DW9" s="765"/>
      <c r="DX9" s="765"/>
      <c r="DY9" s="765"/>
      <c r="DZ9" s="765"/>
      <c r="EA9" s="765"/>
      <c r="EB9" s="765"/>
      <c r="EC9" s="765"/>
      <c r="ED9" s="765"/>
      <c r="EE9" s="765"/>
      <c r="EF9" s="765"/>
      <c r="EG9" s="765"/>
      <c r="EH9" s="765"/>
      <c r="EI9" s="765"/>
      <c r="EJ9" s="765"/>
      <c r="EK9" s="765"/>
      <c r="EL9" s="765"/>
      <c r="EM9" s="765"/>
      <c r="EN9" s="765"/>
      <c r="EO9" s="765"/>
      <c r="EP9" s="765"/>
      <c r="EQ9" s="765"/>
      <c r="ER9" s="765"/>
      <c r="ES9" s="765"/>
      <c r="ET9" s="765"/>
      <c r="EU9" s="765"/>
      <c r="EV9" s="765"/>
      <c r="EW9" s="765"/>
      <c r="EX9" s="765"/>
      <c r="EY9" s="765"/>
      <c r="EZ9" s="765"/>
      <c r="FA9" s="765"/>
      <c r="FB9" s="765"/>
      <c r="FC9" s="765"/>
      <c r="FD9" s="765"/>
      <c r="FE9" s="765"/>
      <c r="FF9" s="765"/>
      <c r="FG9" s="765"/>
      <c r="FH9" s="765"/>
      <c r="FI9" s="765"/>
      <c r="FJ9" s="765"/>
      <c r="FK9" s="765"/>
      <c r="FL9" s="765"/>
      <c r="FM9" s="765"/>
      <c r="FN9" s="765"/>
      <c r="FO9" s="765"/>
      <c r="FP9" s="765"/>
      <c r="FQ9" s="765"/>
      <c r="FR9" s="765"/>
      <c r="FS9" s="765"/>
      <c r="FT9" s="765"/>
      <c r="FU9" s="765"/>
      <c r="FV9" s="765"/>
      <c r="FW9" s="765"/>
      <c r="FX9" s="765"/>
      <c r="FY9" s="765"/>
      <c r="FZ9" s="765"/>
      <c r="GA9" s="765"/>
      <c r="GB9" s="765"/>
      <c r="GC9" s="765"/>
      <c r="GD9" s="765"/>
      <c r="GE9" s="765"/>
      <c r="GF9" s="765"/>
      <c r="GG9" s="765"/>
      <c r="GH9" s="765"/>
      <c r="GI9" s="765"/>
      <c r="GJ9" s="765"/>
      <c r="GK9" s="765"/>
      <c r="GL9" s="765"/>
      <c r="GM9" s="765"/>
      <c r="GN9" s="765"/>
      <c r="GO9" s="765"/>
      <c r="GP9" s="765"/>
      <c r="GQ9" s="765"/>
      <c r="GR9" s="765"/>
      <c r="GS9" s="765"/>
      <c r="GT9" s="765"/>
      <c r="GU9" s="765"/>
      <c r="GV9" s="765"/>
      <c r="GW9" s="765"/>
      <c r="GX9" s="765"/>
      <c r="GY9" s="765"/>
      <c r="GZ9" s="765"/>
      <c r="HA9" s="765"/>
      <c r="HB9" s="765"/>
      <c r="HC9" s="765"/>
      <c r="HD9" s="765"/>
      <c r="HE9" s="765"/>
      <c r="HF9" s="765"/>
      <c r="HG9" s="765"/>
      <c r="HH9" s="765"/>
      <c r="HI9" s="765"/>
      <c r="HJ9" s="765"/>
      <c r="HK9" s="765"/>
      <c r="HL9" s="765"/>
      <c r="HM9" s="765"/>
      <c r="HN9" s="765"/>
      <c r="HO9" s="765"/>
      <c r="HP9" s="765"/>
      <c r="HQ9" s="765"/>
      <c r="HR9" s="765"/>
      <c r="HS9" s="765"/>
      <c r="HT9" s="765"/>
      <c r="HU9" s="765"/>
      <c r="HV9" s="765"/>
      <c r="HW9" s="765"/>
      <c r="HX9" s="765"/>
      <c r="HY9" s="765"/>
      <c r="HZ9" s="765"/>
      <c r="IA9" s="765"/>
      <c r="IB9" s="765"/>
      <c r="IC9" s="765"/>
      <c r="ID9" s="765"/>
      <c r="IE9" s="765"/>
      <c r="IF9" s="765"/>
      <c r="IG9" s="765"/>
      <c r="IH9" s="765"/>
      <c r="II9" s="765"/>
      <c r="IJ9" s="765"/>
      <c r="IK9" s="765"/>
      <c r="IL9" s="765"/>
      <c r="IM9" s="765"/>
      <c r="IN9" s="765"/>
      <c r="IO9" s="765"/>
      <c r="IP9" s="765"/>
      <c r="IQ9" s="765"/>
      <c r="IR9" s="765"/>
      <c r="IS9" s="765"/>
      <c r="IT9" s="765"/>
      <c r="IU9" s="765"/>
      <c r="IV9" s="765"/>
      <c r="IW9" s="765"/>
    </row>
    <row r="10" customFormat="false" ht="12.75" hidden="false" customHeight="false" outlineLevel="0" collapsed="false">
      <c r="B10" s="771" t="s">
        <v>374</v>
      </c>
      <c r="C10" s="772"/>
      <c r="D10" s="773" t="s">
        <v>375</v>
      </c>
      <c r="E10" s="773" t="s">
        <v>375</v>
      </c>
      <c r="F10" s="773"/>
      <c r="G10" s="773" t="s">
        <v>375</v>
      </c>
      <c r="H10" s="773" t="s">
        <v>375</v>
      </c>
      <c r="I10" s="773"/>
      <c r="J10" s="773" t="s">
        <v>376</v>
      </c>
      <c r="K10" s="773" t="s">
        <v>376</v>
      </c>
      <c r="L10" s="773"/>
      <c r="M10" s="773" t="s">
        <v>376</v>
      </c>
      <c r="N10" s="774" t="s">
        <v>376</v>
      </c>
    </row>
    <row r="11" customFormat="false" ht="12.75" hidden="false" customHeight="false" outlineLevel="0" collapsed="false">
      <c r="A11" s="775"/>
      <c r="B11" s="771" t="s">
        <v>377</v>
      </c>
      <c r="C11" s="776"/>
      <c r="D11" s="777" t="s">
        <v>378</v>
      </c>
      <c r="E11" s="777" t="s">
        <v>378</v>
      </c>
      <c r="F11" s="777"/>
      <c r="G11" s="777" t="s">
        <v>379</v>
      </c>
      <c r="H11" s="777" t="s">
        <v>379</v>
      </c>
      <c r="I11" s="777"/>
      <c r="J11" s="777" t="s">
        <v>378</v>
      </c>
      <c r="K11" s="777" t="s">
        <v>378</v>
      </c>
      <c r="L11" s="777"/>
      <c r="M11" s="777" t="s">
        <v>379</v>
      </c>
      <c r="N11" s="778" t="s">
        <v>379</v>
      </c>
      <c r="O11" s="775"/>
      <c r="P11" s="775"/>
      <c r="Q11" s="775"/>
      <c r="R11" s="775"/>
      <c r="S11" s="775"/>
      <c r="T11" s="775"/>
      <c r="U11" s="775"/>
      <c r="V11" s="775"/>
      <c r="W11" s="775"/>
      <c r="X11" s="775"/>
      <c r="Y11" s="775"/>
      <c r="Z11" s="775"/>
      <c r="AA11" s="775"/>
      <c r="AB11" s="775"/>
      <c r="AC11" s="775"/>
      <c r="AD11" s="775"/>
      <c r="AE11" s="775"/>
      <c r="AF11" s="775"/>
      <c r="AG11" s="775"/>
      <c r="AH11" s="775"/>
      <c r="AI11" s="775"/>
      <c r="AJ11" s="775"/>
      <c r="AK11" s="775"/>
      <c r="AL11" s="775"/>
      <c r="AM11" s="775"/>
      <c r="AN11" s="775"/>
      <c r="AO11" s="775"/>
      <c r="AP11" s="775"/>
      <c r="AQ11" s="775"/>
      <c r="AR11" s="775"/>
      <c r="AS11" s="775"/>
      <c r="AT11" s="775"/>
      <c r="AU11" s="775"/>
      <c r="AV11" s="775"/>
      <c r="AW11" s="775"/>
      <c r="AX11" s="775"/>
      <c r="AY11" s="775"/>
      <c r="AZ11" s="775"/>
      <c r="BA11" s="775"/>
      <c r="BB11" s="775"/>
      <c r="BC11" s="775"/>
      <c r="BD11" s="775"/>
      <c r="BE11" s="775"/>
      <c r="BF11" s="775"/>
      <c r="BG11" s="775"/>
      <c r="BH11" s="775"/>
      <c r="BI11" s="775"/>
      <c r="BJ11" s="775"/>
      <c r="BK11" s="775"/>
      <c r="BL11" s="775"/>
      <c r="BM11" s="775"/>
      <c r="BN11" s="775"/>
      <c r="BO11" s="775"/>
      <c r="BP11" s="775"/>
      <c r="BQ11" s="775"/>
      <c r="BR11" s="775"/>
      <c r="BS11" s="775"/>
      <c r="BT11" s="775"/>
      <c r="BU11" s="775"/>
      <c r="BV11" s="775"/>
      <c r="BW11" s="775"/>
      <c r="BX11" s="775"/>
      <c r="BY11" s="775"/>
      <c r="BZ11" s="775"/>
      <c r="CA11" s="775"/>
      <c r="CB11" s="775"/>
      <c r="CC11" s="775"/>
      <c r="CD11" s="775"/>
      <c r="CE11" s="775"/>
      <c r="CF11" s="775"/>
      <c r="CG11" s="775"/>
      <c r="CH11" s="775"/>
      <c r="CI11" s="775"/>
      <c r="CJ11" s="775"/>
      <c r="CK11" s="775"/>
      <c r="CL11" s="775"/>
      <c r="CM11" s="775"/>
      <c r="CN11" s="775"/>
      <c r="CO11" s="775"/>
      <c r="CP11" s="775"/>
      <c r="CQ11" s="775"/>
      <c r="CR11" s="775"/>
      <c r="CS11" s="775"/>
      <c r="CT11" s="775"/>
      <c r="CU11" s="775"/>
      <c r="CV11" s="775"/>
      <c r="CW11" s="775"/>
      <c r="CX11" s="775"/>
      <c r="CY11" s="775"/>
      <c r="CZ11" s="775"/>
      <c r="DA11" s="775"/>
      <c r="DB11" s="775"/>
      <c r="DC11" s="775"/>
      <c r="DD11" s="775"/>
      <c r="DE11" s="775"/>
      <c r="DF11" s="775"/>
      <c r="DG11" s="775"/>
      <c r="DH11" s="775"/>
      <c r="DI11" s="775"/>
      <c r="DJ11" s="775"/>
      <c r="DK11" s="775"/>
      <c r="DL11" s="775"/>
      <c r="DM11" s="775"/>
      <c r="DN11" s="775"/>
      <c r="DO11" s="775"/>
      <c r="DP11" s="775"/>
      <c r="DQ11" s="775"/>
      <c r="DR11" s="775"/>
      <c r="DS11" s="775"/>
      <c r="DT11" s="775"/>
      <c r="DU11" s="775"/>
      <c r="DV11" s="775"/>
      <c r="DW11" s="775"/>
      <c r="DX11" s="775"/>
      <c r="DY11" s="775"/>
      <c r="DZ11" s="775"/>
      <c r="EA11" s="775"/>
      <c r="EB11" s="775"/>
      <c r="EC11" s="775"/>
      <c r="ED11" s="775"/>
      <c r="EE11" s="775"/>
      <c r="EF11" s="775"/>
      <c r="EG11" s="775"/>
      <c r="EH11" s="775"/>
      <c r="EI11" s="775"/>
      <c r="EJ11" s="775"/>
      <c r="EK11" s="775"/>
      <c r="EL11" s="775"/>
      <c r="EM11" s="775"/>
      <c r="EN11" s="775"/>
      <c r="EO11" s="775"/>
      <c r="EP11" s="775"/>
      <c r="EQ11" s="775"/>
      <c r="ER11" s="775"/>
      <c r="ES11" s="775"/>
      <c r="ET11" s="775"/>
      <c r="EU11" s="775"/>
      <c r="EV11" s="775"/>
      <c r="EW11" s="775"/>
      <c r="EX11" s="775"/>
      <c r="EY11" s="775"/>
      <c r="EZ11" s="775"/>
      <c r="FA11" s="775"/>
      <c r="FB11" s="775"/>
      <c r="FC11" s="775"/>
      <c r="FD11" s="775"/>
      <c r="FE11" s="775"/>
      <c r="FF11" s="775"/>
      <c r="FG11" s="775"/>
      <c r="FH11" s="775"/>
      <c r="FI11" s="775"/>
      <c r="FJ11" s="775"/>
      <c r="FK11" s="775"/>
      <c r="FL11" s="775"/>
      <c r="FM11" s="775"/>
      <c r="FN11" s="775"/>
      <c r="FO11" s="775"/>
      <c r="FP11" s="775"/>
      <c r="FQ11" s="775"/>
      <c r="FR11" s="775"/>
      <c r="FS11" s="775"/>
      <c r="FT11" s="775"/>
      <c r="FU11" s="775"/>
      <c r="FV11" s="775"/>
      <c r="FW11" s="775"/>
      <c r="FX11" s="775"/>
      <c r="FY11" s="775"/>
      <c r="FZ11" s="775"/>
      <c r="GA11" s="775"/>
      <c r="GB11" s="775"/>
      <c r="GC11" s="775"/>
      <c r="GD11" s="775"/>
      <c r="GE11" s="775"/>
      <c r="GF11" s="775"/>
      <c r="GG11" s="775"/>
      <c r="GH11" s="775"/>
      <c r="GI11" s="775"/>
      <c r="GJ11" s="775"/>
      <c r="GK11" s="775"/>
      <c r="GL11" s="775"/>
      <c r="GM11" s="775"/>
      <c r="GN11" s="775"/>
      <c r="GO11" s="775"/>
      <c r="GP11" s="775"/>
      <c r="GQ11" s="775"/>
      <c r="GR11" s="775"/>
      <c r="GS11" s="775"/>
      <c r="GT11" s="775"/>
      <c r="GU11" s="775"/>
      <c r="GV11" s="775"/>
      <c r="GW11" s="775"/>
      <c r="GX11" s="775"/>
      <c r="GY11" s="775"/>
      <c r="GZ11" s="775"/>
      <c r="HA11" s="775"/>
      <c r="HB11" s="775"/>
      <c r="HC11" s="775"/>
      <c r="HD11" s="775"/>
      <c r="HE11" s="775"/>
      <c r="HF11" s="775"/>
      <c r="HG11" s="775"/>
      <c r="HH11" s="775"/>
      <c r="HI11" s="775"/>
      <c r="HJ11" s="775"/>
      <c r="HK11" s="775"/>
      <c r="HL11" s="775"/>
      <c r="HM11" s="775"/>
      <c r="HN11" s="775"/>
      <c r="HO11" s="775"/>
      <c r="HP11" s="775"/>
      <c r="HQ11" s="775"/>
      <c r="HR11" s="775"/>
      <c r="HS11" s="775"/>
      <c r="HT11" s="775"/>
      <c r="HU11" s="775"/>
      <c r="HV11" s="775"/>
      <c r="HW11" s="775"/>
      <c r="HX11" s="775"/>
      <c r="HY11" s="775"/>
      <c r="HZ11" s="775"/>
      <c r="IA11" s="775"/>
      <c r="IB11" s="775"/>
      <c r="IC11" s="775"/>
      <c r="ID11" s="775"/>
      <c r="IE11" s="775"/>
      <c r="IF11" s="775"/>
      <c r="IG11" s="775"/>
      <c r="IH11" s="775"/>
      <c r="II11" s="775"/>
      <c r="IJ11" s="775"/>
      <c r="IK11" s="775"/>
      <c r="IL11" s="775"/>
      <c r="IM11" s="775"/>
      <c r="IN11" s="775"/>
      <c r="IO11" s="775"/>
      <c r="IP11" s="775"/>
      <c r="IQ11" s="775"/>
      <c r="IR11" s="775"/>
      <c r="IS11" s="775"/>
      <c r="IT11" s="775"/>
      <c r="IU11" s="775"/>
      <c r="IV11" s="775"/>
      <c r="IW11" s="775"/>
    </row>
    <row r="12" customFormat="false" ht="13.5" hidden="false" customHeight="false" outlineLevel="0" collapsed="false">
      <c r="A12" s="775"/>
      <c r="B12" s="779" t="s">
        <v>380</v>
      </c>
      <c r="C12" s="780"/>
      <c r="D12" s="781" t="s">
        <v>381</v>
      </c>
      <c r="E12" s="781" t="s">
        <v>382</v>
      </c>
      <c r="F12" s="781"/>
      <c r="G12" s="781" t="s">
        <v>381</v>
      </c>
      <c r="H12" s="781" t="s">
        <v>382</v>
      </c>
      <c r="I12" s="781"/>
      <c r="J12" s="781" t="s">
        <v>381</v>
      </c>
      <c r="K12" s="781" t="s">
        <v>382</v>
      </c>
      <c r="L12" s="781"/>
      <c r="M12" s="781" t="s">
        <v>381</v>
      </c>
      <c r="N12" s="782" t="s">
        <v>382</v>
      </c>
      <c r="O12" s="775"/>
      <c r="P12" s="775"/>
      <c r="Q12" s="775"/>
      <c r="R12" s="775"/>
      <c r="S12" s="775"/>
      <c r="T12" s="775"/>
      <c r="U12" s="775"/>
      <c r="V12" s="775"/>
      <c r="W12" s="775"/>
      <c r="X12" s="775"/>
      <c r="Y12" s="775"/>
      <c r="Z12" s="775"/>
      <c r="AA12" s="775"/>
      <c r="AB12" s="775"/>
      <c r="AC12" s="775"/>
      <c r="AD12" s="775"/>
      <c r="AE12" s="775"/>
      <c r="AF12" s="775"/>
      <c r="AG12" s="775"/>
      <c r="AH12" s="775"/>
      <c r="AI12" s="775"/>
      <c r="AJ12" s="775"/>
      <c r="AK12" s="775"/>
      <c r="AL12" s="775"/>
      <c r="AM12" s="775"/>
      <c r="AN12" s="775"/>
      <c r="AO12" s="775"/>
      <c r="AP12" s="775"/>
      <c r="AQ12" s="775"/>
      <c r="AR12" s="775"/>
      <c r="AS12" s="775"/>
      <c r="AT12" s="775"/>
      <c r="AU12" s="775"/>
      <c r="AV12" s="775"/>
      <c r="AW12" s="775"/>
      <c r="AX12" s="775"/>
      <c r="AY12" s="775"/>
      <c r="AZ12" s="775"/>
      <c r="BA12" s="775"/>
      <c r="BB12" s="775"/>
      <c r="BC12" s="775"/>
      <c r="BD12" s="775"/>
      <c r="BE12" s="775"/>
      <c r="BF12" s="775"/>
      <c r="BG12" s="775"/>
      <c r="BH12" s="775"/>
      <c r="BI12" s="775"/>
      <c r="BJ12" s="775"/>
      <c r="BK12" s="775"/>
      <c r="BL12" s="775"/>
      <c r="BM12" s="775"/>
      <c r="BN12" s="775"/>
      <c r="BO12" s="775"/>
      <c r="BP12" s="775"/>
      <c r="BQ12" s="775"/>
      <c r="BR12" s="775"/>
      <c r="BS12" s="775"/>
      <c r="BT12" s="775"/>
      <c r="BU12" s="775"/>
      <c r="BV12" s="775"/>
      <c r="BW12" s="775"/>
      <c r="BX12" s="775"/>
      <c r="BY12" s="775"/>
      <c r="BZ12" s="775"/>
      <c r="CA12" s="775"/>
      <c r="CB12" s="775"/>
      <c r="CC12" s="775"/>
      <c r="CD12" s="775"/>
      <c r="CE12" s="775"/>
      <c r="CF12" s="775"/>
      <c r="CG12" s="775"/>
      <c r="CH12" s="775"/>
      <c r="CI12" s="775"/>
      <c r="CJ12" s="775"/>
      <c r="CK12" s="775"/>
      <c r="CL12" s="775"/>
      <c r="CM12" s="775"/>
      <c r="CN12" s="775"/>
      <c r="CO12" s="775"/>
      <c r="CP12" s="775"/>
      <c r="CQ12" s="775"/>
      <c r="CR12" s="775"/>
      <c r="CS12" s="775"/>
      <c r="CT12" s="775"/>
      <c r="CU12" s="775"/>
      <c r="CV12" s="775"/>
      <c r="CW12" s="775"/>
      <c r="CX12" s="775"/>
      <c r="CY12" s="775"/>
      <c r="CZ12" s="775"/>
      <c r="DA12" s="775"/>
      <c r="DB12" s="775"/>
      <c r="DC12" s="775"/>
      <c r="DD12" s="775"/>
      <c r="DE12" s="775"/>
      <c r="DF12" s="775"/>
      <c r="DG12" s="775"/>
      <c r="DH12" s="775"/>
      <c r="DI12" s="775"/>
      <c r="DJ12" s="775"/>
      <c r="DK12" s="775"/>
      <c r="DL12" s="775"/>
      <c r="DM12" s="775"/>
      <c r="DN12" s="775"/>
      <c r="DO12" s="775"/>
      <c r="DP12" s="775"/>
      <c r="DQ12" s="775"/>
      <c r="DR12" s="775"/>
      <c r="DS12" s="775"/>
      <c r="DT12" s="775"/>
      <c r="DU12" s="775"/>
      <c r="DV12" s="775"/>
      <c r="DW12" s="775"/>
      <c r="DX12" s="775"/>
      <c r="DY12" s="775"/>
      <c r="DZ12" s="775"/>
      <c r="EA12" s="775"/>
      <c r="EB12" s="775"/>
      <c r="EC12" s="775"/>
      <c r="ED12" s="775"/>
      <c r="EE12" s="775"/>
      <c r="EF12" s="775"/>
      <c r="EG12" s="775"/>
      <c r="EH12" s="775"/>
      <c r="EI12" s="775"/>
      <c r="EJ12" s="775"/>
      <c r="EK12" s="775"/>
      <c r="EL12" s="775"/>
      <c r="EM12" s="775"/>
      <c r="EN12" s="775"/>
      <c r="EO12" s="775"/>
      <c r="EP12" s="775"/>
      <c r="EQ12" s="775"/>
      <c r="ER12" s="775"/>
      <c r="ES12" s="775"/>
      <c r="ET12" s="775"/>
      <c r="EU12" s="775"/>
      <c r="EV12" s="775"/>
      <c r="EW12" s="775"/>
      <c r="EX12" s="775"/>
      <c r="EY12" s="775"/>
      <c r="EZ12" s="775"/>
      <c r="FA12" s="775"/>
      <c r="FB12" s="775"/>
      <c r="FC12" s="775"/>
      <c r="FD12" s="775"/>
      <c r="FE12" s="775"/>
      <c r="FF12" s="775"/>
      <c r="FG12" s="775"/>
      <c r="FH12" s="775"/>
      <c r="FI12" s="775"/>
      <c r="FJ12" s="775"/>
      <c r="FK12" s="775"/>
      <c r="FL12" s="775"/>
      <c r="FM12" s="775"/>
      <c r="FN12" s="775"/>
      <c r="FO12" s="775"/>
      <c r="FP12" s="775"/>
      <c r="FQ12" s="775"/>
      <c r="FR12" s="775"/>
      <c r="FS12" s="775"/>
      <c r="FT12" s="775"/>
      <c r="FU12" s="775"/>
      <c r="FV12" s="775"/>
      <c r="FW12" s="775"/>
      <c r="FX12" s="775"/>
      <c r="FY12" s="775"/>
      <c r="FZ12" s="775"/>
      <c r="GA12" s="775"/>
      <c r="GB12" s="775"/>
      <c r="GC12" s="775"/>
      <c r="GD12" s="775"/>
      <c r="GE12" s="775"/>
      <c r="GF12" s="775"/>
      <c r="GG12" s="775"/>
      <c r="GH12" s="775"/>
      <c r="GI12" s="775"/>
      <c r="GJ12" s="775"/>
      <c r="GK12" s="775"/>
      <c r="GL12" s="775"/>
      <c r="GM12" s="775"/>
      <c r="GN12" s="775"/>
      <c r="GO12" s="775"/>
      <c r="GP12" s="775"/>
      <c r="GQ12" s="775"/>
      <c r="GR12" s="775"/>
      <c r="GS12" s="775"/>
      <c r="GT12" s="775"/>
      <c r="GU12" s="775"/>
      <c r="GV12" s="775"/>
      <c r="GW12" s="775"/>
      <c r="GX12" s="775"/>
      <c r="GY12" s="775"/>
      <c r="GZ12" s="775"/>
      <c r="HA12" s="775"/>
      <c r="HB12" s="775"/>
      <c r="HC12" s="775"/>
      <c r="HD12" s="775"/>
      <c r="HE12" s="775"/>
      <c r="HF12" s="775"/>
      <c r="HG12" s="775"/>
      <c r="HH12" s="775"/>
      <c r="HI12" s="775"/>
      <c r="HJ12" s="775"/>
      <c r="HK12" s="775"/>
      <c r="HL12" s="775"/>
      <c r="HM12" s="775"/>
      <c r="HN12" s="775"/>
      <c r="HO12" s="775"/>
      <c r="HP12" s="775"/>
      <c r="HQ12" s="775"/>
      <c r="HR12" s="775"/>
      <c r="HS12" s="775"/>
      <c r="HT12" s="775"/>
      <c r="HU12" s="775"/>
      <c r="HV12" s="775"/>
      <c r="HW12" s="775"/>
      <c r="HX12" s="775"/>
      <c r="HY12" s="775"/>
      <c r="HZ12" s="775"/>
      <c r="IA12" s="775"/>
      <c r="IB12" s="775"/>
      <c r="IC12" s="775"/>
      <c r="ID12" s="775"/>
      <c r="IE12" s="775"/>
      <c r="IF12" s="775"/>
      <c r="IG12" s="775"/>
      <c r="IH12" s="775"/>
      <c r="II12" s="775"/>
      <c r="IJ12" s="775"/>
      <c r="IK12" s="775"/>
      <c r="IL12" s="775"/>
      <c r="IM12" s="775"/>
      <c r="IN12" s="775"/>
      <c r="IO12" s="775"/>
      <c r="IP12" s="775"/>
      <c r="IQ12" s="775"/>
      <c r="IR12" s="775"/>
      <c r="IS12" s="775"/>
      <c r="IT12" s="775"/>
      <c r="IU12" s="775"/>
      <c r="IV12" s="775"/>
      <c r="IW12" s="775"/>
    </row>
    <row r="13" customFormat="false" ht="12.75" hidden="false" customHeight="false" outlineLevel="0" collapsed="false">
      <c r="B13" s="783"/>
      <c r="C13" s="772"/>
      <c r="D13" s="773"/>
      <c r="E13" s="773"/>
      <c r="F13" s="773"/>
      <c r="G13" s="773"/>
      <c r="H13" s="773"/>
      <c r="I13" s="773"/>
      <c r="J13" s="773"/>
      <c r="K13" s="773"/>
      <c r="L13" s="773"/>
      <c r="M13" s="773"/>
      <c r="N13" s="773"/>
    </row>
    <row r="15" customFormat="false" ht="12.75" hidden="false" customHeight="false" outlineLevel="0" collapsed="false">
      <c r="B15" s="784" t="s">
        <v>383</v>
      </c>
    </row>
    <row r="16" customFormat="false" ht="12.75" hidden="false" customHeight="false" outlineLevel="0" collapsed="false">
      <c r="B16" s="785"/>
    </row>
    <row r="17" customFormat="false" ht="12.75" hidden="false" customHeight="false" outlineLevel="0" collapsed="false">
      <c r="B17" s="785" t="s">
        <v>384</v>
      </c>
      <c r="G17" s="786" t="n">
        <f aca="false">startconst</f>
        <v>36526</v>
      </c>
      <c r="J17" s="785" t="s">
        <v>385</v>
      </c>
      <c r="K17" s="748"/>
      <c r="O17" s="787" t="n">
        <f aca="false">cpi</f>
        <v>0.02</v>
      </c>
      <c r="Q17" s="749"/>
    </row>
    <row r="18" customFormat="false" ht="12.75" hidden="false" customHeight="false" outlineLevel="0" collapsed="false">
      <c r="B18" s="785" t="s">
        <v>386</v>
      </c>
      <c r="G18" s="786" t="n">
        <f aca="false">codate</f>
        <v>37622</v>
      </c>
      <c r="J18" s="785" t="s">
        <v>387</v>
      </c>
      <c r="K18" s="748"/>
      <c r="O18" s="788" t="n">
        <f aca="false">Assumpt!$C$37</f>
        <v>1360</v>
      </c>
      <c r="Q18" s="749"/>
    </row>
    <row r="19" customFormat="false" ht="12.75" hidden="false" customHeight="false" outlineLevel="0" collapsed="false">
      <c r="B19" s="785" t="s">
        <v>388</v>
      </c>
      <c r="G19" s="789" t="n">
        <f aca="false">termyrs</f>
        <v>15</v>
      </c>
      <c r="J19" s="785"/>
      <c r="K19" s="748"/>
      <c r="O19" s="789"/>
      <c r="Q19" s="749"/>
    </row>
    <row r="20" customFormat="false" ht="12.75" hidden="false" customHeight="false" outlineLevel="0" collapsed="false">
      <c r="B20" s="785"/>
      <c r="J20" s="785" t="s">
        <v>389</v>
      </c>
      <c r="K20" s="748"/>
      <c r="O20" s="789" t="n">
        <f aca="false">Assumpt!K30</f>
        <v>40</v>
      </c>
      <c r="P20" s="749" t="str">
        <f aca="false">Assumpt!L30</f>
        <v>S/L</v>
      </c>
      <c r="Q20" s="749"/>
    </row>
    <row r="21" customFormat="false" ht="12.75" hidden="false" customHeight="false" outlineLevel="0" collapsed="false">
      <c r="B21" s="785" t="str">
        <f aca="false">Assumpt!G6</f>
        <v>ITBM (Tax on Movable Goods Purchased In or Imported Into Panama)</v>
      </c>
      <c r="D21" s="785"/>
      <c r="E21" s="785"/>
      <c r="F21" s="785"/>
      <c r="G21" s="790" t="n">
        <f aca="false">Assumpt!L6</f>
        <v>0.05</v>
      </c>
      <c r="J21" s="785" t="s">
        <v>390</v>
      </c>
      <c r="K21" s="748"/>
      <c r="O21" s="789" t="n">
        <f aca="false">Assumpt!K31</f>
        <v>20</v>
      </c>
      <c r="P21" s="749" t="str">
        <f aca="false">Assumpt!L31</f>
        <v>S/L</v>
      </c>
      <c r="Q21" s="749"/>
    </row>
    <row r="22" customFormat="false" ht="12.75" hidden="false" customHeight="false" outlineLevel="0" collapsed="false">
      <c r="B22" s="785" t="str">
        <f aca="false">Assumpt!G8</f>
        <v>Property Taxes ($000) (maximum, assumed to be flat)</v>
      </c>
      <c r="D22" s="785"/>
      <c r="G22" s="789" t="n">
        <f aca="false">Assumpt!L8</f>
        <v>25</v>
      </c>
      <c r="J22" s="785"/>
      <c r="K22" s="748"/>
      <c r="O22" s="789"/>
      <c r="P22" s="749"/>
      <c r="Q22" s="749"/>
    </row>
    <row r="23" customFormat="false" ht="12.75" hidden="false" customHeight="false" outlineLevel="0" collapsed="false">
      <c r="B23" s="785" t="str">
        <f aca="false">Assumpt!G9</f>
        <v>Municipal Taxes</v>
      </c>
      <c r="D23" s="785"/>
      <c r="G23" s="791" t="n">
        <f aca="false">Assumpt!L9</f>
        <v>12</v>
      </c>
      <c r="J23" s="785" t="s">
        <v>391</v>
      </c>
      <c r="K23" s="748"/>
      <c r="O23" s="789" t="n">
        <f aca="false">tranche1grace</f>
        <v>2</v>
      </c>
      <c r="P23" s="749"/>
      <c r="Q23" s="749"/>
    </row>
    <row r="24" customFormat="false" ht="12.75" hidden="false" customHeight="false" outlineLevel="0" collapsed="false">
      <c r="B24" s="785" t="str">
        <f aca="false">Assumpt!G11</f>
        <v>Panama Income Tax</v>
      </c>
      <c r="D24" s="785"/>
      <c r="G24" s="790" t="n">
        <f aca="false">Assumpt!L11</f>
        <v>0.3</v>
      </c>
      <c r="H24" s="785"/>
      <c r="I24" s="785"/>
      <c r="J24" s="785" t="s">
        <v>392</v>
      </c>
      <c r="K24" s="748"/>
      <c r="O24" s="792" t="n">
        <f aca="false">Assumpt!$L$42</f>
        <v>0.015</v>
      </c>
      <c r="P24" s="749"/>
      <c r="Q24" s="749"/>
    </row>
    <row r="25" customFormat="false" ht="12.75" hidden="false" customHeight="false" outlineLevel="0" collapsed="false">
      <c r="B25" s="785" t="str">
        <f aca="false">Assumpt!G14</f>
        <v>Withholding Tax on Interest (Grossed Up)</v>
      </c>
      <c r="D25" s="785"/>
      <c r="G25" s="790" t="n">
        <f aca="false">Assumpt!L14</f>
        <v>0.0638297872340426</v>
      </c>
      <c r="H25" s="785"/>
      <c r="J25" s="785" t="s">
        <v>32</v>
      </c>
      <c r="K25" s="748"/>
      <c r="O25" s="792" t="n">
        <f aca="false">Assumpt!$L$42</f>
        <v>0.015</v>
      </c>
      <c r="P25" s="749"/>
      <c r="Q25" s="749"/>
    </row>
    <row r="26" customFormat="false" ht="12.75" hidden="false" customHeight="false" outlineLevel="0" collapsed="false">
      <c r="B26" s="785" t="str">
        <f aca="false">Assumpt!G16</f>
        <v>Withholding Tax on Dividends</v>
      </c>
      <c r="D26" s="785"/>
      <c r="G26" s="790" t="n">
        <f aca="false">Assumpt!L16</f>
        <v>0.1</v>
      </c>
      <c r="H26" s="785"/>
      <c r="J26" s="785" t="s">
        <v>393</v>
      </c>
      <c r="K26" s="748"/>
      <c r="O26" s="789" t="s">
        <v>394</v>
      </c>
      <c r="P26" s="749"/>
    </row>
    <row r="27" customFormat="false" ht="12.75" hidden="false" customHeight="false" outlineLevel="0" collapsed="false">
      <c r="B27" s="785" t="str">
        <f aca="false">Assumpt!G17</f>
        <v>Threshhold % of Local Profits Before Complementary Tax Applies</v>
      </c>
      <c r="D27" s="785"/>
      <c r="G27" s="790" t="n">
        <f aca="false">Assumpt!L17</f>
        <v>0.4</v>
      </c>
      <c r="H27" s="785"/>
      <c r="J27" s="785"/>
      <c r="K27" s="748"/>
      <c r="O27" s="789"/>
      <c r="P27" s="749"/>
    </row>
    <row r="28" customFormat="false" ht="12.75" hidden="false" customHeight="false" outlineLevel="0" collapsed="false">
      <c r="B28" s="785" t="str">
        <f aca="false">Assumpt!G18</f>
        <v>Complementary Tax (Creditable against future W/H Tax on Dividends)</v>
      </c>
      <c r="G28" s="790" t="n">
        <f aca="false">Assumpt!L18</f>
        <v>0.1</v>
      </c>
      <c r="H28" s="785"/>
      <c r="J28" s="785" t="s">
        <v>395</v>
      </c>
      <c r="K28" s="748"/>
      <c r="O28" s="789" t="s">
        <v>396</v>
      </c>
      <c r="P28" s="749"/>
    </row>
    <row r="29" customFormat="false" ht="12.75" hidden="false" customHeight="false" outlineLevel="0" collapsed="false">
      <c r="B29" s="785"/>
      <c r="G29" s="789"/>
      <c r="H29" s="785"/>
    </row>
    <row r="31" customFormat="false" ht="51" hidden="false" customHeight="false" outlineLevel="0" collapsed="false">
      <c r="A31" s="793"/>
      <c r="B31" s="794" t="s">
        <v>397</v>
      </c>
      <c r="C31" s="795" t="s">
        <v>398</v>
      </c>
      <c r="D31" s="795" t="s">
        <v>399</v>
      </c>
      <c r="E31" s="793"/>
      <c r="F31" s="793"/>
      <c r="G31" s="793"/>
      <c r="H31" s="793"/>
      <c r="I31" s="793"/>
      <c r="J31" s="793"/>
      <c r="K31" s="793"/>
      <c r="L31" s="793"/>
      <c r="M31" s="793"/>
      <c r="N31" s="793"/>
      <c r="O31" s="793"/>
      <c r="P31" s="793"/>
      <c r="Q31" s="793"/>
      <c r="R31" s="793"/>
      <c r="S31" s="793"/>
      <c r="T31" s="793"/>
      <c r="U31" s="793"/>
      <c r="V31" s="793"/>
      <c r="W31" s="793"/>
      <c r="X31" s="793"/>
      <c r="Y31" s="793"/>
      <c r="Z31" s="793"/>
      <c r="AA31" s="793"/>
      <c r="AB31" s="793"/>
      <c r="AC31" s="793"/>
      <c r="AD31" s="793"/>
      <c r="AE31" s="793"/>
      <c r="AF31" s="793"/>
      <c r="AG31" s="793"/>
      <c r="AH31" s="793"/>
      <c r="AI31" s="793"/>
      <c r="AJ31" s="793"/>
      <c r="AK31" s="793"/>
      <c r="AL31" s="793"/>
      <c r="AM31" s="793"/>
      <c r="AN31" s="793"/>
      <c r="AO31" s="793"/>
      <c r="AP31" s="793"/>
      <c r="AQ31" s="793"/>
      <c r="AR31" s="793"/>
      <c r="AS31" s="793"/>
      <c r="AT31" s="793"/>
      <c r="AU31" s="793"/>
      <c r="AV31" s="793"/>
      <c r="AW31" s="793"/>
      <c r="AX31" s="793"/>
      <c r="AY31" s="793"/>
      <c r="AZ31" s="793"/>
      <c r="BA31" s="793"/>
      <c r="BB31" s="793"/>
      <c r="BC31" s="793"/>
      <c r="BD31" s="793"/>
      <c r="BE31" s="793"/>
      <c r="BF31" s="793"/>
      <c r="BG31" s="793"/>
      <c r="BH31" s="793"/>
      <c r="BI31" s="793"/>
      <c r="BJ31" s="793"/>
      <c r="BK31" s="793"/>
      <c r="BL31" s="793"/>
      <c r="BM31" s="793"/>
      <c r="BN31" s="793"/>
      <c r="BO31" s="793"/>
      <c r="BP31" s="793"/>
      <c r="BQ31" s="793"/>
      <c r="BR31" s="793"/>
      <c r="BS31" s="793"/>
      <c r="BT31" s="793"/>
      <c r="BU31" s="793"/>
      <c r="BV31" s="793"/>
      <c r="BW31" s="793"/>
      <c r="BX31" s="793"/>
      <c r="BY31" s="793"/>
      <c r="BZ31" s="793"/>
      <c r="CA31" s="793"/>
      <c r="CB31" s="793"/>
      <c r="CC31" s="793"/>
      <c r="CD31" s="793"/>
      <c r="CE31" s="793"/>
      <c r="CF31" s="793"/>
      <c r="CG31" s="793"/>
      <c r="CH31" s="793"/>
      <c r="CI31" s="793"/>
      <c r="CJ31" s="793"/>
      <c r="CK31" s="793"/>
      <c r="CL31" s="793"/>
      <c r="CM31" s="793"/>
      <c r="CN31" s="793"/>
      <c r="CO31" s="793"/>
      <c r="CP31" s="793"/>
      <c r="CQ31" s="793"/>
      <c r="CR31" s="793"/>
      <c r="CS31" s="793"/>
      <c r="CT31" s="793"/>
      <c r="CU31" s="793"/>
      <c r="CV31" s="793"/>
      <c r="CW31" s="793"/>
      <c r="CX31" s="793"/>
      <c r="CY31" s="793"/>
      <c r="CZ31" s="793"/>
      <c r="DA31" s="793"/>
      <c r="DB31" s="793"/>
      <c r="DC31" s="793"/>
      <c r="DD31" s="793"/>
      <c r="DE31" s="793"/>
      <c r="DF31" s="793"/>
      <c r="DG31" s="793"/>
      <c r="DH31" s="793"/>
      <c r="DI31" s="793"/>
      <c r="DJ31" s="793"/>
      <c r="DK31" s="793"/>
      <c r="DL31" s="793"/>
      <c r="DM31" s="793"/>
      <c r="DN31" s="793"/>
      <c r="DO31" s="793"/>
      <c r="DP31" s="793"/>
      <c r="DQ31" s="793"/>
      <c r="DR31" s="793"/>
      <c r="DS31" s="793"/>
      <c r="DT31" s="793"/>
      <c r="DU31" s="793"/>
      <c r="DV31" s="793"/>
      <c r="DW31" s="793"/>
      <c r="DX31" s="793"/>
      <c r="DY31" s="793"/>
      <c r="DZ31" s="793"/>
      <c r="EA31" s="793"/>
      <c r="EB31" s="793"/>
      <c r="EC31" s="793"/>
      <c r="ED31" s="793"/>
      <c r="EE31" s="793"/>
      <c r="EF31" s="793"/>
      <c r="EG31" s="793"/>
      <c r="EH31" s="793"/>
      <c r="EI31" s="793"/>
      <c r="EJ31" s="793"/>
      <c r="EK31" s="793"/>
      <c r="EL31" s="793"/>
      <c r="EM31" s="793"/>
      <c r="EN31" s="793"/>
      <c r="EO31" s="793"/>
      <c r="EP31" s="793"/>
      <c r="EQ31" s="793"/>
      <c r="ER31" s="793"/>
      <c r="ES31" s="793"/>
      <c r="ET31" s="793"/>
      <c r="EU31" s="793"/>
      <c r="EV31" s="793"/>
      <c r="EW31" s="793"/>
      <c r="EX31" s="793"/>
      <c r="EY31" s="793"/>
      <c r="EZ31" s="793"/>
      <c r="FA31" s="793"/>
      <c r="FB31" s="793"/>
      <c r="FC31" s="793"/>
      <c r="FD31" s="793"/>
      <c r="FE31" s="793"/>
      <c r="FF31" s="793"/>
      <c r="FG31" s="793"/>
      <c r="FH31" s="793"/>
      <c r="FI31" s="793"/>
      <c r="FJ31" s="793"/>
      <c r="FK31" s="793"/>
      <c r="FL31" s="793"/>
      <c r="FM31" s="793"/>
      <c r="FN31" s="793"/>
      <c r="FO31" s="793"/>
      <c r="FP31" s="793"/>
      <c r="FQ31" s="793"/>
      <c r="FR31" s="793"/>
      <c r="FS31" s="793"/>
      <c r="FT31" s="793"/>
      <c r="FU31" s="793"/>
      <c r="FV31" s="793"/>
      <c r="FW31" s="793"/>
      <c r="FX31" s="793"/>
      <c r="FY31" s="793"/>
      <c r="FZ31" s="793"/>
      <c r="GA31" s="793"/>
      <c r="GB31" s="793"/>
      <c r="GC31" s="793"/>
      <c r="GD31" s="793"/>
      <c r="GE31" s="793"/>
      <c r="GF31" s="793"/>
      <c r="GG31" s="793"/>
      <c r="GH31" s="793"/>
      <c r="GI31" s="793"/>
      <c r="GJ31" s="793"/>
      <c r="GK31" s="793"/>
      <c r="GL31" s="793"/>
      <c r="GM31" s="793"/>
      <c r="GN31" s="793"/>
      <c r="GO31" s="793"/>
      <c r="GP31" s="793"/>
      <c r="GQ31" s="793"/>
      <c r="GR31" s="793"/>
      <c r="GS31" s="793"/>
      <c r="GT31" s="793"/>
      <c r="GU31" s="793"/>
      <c r="GV31" s="793"/>
      <c r="GW31" s="793"/>
      <c r="GX31" s="793"/>
      <c r="GY31" s="793"/>
      <c r="GZ31" s="793"/>
      <c r="HA31" s="793"/>
      <c r="HB31" s="793"/>
      <c r="HC31" s="793"/>
      <c r="HD31" s="793"/>
      <c r="HE31" s="793"/>
      <c r="HF31" s="793"/>
      <c r="HG31" s="793"/>
      <c r="HH31" s="793"/>
      <c r="HI31" s="793"/>
      <c r="HJ31" s="793"/>
      <c r="HK31" s="793"/>
      <c r="HL31" s="793"/>
      <c r="HM31" s="793"/>
      <c r="HN31" s="793"/>
      <c r="HO31" s="793"/>
      <c r="HP31" s="793"/>
      <c r="HQ31" s="793"/>
      <c r="HR31" s="793"/>
      <c r="HS31" s="793"/>
      <c r="HT31" s="793"/>
      <c r="HU31" s="793"/>
      <c r="HV31" s="793"/>
      <c r="HW31" s="793"/>
      <c r="HX31" s="793"/>
      <c r="HY31" s="793"/>
      <c r="HZ31" s="793"/>
      <c r="IA31" s="793"/>
      <c r="IB31" s="793"/>
      <c r="IC31" s="793"/>
      <c r="ID31" s="793"/>
      <c r="IE31" s="793"/>
      <c r="IF31" s="793"/>
      <c r="IG31" s="793"/>
      <c r="IH31" s="793"/>
      <c r="II31" s="793"/>
      <c r="IJ31" s="793"/>
      <c r="IK31" s="793"/>
      <c r="IL31" s="793"/>
      <c r="IM31" s="793"/>
      <c r="IN31" s="793"/>
      <c r="IO31" s="793"/>
      <c r="IP31" s="793"/>
      <c r="IQ31" s="793"/>
      <c r="IR31" s="793"/>
      <c r="IS31" s="793"/>
      <c r="IT31" s="793"/>
      <c r="IU31" s="793"/>
      <c r="IV31" s="793"/>
      <c r="IW31" s="793"/>
    </row>
    <row r="32" customFormat="false" ht="12.75" hidden="false" customHeight="false" outlineLevel="0" collapsed="false">
      <c r="A32" s="751"/>
      <c r="B32" s="796" t="n">
        <v>2003</v>
      </c>
      <c r="C32" s="797" t="n">
        <v>49.9995</v>
      </c>
      <c r="D32" s="798" t="n">
        <v>70.00005</v>
      </c>
      <c r="E32" s="799"/>
      <c r="F32" s="799"/>
      <c r="G32" s="799"/>
      <c r="H32" s="799"/>
      <c r="I32" s="799"/>
      <c r="J32" s="799"/>
      <c r="K32" s="799"/>
      <c r="O32" s="800"/>
      <c r="P32" s="800"/>
      <c r="Q32" s="800"/>
      <c r="R32" s="800"/>
      <c r="S32" s="800"/>
      <c r="T32" s="800"/>
      <c r="U32" s="800"/>
      <c r="V32" s="800"/>
      <c r="W32" s="800"/>
      <c r="X32" s="800"/>
      <c r="Y32" s="800"/>
      <c r="Z32" s="800"/>
      <c r="AA32" s="800"/>
      <c r="AB32" s="800"/>
      <c r="AC32" s="800"/>
      <c r="AD32" s="800"/>
      <c r="AE32" s="800"/>
    </row>
    <row r="33" customFormat="false" ht="12.75" hidden="false" customHeight="false" outlineLevel="0" collapsed="false">
      <c r="A33" s="751"/>
      <c r="B33" s="796" t="n">
        <v>2004</v>
      </c>
      <c r="C33" s="797" t="n">
        <v>75</v>
      </c>
      <c r="D33" s="798" t="n">
        <v>100.00005</v>
      </c>
      <c r="E33" s="799"/>
      <c r="F33" s="799"/>
      <c r="G33" s="799"/>
      <c r="H33" s="799"/>
      <c r="I33" s="799"/>
      <c r="J33" s="799"/>
      <c r="K33" s="799"/>
      <c r="O33" s="800"/>
      <c r="P33" s="800"/>
      <c r="Q33" s="800"/>
      <c r="R33" s="800"/>
      <c r="S33" s="800"/>
      <c r="T33" s="800"/>
      <c r="U33" s="800"/>
      <c r="V33" s="800"/>
      <c r="W33" s="800"/>
      <c r="X33" s="800"/>
      <c r="Y33" s="800"/>
      <c r="Z33" s="800"/>
      <c r="AA33" s="800"/>
      <c r="AB33" s="800"/>
      <c r="AC33" s="800"/>
      <c r="AD33" s="800"/>
      <c r="AE33" s="800"/>
    </row>
    <row r="34" customFormat="false" ht="12.75" hidden="false" customHeight="false" outlineLevel="0" collapsed="false">
      <c r="B34" s="796" t="n">
        <v>2005</v>
      </c>
      <c r="C34" s="797" t="n">
        <v>75</v>
      </c>
      <c r="D34" s="798" t="n">
        <v>100.00005</v>
      </c>
    </row>
    <row r="35" customFormat="false" ht="12.75" hidden="false" customHeight="false" outlineLevel="0" collapsed="false">
      <c r="B35" s="796" t="n">
        <v>2006</v>
      </c>
      <c r="C35" s="797" t="n">
        <v>75</v>
      </c>
      <c r="D35" s="798" t="n">
        <v>100.00005</v>
      </c>
    </row>
    <row r="36" customFormat="false" ht="12.75" hidden="false" customHeight="false" outlineLevel="0" collapsed="false">
      <c r="B36" s="796" t="n">
        <v>2007</v>
      </c>
      <c r="C36" s="797" t="n">
        <v>124.995</v>
      </c>
      <c r="D36" s="798" t="n">
        <v>150</v>
      </c>
    </row>
    <row r="37" customFormat="false" ht="12.75" hidden="false" customHeight="false" outlineLevel="0" collapsed="false">
      <c r="B37" s="801" t="s">
        <v>400</v>
      </c>
      <c r="C37" s="802" t="n">
        <v>124.995</v>
      </c>
      <c r="D37" s="803" t="n">
        <v>150</v>
      </c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 &amp;C &amp;R </oddHeader>
    <oddFooter>&amp;L&amp;F\&amp;A&amp;CCONFIDENTIAL&amp;R&amp;P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1998-04-25T19:58:29Z</dcterms:created>
  <dc:creator>Makk, Andrew</dc:creator>
  <dc:description/>
  <dc:language>en-US</dc:language>
  <cp:lastModifiedBy>MThomas</cp:lastModifiedBy>
  <cp:lastPrinted>2000-01-12T18:30:27Z</cp:lastPrinted>
  <cp:revision>0</cp:revision>
  <dc:subject/>
  <dc:title>lkjdf</dc:title>
</cp:coreProperties>
</file>